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GDA\Nauczanie RAchunkowości\Ksiązka_Rachunkowość_inaczej\E-SPRAWOZDANIA, JPK, CIT-8\Raporty\Raporty_wersja_final\"/>
    </mc:Choice>
  </mc:AlternateContent>
  <bookViews>
    <workbookView xWindow="0" yWindow="0" windowWidth="19200" windowHeight="7050"/>
  </bookViews>
  <sheets>
    <sheet name="START" sheetId="8" r:id="rId1"/>
    <sheet name="Bilans" sheetId="2" r:id="rId2"/>
    <sheet name="RZiS" sheetId="3" r:id="rId3"/>
    <sheet name="ZZwK" sheetId="5" r:id="rId4"/>
    <sheet name="CF" sheetId="6" r:id="rId5"/>
    <sheet name="JPK_KR" sheetId="11" r:id="rId6"/>
    <sheet name="JPK_KR-1" sheetId="9" r:id="rId7"/>
    <sheet name="kokpit" sheetId="10" r:id="rId8"/>
    <sheet name="kokpit-1" sheetId="12" state="hidden" r:id="rId9"/>
  </sheets>
  <definedNames>
    <definedName name="AT_B_A">Bilans!$I$6:$I$93</definedName>
    <definedName name="AT_B_P">Bilans!$I$97:$I$153</definedName>
    <definedName name="AT_RZiS">RZiS!$F$6:$F$54</definedName>
    <definedName name="AT_ZZwK">ZZwK!$H$6:$H$109</definedName>
    <definedName name="CF">kokpit!$BO$10:$BO$11</definedName>
    <definedName name="PP">CF!$I$6:$I$65</definedName>
    <definedName name="Rzad">kokpit!$BN$8:$BN$9</definedName>
    <definedName name="RZiS">kokpit!$BN$5:$BN$6</definedName>
    <definedName name="WnMa">kokpit!$BN$13:$BN$16</definedName>
  </definedNames>
  <calcPr calcId="162913"/>
</workbook>
</file>

<file path=xl/calcChain.xml><?xml version="1.0" encoding="utf-8"?>
<calcChain xmlns="http://schemas.openxmlformats.org/spreadsheetml/2006/main">
  <c r="F106" i="5" l="1"/>
  <c r="F105" i="5"/>
  <c r="E106" i="5"/>
  <c r="E105" i="5"/>
  <c r="H40" i="6" l="1"/>
  <c r="G40" i="6"/>
  <c r="H43" i="6"/>
  <c r="G43" i="6"/>
  <c r="H20" i="6"/>
  <c r="G20" i="6"/>
  <c r="H65" i="6"/>
  <c r="G65" i="6"/>
  <c r="H63" i="6"/>
  <c r="G63" i="6"/>
  <c r="H62" i="6"/>
  <c r="G62" i="6"/>
  <c r="H58" i="6"/>
  <c r="G58" i="6"/>
  <c r="G55" i="6"/>
  <c r="H55" i="6"/>
  <c r="G54" i="6"/>
  <c r="H54" i="6"/>
  <c r="G53" i="6"/>
  <c r="H53" i="6"/>
  <c r="G52" i="6"/>
  <c r="H52" i="6"/>
  <c r="G51" i="6"/>
  <c r="H51" i="6"/>
  <c r="H50" i="6"/>
  <c r="G50" i="6"/>
  <c r="H45" i="6"/>
  <c r="G45" i="6"/>
  <c r="H34" i="6"/>
  <c r="G34" i="6"/>
  <c r="H25" i="6" l="1"/>
  <c r="G25" i="6"/>
  <c r="H22" i="6"/>
  <c r="G22" i="6"/>
  <c r="H17" i="6"/>
  <c r="H15" i="6"/>
  <c r="H14" i="6"/>
  <c r="H13" i="6"/>
  <c r="H12" i="6"/>
  <c r="H11" i="6"/>
  <c r="G17" i="6"/>
  <c r="G15" i="6"/>
  <c r="G14" i="6"/>
  <c r="G13" i="6"/>
  <c r="G12" i="6"/>
  <c r="G11" i="6"/>
  <c r="U4" i="10"/>
  <c r="F35" i="5"/>
  <c r="F36" i="5"/>
  <c r="F38" i="5"/>
  <c r="F39" i="5"/>
  <c r="E78" i="5" s="1"/>
  <c r="F40" i="5"/>
  <c r="F41" i="5"/>
  <c r="F44" i="5"/>
  <c r="E83" i="5" s="1"/>
  <c r="F45" i="5"/>
  <c r="F46" i="5"/>
  <c r="F47" i="5"/>
  <c r="F49" i="5"/>
  <c r="E88" i="5" s="1"/>
  <c r="F50" i="5"/>
  <c r="E89" i="5" s="1"/>
  <c r="F51" i="5"/>
  <c r="E90" i="5" s="1"/>
  <c r="F52" i="5"/>
  <c r="F53" i="5"/>
  <c r="F56" i="5"/>
  <c r="E95" i="5" s="1"/>
  <c r="F57" i="5"/>
  <c r="F58" i="5"/>
  <c r="F60" i="5"/>
  <c r="F61" i="5"/>
  <c r="E100" i="5" s="1"/>
  <c r="F62" i="5"/>
  <c r="E101" i="5" s="1"/>
  <c r="F63" i="5"/>
  <c r="F64" i="5"/>
  <c r="E103" i="5" s="1"/>
  <c r="F67" i="5"/>
  <c r="F68" i="5"/>
  <c r="F69" i="5"/>
  <c r="F71" i="5"/>
  <c r="F72" i="5"/>
  <c r="F73" i="5"/>
  <c r="F74" i="5"/>
  <c r="F75" i="5"/>
  <c r="F76" i="5"/>
  <c r="F77" i="5"/>
  <c r="F78" i="5"/>
  <c r="F81" i="5"/>
  <c r="F82" i="5"/>
  <c r="F83" i="5"/>
  <c r="F85" i="5"/>
  <c r="F86" i="5"/>
  <c r="F87" i="5"/>
  <c r="F88" i="5"/>
  <c r="F89" i="5"/>
  <c r="F90" i="5"/>
  <c r="F91" i="5"/>
  <c r="F92" i="5"/>
  <c r="F95" i="5"/>
  <c r="F96" i="5"/>
  <c r="F97" i="5"/>
  <c r="F99" i="5"/>
  <c r="F100" i="5"/>
  <c r="F101" i="5"/>
  <c r="F102" i="5"/>
  <c r="F103" i="5"/>
  <c r="F104" i="5"/>
  <c r="F107" i="5"/>
  <c r="F108" i="5"/>
  <c r="F109" i="5"/>
  <c r="E108" i="5"/>
  <c r="E74" i="5"/>
  <c r="E75" i="5"/>
  <c r="E85" i="5"/>
  <c r="E86" i="5"/>
  <c r="E91" i="5"/>
  <c r="E96" i="5"/>
  <c r="E97" i="5"/>
  <c r="E102" i="5"/>
  <c r="E107" i="5"/>
  <c r="E44" i="5"/>
  <c r="E41" i="5"/>
  <c r="F32" i="5"/>
  <c r="E71" i="5" s="1"/>
  <c r="E32" i="5"/>
  <c r="F21" i="5"/>
  <c r="E60" i="5" s="1"/>
  <c r="E21" i="5"/>
  <c r="E20" i="5"/>
  <c r="F10" i="5"/>
  <c r="E49" i="5" s="1"/>
  <c r="E10" i="5"/>
  <c r="F6" i="5"/>
  <c r="E45" i="5" s="1"/>
  <c r="E6" i="5"/>
  <c r="E35" i="5"/>
  <c r="E36" i="5"/>
  <c r="E38" i="5"/>
  <c r="E39" i="5"/>
  <c r="E40" i="5"/>
  <c r="F24" i="5"/>
  <c r="F25" i="5"/>
  <c r="E64" i="5" s="1"/>
  <c r="F26" i="5"/>
  <c r="F28" i="5"/>
  <c r="E67" i="5" s="1"/>
  <c r="F29" i="5"/>
  <c r="E68" i="5" s="1"/>
  <c r="F30" i="5"/>
  <c r="E69" i="5" s="1"/>
  <c r="F31" i="5"/>
  <c r="E24" i="5"/>
  <c r="E25" i="5"/>
  <c r="E26" i="5"/>
  <c r="E28" i="5"/>
  <c r="E29" i="5"/>
  <c r="E30" i="5"/>
  <c r="E31" i="5"/>
  <c r="F13" i="5"/>
  <c r="E52" i="5" s="1"/>
  <c r="F14" i="5"/>
  <c r="E53" i="5" s="1"/>
  <c r="F15" i="5"/>
  <c r="F17" i="5"/>
  <c r="E56" i="5" s="1"/>
  <c r="F18" i="5"/>
  <c r="E57" i="5" s="1"/>
  <c r="F19" i="5"/>
  <c r="E58" i="5" s="1"/>
  <c r="F20" i="5"/>
  <c r="F11" i="5"/>
  <c r="E50" i="5" s="1"/>
  <c r="E13" i="5"/>
  <c r="E14" i="5"/>
  <c r="E15" i="5"/>
  <c r="E17" i="5"/>
  <c r="E18" i="5"/>
  <c r="E19" i="5"/>
  <c r="F8" i="5"/>
  <c r="E47" i="5" s="1"/>
  <c r="F7" i="5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490" i="12"/>
  <c r="Q491" i="12"/>
  <c r="Q492" i="12"/>
  <c r="Q493" i="12"/>
  <c r="Q494" i="12"/>
  <c r="Q495" i="12"/>
  <c r="Q496" i="12"/>
  <c r="Q497" i="12"/>
  <c r="Q498" i="12"/>
  <c r="Q499" i="12"/>
  <c r="Q500" i="12"/>
  <c r="Q501" i="12"/>
  <c r="Q502" i="12"/>
  <c r="Q503" i="12"/>
  <c r="Q504" i="12"/>
  <c r="Q505" i="12"/>
  <c r="Q506" i="12"/>
  <c r="Q507" i="12"/>
  <c r="Q508" i="12"/>
  <c r="Q509" i="12"/>
  <c r="Q510" i="12"/>
  <c r="Q511" i="12"/>
  <c r="Q512" i="12"/>
  <c r="Q513" i="12"/>
  <c r="Q514" i="12"/>
  <c r="Q515" i="12"/>
  <c r="Q516" i="12"/>
  <c r="Q517" i="12"/>
  <c r="Q518" i="12"/>
  <c r="Q519" i="12"/>
  <c r="Q520" i="12"/>
  <c r="Q521" i="12"/>
  <c r="Q522" i="12"/>
  <c r="Q523" i="12"/>
  <c r="Q524" i="12"/>
  <c r="Q525" i="12"/>
  <c r="Q526" i="12"/>
  <c r="Q527" i="12"/>
  <c r="Q528" i="12"/>
  <c r="Q529" i="12"/>
  <c r="Q530" i="12"/>
  <c r="Q531" i="12"/>
  <c r="Q532" i="12"/>
  <c r="Q533" i="12"/>
  <c r="Q534" i="12"/>
  <c r="Q535" i="12"/>
  <c r="Q536" i="12"/>
  <c r="Q537" i="12"/>
  <c r="Q538" i="12"/>
  <c r="Q539" i="12"/>
  <c r="Q540" i="12"/>
  <c r="Q541" i="12"/>
  <c r="Q542" i="12"/>
  <c r="Q543" i="12"/>
  <c r="Q544" i="12"/>
  <c r="Q545" i="12"/>
  <c r="Q546" i="12"/>
  <c r="Q547" i="12"/>
  <c r="Q548" i="12"/>
  <c r="Q549" i="12"/>
  <c r="Q550" i="12"/>
  <c r="Q551" i="12"/>
  <c r="Q552" i="12"/>
  <c r="Q553" i="12"/>
  <c r="Q554" i="12"/>
  <c r="Q555" i="12"/>
  <c r="Q556" i="12"/>
  <c r="Q557" i="12"/>
  <c r="Q558" i="12"/>
  <c r="Q559" i="12"/>
  <c r="Q560" i="12"/>
  <c r="Q561" i="12"/>
  <c r="Q562" i="12"/>
  <c r="Q563" i="12"/>
  <c r="Q564" i="12"/>
  <c r="Q565" i="12"/>
  <c r="Q566" i="12"/>
  <c r="Q567" i="12"/>
  <c r="Q568" i="12"/>
  <c r="Q569" i="12"/>
  <c r="Q570" i="12"/>
  <c r="Q571" i="12"/>
  <c r="Q572" i="12"/>
  <c r="Q573" i="12"/>
  <c r="Q574" i="12"/>
  <c r="Q575" i="12"/>
  <c r="Q576" i="12"/>
  <c r="Q577" i="12"/>
  <c r="Q578" i="12"/>
  <c r="Q579" i="12"/>
  <c r="Q580" i="12"/>
  <c r="Q581" i="12"/>
  <c r="Q582" i="12"/>
  <c r="Q583" i="12"/>
  <c r="Q584" i="12"/>
  <c r="Q585" i="12"/>
  <c r="Q586" i="12"/>
  <c r="Q587" i="12"/>
  <c r="Q588" i="12"/>
  <c r="Q589" i="12"/>
  <c r="Q590" i="12"/>
  <c r="Q591" i="12"/>
  <c r="Q592" i="12"/>
  <c r="Q593" i="12"/>
  <c r="Q594" i="12"/>
  <c r="Q595" i="12"/>
  <c r="Q596" i="12"/>
  <c r="Q597" i="12"/>
  <c r="Q598" i="12"/>
  <c r="Q599" i="12"/>
  <c r="Q600" i="12"/>
  <c r="Q601" i="12"/>
  <c r="Q602" i="12"/>
  <c r="Q603" i="12"/>
  <c r="Q604" i="12"/>
  <c r="Q605" i="12"/>
  <c r="Q606" i="12"/>
  <c r="Q607" i="12"/>
  <c r="Q608" i="12"/>
  <c r="Q609" i="12"/>
  <c r="Q610" i="12"/>
  <c r="Q611" i="12"/>
  <c r="Q612" i="12"/>
  <c r="Q613" i="12"/>
  <c r="Q614" i="12"/>
  <c r="Q615" i="12"/>
  <c r="Q616" i="12"/>
  <c r="Q617" i="12"/>
  <c r="Q618" i="12"/>
  <c r="Q619" i="12"/>
  <c r="Q620" i="12"/>
  <c r="Q621" i="12"/>
  <c r="Q622" i="12"/>
  <c r="Q623" i="12"/>
  <c r="Q624" i="12"/>
  <c r="Q625" i="12"/>
  <c r="Q626" i="12"/>
  <c r="Q627" i="12"/>
  <c r="Q628" i="12"/>
  <c r="Q629" i="12"/>
  <c r="Q630" i="12"/>
  <c r="Q631" i="12"/>
  <c r="Q632" i="12"/>
  <c r="Q633" i="12"/>
  <c r="Q634" i="12"/>
  <c r="Q635" i="12"/>
  <c r="Q636" i="12"/>
  <c r="Q637" i="12"/>
  <c r="Q638" i="12"/>
  <c r="Q639" i="12"/>
  <c r="Q640" i="12"/>
  <c r="Q641" i="12"/>
  <c r="Q642" i="12"/>
  <c r="Q643" i="12"/>
  <c r="Q644" i="12"/>
  <c r="Q645" i="12"/>
  <c r="Q646" i="12"/>
  <c r="Q647" i="12"/>
  <c r="Q648" i="12"/>
  <c r="Q649" i="12"/>
  <c r="Q650" i="12"/>
  <c r="Q651" i="12"/>
  <c r="Q652" i="12"/>
  <c r="Q653" i="12"/>
  <c r="Q654" i="12"/>
  <c r="Q655" i="12"/>
  <c r="Q656" i="12"/>
  <c r="Q657" i="12"/>
  <c r="Q658" i="12"/>
  <c r="Q659" i="12"/>
  <c r="Q660" i="12"/>
  <c r="Q661" i="12"/>
  <c r="Q662" i="12"/>
  <c r="Q663" i="12"/>
  <c r="Q664" i="12"/>
  <c r="Q665" i="12"/>
  <c r="Q666" i="12"/>
  <c r="Q667" i="12"/>
  <c r="Q668" i="12"/>
  <c r="Q669" i="12"/>
  <c r="Q670" i="12"/>
  <c r="Q671" i="12"/>
  <c r="Q672" i="12"/>
  <c r="Q673" i="12"/>
  <c r="Q674" i="12"/>
  <c r="Q675" i="12"/>
  <c r="Q676" i="12"/>
  <c r="Q677" i="12"/>
  <c r="Q678" i="12"/>
  <c r="Q679" i="12"/>
  <c r="Q680" i="12"/>
  <c r="Q681" i="12"/>
  <c r="Q682" i="12"/>
  <c r="Q683" i="12"/>
  <c r="Q684" i="12"/>
  <c r="Q685" i="12"/>
  <c r="Q686" i="12"/>
  <c r="Q687" i="12"/>
  <c r="Q688" i="12"/>
  <c r="Q689" i="12"/>
  <c r="Q690" i="12"/>
  <c r="Q691" i="12"/>
  <c r="Q692" i="12"/>
  <c r="Q693" i="12"/>
  <c r="Q694" i="12"/>
  <c r="Q695" i="12"/>
  <c r="Q696" i="12"/>
  <c r="Q697" i="12"/>
  <c r="Q698" i="12"/>
  <c r="Q699" i="12"/>
  <c r="Q700" i="12"/>
  <c r="Q701" i="12"/>
  <c r="Q702" i="12"/>
  <c r="Q703" i="12"/>
  <c r="Q704" i="12"/>
  <c r="Q705" i="12"/>
  <c r="Q706" i="12"/>
  <c r="Q707" i="12"/>
  <c r="Q708" i="12"/>
  <c r="Q709" i="12"/>
  <c r="Q710" i="12"/>
  <c r="Q711" i="12"/>
  <c r="Q712" i="12"/>
  <c r="Q713" i="12"/>
  <c r="Q714" i="12"/>
  <c r="Q715" i="12"/>
  <c r="Q716" i="12"/>
  <c r="Q717" i="12"/>
  <c r="Q718" i="12"/>
  <c r="Q719" i="12"/>
  <c r="Q720" i="12"/>
  <c r="Q721" i="12"/>
  <c r="Q722" i="12"/>
  <c r="Q723" i="12"/>
  <c r="Q724" i="12"/>
  <c r="Q725" i="12"/>
  <c r="Q726" i="12"/>
  <c r="Q727" i="12"/>
  <c r="Q728" i="12"/>
  <c r="Q729" i="12"/>
  <c r="Q730" i="12"/>
  <c r="Q731" i="12"/>
  <c r="Q732" i="12"/>
  <c r="Q733" i="12"/>
  <c r="Q734" i="12"/>
  <c r="Q735" i="12"/>
  <c r="Q736" i="12"/>
  <c r="Q737" i="12"/>
  <c r="Q738" i="12"/>
  <c r="Q739" i="12"/>
  <c r="Q740" i="12"/>
  <c r="Q741" i="12"/>
  <c r="Q742" i="12"/>
  <c r="Q743" i="12"/>
  <c r="Q744" i="12"/>
  <c r="Q745" i="12"/>
  <c r="Q746" i="12"/>
  <c r="Q747" i="12"/>
  <c r="Q748" i="12"/>
  <c r="Q749" i="12"/>
  <c r="Q750" i="12"/>
  <c r="Q751" i="12"/>
  <c r="Q752" i="12"/>
  <c r="Q753" i="12"/>
  <c r="Q754" i="12"/>
  <c r="Q755" i="12"/>
  <c r="Q756" i="12"/>
  <c r="Q757" i="12"/>
  <c r="Q758" i="12"/>
  <c r="Q759" i="12"/>
  <c r="Q760" i="12"/>
  <c r="Q761" i="12"/>
  <c r="Q762" i="12"/>
  <c r="Q763" i="12"/>
  <c r="Q764" i="12"/>
  <c r="Q765" i="12"/>
  <c r="Q766" i="12"/>
  <c r="Q767" i="12"/>
  <c r="Q768" i="12"/>
  <c r="Q769" i="12"/>
  <c r="Q770" i="12"/>
  <c r="Q771" i="12"/>
  <c r="Q772" i="12"/>
  <c r="Q773" i="12"/>
  <c r="Q774" i="12"/>
  <c r="Q775" i="12"/>
  <c r="Q776" i="12"/>
  <c r="Q777" i="12"/>
  <c r="Q778" i="12"/>
  <c r="Q779" i="12"/>
  <c r="Q780" i="12"/>
  <c r="Q781" i="12"/>
  <c r="Q782" i="12"/>
  <c r="Q783" i="12"/>
  <c r="Q784" i="12"/>
  <c r="Q785" i="12"/>
  <c r="Q786" i="12"/>
  <c r="Q787" i="12"/>
  <c r="Q788" i="12"/>
  <c r="Q789" i="12"/>
  <c r="Q790" i="12"/>
  <c r="Q791" i="12"/>
  <c r="Q792" i="12"/>
  <c r="Q793" i="12"/>
  <c r="Q794" i="12"/>
  <c r="Q795" i="12"/>
  <c r="Q796" i="12"/>
  <c r="Q797" i="12"/>
  <c r="Q798" i="12"/>
  <c r="Q799" i="12"/>
  <c r="Q800" i="12"/>
  <c r="Q801" i="12"/>
  <c r="Q802" i="12"/>
  <c r="Q803" i="12"/>
  <c r="Q804" i="12"/>
  <c r="Q805" i="12"/>
  <c r="Q806" i="12"/>
  <c r="Q807" i="12"/>
  <c r="Q808" i="12"/>
  <c r="Q809" i="12"/>
  <c r="Q810" i="12"/>
  <c r="Q811" i="12"/>
  <c r="Q812" i="12"/>
  <c r="Q813" i="12"/>
  <c r="Q814" i="12"/>
  <c r="Q815" i="12"/>
  <c r="Q816" i="12"/>
  <c r="Q817" i="12"/>
  <c r="Q818" i="12"/>
  <c r="Q819" i="12"/>
  <c r="Q820" i="12"/>
  <c r="Q821" i="12"/>
  <c r="Q822" i="12"/>
  <c r="Q823" i="12"/>
  <c r="Q824" i="12"/>
  <c r="Q825" i="12"/>
  <c r="Q826" i="12"/>
  <c r="Q827" i="12"/>
  <c r="Q828" i="12"/>
  <c r="Q829" i="12"/>
  <c r="Q830" i="12"/>
  <c r="Q831" i="12"/>
  <c r="Q832" i="12"/>
  <c r="Q833" i="12"/>
  <c r="Q834" i="12"/>
  <c r="Q835" i="12"/>
  <c r="Q836" i="12"/>
  <c r="Q837" i="12"/>
  <c r="Q838" i="12"/>
  <c r="Q839" i="12"/>
  <c r="Q840" i="12"/>
  <c r="Q841" i="12"/>
  <c r="Q842" i="12"/>
  <c r="Q843" i="12"/>
  <c r="Q844" i="12"/>
  <c r="Q845" i="12"/>
  <c r="Q846" i="12"/>
  <c r="Q847" i="12"/>
  <c r="Q848" i="12"/>
  <c r="Q849" i="12"/>
  <c r="Q850" i="12"/>
  <c r="Q851" i="12"/>
  <c r="Q852" i="12"/>
  <c r="Q853" i="12"/>
  <c r="Q854" i="12"/>
  <c r="Q855" i="12"/>
  <c r="Q856" i="12"/>
  <c r="Q857" i="12"/>
  <c r="Q858" i="12"/>
  <c r="Q859" i="12"/>
  <c r="Q860" i="12"/>
  <c r="Q861" i="12"/>
  <c r="Q862" i="12"/>
  <c r="Q863" i="12"/>
  <c r="Q864" i="12"/>
  <c r="Q865" i="12"/>
  <c r="Q866" i="12"/>
  <c r="Q867" i="12"/>
  <c r="Q868" i="12"/>
  <c r="Q869" i="12"/>
  <c r="Q870" i="12"/>
  <c r="Q871" i="12"/>
  <c r="Q872" i="12"/>
  <c r="Q873" i="12"/>
  <c r="Q874" i="12"/>
  <c r="Q875" i="12"/>
  <c r="Q876" i="12"/>
  <c r="Q877" i="12"/>
  <c r="Q878" i="12"/>
  <c r="Q879" i="12"/>
  <c r="Q880" i="12"/>
  <c r="Q881" i="12"/>
  <c r="Q882" i="12"/>
  <c r="Q883" i="12"/>
  <c r="Q884" i="12"/>
  <c r="Q885" i="12"/>
  <c r="Q886" i="12"/>
  <c r="Q887" i="12"/>
  <c r="Q888" i="12"/>
  <c r="Q889" i="12"/>
  <c r="Q890" i="12"/>
  <c r="Q891" i="12"/>
  <c r="Q892" i="12"/>
  <c r="Q893" i="12"/>
  <c r="Q894" i="12"/>
  <c r="Q895" i="12"/>
  <c r="Q896" i="12"/>
  <c r="Q897" i="12"/>
  <c r="Q898" i="12"/>
  <c r="Q899" i="12"/>
  <c r="Q900" i="12"/>
  <c r="Q901" i="12"/>
  <c r="Q902" i="12"/>
  <c r="Q903" i="12"/>
  <c r="Q904" i="12"/>
  <c r="Q905" i="12"/>
  <c r="Q906" i="12"/>
  <c r="Q907" i="12"/>
  <c r="Q908" i="12"/>
  <c r="Q909" i="12"/>
  <c r="Q910" i="12"/>
  <c r="Q911" i="12"/>
  <c r="Q912" i="12"/>
  <c r="Q913" i="12"/>
  <c r="Q914" i="12"/>
  <c r="Q915" i="12"/>
  <c r="Q916" i="12"/>
  <c r="Q917" i="12"/>
  <c r="Q918" i="12"/>
  <c r="Q919" i="12"/>
  <c r="Q920" i="12"/>
  <c r="Q921" i="12"/>
  <c r="Q922" i="12"/>
  <c r="Q923" i="12"/>
  <c r="Q924" i="12"/>
  <c r="Q925" i="12"/>
  <c r="Q926" i="12"/>
  <c r="Q927" i="12"/>
  <c r="Q928" i="12"/>
  <c r="Q929" i="12"/>
  <c r="Q930" i="12"/>
  <c r="Q931" i="12"/>
  <c r="Q932" i="12"/>
  <c r="Q933" i="12"/>
  <c r="Q934" i="12"/>
  <c r="Q935" i="12"/>
  <c r="Q936" i="12"/>
  <c r="Q937" i="12"/>
  <c r="Q938" i="12"/>
  <c r="Q939" i="12"/>
  <c r="Q940" i="12"/>
  <c r="Q941" i="12"/>
  <c r="Q942" i="12"/>
  <c r="Q943" i="12"/>
  <c r="Q944" i="12"/>
  <c r="Q945" i="12"/>
  <c r="Q946" i="12"/>
  <c r="Q947" i="12"/>
  <c r="Q948" i="12"/>
  <c r="Q949" i="12"/>
  <c r="Q950" i="12"/>
  <c r="Q951" i="12"/>
  <c r="Q952" i="12"/>
  <c r="Q953" i="12"/>
  <c r="Q954" i="12"/>
  <c r="Q955" i="12"/>
  <c r="Q956" i="12"/>
  <c r="Q957" i="12"/>
  <c r="Q958" i="12"/>
  <c r="Q959" i="12"/>
  <c r="Q960" i="12"/>
  <c r="Q961" i="12"/>
  <c r="Q962" i="12"/>
  <c r="Q963" i="12"/>
  <c r="Q964" i="12"/>
  <c r="Q965" i="12"/>
  <c r="Q966" i="12"/>
  <c r="Q967" i="12"/>
  <c r="Q968" i="12"/>
  <c r="Q969" i="12"/>
  <c r="Q970" i="12"/>
  <c r="Q971" i="12"/>
  <c r="Q972" i="12"/>
  <c r="Q973" i="12"/>
  <c r="Q974" i="12"/>
  <c r="Q975" i="12"/>
  <c r="Q976" i="12"/>
  <c r="Q977" i="12"/>
  <c r="Q978" i="12"/>
  <c r="Q979" i="12"/>
  <c r="Q980" i="12"/>
  <c r="Q981" i="12"/>
  <c r="Q982" i="12"/>
  <c r="Q983" i="12"/>
  <c r="Q984" i="12"/>
  <c r="Q985" i="12"/>
  <c r="Q986" i="12"/>
  <c r="Q987" i="12"/>
  <c r="Q988" i="12"/>
  <c r="Q989" i="12"/>
  <c r="Q990" i="12"/>
  <c r="Q991" i="12"/>
  <c r="Q992" i="12"/>
  <c r="Q993" i="12"/>
  <c r="Q994" i="12"/>
  <c r="Q995" i="12"/>
  <c r="Q996" i="12"/>
  <c r="Q997" i="12"/>
  <c r="Q998" i="12"/>
  <c r="Q999" i="12"/>
  <c r="Q100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5" i="10"/>
  <c r="Q5" i="10"/>
  <c r="P6" i="10"/>
  <c r="Q6" i="10"/>
  <c r="P7" i="10"/>
  <c r="Q7" i="10"/>
  <c r="P8" i="10"/>
  <c r="Q8" i="10"/>
  <c r="P9" i="10"/>
  <c r="Q9" i="10"/>
  <c r="P10" i="10"/>
  <c r="Q10" i="10"/>
  <c r="P11" i="10"/>
  <c r="Q11" i="10"/>
  <c r="P12" i="10"/>
  <c r="Q12" i="10"/>
  <c r="P13" i="10"/>
  <c r="Q13" i="10"/>
  <c r="P14" i="10"/>
  <c r="Q14" i="10"/>
  <c r="P15" i="10"/>
  <c r="Q15" i="10"/>
  <c r="P16" i="10"/>
  <c r="Q16" i="10"/>
  <c r="P17" i="10"/>
  <c r="Q17" i="10"/>
  <c r="P18" i="10"/>
  <c r="Q18" i="10"/>
  <c r="Q5" i="12"/>
  <c r="Q6" i="12"/>
  <c r="Q8" i="12"/>
  <c r="Q9" i="12"/>
  <c r="Q10" i="12"/>
  <c r="Q11" i="12"/>
  <c r="Q12" i="12"/>
  <c r="Q13" i="12"/>
  <c r="Q14" i="12"/>
  <c r="Q15" i="12"/>
  <c r="Q16" i="12"/>
  <c r="Q17" i="12"/>
  <c r="P5" i="12"/>
  <c r="P6" i="12"/>
  <c r="P8" i="12"/>
  <c r="P9" i="12"/>
  <c r="P10" i="12"/>
  <c r="P11" i="12"/>
  <c r="P12" i="12"/>
  <c r="P13" i="12"/>
  <c r="P14" i="12"/>
  <c r="P15" i="12"/>
  <c r="P16" i="12"/>
  <c r="P17" i="12"/>
  <c r="Q4" i="10"/>
  <c r="P4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190" i="10"/>
  <c r="Q191" i="10"/>
  <c r="Q192" i="10"/>
  <c r="Q193" i="10"/>
  <c r="Q194" i="10"/>
  <c r="Q195" i="10"/>
  <c r="Q196" i="10"/>
  <c r="Q197" i="10"/>
  <c r="Q198" i="10"/>
  <c r="Q199" i="10"/>
  <c r="Q200" i="10"/>
  <c r="Q201" i="10"/>
  <c r="Q202" i="10"/>
  <c r="Q203" i="10"/>
  <c r="Q204" i="10"/>
  <c r="Q205" i="10"/>
  <c r="Q206" i="10"/>
  <c r="Q207" i="10"/>
  <c r="Q208" i="10"/>
  <c r="Q209" i="10"/>
  <c r="Q210" i="10"/>
  <c r="Q211" i="10"/>
  <c r="Q212" i="10"/>
  <c r="Q213" i="10"/>
  <c r="Q214" i="10"/>
  <c r="Q215" i="10"/>
  <c r="Q216" i="10"/>
  <c r="Q217" i="10"/>
  <c r="Q218" i="10"/>
  <c r="Q219" i="10"/>
  <c r="Q220" i="10"/>
  <c r="Q221" i="10"/>
  <c r="Q222" i="10"/>
  <c r="Q223" i="10"/>
  <c r="Q224" i="10"/>
  <c r="Q225" i="10"/>
  <c r="Q226" i="10"/>
  <c r="Q227" i="10"/>
  <c r="Q228" i="10"/>
  <c r="Q229" i="10"/>
  <c r="Q230" i="10"/>
  <c r="Q231" i="10"/>
  <c r="Q232" i="10"/>
  <c r="Q233" i="10"/>
  <c r="Q234" i="10"/>
  <c r="Q235" i="10"/>
  <c r="Q236" i="10"/>
  <c r="Q237" i="10"/>
  <c r="Q238" i="10"/>
  <c r="Q239" i="10"/>
  <c r="Q240" i="10"/>
  <c r="Q241" i="10"/>
  <c r="Q242" i="10"/>
  <c r="Q243" i="10"/>
  <c r="Q244" i="10"/>
  <c r="Q245" i="10"/>
  <c r="Q246" i="10"/>
  <c r="Q247" i="10"/>
  <c r="Q248" i="10"/>
  <c r="Q249" i="10"/>
  <c r="Q250" i="10"/>
  <c r="Q251" i="10"/>
  <c r="Q252" i="10"/>
  <c r="Q253" i="10"/>
  <c r="Q254" i="10"/>
  <c r="Q255" i="10"/>
  <c r="Q256" i="10"/>
  <c r="Q257" i="10"/>
  <c r="Q258" i="10"/>
  <c r="Q259" i="10"/>
  <c r="Q260" i="10"/>
  <c r="Q261" i="10"/>
  <c r="Q262" i="10"/>
  <c r="Q263" i="10"/>
  <c r="Q264" i="10"/>
  <c r="Q265" i="10"/>
  <c r="Q266" i="10"/>
  <c r="Q267" i="10"/>
  <c r="Q268" i="10"/>
  <c r="Q269" i="10"/>
  <c r="Q270" i="10"/>
  <c r="Q271" i="10"/>
  <c r="Q272" i="10"/>
  <c r="Q273" i="10"/>
  <c r="Q274" i="10"/>
  <c r="Q275" i="10"/>
  <c r="Q276" i="10"/>
  <c r="Q277" i="10"/>
  <c r="Q278" i="10"/>
  <c r="Q279" i="10"/>
  <c r="Q280" i="10"/>
  <c r="Q281" i="10"/>
  <c r="Q282" i="10"/>
  <c r="Q283" i="10"/>
  <c r="Q284" i="10"/>
  <c r="Q285" i="10"/>
  <c r="Q286" i="10"/>
  <c r="Q287" i="10"/>
  <c r="Q288" i="10"/>
  <c r="Q289" i="10"/>
  <c r="Q290" i="10"/>
  <c r="Q291" i="10"/>
  <c r="Q292" i="10"/>
  <c r="Q293" i="10"/>
  <c r="Q294" i="10"/>
  <c r="Q295" i="10"/>
  <c r="Q296" i="10"/>
  <c r="Q297" i="10"/>
  <c r="Q298" i="10"/>
  <c r="Q299" i="10"/>
  <c r="Q300" i="10"/>
  <c r="Q301" i="10"/>
  <c r="Q302" i="10"/>
  <c r="Q303" i="10"/>
  <c r="Q304" i="10"/>
  <c r="Q305" i="10"/>
  <c r="Q306" i="10"/>
  <c r="Q307" i="10"/>
  <c r="Q308" i="10"/>
  <c r="Q309" i="10"/>
  <c r="Q310" i="10"/>
  <c r="Q311" i="10"/>
  <c r="Q312" i="10"/>
  <c r="Q313" i="10"/>
  <c r="Q314" i="10"/>
  <c r="Q315" i="10"/>
  <c r="Q316" i="10"/>
  <c r="Q317" i="10"/>
  <c r="Q318" i="10"/>
  <c r="Q319" i="10"/>
  <c r="Q320" i="10"/>
  <c r="Q321" i="10"/>
  <c r="Q322" i="10"/>
  <c r="Q323" i="10"/>
  <c r="Q324" i="10"/>
  <c r="Q325" i="10"/>
  <c r="Q326" i="10"/>
  <c r="Q327" i="10"/>
  <c r="Q328" i="10"/>
  <c r="Q329" i="10"/>
  <c r="Q330" i="10"/>
  <c r="Q331" i="10"/>
  <c r="Q332" i="10"/>
  <c r="Q333" i="10"/>
  <c r="Q334" i="10"/>
  <c r="Q335" i="10"/>
  <c r="Q336" i="10"/>
  <c r="Q337" i="10"/>
  <c r="Q338" i="10"/>
  <c r="Q339" i="10"/>
  <c r="Q340" i="10"/>
  <c r="Q341" i="10"/>
  <c r="Q342" i="10"/>
  <c r="Q343" i="10"/>
  <c r="Q344" i="10"/>
  <c r="Q345" i="10"/>
  <c r="Q346" i="10"/>
  <c r="Q347" i="10"/>
  <c r="Q348" i="10"/>
  <c r="Q349" i="10"/>
  <c r="Q350" i="10"/>
  <c r="Q351" i="10"/>
  <c r="Q352" i="10"/>
  <c r="Q353" i="10"/>
  <c r="Q354" i="10"/>
  <c r="Q355" i="10"/>
  <c r="Q356" i="10"/>
  <c r="Q357" i="10"/>
  <c r="Q358" i="10"/>
  <c r="Q359" i="10"/>
  <c r="Q360" i="10"/>
  <c r="Q361" i="10"/>
  <c r="Q362" i="10"/>
  <c r="Q363" i="10"/>
  <c r="Q364" i="10"/>
  <c r="Q365" i="10"/>
  <c r="Q366" i="10"/>
  <c r="Q367" i="10"/>
  <c r="Q368" i="10"/>
  <c r="Q369" i="10"/>
  <c r="Q370" i="10"/>
  <c r="Q371" i="10"/>
  <c r="Q372" i="10"/>
  <c r="Q373" i="10"/>
  <c r="Q374" i="10"/>
  <c r="Q375" i="10"/>
  <c r="Q376" i="10"/>
  <c r="Q377" i="10"/>
  <c r="Q378" i="10"/>
  <c r="Q379" i="10"/>
  <c r="Q380" i="10"/>
  <c r="Q381" i="10"/>
  <c r="Q382" i="10"/>
  <c r="Q383" i="10"/>
  <c r="Q384" i="10"/>
  <c r="Q385" i="10"/>
  <c r="Q386" i="10"/>
  <c r="Q387" i="10"/>
  <c r="Q388" i="10"/>
  <c r="Q389" i="10"/>
  <c r="Q390" i="10"/>
  <c r="Q391" i="10"/>
  <c r="Q392" i="10"/>
  <c r="Q393" i="10"/>
  <c r="Q394" i="10"/>
  <c r="Q395" i="10"/>
  <c r="Q396" i="10"/>
  <c r="Q397" i="10"/>
  <c r="Q398" i="10"/>
  <c r="Q399" i="10"/>
  <c r="Q400" i="10"/>
  <c r="Q401" i="10"/>
  <c r="Q402" i="10"/>
  <c r="Q403" i="10"/>
  <c r="Q404" i="10"/>
  <c r="Q405" i="10"/>
  <c r="Q406" i="10"/>
  <c r="Q407" i="10"/>
  <c r="Q408" i="10"/>
  <c r="Q409" i="10"/>
  <c r="Q410" i="10"/>
  <c r="Q411" i="10"/>
  <c r="Q412" i="10"/>
  <c r="Q413" i="10"/>
  <c r="Q414" i="10"/>
  <c r="Q415" i="10"/>
  <c r="Q416" i="10"/>
  <c r="Q417" i="10"/>
  <c r="Q418" i="10"/>
  <c r="Q419" i="10"/>
  <c r="Q420" i="10"/>
  <c r="Q421" i="10"/>
  <c r="Q422" i="10"/>
  <c r="Q423" i="10"/>
  <c r="Q424" i="10"/>
  <c r="Q425" i="10"/>
  <c r="Q426" i="10"/>
  <c r="Q427" i="10"/>
  <c r="Q428" i="10"/>
  <c r="Q429" i="10"/>
  <c r="Q430" i="10"/>
  <c r="Q431" i="10"/>
  <c r="Q432" i="10"/>
  <c r="Q433" i="10"/>
  <c r="Q434" i="10"/>
  <c r="Q435" i="10"/>
  <c r="Q436" i="10"/>
  <c r="Q437" i="10"/>
  <c r="Q438" i="10"/>
  <c r="Q439" i="10"/>
  <c r="Q440" i="10"/>
  <c r="Q441" i="10"/>
  <c r="Q442" i="10"/>
  <c r="Q443" i="10"/>
  <c r="Q444" i="10"/>
  <c r="Q445" i="10"/>
  <c r="Q446" i="10"/>
  <c r="Q447" i="10"/>
  <c r="Q448" i="10"/>
  <c r="Q449" i="10"/>
  <c r="Q450" i="10"/>
  <c r="Q451" i="10"/>
  <c r="Q452" i="10"/>
  <c r="Q453" i="10"/>
  <c r="Q454" i="10"/>
  <c r="Q455" i="10"/>
  <c r="Q456" i="10"/>
  <c r="Q457" i="10"/>
  <c r="Q458" i="10"/>
  <c r="Q459" i="10"/>
  <c r="Q460" i="10"/>
  <c r="Q461" i="10"/>
  <c r="Q462" i="10"/>
  <c r="Q463" i="10"/>
  <c r="Q464" i="10"/>
  <c r="Q465" i="10"/>
  <c r="Q466" i="10"/>
  <c r="Q467" i="10"/>
  <c r="Q468" i="10"/>
  <c r="Q469" i="10"/>
  <c r="Q470" i="10"/>
  <c r="Q471" i="10"/>
  <c r="Q472" i="10"/>
  <c r="Q473" i="10"/>
  <c r="Q474" i="10"/>
  <c r="Q475" i="10"/>
  <c r="Q476" i="10"/>
  <c r="Q477" i="10"/>
  <c r="Q478" i="10"/>
  <c r="Q479" i="10"/>
  <c r="Q480" i="10"/>
  <c r="Q481" i="10"/>
  <c r="Q482" i="10"/>
  <c r="Q483" i="10"/>
  <c r="Q484" i="10"/>
  <c r="Q485" i="10"/>
  <c r="Q486" i="10"/>
  <c r="Q487" i="10"/>
  <c r="Q488" i="10"/>
  <c r="Q489" i="10"/>
  <c r="Q490" i="10"/>
  <c r="Q491" i="10"/>
  <c r="Q492" i="10"/>
  <c r="Q493" i="10"/>
  <c r="Q494" i="10"/>
  <c r="Q495" i="10"/>
  <c r="Q496" i="10"/>
  <c r="Q497" i="10"/>
  <c r="Q498" i="10"/>
  <c r="Q499" i="10"/>
  <c r="Q500" i="10"/>
  <c r="Q501" i="10"/>
  <c r="Q502" i="10"/>
  <c r="Q503" i="10"/>
  <c r="Q504" i="10"/>
  <c r="Q505" i="10"/>
  <c r="Q506" i="10"/>
  <c r="Q507" i="10"/>
  <c r="Q508" i="10"/>
  <c r="Q509" i="10"/>
  <c r="Q510" i="10"/>
  <c r="Q511" i="10"/>
  <c r="Q512" i="10"/>
  <c r="Q513" i="10"/>
  <c r="Q514" i="10"/>
  <c r="Q515" i="10"/>
  <c r="Q516" i="10"/>
  <c r="Q517" i="10"/>
  <c r="Q518" i="10"/>
  <c r="Q519" i="10"/>
  <c r="Q520" i="10"/>
  <c r="Q521" i="10"/>
  <c r="Q522" i="10"/>
  <c r="Q523" i="10"/>
  <c r="Q524" i="10"/>
  <c r="Q525" i="10"/>
  <c r="Q526" i="10"/>
  <c r="Q527" i="10"/>
  <c r="Q528" i="10"/>
  <c r="Q529" i="10"/>
  <c r="Q530" i="10"/>
  <c r="Q531" i="10"/>
  <c r="Q532" i="10"/>
  <c r="Q533" i="10"/>
  <c r="Q534" i="10"/>
  <c r="Q535" i="10"/>
  <c r="Q536" i="10"/>
  <c r="Q537" i="10"/>
  <c r="Q538" i="10"/>
  <c r="Q539" i="10"/>
  <c r="Q540" i="10"/>
  <c r="Q541" i="10"/>
  <c r="Q542" i="10"/>
  <c r="Q543" i="10"/>
  <c r="Q544" i="10"/>
  <c r="Q545" i="10"/>
  <c r="Q546" i="10"/>
  <c r="Q547" i="10"/>
  <c r="Q548" i="10"/>
  <c r="Q549" i="10"/>
  <c r="Q550" i="10"/>
  <c r="Q551" i="10"/>
  <c r="Q552" i="10"/>
  <c r="Q553" i="10"/>
  <c r="Q554" i="10"/>
  <c r="Q555" i="10"/>
  <c r="Q556" i="10"/>
  <c r="Q557" i="10"/>
  <c r="Q558" i="10"/>
  <c r="Q559" i="10"/>
  <c r="Q560" i="10"/>
  <c r="Q561" i="10"/>
  <c r="Q562" i="10"/>
  <c r="Q563" i="10"/>
  <c r="Q564" i="10"/>
  <c r="Q565" i="10"/>
  <c r="Q566" i="10"/>
  <c r="Q567" i="10"/>
  <c r="Q568" i="10"/>
  <c r="Q569" i="10"/>
  <c r="Q570" i="10"/>
  <c r="Q571" i="10"/>
  <c r="Q572" i="10"/>
  <c r="Q573" i="10"/>
  <c r="Q574" i="10"/>
  <c r="Q575" i="10"/>
  <c r="Q576" i="10"/>
  <c r="Q577" i="10"/>
  <c r="Q578" i="10"/>
  <c r="Q579" i="10"/>
  <c r="Q580" i="10"/>
  <c r="Q581" i="10"/>
  <c r="Q582" i="10"/>
  <c r="Q583" i="10"/>
  <c r="Q584" i="10"/>
  <c r="Q585" i="10"/>
  <c r="Q586" i="10"/>
  <c r="Q587" i="10"/>
  <c r="Q588" i="10"/>
  <c r="Q589" i="10"/>
  <c r="Q590" i="10"/>
  <c r="Q591" i="10"/>
  <c r="Q592" i="10"/>
  <c r="Q593" i="10"/>
  <c r="Q594" i="10"/>
  <c r="Q595" i="10"/>
  <c r="Q596" i="10"/>
  <c r="Q597" i="10"/>
  <c r="Q598" i="10"/>
  <c r="Q599" i="10"/>
  <c r="Q600" i="10"/>
  <c r="Q601" i="10"/>
  <c r="Q602" i="10"/>
  <c r="Q603" i="10"/>
  <c r="Q604" i="10"/>
  <c r="Q605" i="10"/>
  <c r="Q606" i="10"/>
  <c r="Q607" i="10"/>
  <c r="Q608" i="10"/>
  <c r="Q609" i="10"/>
  <c r="Q610" i="10"/>
  <c r="Q611" i="10"/>
  <c r="Q612" i="10"/>
  <c r="Q613" i="10"/>
  <c r="Q614" i="10"/>
  <c r="Q615" i="10"/>
  <c r="Q616" i="10"/>
  <c r="Q617" i="10"/>
  <c r="Q618" i="10"/>
  <c r="Q619" i="10"/>
  <c r="Q620" i="10"/>
  <c r="Q621" i="10"/>
  <c r="Q622" i="10"/>
  <c r="Q623" i="10"/>
  <c r="Q624" i="10"/>
  <c r="Q625" i="10"/>
  <c r="Q626" i="10"/>
  <c r="Q627" i="10"/>
  <c r="Q628" i="10"/>
  <c r="Q629" i="10"/>
  <c r="Q630" i="10"/>
  <c r="Q631" i="10"/>
  <c r="Q632" i="10"/>
  <c r="Q633" i="10"/>
  <c r="Q634" i="10"/>
  <c r="Q635" i="10"/>
  <c r="Q636" i="10"/>
  <c r="Q637" i="10"/>
  <c r="Q638" i="10"/>
  <c r="Q639" i="10"/>
  <c r="Q640" i="10"/>
  <c r="Q641" i="10"/>
  <c r="Q642" i="10"/>
  <c r="Q643" i="10"/>
  <c r="Q644" i="10"/>
  <c r="Q645" i="10"/>
  <c r="Q646" i="10"/>
  <c r="Q647" i="10"/>
  <c r="Q648" i="10"/>
  <c r="Q649" i="10"/>
  <c r="Q650" i="10"/>
  <c r="Q651" i="10"/>
  <c r="Q652" i="10"/>
  <c r="Q653" i="10"/>
  <c r="Q654" i="10"/>
  <c r="Q655" i="10"/>
  <c r="Q656" i="10"/>
  <c r="Q657" i="10"/>
  <c r="Q658" i="10"/>
  <c r="Q659" i="10"/>
  <c r="Q660" i="10"/>
  <c r="Q661" i="10"/>
  <c r="Q662" i="10"/>
  <c r="Q663" i="10"/>
  <c r="Q664" i="10"/>
  <c r="Q665" i="10"/>
  <c r="Q666" i="10"/>
  <c r="Q667" i="10"/>
  <c r="Q668" i="10"/>
  <c r="Q669" i="10"/>
  <c r="Q670" i="10"/>
  <c r="Q671" i="10"/>
  <c r="Q672" i="10"/>
  <c r="Q673" i="10"/>
  <c r="Q674" i="10"/>
  <c r="Q675" i="10"/>
  <c r="Q676" i="10"/>
  <c r="Q677" i="10"/>
  <c r="Q678" i="10"/>
  <c r="Q679" i="10"/>
  <c r="Q680" i="10"/>
  <c r="Q681" i="10"/>
  <c r="Q682" i="10"/>
  <c r="Q683" i="10"/>
  <c r="Q684" i="10"/>
  <c r="Q685" i="10"/>
  <c r="Q686" i="10"/>
  <c r="Q687" i="10"/>
  <c r="Q688" i="10"/>
  <c r="Q689" i="10"/>
  <c r="Q690" i="10"/>
  <c r="Q691" i="10"/>
  <c r="Q692" i="10"/>
  <c r="Q693" i="10"/>
  <c r="Q694" i="10"/>
  <c r="Q695" i="10"/>
  <c r="Q696" i="10"/>
  <c r="Q697" i="10"/>
  <c r="Q698" i="10"/>
  <c r="Q699" i="10"/>
  <c r="Q700" i="10"/>
  <c r="Q701" i="10"/>
  <c r="Q702" i="10"/>
  <c r="Q703" i="10"/>
  <c r="Q704" i="10"/>
  <c r="Q705" i="10"/>
  <c r="Q706" i="10"/>
  <c r="Q707" i="10"/>
  <c r="Q708" i="10"/>
  <c r="Q709" i="10"/>
  <c r="Q710" i="10"/>
  <c r="Q711" i="10"/>
  <c r="Q712" i="10"/>
  <c r="Q713" i="10"/>
  <c r="Q714" i="10"/>
  <c r="Q715" i="10"/>
  <c r="Q716" i="10"/>
  <c r="Q717" i="10"/>
  <c r="Q718" i="10"/>
  <c r="Q719" i="10"/>
  <c r="Q720" i="10"/>
  <c r="Q721" i="10"/>
  <c r="Q722" i="10"/>
  <c r="Q723" i="10"/>
  <c r="Q724" i="10"/>
  <c r="Q725" i="10"/>
  <c r="Q726" i="10"/>
  <c r="Q727" i="10"/>
  <c r="Q728" i="10"/>
  <c r="Q729" i="10"/>
  <c r="Q730" i="10"/>
  <c r="Q731" i="10"/>
  <c r="Q732" i="10"/>
  <c r="Q733" i="10"/>
  <c r="Q734" i="10"/>
  <c r="Q735" i="10"/>
  <c r="Q736" i="10"/>
  <c r="Q737" i="10"/>
  <c r="Q738" i="10"/>
  <c r="Q739" i="10"/>
  <c r="Q740" i="10"/>
  <c r="Q741" i="10"/>
  <c r="Q742" i="10"/>
  <c r="Q743" i="10"/>
  <c r="Q744" i="10"/>
  <c r="Q745" i="10"/>
  <c r="Q746" i="10"/>
  <c r="Q747" i="10"/>
  <c r="Q748" i="10"/>
  <c r="Q749" i="10"/>
  <c r="Q750" i="10"/>
  <c r="Q751" i="10"/>
  <c r="Q752" i="10"/>
  <c r="Q753" i="10"/>
  <c r="Q754" i="10"/>
  <c r="Q755" i="10"/>
  <c r="Q756" i="10"/>
  <c r="Q757" i="10"/>
  <c r="Q758" i="10"/>
  <c r="Q759" i="10"/>
  <c r="Q760" i="10"/>
  <c r="Q761" i="10"/>
  <c r="Q762" i="10"/>
  <c r="Q763" i="10"/>
  <c r="Q764" i="10"/>
  <c r="Q765" i="10"/>
  <c r="Q766" i="10"/>
  <c r="Q767" i="10"/>
  <c r="Q768" i="10"/>
  <c r="Q769" i="10"/>
  <c r="Q770" i="10"/>
  <c r="Q771" i="10"/>
  <c r="Q772" i="10"/>
  <c r="Q773" i="10"/>
  <c r="Q774" i="10"/>
  <c r="Q775" i="10"/>
  <c r="Q776" i="10"/>
  <c r="Q777" i="10"/>
  <c r="Q778" i="10"/>
  <c r="Q779" i="10"/>
  <c r="Q780" i="10"/>
  <c r="Q781" i="10"/>
  <c r="Q782" i="10"/>
  <c r="Q783" i="10"/>
  <c r="Q784" i="10"/>
  <c r="Q785" i="10"/>
  <c r="Q786" i="10"/>
  <c r="Q787" i="10"/>
  <c r="Q788" i="10"/>
  <c r="Q789" i="10"/>
  <c r="Q790" i="10"/>
  <c r="Q791" i="10"/>
  <c r="Q792" i="10"/>
  <c r="Q793" i="10"/>
  <c r="Q794" i="10"/>
  <c r="Q795" i="10"/>
  <c r="Q796" i="10"/>
  <c r="Q797" i="10"/>
  <c r="Q798" i="10"/>
  <c r="Q799" i="10"/>
  <c r="Q800" i="10"/>
  <c r="Q801" i="10"/>
  <c r="Q802" i="10"/>
  <c r="Q803" i="10"/>
  <c r="Q804" i="10"/>
  <c r="Q805" i="10"/>
  <c r="Q806" i="10"/>
  <c r="Q807" i="10"/>
  <c r="Q808" i="10"/>
  <c r="Q809" i="10"/>
  <c r="Q810" i="10"/>
  <c r="Q811" i="10"/>
  <c r="Q812" i="10"/>
  <c r="Q813" i="10"/>
  <c r="Q814" i="10"/>
  <c r="Q815" i="10"/>
  <c r="Q816" i="10"/>
  <c r="Q817" i="10"/>
  <c r="Q818" i="10"/>
  <c r="Q819" i="10"/>
  <c r="Q820" i="10"/>
  <c r="Q821" i="10"/>
  <c r="Q822" i="10"/>
  <c r="Q823" i="10"/>
  <c r="Q824" i="10"/>
  <c r="Q825" i="10"/>
  <c r="Q826" i="10"/>
  <c r="Q827" i="10"/>
  <c r="Q828" i="10"/>
  <c r="Q829" i="10"/>
  <c r="Q830" i="10"/>
  <c r="Q831" i="10"/>
  <c r="Q832" i="10"/>
  <c r="Q833" i="10"/>
  <c r="Q834" i="10"/>
  <c r="Q835" i="10"/>
  <c r="Q836" i="10"/>
  <c r="Q837" i="10"/>
  <c r="Q838" i="10"/>
  <c r="Q839" i="10"/>
  <c r="Q840" i="10"/>
  <c r="Q841" i="10"/>
  <c r="Q842" i="10"/>
  <c r="Q843" i="10"/>
  <c r="Q844" i="10"/>
  <c r="Q845" i="10"/>
  <c r="Q846" i="10"/>
  <c r="Q847" i="10"/>
  <c r="Q848" i="10"/>
  <c r="Q849" i="10"/>
  <c r="Q850" i="10"/>
  <c r="Q851" i="10"/>
  <c r="Q852" i="10"/>
  <c r="Q853" i="10"/>
  <c r="Q854" i="10"/>
  <c r="Q855" i="10"/>
  <c r="Q856" i="10"/>
  <c r="Q857" i="10"/>
  <c r="Q858" i="10"/>
  <c r="Q859" i="10"/>
  <c r="Q860" i="10"/>
  <c r="Q861" i="10"/>
  <c r="Q862" i="10"/>
  <c r="Q863" i="10"/>
  <c r="Q864" i="10"/>
  <c r="Q865" i="10"/>
  <c r="Q866" i="10"/>
  <c r="Q867" i="10"/>
  <c r="Q868" i="10"/>
  <c r="Q869" i="10"/>
  <c r="Q870" i="10"/>
  <c r="Q871" i="10"/>
  <c r="Q872" i="10"/>
  <c r="Q873" i="10"/>
  <c r="Q874" i="10"/>
  <c r="Q875" i="10"/>
  <c r="Q876" i="10"/>
  <c r="Q877" i="10"/>
  <c r="Q878" i="10"/>
  <c r="Q879" i="10"/>
  <c r="Q880" i="10"/>
  <c r="Q881" i="10"/>
  <c r="Q882" i="10"/>
  <c r="Q883" i="10"/>
  <c r="Q884" i="10"/>
  <c r="Q885" i="10"/>
  <c r="Q886" i="10"/>
  <c r="Q887" i="10"/>
  <c r="Q888" i="10"/>
  <c r="Q889" i="10"/>
  <c r="Q890" i="10"/>
  <c r="Q891" i="10"/>
  <c r="Q892" i="10"/>
  <c r="Q893" i="10"/>
  <c r="Q894" i="10"/>
  <c r="Q895" i="10"/>
  <c r="Q896" i="10"/>
  <c r="Q897" i="10"/>
  <c r="Q898" i="10"/>
  <c r="Q899" i="10"/>
  <c r="Q900" i="10"/>
  <c r="Q901" i="10"/>
  <c r="Q902" i="10"/>
  <c r="Q903" i="10"/>
  <c r="Q904" i="10"/>
  <c r="Q905" i="10"/>
  <c r="Q906" i="10"/>
  <c r="Q907" i="10"/>
  <c r="Q908" i="10"/>
  <c r="Q909" i="10"/>
  <c r="Q910" i="10"/>
  <c r="Q911" i="10"/>
  <c r="Q912" i="10"/>
  <c r="Q913" i="10"/>
  <c r="Q914" i="10"/>
  <c r="Q915" i="10"/>
  <c r="Q916" i="10"/>
  <c r="Q917" i="10"/>
  <c r="Q918" i="10"/>
  <c r="Q919" i="10"/>
  <c r="Q920" i="10"/>
  <c r="Q921" i="10"/>
  <c r="Q922" i="10"/>
  <c r="Q923" i="10"/>
  <c r="Q924" i="10"/>
  <c r="Q925" i="10"/>
  <c r="Q926" i="10"/>
  <c r="Q927" i="10"/>
  <c r="Q928" i="10"/>
  <c r="Q929" i="10"/>
  <c r="Q930" i="10"/>
  <c r="Q931" i="10"/>
  <c r="Q932" i="10"/>
  <c r="Q933" i="10"/>
  <c r="Q934" i="10"/>
  <c r="Q935" i="10"/>
  <c r="Q936" i="10"/>
  <c r="Q937" i="10"/>
  <c r="Q938" i="10"/>
  <c r="Q939" i="10"/>
  <c r="Q940" i="10"/>
  <c r="Q941" i="10"/>
  <c r="Q942" i="10"/>
  <c r="Q943" i="10"/>
  <c r="Q944" i="10"/>
  <c r="Q945" i="10"/>
  <c r="Q946" i="10"/>
  <c r="Q947" i="10"/>
  <c r="Q948" i="10"/>
  <c r="Q949" i="10"/>
  <c r="Q950" i="10"/>
  <c r="Q951" i="10"/>
  <c r="Q952" i="10"/>
  <c r="Q953" i="10"/>
  <c r="Q954" i="10"/>
  <c r="Q955" i="10"/>
  <c r="Q956" i="10"/>
  <c r="Q957" i="10"/>
  <c r="Q958" i="10"/>
  <c r="Q959" i="10"/>
  <c r="Q960" i="10"/>
  <c r="Q961" i="10"/>
  <c r="Q962" i="10"/>
  <c r="Q963" i="10"/>
  <c r="Q964" i="10"/>
  <c r="Q965" i="10"/>
  <c r="Q966" i="10"/>
  <c r="Q967" i="10"/>
  <c r="Q968" i="10"/>
  <c r="Q969" i="10"/>
  <c r="Q970" i="10"/>
  <c r="Q971" i="10"/>
  <c r="Q972" i="10"/>
  <c r="Q973" i="10"/>
  <c r="Q974" i="10"/>
  <c r="Q975" i="10"/>
  <c r="Q976" i="10"/>
  <c r="Q977" i="10"/>
  <c r="Q978" i="10"/>
  <c r="Q979" i="10"/>
  <c r="Q980" i="10"/>
  <c r="Q981" i="10"/>
  <c r="Q982" i="10"/>
  <c r="Q983" i="10"/>
  <c r="Q984" i="10"/>
  <c r="Q985" i="10"/>
  <c r="Q986" i="10"/>
  <c r="Q987" i="10"/>
  <c r="Q988" i="10"/>
  <c r="Q989" i="10"/>
  <c r="Q990" i="10"/>
  <c r="Q991" i="10"/>
  <c r="Q992" i="10"/>
  <c r="Q993" i="10"/>
  <c r="Q994" i="10"/>
  <c r="Q995" i="10"/>
  <c r="Q996" i="10"/>
  <c r="Q997" i="10"/>
  <c r="Q998" i="10"/>
  <c r="Q999" i="10"/>
  <c r="Q1000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P382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P402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P422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P442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P462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P482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P502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0" i="10"/>
  <c r="P521" i="10"/>
  <c r="P522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P542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P562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P582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P602" i="10"/>
  <c r="P603" i="10"/>
  <c r="P604" i="10"/>
  <c r="P605" i="10"/>
  <c r="P606" i="10"/>
  <c r="P607" i="10"/>
  <c r="P608" i="10"/>
  <c r="P609" i="10"/>
  <c r="P610" i="10"/>
  <c r="P611" i="10"/>
  <c r="P612" i="10"/>
  <c r="P613" i="10"/>
  <c r="P614" i="10"/>
  <c r="P615" i="10"/>
  <c r="P616" i="10"/>
  <c r="P617" i="10"/>
  <c r="P618" i="10"/>
  <c r="P619" i="10"/>
  <c r="P620" i="10"/>
  <c r="P621" i="10"/>
  <c r="P622" i="10"/>
  <c r="P623" i="10"/>
  <c r="P624" i="10"/>
  <c r="P625" i="10"/>
  <c r="P626" i="10"/>
  <c r="P627" i="10"/>
  <c r="P628" i="10"/>
  <c r="P629" i="10"/>
  <c r="P630" i="10"/>
  <c r="P631" i="10"/>
  <c r="P632" i="10"/>
  <c r="P633" i="10"/>
  <c r="P634" i="10"/>
  <c r="P635" i="10"/>
  <c r="P636" i="10"/>
  <c r="P637" i="10"/>
  <c r="P638" i="10"/>
  <c r="P639" i="10"/>
  <c r="P640" i="10"/>
  <c r="P641" i="10"/>
  <c r="P642" i="10"/>
  <c r="P643" i="10"/>
  <c r="P644" i="10"/>
  <c r="P645" i="10"/>
  <c r="P646" i="10"/>
  <c r="P647" i="10"/>
  <c r="P648" i="10"/>
  <c r="P649" i="10"/>
  <c r="P650" i="10"/>
  <c r="P651" i="10"/>
  <c r="P652" i="10"/>
  <c r="P653" i="10"/>
  <c r="P654" i="10"/>
  <c r="P655" i="10"/>
  <c r="P656" i="10"/>
  <c r="P657" i="10"/>
  <c r="P658" i="10"/>
  <c r="P659" i="10"/>
  <c r="P660" i="10"/>
  <c r="P661" i="10"/>
  <c r="P662" i="10"/>
  <c r="P663" i="10"/>
  <c r="P664" i="10"/>
  <c r="P665" i="10"/>
  <c r="P666" i="10"/>
  <c r="P667" i="10"/>
  <c r="P668" i="10"/>
  <c r="P669" i="10"/>
  <c r="P670" i="10"/>
  <c r="P671" i="10"/>
  <c r="P672" i="10"/>
  <c r="P673" i="10"/>
  <c r="P674" i="10"/>
  <c r="P675" i="10"/>
  <c r="P676" i="10"/>
  <c r="P677" i="10"/>
  <c r="P678" i="10"/>
  <c r="P679" i="10"/>
  <c r="P680" i="10"/>
  <c r="P681" i="10"/>
  <c r="P682" i="10"/>
  <c r="P683" i="10"/>
  <c r="P684" i="10"/>
  <c r="P685" i="10"/>
  <c r="P686" i="10"/>
  <c r="P687" i="10"/>
  <c r="P688" i="10"/>
  <c r="P689" i="10"/>
  <c r="P690" i="10"/>
  <c r="P691" i="10"/>
  <c r="P692" i="10"/>
  <c r="P693" i="10"/>
  <c r="P694" i="10"/>
  <c r="P695" i="10"/>
  <c r="P696" i="10"/>
  <c r="P697" i="10"/>
  <c r="P698" i="10"/>
  <c r="P699" i="10"/>
  <c r="P700" i="10"/>
  <c r="P701" i="10"/>
  <c r="P702" i="10"/>
  <c r="P703" i="10"/>
  <c r="P704" i="10"/>
  <c r="P705" i="10"/>
  <c r="P706" i="10"/>
  <c r="P707" i="10"/>
  <c r="P708" i="10"/>
  <c r="P709" i="10"/>
  <c r="P710" i="10"/>
  <c r="P711" i="10"/>
  <c r="P712" i="10"/>
  <c r="P713" i="10"/>
  <c r="P714" i="10"/>
  <c r="P715" i="10"/>
  <c r="P716" i="10"/>
  <c r="P717" i="10"/>
  <c r="P718" i="10"/>
  <c r="P719" i="10"/>
  <c r="P720" i="10"/>
  <c r="P721" i="10"/>
  <c r="P722" i="10"/>
  <c r="P723" i="10"/>
  <c r="P724" i="10"/>
  <c r="P725" i="10"/>
  <c r="P726" i="10"/>
  <c r="P727" i="10"/>
  <c r="P728" i="10"/>
  <c r="P729" i="10"/>
  <c r="P730" i="10"/>
  <c r="P731" i="10"/>
  <c r="P732" i="10"/>
  <c r="P733" i="10"/>
  <c r="P734" i="10"/>
  <c r="P735" i="10"/>
  <c r="P736" i="10"/>
  <c r="P737" i="10"/>
  <c r="P738" i="10"/>
  <c r="P739" i="10"/>
  <c r="P740" i="10"/>
  <c r="P741" i="10"/>
  <c r="P742" i="10"/>
  <c r="P743" i="10"/>
  <c r="P744" i="10"/>
  <c r="P745" i="10"/>
  <c r="P746" i="10"/>
  <c r="P747" i="10"/>
  <c r="P748" i="10"/>
  <c r="P749" i="10"/>
  <c r="P750" i="10"/>
  <c r="P751" i="10"/>
  <c r="P752" i="10"/>
  <c r="P753" i="10"/>
  <c r="P754" i="10"/>
  <c r="P755" i="10"/>
  <c r="P756" i="10"/>
  <c r="P757" i="10"/>
  <c r="P758" i="10"/>
  <c r="P759" i="10"/>
  <c r="P760" i="10"/>
  <c r="P761" i="10"/>
  <c r="P762" i="10"/>
  <c r="P763" i="10"/>
  <c r="P764" i="10"/>
  <c r="P765" i="10"/>
  <c r="P766" i="10"/>
  <c r="P767" i="10"/>
  <c r="P768" i="10"/>
  <c r="P769" i="10"/>
  <c r="P770" i="10"/>
  <c r="P771" i="10"/>
  <c r="P772" i="10"/>
  <c r="P773" i="10"/>
  <c r="P774" i="10"/>
  <c r="P775" i="10"/>
  <c r="P776" i="10"/>
  <c r="P777" i="10"/>
  <c r="P778" i="10"/>
  <c r="P779" i="10"/>
  <c r="P780" i="10"/>
  <c r="P781" i="10"/>
  <c r="P782" i="10"/>
  <c r="P783" i="10"/>
  <c r="P784" i="10"/>
  <c r="P785" i="10"/>
  <c r="P786" i="10"/>
  <c r="P787" i="10"/>
  <c r="P788" i="10"/>
  <c r="P789" i="10"/>
  <c r="P790" i="10"/>
  <c r="P791" i="10"/>
  <c r="P792" i="10"/>
  <c r="P793" i="10"/>
  <c r="P794" i="10"/>
  <c r="P795" i="10"/>
  <c r="P796" i="10"/>
  <c r="P797" i="10"/>
  <c r="P798" i="10"/>
  <c r="P799" i="10"/>
  <c r="P800" i="10"/>
  <c r="P801" i="10"/>
  <c r="P802" i="10"/>
  <c r="P803" i="10"/>
  <c r="P804" i="10"/>
  <c r="P805" i="10"/>
  <c r="P806" i="10"/>
  <c r="P807" i="10"/>
  <c r="P808" i="10"/>
  <c r="P809" i="10"/>
  <c r="P810" i="10"/>
  <c r="P811" i="10"/>
  <c r="P812" i="10"/>
  <c r="P813" i="10"/>
  <c r="P814" i="10"/>
  <c r="P815" i="10"/>
  <c r="P816" i="10"/>
  <c r="P817" i="10"/>
  <c r="P818" i="10"/>
  <c r="P819" i="10"/>
  <c r="P820" i="10"/>
  <c r="P821" i="10"/>
  <c r="P822" i="10"/>
  <c r="P823" i="10"/>
  <c r="P824" i="10"/>
  <c r="P825" i="10"/>
  <c r="P826" i="10"/>
  <c r="P827" i="10"/>
  <c r="P828" i="10"/>
  <c r="P829" i="10"/>
  <c r="P830" i="10"/>
  <c r="P831" i="10"/>
  <c r="P832" i="10"/>
  <c r="P833" i="10"/>
  <c r="P834" i="10"/>
  <c r="P835" i="10"/>
  <c r="P836" i="10"/>
  <c r="P837" i="10"/>
  <c r="P838" i="10"/>
  <c r="P839" i="10"/>
  <c r="P840" i="10"/>
  <c r="P841" i="10"/>
  <c r="P842" i="10"/>
  <c r="P843" i="10"/>
  <c r="P844" i="10"/>
  <c r="P845" i="10"/>
  <c r="P846" i="10"/>
  <c r="P847" i="10"/>
  <c r="P848" i="10"/>
  <c r="P849" i="10"/>
  <c r="P850" i="10"/>
  <c r="P851" i="10"/>
  <c r="P852" i="10"/>
  <c r="P853" i="10"/>
  <c r="P854" i="10"/>
  <c r="P855" i="10"/>
  <c r="P856" i="10"/>
  <c r="P857" i="10"/>
  <c r="P858" i="10"/>
  <c r="P859" i="10"/>
  <c r="P860" i="10"/>
  <c r="P861" i="10"/>
  <c r="P862" i="10"/>
  <c r="P863" i="10"/>
  <c r="P864" i="10"/>
  <c r="P865" i="10"/>
  <c r="P866" i="10"/>
  <c r="P867" i="10"/>
  <c r="P868" i="10"/>
  <c r="P869" i="10"/>
  <c r="P870" i="10"/>
  <c r="P871" i="10"/>
  <c r="P872" i="10"/>
  <c r="P873" i="10"/>
  <c r="P874" i="10"/>
  <c r="P875" i="10"/>
  <c r="P876" i="10"/>
  <c r="P877" i="10"/>
  <c r="P878" i="10"/>
  <c r="P879" i="10"/>
  <c r="P880" i="10"/>
  <c r="P881" i="10"/>
  <c r="P882" i="10"/>
  <c r="P883" i="10"/>
  <c r="P884" i="10"/>
  <c r="P885" i="10"/>
  <c r="P886" i="10"/>
  <c r="P887" i="10"/>
  <c r="P888" i="10"/>
  <c r="P889" i="10"/>
  <c r="P890" i="10"/>
  <c r="P891" i="10"/>
  <c r="P892" i="10"/>
  <c r="P893" i="10"/>
  <c r="P894" i="10"/>
  <c r="P895" i="10"/>
  <c r="P896" i="10"/>
  <c r="P897" i="10"/>
  <c r="P898" i="10"/>
  <c r="P899" i="10"/>
  <c r="P900" i="10"/>
  <c r="P901" i="10"/>
  <c r="P902" i="10"/>
  <c r="P903" i="10"/>
  <c r="P904" i="10"/>
  <c r="P905" i="10"/>
  <c r="P906" i="10"/>
  <c r="P907" i="10"/>
  <c r="P908" i="10"/>
  <c r="P909" i="10"/>
  <c r="P910" i="10"/>
  <c r="P911" i="10"/>
  <c r="P912" i="10"/>
  <c r="P913" i="10"/>
  <c r="P914" i="10"/>
  <c r="P915" i="10"/>
  <c r="P916" i="10"/>
  <c r="P917" i="10"/>
  <c r="P918" i="10"/>
  <c r="P919" i="10"/>
  <c r="P920" i="10"/>
  <c r="P921" i="10"/>
  <c r="P922" i="10"/>
  <c r="P923" i="10"/>
  <c r="P924" i="10"/>
  <c r="P925" i="10"/>
  <c r="P926" i="10"/>
  <c r="P927" i="10"/>
  <c r="P928" i="10"/>
  <c r="P929" i="10"/>
  <c r="P930" i="10"/>
  <c r="P931" i="10"/>
  <c r="P932" i="10"/>
  <c r="P933" i="10"/>
  <c r="P934" i="10"/>
  <c r="P935" i="10"/>
  <c r="P936" i="10"/>
  <c r="P937" i="10"/>
  <c r="P938" i="10"/>
  <c r="P939" i="10"/>
  <c r="P940" i="10"/>
  <c r="P941" i="10"/>
  <c r="P942" i="10"/>
  <c r="P943" i="10"/>
  <c r="P944" i="10"/>
  <c r="P945" i="10"/>
  <c r="P946" i="10"/>
  <c r="P947" i="10"/>
  <c r="P948" i="10"/>
  <c r="P949" i="10"/>
  <c r="P950" i="10"/>
  <c r="P951" i="10"/>
  <c r="P952" i="10"/>
  <c r="P953" i="10"/>
  <c r="P954" i="10"/>
  <c r="P955" i="10"/>
  <c r="P956" i="10"/>
  <c r="P957" i="10"/>
  <c r="P958" i="10"/>
  <c r="P959" i="10"/>
  <c r="P960" i="10"/>
  <c r="P961" i="10"/>
  <c r="P962" i="10"/>
  <c r="P963" i="10"/>
  <c r="P964" i="10"/>
  <c r="P965" i="10"/>
  <c r="P966" i="10"/>
  <c r="P967" i="10"/>
  <c r="P968" i="10"/>
  <c r="P969" i="10"/>
  <c r="P970" i="10"/>
  <c r="P971" i="10"/>
  <c r="P972" i="10"/>
  <c r="P973" i="10"/>
  <c r="P974" i="10"/>
  <c r="P975" i="10"/>
  <c r="P976" i="10"/>
  <c r="P977" i="10"/>
  <c r="P978" i="10"/>
  <c r="P979" i="10"/>
  <c r="P980" i="10"/>
  <c r="P981" i="10"/>
  <c r="P982" i="10"/>
  <c r="P983" i="10"/>
  <c r="P984" i="10"/>
  <c r="P985" i="10"/>
  <c r="P986" i="10"/>
  <c r="P987" i="10"/>
  <c r="P988" i="10"/>
  <c r="P989" i="10"/>
  <c r="P990" i="10"/>
  <c r="P991" i="10"/>
  <c r="P992" i="10"/>
  <c r="P993" i="10"/>
  <c r="P994" i="10"/>
  <c r="P995" i="10"/>
  <c r="P996" i="10"/>
  <c r="P997" i="10"/>
  <c r="P998" i="10"/>
  <c r="P999" i="10"/>
  <c r="P1000" i="10"/>
  <c r="E8" i="5"/>
  <c r="A48" i="3"/>
  <c r="B48" i="3"/>
  <c r="A41" i="3"/>
  <c r="B41" i="3"/>
  <c r="F34" i="5" l="1"/>
  <c r="E73" i="5" s="1"/>
  <c r="F9" i="5"/>
  <c r="E46" i="5"/>
  <c r="E43" i="5" s="1"/>
  <c r="G10" i="6"/>
  <c r="H10" i="6"/>
  <c r="E27" i="5"/>
  <c r="F84" i="5"/>
  <c r="F79" i="5"/>
  <c r="F66" i="5"/>
  <c r="E16" i="5"/>
  <c r="E37" i="5"/>
  <c r="F37" i="5"/>
  <c r="E76" i="5" s="1"/>
  <c r="F12" i="5"/>
  <c r="E51" i="5" s="1"/>
  <c r="E48" i="5" s="1"/>
  <c r="F23" i="5"/>
  <c r="E62" i="5" s="1"/>
  <c r="E23" i="5"/>
  <c r="E66" i="5"/>
  <c r="E34" i="5"/>
  <c r="E63" i="5"/>
  <c r="F94" i="5"/>
  <c r="F93" i="5"/>
  <c r="F80" i="5"/>
  <c r="F70" i="5"/>
  <c r="E109" i="5" s="1"/>
  <c r="F59" i="5"/>
  <c r="E12" i="5"/>
  <c r="E55" i="5"/>
  <c r="F98" i="5"/>
  <c r="F48" i="5"/>
  <c r="E87" i="5" s="1"/>
  <c r="E84" i="5" s="1"/>
  <c r="F16" i="5"/>
  <c r="F27" i="5"/>
  <c r="E99" i="5"/>
  <c r="E98" i="5" s="1"/>
  <c r="E77" i="5"/>
  <c r="F55" i="5"/>
  <c r="F54" i="5" s="1"/>
  <c r="F43" i="5"/>
  <c r="E94" i="5"/>
  <c r="B50" i="3"/>
  <c r="A50" i="3"/>
  <c r="A49" i="3"/>
  <c r="B49" i="3"/>
  <c r="B42" i="3"/>
  <c r="A42" i="3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6" i="12"/>
  <c r="T157" i="12"/>
  <c r="T158" i="12"/>
  <c r="T159" i="12"/>
  <c r="T160" i="12"/>
  <c r="T161" i="12"/>
  <c r="T162" i="12"/>
  <c r="T163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7" i="12"/>
  <c r="T178" i="12"/>
  <c r="T179" i="12"/>
  <c r="T180" i="12"/>
  <c r="T181" i="12"/>
  <c r="T182" i="12"/>
  <c r="T183" i="12"/>
  <c r="T184" i="12"/>
  <c r="T185" i="12"/>
  <c r="T186" i="12"/>
  <c r="T187" i="12"/>
  <c r="T188" i="12"/>
  <c r="T189" i="12"/>
  <c r="T190" i="12"/>
  <c r="T191" i="12"/>
  <c r="T192" i="12"/>
  <c r="T193" i="12"/>
  <c r="T194" i="12"/>
  <c r="T195" i="12"/>
  <c r="T196" i="12"/>
  <c r="T197" i="12"/>
  <c r="T198" i="12"/>
  <c r="T199" i="12"/>
  <c r="T200" i="12"/>
  <c r="T201" i="12"/>
  <c r="T202" i="12"/>
  <c r="T203" i="12"/>
  <c r="T204" i="12"/>
  <c r="T205" i="12"/>
  <c r="T206" i="12"/>
  <c r="T207" i="12"/>
  <c r="T208" i="12"/>
  <c r="T209" i="12"/>
  <c r="T210" i="12"/>
  <c r="T211" i="12"/>
  <c r="T212" i="12"/>
  <c r="T213" i="12"/>
  <c r="T214" i="12"/>
  <c r="T215" i="12"/>
  <c r="T216" i="12"/>
  <c r="T217" i="12"/>
  <c r="T218" i="12"/>
  <c r="T219" i="12"/>
  <c r="T220" i="12"/>
  <c r="T221" i="12"/>
  <c r="T222" i="12"/>
  <c r="T223" i="12"/>
  <c r="T224" i="12"/>
  <c r="T225" i="12"/>
  <c r="T226" i="12"/>
  <c r="T227" i="12"/>
  <c r="T228" i="12"/>
  <c r="T229" i="12"/>
  <c r="T230" i="12"/>
  <c r="T231" i="12"/>
  <c r="T232" i="12"/>
  <c r="T233" i="12"/>
  <c r="T234" i="12"/>
  <c r="T235" i="12"/>
  <c r="T236" i="12"/>
  <c r="T237" i="12"/>
  <c r="T238" i="12"/>
  <c r="T239" i="12"/>
  <c r="T240" i="12"/>
  <c r="T241" i="12"/>
  <c r="T242" i="12"/>
  <c r="T243" i="12"/>
  <c r="T244" i="12"/>
  <c r="T245" i="12"/>
  <c r="T246" i="12"/>
  <c r="T247" i="12"/>
  <c r="T248" i="12"/>
  <c r="T249" i="12"/>
  <c r="T250" i="12"/>
  <c r="T251" i="12"/>
  <c r="T252" i="12"/>
  <c r="T253" i="12"/>
  <c r="T254" i="12"/>
  <c r="T255" i="12"/>
  <c r="T256" i="12"/>
  <c r="T257" i="12"/>
  <c r="T258" i="12"/>
  <c r="T259" i="12"/>
  <c r="T260" i="12"/>
  <c r="T261" i="12"/>
  <c r="T262" i="12"/>
  <c r="T263" i="12"/>
  <c r="T264" i="12"/>
  <c r="T265" i="12"/>
  <c r="T266" i="12"/>
  <c r="T267" i="12"/>
  <c r="T268" i="12"/>
  <c r="T269" i="12"/>
  <c r="T270" i="12"/>
  <c r="T271" i="12"/>
  <c r="T272" i="12"/>
  <c r="T273" i="12"/>
  <c r="T274" i="12"/>
  <c r="T275" i="12"/>
  <c r="T276" i="12"/>
  <c r="T277" i="12"/>
  <c r="T278" i="12"/>
  <c r="T279" i="12"/>
  <c r="T280" i="12"/>
  <c r="T281" i="12"/>
  <c r="T282" i="12"/>
  <c r="T283" i="12"/>
  <c r="T284" i="12"/>
  <c r="T285" i="12"/>
  <c r="T286" i="12"/>
  <c r="T287" i="12"/>
  <c r="T288" i="12"/>
  <c r="T289" i="12"/>
  <c r="T290" i="12"/>
  <c r="T291" i="12"/>
  <c r="T292" i="12"/>
  <c r="T293" i="12"/>
  <c r="T294" i="12"/>
  <c r="T295" i="12"/>
  <c r="T296" i="12"/>
  <c r="T297" i="12"/>
  <c r="T298" i="12"/>
  <c r="T299" i="12"/>
  <c r="T300" i="12"/>
  <c r="T301" i="12"/>
  <c r="T302" i="12"/>
  <c r="T303" i="12"/>
  <c r="T304" i="12"/>
  <c r="T305" i="12"/>
  <c r="T306" i="12"/>
  <c r="T307" i="12"/>
  <c r="T308" i="12"/>
  <c r="T309" i="12"/>
  <c r="T310" i="12"/>
  <c r="T311" i="12"/>
  <c r="T312" i="12"/>
  <c r="T313" i="12"/>
  <c r="T314" i="12"/>
  <c r="T315" i="12"/>
  <c r="T316" i="12"/>
  <c r="T317" i="12"/>
  <c r="T318" i="12"/>
  <c r="T319" i="12"/>
  <c r="T320" i="12"/>
  <c r="T321" i="12"/>
  <c r="T322" i="12"/>
  <c r="T323" i="12"/>
  <c r="T324" i="12"/>
  <c r="T325" i="12"/>
  <c r="T326" i="12"/>
  <c r="T327" i="12"/>
  <c r="T328" i="12"/>
  <c r="T329" i="12"/>
  <c r="T330" i="12"/>
  <c r="T331" i="12"/>
  <c r="T332" i="12"/>
  <c r="T333" i="12"/>
  <c r="T334" i="12"/>
  <c r="T335" i="12"/>
  <c r="T336" i="12"/>
  <c r="T337" i="12"/>
  <c r="T338" i="12"/>
  <c r="T339" i="12"/>
  <c r="T340" i="12"/>
  <c r="T341" i="12"/>
  <c r="T342" i="12"/>
  <c r="T343" i="12"/>
  <c r="T344" i="12"/>
  <c r="T345" i="12"/>
  <c r="T346" i="12"/>
  <c r="T347" i="12"/>
  <c r="T348" i="12"/>
  <c r="T349" i="12"/>
  <c r="T350" i="12"/>
  <c r="T351" i="12"/>
  <c r="T352" i="12"/>
  <c r="T353" i="12"/>
  <c r="T354" i="12"/>
  <c r="T355" i="12"/>
  <c r="T356" i="12"/>
  <c r="T357" i="12"/>
  <c r="T358" i="12"/>
  <c r="T359" i="12"/>
  <c r="T360" i="12"/>
  <c r="T361" i="12"/>
  <c r="T362" i="12"/>
  <c r="T363" i="12"/>
  <c r="T364" i="12"/>
  <c r="T365" i="12"/>
  <c r="T366" i="12"/>
  <c r="T367" i="12"/>
  <c r="T368" i="12"/>
  <c r="T369" i="12"/>
  <c r="T370" i="12"/>
  <c r="T371" i="12"/>
  <c r="T372" i="12"/>
  <c r="T373" i="12"/>
  <c r="T374" i="12"/>
  <c r="T375" i="12"/>
  <c r="T376" i="12"/>
  <c r="T377" i="12"/>
  <c r="T378" i="12"/>
  <c r="T379" i="12"/>
  <c r="T380" i="12"/>
  <c r="T381" i="12"/>
  <c r="T382" i="12"/>
  <c r="T383" i="12"/>
  <c r="T384" i="12"/>
  <c r="T385" i="12"/>
  <c r="T386" i="12"/>
  <c r="T387" i="12"/>
  <c r="T388" i="12"/>
  <c r="T389" i="12"/>
  <c r="T390" i="12"/>
  <c r="T391" i="12"/>
  <c r="T392" i="12"/>
  <c r="T393" i="12"/>
  <c r="T394" i="12"/>
  <c r="T395" i="12"/>
  <c r="T396" i="12"/>
  <c r="T397" i="12"/>
  <c r="T398" i="12"/>
  <c r="T399" i="12"/>
  <c r="T400" i="12"/>
  <c r="T401" i="12"/>
  <c r="T402" i="12"/>
  <c r="T403" i="12"/>
  <c r="T404" i="12"/>
  <c r="T405" i="12"/>
  <c r="T406" i="12"/>
  <c r="T407" i="12"/>
  <c r="T408" i="12"/>
  <c r="T409" i="12"/>
  <c r="T410" i="12"/>
  <c r="T411" i="12"/>
  <c r="T412" i="12"/>
  <c r="T413" i="12"/>
  <c r="T414" i="12"/>
  <c r="T415" i="12"/>
  <c r="T416" i="12"/>
  <c r="T417" i="12"/>
  <c r="T418" i="12"/>
  <c r="T419" i="12"/>
  <c r="T420" i="12"/>
  <c r="T421" i="12"/>
  <c r="T422" i="12"/>
  <c r="T423" i="12"/>
  <c r="T424" i="12"/>
  <c r="T425" i="12"/>
  <c r="T426" i="12"/>
  <c r="T427" i="12"/>
  <c r="T428" i="12"/>
  <c r="T429" i="12"/>
  <c r="T430" i="12"/>
  <c r="T431" i="12"/>
  <c r="T432" i="12"/>
  <c r="T433" i="12"/>
  <c r="T434" i="12"/>
  <c r="T435" i="12"/>
  <c r="T436" i="12"/>
  <c r="T437" i="12"/>
  <c r="T438" i="12"/>
  <c r="T439" i="12"/>
  <c r="T440" i="12"/>
  <c r="T441" i="12"/>
  <c r="T442" i="12"/>
  <c r="T443" i="12"/>
  <c r="T444" i="12"/>
  <c r="T445" i="12"/>
  <c r="T446" i="12"/>
  <c r="T447" i="12"/>
  <c r="T448" i="12"/>
  <c r="T449" i="12"/>
  <c r="T450" i="12"/>
  <c r="T451" i="12"/>
  <c r="T452" i="12"/>
  <c r="T453" i="12"/>
  <c r="T454" i="12"/>
  <c r="T455" i="12"/>
  <c r="T456" i="12"/>
  <c r="T457" i="12"/>
  <c r="T458" i="12"/>
  <c r="T459" i="12"/>
  <c r="T460" i="12"/>
  <c r="T461" i="12"/>
  <c r="T462" i="12"/>
  <c r="T463" i="12"/>
  <c r="T464" i="12"/>
  <c r="T465" i="12"/>
  <c r="T466" i="12"/>
  <c r="T467" i="12"/>
  <c r="T468" i="12"/>
  <c r="T469" i="12"/>
  <c r="T470" i="12"/>
  <c r="T471" i="12"/>
  <c r="T472" i="12"/>
  <c r="T473" i="12"/>
  <c r="T474" i="12"/>
  <c r="T475" i="12"/>
  <c r="T476" i="12"/>
  <c r="T477" i="12"/>
  <c r="T478" i="12"/>
  <c r="T479" i="12"/>
  <c r="T480" i="12"/>
  <c r="T481" i="12"/>
  <c r="T482" i="12"/>
  <c r="T483" i="12"/>
  <c r="T484" i="12"/>
  <c r="T485" i="12"/>
  <c r="T486" i="12"/>
  <c r="T487" i="12"/>
  <c r="T488" i="12"/>
  <c r="T489" i="12"/>
  <c r="T490" i="12"/>
  <c r="T491" i="12"/>
  <c r="T492" i="12"/>
  <c r="T493" i="12"/>
  <c r="T494" i="12"/>
  <c r="T495" i="12"/>
  <c r="T496" i="12"/>
  <c r="T497" i="12"/>
  <c r="T498" i="12"/>
  <c r="T499" i="12"/>
  <c r="T500" i="12"/>
  <c r="T501" i="12"/>
  <c r="T502" i="12"/>
  <c r="T503" i="12"/>
  <c r="T504" i="12"/>
  <c r="T505" i="12"/>
  <c r="T506" i="12"/>
  <c r="T507" i="12"/>
  <c r="T508" i="12"/>
  <c r="T509" i="12"/>
  <c r="T510" i="12"/>
  <c r="T511" i="12"/>
  <c r="T512" i="12"/>
  <c r="T513" i="12"/>
  <c r="T514" i="12"/>
  <c r="T515" i="12"/>
  <c r="T516" i="12"/>
  <c r="T517" i="12"/>
  <c r="T518" i="12"/>
  <c r="T519" i="12"/>
  <c r="T520" i="12"/>
  <c r="T521" i="12"/>
  <c r="T522" i="12"/>
  <c r="T523" i="12"/>
  <c r="T524" i="12"/>
  <c r="T525" i="12"/>
  <c r="T526" i="12"/>
  <c r="T527" i="12"/>
  <c r="T528" i="12"/>
  <c r="T529" i="12"/>
  <c r="T530" i="12"/>
  <c r="T531" i="12"/>
  <c r="T532" i="12"/>
  <c r="T533" i="12"/>
  <c r="T534" i="12"/>
  <c r="T535" i="12"/>
  <c r="T536" i="12"/>
  <c r="T537" i="12"/>
  <c r="T538" i="12"/>
  <c r="T539" i="12"/>
  <c r="T540" i="12"/>
  <c r="T541" i="12"/>
  <c r="T542" i="12"/>
  <c r="T543" i="12"/>
  <c r="T544" i="12"/>
  <c r="T545" i="12"/>
  <c r="T546" i="12"/>
  <c r="T547" i="12"/>
  <c r="T548" i="12"/>
  <c r="T549" i="12"/>
  <c r="T550" i="12"/>
  <c r="T551" i="12"/>
  <c r="T552" i="12"/>
  <c r="T553" i="12"/>
  <c r="T554" i="12"/>
  <c r="T555" i="12"/>
  <c r="T556" i="12"/>
  <c r="T557" i="12"/>
  <c r="T558" i="12"/>
  <c r="T559" i="12"/>
  <c r="T560" i="12"/>
  <c r="T561" i="12"/>
  <c r="T562" i="12"/>
  <c r="T563" i="12"/>
  <c r="T564" i="12"/>
  <c r="T565" i="12"/>
  <c r="T566" i="12"/>
  <c r="T567" i="12"/>
  <c r="T568" i="12"/>
  <c r="T569" i="12"/>
  <c r="T570" i="12"/>
  <c r="T571" i="12"/>
  <c r="T572" i="12"/>
  <c r="T573" i="12"/>
  <c r="T574" i="12"/>
  <c r="T575" i="12"/>
  <c r="T576" i="12"/>
  <c r="T577" i="12"/>
  <c r="T578" i="12"/>
  <c r="T579" i="12"/>
  <c r="T580" i="12"/>
  <c r="T581" i="12"/>
  <c r="T582" i="12"/>
  <c r="T583" i="12"/>
  <c r="T584" i="12"/>
  <c r="T585" i="12"/>
  <c r="T586" i="12"/>
  <c r="T587" i="12"/>
  <c r="T588" i="12"/>
  <c r="T589" i="12"/>
  <c r="T590" i="12"/>
  <c r="T591" i="12"/>
  <c r="T592" i="12"/>
  <c r="T593" i="12"/>
  <c r="T594" i="12"/>
  <c r="T595" i="12"/>
  <c r="T596" i="12"/>
  <c r="T597" i="12"/>
  <c r="T598" i="12"/>
  <c r="T599" i="12"/>
  <c r="T600" i="12"/>
  <c r="T601" i="12"/>
  <c r="T602" i="12"/>
  <c r="T603" i="12"/>
  <c r="T604" i="12"/>
  <c r="T605" i="12"/>
  <c r="T606" i="12"/>
  <c r="T607" i="12"/>
  <c r="T608" i="12"/>
  <c r="T609" i="12"/>
  <c r="T610" i="12"/>
  <c r="T611" i="12"/>
  <c r="T612" i="12"/>
  <c r="T613" i="12"/>
  <c r="T614" i="12"/>
  <c r="T615" i="12"/>
  <c r="T616" i="12"/>
  <c r="T617" i="12"/>
  <c r="T618" i="12"/>
  <c r="T619" i="12"/>
  <c r="T620" i="12"/>
  <c r="T621" i="12"/>
  <c r="T622" i="12"/>
  <c r="T623" i="12"/>
  <c r="T624" i="12"/>
  <c r="T625" i="12"/>
  <c r="T626" i="12"/>
  <c r="T627" i="12"/>
  <c r="T628" i="12"/>
  <c r="T629" i="12"/>
  <c r="T630" i="12"/>
  <c r="T631" i="12"/>
  <c r="T632" i="12"/>
  <c r="T633" i="12"/>
  <c r="T634" i="12"/>
  <c r="T635" i="12"/>
  <c r="T636" i="12"/>
  <c r="T637" i="12"/>
  <c r="T638" i="12"/>
  <c r="T639" i="12"/>
  <c r="T640" i="12"/>
  <c r="T641" i="12"/>
  <c r="T642" i="12"/>
  <c r="T643" i="12"/>
  <c r="T644" i="12"/>
  <c r="T645" i="12"/>
  <c r="T646" i="12"/>
  <c r="T647" i="12"/>
  <c r="T648" i="12"/>
  <c r="T649" i="12"/>
  <c r="T650" i="12"/>
  <c r="T651" i="12"/>
  <c r="T652" i="12"/>
  <c r="T653" i="12"/>
  <c r="T654" i="12"/>
  <c r="T655" i="12"/>
  <c r="T656" i="12"/>
  <c r="T657" i="12"/>
  <c r="T658" i="12"/>
  <c r="T659" i="12"/>
  <c r="T660" i="12"/>
  <c r="T661" i="12"/>
  <c r="T662" i="12"/>
  <c r="T663" i="12"/>
  <c r="T664" i="12"/>
  <c r="T665" i="12"/>
  <c r="T666" i="12"/>
  <c r="T667" i="12"/>
  <c r="T668" i="12"/>
  <c r="T669" i="12"/>
  <c r="T670" i="12"/>
  <c r="T671" i="12"/>
  <c r="T672" i="12"/>
  <c r="T673" i="12"/>
  <c r="T674" i="12"/>
  <c r="T675" i="12"/>
  <c r="T676" i="12"/>
  <c r="T677" i="12"/>
  <c r="T678" i="12"/>
  <c r="T679" i="12"/>
  <c r="T680" i="12"/>
  <c r="T681" i="12"/>
  <c r="T682" i="12"/>
  <c r="T683" i="12"/>
  <c r="T684" i="12"/>
  <c r="T685" i="12"/>
  <c r="T686" i="12"/>
  <c r="T687" i="12"/>
  <c r="T688" i="12"/>
  <c r="T689" i="12"/>
  <c r="T690" i="12"/>
  <c r="T691" i="12"/>
  <c r="T692" i="12"/>
  <c r="T693" i="12"/>
  <c r="T694" i="12"/>
  <c r="T695" i="12"/>
  <c r="T696" i="12"/>
  <c r="T697" i="12"/>
  <c r="T698" i="12"/>
  <c r="T699" i="12"/>
  <c r="T700" i="12"/>
  <c r="T701" i="12"/>
  <c r="T702" i="12"/>
  <c r="T703" i="12"/>
  <c r="T704" i="12"/>
  <c r="T705" i="12"/>
  <c r="T706" i="12"/>
  <c r="T707" i="12"/>
  <c r="T708" i="12"/>
  <c r="T709" i="12"/>
  <c r="T710" i="12"/>
  <c r="T711" i="12"/>
  <c r="T712" i="12"/>
  <c r="T713" i="12"/>
  <c r="T714" i="12"/>
  <c r="T715" i="12"/>
  <c r="T716" i="12"/>
  <c r="T717" i="12"/>
  <c r="T718" i="12"/>
  <c r="T719" i="12"/>
  <c r="T720" i="12"/>
  <c r="T721" i="12"/>
  <c r="T722" i="12"/>
  <c r="T723" i="12"/>
  <c r="T724" i="12"/>
  <c r="T725" i="12"/>
  <c r="T726" i="12"/>
  <c r="T727" i="12"/>
  <c r="T728" i="12"/>
  <c r="T729" i="12"/>
  <c r="T730" i="12"/>
  <c r="T731" i="12"/>
  <c r="T732" i="12"/>
  <c r="T733" i="12"/>
  <c r="T734" i="12"/>
  <c r="T735" i="12"/>
  <c r="T736" i="12"/>
  <c r="T737" i="12"/>
  <c r="T738" i="12"/>
  <c r="T739" i="12"/>
  <c r="T740" i="12"/>
  <c r="T741" i="12"/>
  <c r="T742" i="12"/>
  <c r="T743" i="12"/>
  <c r="T744" i="12"/>
  <c r="T745" i="12"/>
  <c r="T746" i="12"/>
  <c r="T747" i="12"/>
  <c r="T748" i="12"/>
  <c r="T749" i="12"/>
  <c r="T750" i="12"/>
  <c r="T751" i="12"/>
  <c r="T752" i="12"/>
  <c r="T753" i="12"/>
  <c r="T754" i="12"/>
  <c r="T755" i="12"/>
  <c r="T756" i="12"/>
  <c r="T757" i="12"/>
  <c r="T758" i="12"/>
  <c r="T759" i="12"/>
  <c r="T760" i="12"/>
  <c r="T761" i="12"/>
  <c r="T762" i="12"/>
  <c r="T763" i="12"/>
  <c r="T764" i="12"/>
  <c r="T765" i="12"/>
  <c r="T766" i="12"/>
  <c r="T767" i="12"/>
  <c r="T768" i="12"/>
  <c r="T769" i="12"/>
  <c r="T770" i="12"/>
  <c r="T771" i="12"/>
  <c r="T772" i="12"/>
  <c r="T773" i="12"/>
  <c r="T774" i="12"/>
  <c r="T775" i="12"/>
  <c r="T776" i="12"/>
  <c r="T777" i="12"/>
  <c r="T778" i="12"/>
  <c r="T779" i="12"/>
  <c r="T780" i="12"/>
  <c r="T781" i="12"/>
  <c r="T782" i="12"/>
  <c r="T783" i="12"/>
  <c r="T784" i="12"/>
  <c r="T785" i="12"/>
  <c r="T786" i="12"/>
  <c r="T787" i="12"/>
  <c r="T788" i="12"/>
  <c r="T789" i="12"/>
  <c r="T790" i="12"/>
  <c r="T791" i="12"/>
  <c r="T792" i="12"/>
  <c r="T793" i="12"/>
  <c r="T794" i="12"/>
  <c r="T795" i="12"/>
  <c r="T796" i="12"/>
  <c r="T797" i="12"/>
  <c r="T798" i="12"/>
  <c r="T799" i="12"/>
  <c r="T800" i="12"/>
  <c r="T801" i="12"/>
  <c r="T802" i="12"/>
  <c r="T803" i="12"/>
  <c r="T804" i="12"/>
  <c r="T805" i="12"/>
  <c r="T806" i="12"/>
  <c r="T807" i="12"/>
  <c r="T808" i="12"/>
  <c r="T809" i="12"/>
  <c r="T810" i="12"/>
  <c r="T811" i="12"/>
  <c r="T812" i="12"/>
  <c r="T813" i="12"/>
  <c r="T814" i="12"/>
  <c r="T815" i="12"/>
  <c r="T816" i="12"/>
  <c r="T817" i="12"/>
  <c r="T818" i="12"/>
  <c r="T819" i="12"/>
  <c r="T820" i="12"/>
  <c r="T821" i="12"/>
  <c r="T822" i="12"/>
  <c r="T823" i="12"/>
  <c r="T824" i="12"/>
  <c r="T825" i="12"/>
  <c r="T826" i="12"/>
  <c r="T827" i="12"/>
  <c r="T828" i="12"/>
  <c r="T829" i="12"/>
  <c r="T830" i="12"/>
  <c r="T831" i="12"/>
  <c r="T832" i="12"/>
  <c r="T833" i="12"/>
  <c r="T834" i="12"/>
  <c r="T835" i="12"/>
  <c r="T836" i="12"/>
  <c r="T837" i="12"/>
  <c r="T838" i="12"/>
  <c r="T839" i="12"/>
  <c r="T840" i="12"/>
  <c r="T841" i="12"/>
  <c r="T842" i="12"/>
  <c r="T843" i="12"/>
  <c r="T844" i="12"/>
  <c r="T845" i="12"/>
  <c r="T846" i="12"/>
  <c r="T847" i="12"/>
  <c r="T848" i="12"/>
  <c r="T849" i="12"/>
  <c r="T850" i="12"/>
  <c r="T851" i="12"/>
  <c r="T852" i="12"/>
  <c r="T853" i="12"/>
  <c r="T854" i="12"/>
  <c r="T855" i="12"/>
  <c r="T856" i="12"/>
  <c r="T857" i="12"/>
  <c r="T858" i="12"/>
  <c r="T859" i="12"/>
  <c r="T860" i="12"/>
  <c r="T861" i="12"/>
  <c r="T862" i="12"/>
  <c r="T863" i="12"/>
  <c r="T864" i="12"/>
  <c r="T865" i="12"/>
  <c r="T866" i="12"/>
  <c r="T867" i="12"/>
  <c r="T868" i="12"/>
  <c r="T869" i="12"/>
  <c r="T870" i="12"/>
  <c r="T871" i="12"/>
  <c r="T872" i="12"/>
  <c r="T873" i="12"/>
  <c r="T874" i="12"/>
  <c r="T875" i="12"/>
  <c r="T876" i="12"/>
  <c r="T877" i="12"/>
  <c r="T878" i="12"/>
  <c r="T879" i="12"/>
  <c r="T880" i="12"/>
  <c r="T881" i="12"/>
  <c r="T882" i="12"/>
  <c r="T883" i="12"/>
  <c r="T884" i="12"/>
  <c r="T885" i="12"/>
  <c r="T886" i="12"/>
  <c r="T887" i="12"/>
  <c r="T888" i="12"/>
  <c r="T889" i="12"/>
  <c r="T890" i="12"/>
  <c r="T891" i="12"/>
  <c r="T892" i="12"/>
  <c r="T893" i="12"/>
  <c r="T894" i="12"/>
  <c r="T895" i="12"/>
  <c r="T896" i="12"/>
  <c r="T897" i="12"/>
  <c r="T898" i="12"/>
  <c r="T899" i="12"/>
  <c r="T900" i="12"/>
  <c r="T901" i="12"/>
  <c r="T902" i="12"/>
  <c r="T903" i="12"/>
  <c r="T904" i="12"/>
  <c r="T905" i="12"/>
  <c r="T906" i="12"/>
  <c r="T907" i="12"/>
  <c r="T908" i="12"/>
  <c r="T909" i="12"/>
  <c r="T910" i="12"/>
  <c r="T911" i="12"/>
  <c r="T912" i="12"/>
  <c r="T913" i="12"/>
  <c r="T914" i="12"/>
  <c r="T915" i="12"/>
  <c r="T916" i="12"/>
  <c r="T917" i="12"/>
  <c r="T918" i="12"/>
  <c r="T919" i="12"/>
  <c r="T920" i="12"/>
  <c r="T921" i="12"/>
  <c r="T922" i="12"/>
  <c r="T923" i="12"/>
  <c r="T924" i="12"/>
  <c r="T925" i="12"/>
  <c r="T926" i="12"/>
  <c r="T927" i="12"/>
  <c r="T928" i="12"/>
  <c r="T929" i="12"/>
  <c r="T930" i="12"/>
  <c r="T931" i="12"/>
  <c r="T932" i="12"/>
  <c r="T933" i="12"/>
  <c r="T934" i="12"/>
  <c r="T935" i="12"/>
  <c r="T936" i="12"/>
  <c r="T937" i="12"/>
  <c r="T938" i="12"/>
  <c r="T939" i="12"/>
  <c r="T940" i="12"/>
  <c r="T941" i="12"/>
  <c r="T942" i="12"/>
  <c r="T943" i="12"/>
  <c r="T944" i="12"/>
  <c r="T945" i="12"/>
  <c r="T946" i="12"/>
  <c r="T947" i="12"/>
  <c r="T948" i="12"/>
  <c r="T949" i="12"/>
  <c r="T950" i="12"/>
  <c r="T951" i="12"/>
  <c r="T952" i="12"/>
  <c r="T953" i="12"/>
  <c r="T954" i="12"/>
  <c r="T955" i="12"/>
  <c r="T956" i="12"/>
  <c r="T957" i="12"/>
  <c r="T958" i="12"/>
  <c r="T959" i="12"/>
  <c r="T960" i="12"/>
  <c r="T961" i="12"/>
  <c r="T962" i="12"/>
  <c r="T963" i="12"/>
  <c r="T964" i="12"/>
  <c r="T965" i="12"/>
  <c r="T966" i="12"/>
  <c r="T967" i="12"/>
  <c r="T968" i="12"/>
  <c r="T969" i="12"/>
  <c r="T970" i="12"/>
  <c r="T971" i="12"/>
  <c r="T972" i="12"/>
  <c r="T973" i="12"/>
  <c r="T974" i="12"/>
  <c r="T975" i="12"/>
  <c r="T976" i="12"/>
  <c r="T977" i="12"/>
  <c r="T978" i="12"/>
  <c r="T979" i="12"/>
  <c r="T980" i="12"/>
  <c r="T981" i="12"/>
  <c r="T982" i="12"/>
  <c r="T983" i="12"/>
  <c r="T984" i="12"/>
  <c r="T985" i="12"/>
  <c r="T986" i="12"/>
  <c r="T987" i="12"/>
  <c r="T988" i="12"/>
  <c r="T989" i="12"/>
  <c r="T990" i="12"/>
  <c r="T991" i="12"/>
  <c r="T992" i="12"/>
  <c r="T993" i="12"/>
  <c r="T994" i="12"/>
  <c r="T995" i="12"/>
  <c r="T996" i="12"/>
  <c r="T997" i="12"/>
  <c r="T998" i="12"/>
  <c r="T999" i="12"/>
  <c r="T1000" i="12"/>
  <c r="T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310" i="12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362" i="12"/>
  <c r="O363" i="12"/>
  <c r="O364" i="12"/>
  <c r="O365" i="12"/>
  <c r="O366" i="12"/>
  <c r="O367" i="12"/>
  <c r="O368" i="12"/>
  <c r="O369" i="12"/>
  <c r="O370" i="12"/>
  <c r="O371" i="12"/>
  <c r="O372" i="12"/>
  <c r="O373" i="12"/>
  <c r="O374" i="12"/>
  <c r="O375" i="12"/>
  <c r="O376" i="12"/>
  <c r="O377" i="12"/>
  <c r="O378" i="12"/>
  <c r="O379" i="12"/>
  <c r="O380" i="12"/>
  <c r="O381" i="12"/>
  <c r="O382" i="12"/>
  <c r="O383" i="12"/>
  <c r="O384" i="12"/>
  <c r="O385" i="12"/>
  <c r="O386" i="12"/>
  <c r="O387" i="12"/>
  <c r="O388" i="12"/>
  <c r="O389" i="12"/>
  <c r="O390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O407" i="12"/>
  <c r="O408" i="12"/>
  <c r="O409" i="12"/>
  <c r="O410" i="12"/>
  <c r="O411" i="12"/>
  <c r="O412" i="12"/>
  <c r="O413" i="12"/>
  <c r="O414" i="12"/>
  <c r="O415" i="12"/>
  <c r="O416" i="12"/>
  <c r="O417" i="12"/>
  <c r="O418" i="12"/>
  <c r="O419" i="12"/>
  <c r="O420" i="12"/>
  <c r="O421" i="12"/>
  <c r="O422" i="12"/>
  <c r="O423" i="12"/>
  <c r="O424" i="12"/>
  <c r="O425" i="12"/>
  <c r="O426" i="12"/>
  <c r="O427" i="12"/>
  <c r="O428" i="12"/>
  <c r="O429" i="12"/>
  <c r="O430" i="12"/>
  <c r="O431" i="12"/>
  <c r="O432" i="12"/>
  <c r="O433" i="12"/>
  <c r="O434" i="12"/>
  <c r="O435" i="12"/>
  <c r="O436" i="12"/>
  <c r="O437" i="12"/>
  <c r="O438" i="12"/>
  <c r="O439" i="12"/>
  <c r="O440" i="12"/>
  <c r="O441" i="12"/>
  <c r="O442" i="12"/>
  <c r="O443" i="12"/>
  <c r="O444" i="12"/>
  <c r="O445" i="12"/>
  <c r="O446" i="12"/>
  <c r="O447" i="12"/>
  <c r="O448" i="12"/>
  <c r="O449" i="12"/>
  <c r="O450" i="12"/>
  <c r="O451" i="12"/>
  <c r="O452" i="12"/>
  <c r="O453" i="12"/>
  <c r="O454" i="12"/>
  <c r="O455" i="12"/>
  <c r="O456" i="12"/>
  <c r="O457" i="12"/>
  <c r="O458" i="12"/>
  <c r="O459" i="12"/>
  <c r="O460" i="12"/>
  <c r="O461" i="12"/>
  <c r="O462" i="12"/>
  <c r="O463" i="12"/>
  <c r="O464" i="12"/>
  <c r="O465" i="12"/>
  <c r="O466" i="12"/>
  <c r="O467" i="12"/>
  <c r="O468" i="12"/>
  <c r="O469" i="12"/>
  <c r="O470" i="12"/>
  <c r="O471" i="12"/>
  <c r="O472" i="12"/>
  <c r="O473" i="12"/>
  <c r="O474" i="12"/>
  <c r="O475" i="12"/>
  <c r="O476" i="12"/>
  <c r="O477" i="12"/>
  <c r="O478" i="12"/>
  <c r="O479" i="12"/>
  <c r="O480" i="12"/>
  <c r="O481" i="12"/>
  <c r="O482" i="12"/>
  <c r="O483" i="12"/>
  <c r="O484" i="12"/>
  <c r="O485" i="12"/>
  <c r="O486" i="12"/>
  <c r="O487" i="12"/>
  <c r="O488" i="12"/>
  <c r="O489" i="12"/>
  <c r="O490" i="12"/>
  <c r="O491" i="12"/>
  <c r="O492" i="12"/>
  <c r="O493" i="12"/>
  <c r="O494" i="12"/>
  <c r="O495" i="12"/>
  <c r="O496" i="12"/>
  <c r="O497" i="12"/>
  <c r="O498" i="12"/>
  <c r="O499" i="12"/>
  <c r="O500" i="12"/>
  <c r="O501" i="12"/>
  <c r="O502" i="12"/>
  <c r="O503" i="12"/>
  <c r="O504" i="12"/>
  <c r="O505" i="12"/>
  <c r="O506" i="12"/>
  <c r="O507" i="12"/>
  <c r="O508" i="12"/>
  <c r="O509" i="12"/>
  <c r="O510" i="12"/>
  <c r="O511" i="12"/>
  <c r="O512" i="12"/>
  <c r="O513" i="12"/>
  <c r="O514" i="12"/>
  <c r="O515" i="12"/>
  <c r="O516" i="12"/>
  <c r="O517" i="12"/>
  <c r="O518" i="12"/>
  <c r="O519" i="12"/>
  <c r="O520" i="12"/>
  <c r="O521" i="12"/>
  <c r="O522" i="12"/>
  <c r="O523" i="12"/>
  <c r="O524" i="12"/>
  <c r="O525" i="12"/>
  <c r="O526" i="12"/>
  <c r="O527" i="12"/>
  <c r="O528" i="12"/>
  <c r="O529" i="12"/>
  <c r="O530" i="12"/>
  <c r="O531" i="12"/>
  <c r="O532" i="12"/>
  <c r="O533" i="12"/>
  <c r="O534" i="12"/>
  <c r="O535" i="12"/>
  <c r="O536" i="12"/>
  <c r="O537" i="12"/>
  <c r="O538" i="12"/>
  <c r="O539" i="12"/>
  <c r="O540" i="12"/>
  <c r="O541" i="12"/>
  <c r="O542" i="12"/>
  <c r="O543" i="12"/>
  <c r="O544" i="12"/>
  <c r="O545" i="12"/>
  <c r="O546" i="12"/>
  <c r="O547" i="12"/>
  <c r="O548" i="12"/>
  <c r="O549" i="12"/>
  <c r="O550" i="12"/>
  <c r="O551" i="12"/>
  <c r="O552" i="12"/>
  <c r="O553" i="12"/>
  <c r="O554" i="12"/>
  <c r="O555" i="12"/>
  <c r="O556" i="12"/>
  <c r="O557" i="12"/>
  <c r="O558" i="12"/>
  <c r="O559" i="12"/>
  <c r="O560" i="12"/>
  <c r="O561" i="12"/>
  <c r="O562" i="12"/>
  <c r="O563" i="12"/>
  <c r="O564" i="12"/>
  <c r="O565" i="12"/>
  <c r="O566" i="12"/>
  <c r="O567" i="12"/>
  <c r="O568" i="12"/>
  <c r="O569" i="12"/>
  <c r="O570" i="12"/>
  <c r="O571" i="12"/>
  <c r="O572" i="12"/>
  <c r="O573" i="12"/>
  <c r="O574" i="12"/>
  <c r="O575" i="12"/>
  <c r="O576" i="12"/>
  <c r="O577" i="12"/>
  <c r="O578" i="12"/>
  <c r="O579" i="12"/>
  <c r="O580" i="12"/>
  <c r="O581" i="12"/>
  <c r="O582" i="12"/>
  <c r="O583" i="12"/>
  <c r="O584" i="12"/>
  <c r="O585" i="12"/>
  <c r="O586" i="12"/>
  <c r="O587" i="12"/>
  <c r="O588" i="12"/>
  <c r="O589" i="12"/>
  <c r="O590" i="12"/>
  <c r="O591" i="12"/>
  <c r="O592" i="12"/>
  <c r="O593" i="12"/>
  <c r="O594" i="12"/>
  <c r="O595" i="12"/>
  <c r="O596" i="12"/>
  <c r="O597" i="12"/>
  <c r="O598" i="12"/>
  <c r="O599" i="12"/>
  <c r="O600" i="12"/>
  <c r="O601" i="12"/>
  <c r="O602" i="12"/>
  <c r="O603" i="12"/>
  <c r="O604" i="12"/>
  <c r="O605" i="12"/>
  <c r="O606" i="12"/>
  <c r="O607" i="12"/>
  <c r="O608" i="12"/>
  <c r="O609" i="12"/>
  <c r="O610" i="12"/>
  <c r="O611" i="12"/>
  <c r="O612" i="12"/>
  <c r="O613" i="12"/>
  <c r="O614" i="12"/>
  <c r="O615" i="12"/>
  <c r="O616" i="12"/>
  <c r="O617" i="12"/>
  <c r="O618" i="12"/>
  <c r="O619" i="12"/>
  <c r="O620" i="12"/>
  <c r="O621" i="12"/>
  <c r="O622" i="12"/>
  <c r="O623" i="12"/>
  <c r="O624" i="12"/>
  <c r="O625" i="12"/>
  <c r="O626" i="12"/>
  <c r="O627" i="12"/>
  <c r="O628" i="12"/>
  <c r="O629" i="12"/>
  <c r="O630" i="12"/>
  <c r="O631" i="12"/>
  <c r="O632" i="12"/>
  <c r="O633" i="12"/>
  <c r="O634" i="12"/>
  <c r="O635" i="12"/>
  <c r="O636" i="12"/>
  <c r="O637" i="12"/>
  <c r="O638" i="12"/>
  <c r="O639" i="12"/>
  <c r="O640" i="12"/>
  <c r="O641" i="12"/>
  <c r="O642" i="12"/>
  <c r="O643" i="12"/>
  <c r="O644" i="12"/>
  <c r="O645" i="12"/>
  <c r="O646" i="12"/>
  <c r="O647" i="12"/>
  <c r="O648" i="12"/>
  <c r="O649" i="12"/>
  <c r="O650" i="12"/>
  <c r="O651" i="12"/>
  <c r="O652" i="12"/>
  <c r="O653" i="12"/>
  <c r="O654" i="12"/>
  <c r="O655" i="12"/>
  <c r="O656" i="12"/>
  <c r="O657" i="12"/>
  <c r="O658" i="12"/>
  <c r="O659" i="12"/>
  <c r="O660" i="12"/>
  <c r="O661" i="12"/>
  <c r="O662" i="12"/>
  <c r="O663" i="12"/>
  <c r="O664" i="12"/>
  <c r="O665" i="12"/>
  <c r="O666" i="12"/>
  <c r="O667" i="12"/>
  <c r="O668" i="12"/>
  <c r="O669" i="12"/>
  <c r="O670" i="12"/>
  <c r="O671" i="12"/>
  <c r="O672" i="12"/>
  <c r="O673" i="12"/>
  <c r="O674" i="12"/>
  <c r="O675" i="12"/>
  <c r="O676" i="12"/>
  <c r="O677" i="12"/>
  <c r="O678" i="12"/>
  <c r="O679" i="12"/>
  <c r="O680" i="12"/>
  <c r="O681" i="12"/>
  <c r="O682" i="12"/>
  <c r="O683" i="12"/>
  <c r="O684" i="12"/>
  <c r="O685" i="12"/>
  <c r="O686" i="12"/>
  <c r="O687" i="12"/>
  <c r="O688" i="12"/>
  <c r="O689" i="12"/>
  <c r="O690" i="12"/>
  <c r="O691" i="12"/>
  <c r="O692" i="12"/>
  <c r="O693" i="12"/>
  <c r="O694" i="12"/>
  <c r="O695" i="12"/>
  <c r="O696" i="12"/>
  <c r="O697" i="12"/>
  <c r="O698" i="12"/>
  <c r="O699" i="12"/>
  <c r="O700" i="12"/>
  <c r="O701" i="12"/>
  <c r="O702" i="12"/>
  <c r="O703" i="12"/>
  <c r="O704" i="12"/>
  <c r="O705" i="12"/>
  <c r="O706" i="12"/>
  <c r="O707" i="12"/>
  <c r="O708" i="12"/>
  <c r="O709" i="12"/>
  <c r="O710" i="12"/>
  <c r="O711" i="12"/>
  <c r="O712" i="12"/>
  <c r="O713" i="12"/>
  <c r="O714" i="12"/>
  <c r="O715" i="12"/>
  <c r="O716" i="12"/>
  <c r="O717" i="12"/>
  <c r="O718" i="12"/>
  <c r="O719" i="12"/>
  <c r="O720" i="12"/>
  <c r="O721" i="12"/>
  <c r="O722" i="12"/>
  <c r="O723" i="12"/>
  <c r="O724" i="12"/>
  <c r="O725" i="12"/>
  <c r="O726" i="12"/>
  <c r="O727" i="12"/>
  <c r="O728" i="12"/>
  <c r="O729" i="12"/>
  <c r="O730" i="12"/>
  <c r="O731" i="12"/>
  <c r="O732" i="12"/>
  <c r="O733" i="12"/>
  <c r="O734" i="12"/>
  <c r="O735" i="12"/>
  <c r="O736" i="12"/>
  <c r="O737" i="12"/>
  <c r="O738" i="12"/>
  <c r="O739" i="12"/>
  <c r="O740" i="12"/>
  <c r="O741" i="12"/>
  <c r="O742" i="12"/>
  <c r="O743" i="12"/>
  <c r="O744" i="12"/>
  <c r="O745" i="12"/>
  <c r="O746" i="12"/>
  <c r="O747" i="12"/>
  <c r="O748" i="12"/>
  <c r="O749" i="12"/>
  <c r="O750" i="12"/>
  <c r="O751" i="12"/>
  <c r="O752" i="12"/>
  <c r="O753" i="12"/>
  <c r="O754" i="12"/>
  <c r="O755" i="12"/>
  <c r="O756" i="12"/>
  <c r="O757" i="12"/>
  <c r="O758" i="12"/>
  <c r="O759" i="12"/>
  <c r="O760" i="12"/>
  <c r="O761" i="12"/>
  <c r="O762" i="12"/>
  <c r="O763" i="12"/>
  <c r="O764" i="12"/>
  <c r="O765" i="12"/>
  <c r="O766" i="12"/>
  <c r="O767" i="12"/>
  <c r="O768" i="12"/>
  <c r="O769" i="12"/>
  <c r="O770" i="12"/>
  <c r="O771" i="12"/>
  <c r="O772" i="12"/>
  <c r="O773" i="12"/>
  <c r="O774" i="12"/>
  <c r="O775" i="12"/>
  <c r="O776" i="12"/>
  <c r="O777" i="12"/>
  <c r="O778" i="12"/>
  <c r="O779" i="12"/>
  <c r="O780" i="12"/>
  <c r="O781" i="12"/>
  <c r="O782" i="12"/>
  <c r="O783" i="12"/>
  <c r="O784" i="12"/>
  <c r="O785" i="12"/>
  <c r="O786" i="12"/>
  <c r="O787" i="12"/>
  <c r="O788" i="12"/>
  <c r="O789" i="12"/>
  <c r="O790" i="12"/>
  <c r="O791" i="12"/>
  <c r="O792" i="12"/>
  <c r="O793" i="12"/>
  <c r="O794" i="12"/>
  <c r="O795" i="12"/>
  <c r="O796" i="12"/>
  <c r="O797" i="12"/>
  <c r="O798" i="12"/>
  <c r="O799" i="12"/>
  <c r="O800" i="12"/>
  <c r="O801" i="12"/>
  <c r="O802" i="12"/>
  <c r="O803" i="12"/>
  <c r="O804" i="12"/>
  <c r="O805" i="12"/>
  <c r="O806" i="12"/>
  <c r="O807" i="12"/>
  <c r="O808" i="12"/>
  <c r="O809" i="12"/>
  <c r="O810" i="12"/>
  <c r="O811" i="12"/>
  <c r="O812" i="12"/>
  <c r="O813" i="12"/>
  <c r="O814" i="12"/>
  <c r="O815" i="12"/>
  <c r="O816" i="12"/>
  <c r="O817" i="12"/>
  <c r="O818" i="12"/>
  <c r="O819" i="12"/>
  <c r="O820" i="12"/>
  <c r="O821" i="12"/>
  <c r="O822" i="12"/>
  <c r="O823" i="12"/>
  <c r="O824" i="12"/>
  <c r="O825" i="12"/>
  <c r="O826" i="12"/>
  <c r="O827" i="12"/>
  <c r="O828" i="12"/>
  <c r="O829" i="12"/>
  <c r="O830" i="12"/>
  <c r="O831" i="12"/>
  <c r="O832" i="12"/>
  <c r="O833" i="12"/>
  <c r="O834" i="12"/>
  <c r="O835" i="12"/>
  <c r="O836" i="12"/>
  <c r="O837" i="12"/>
  <c r="O838" i="12"/>
  <c r="O839" i="12"/>
  <c r="O840" i="12"/>
  <c r="O841" i="12"/>
  <c r="O842" i="12"/>
  <c r="O843" i="12"/>
  <c r="O844" i="12"/>
  <c r="O845" i="12"/>
  <c r="O846" i="12"/>
  <c r="O847" i="12"/>
  <c r="O848" i="12"/>
  <c r="O849" i="12"/>
  <c r="O850" i="12"/>
  <c r="O851" i="12"/>
  <c r="O852" i="12"/>
  <c r="O853" i="12"/>
  <c r="O854" i="12"/>
  <c r="O855" i="12"/>
  <c r="O856" i="12"/>
  <c r="O857" i="12"/>
  <c r="O858" i="12"/>
  <c r="O859" i="12"/>
  <c r="O860" i="12"/>
  <c r="O861" i="12"/>
  <c r="O862" i="12"/>
  <c r="O863" i="12"/>
  <c r="O864" i="12"/>
  <c r="O865" i="12"/>
  <c r="O866" i="12"/>
  <c r="O867" i="12"/>
  <c r="O868" i="12"/>
  <c r="O869" i="12"/>
  <c r="O870" i="12"/>
  <c r="O871" i="12"/>
  <c r="O872" i="12"/>
  <c r="O873" i="12"/>
  <c r="O874" i="12"/>
  <c r="O875" i="12"/>
  <c r="O876" i="12"/>
  <c r="O877" i="12"/>
  <c r="O878" i="12"/>
  <c r="O879" i="12"/>
  <c r="O880" i="12"/>
  <c r="O881" i="12"/>
  <c r="O882" i="12"/>
  <c r="O883" i="12"/>
  <c r="O884" i="12"/>
  <c r="O885" i="12"/>
  <c r="O886" i="12"/>
  <c r="O887" i="12"/>
  <c r="O888" i="12"/>
  <c r="O889" i="12"/>
  <c r="O890" i="12"/>
  <c r="O891" i="12"/>
  <c r="O892" i="12"/>
  <c r="O893" i="12"/>
  <c r="O894" i="12"/>
  <c r="O895" i="12"/>
  <c r="O896" i="12"/>
  <c r="O897" i="12"/>
  <c r="O898" i="12"/>
  <c r="O899" i="12"/>
  <c r="O900" i="12"/>
  <c r="O901" i="12"/>
  <c r="O902" i="12"/>
  <c r="O903" i="12"/>
  <c r="O904" i="12"/>
  <c r="O905" i="12"/>
  <c r="O906" i="12"/>
  <c r="O907" i="12"/>
  <c r="O908" i="12"/>
  <c r="O909" i="12"/>
  <c r="O910" i="12"/>
  <c r="O911" i="12"/>
  <c r="O912" i="12"/>
  <c r="O913" i="12"/>
  <c r="O914" i="12"/>
  <c r="O915" i="12"/>
  <c r="O916" i="12"/>
  <c r="O917" i="12"/>
  <c r="O918" i="12"/>
  <c r="O919" i="12"/>
  <c r="O920" i="12"/>
  <c r="O921" i="12"/>
  <c r="O922" i="12"/>
  <c r="O923" i="12"/>
  <c r="O924" i="12"/>
  <c r="O925" i="12"/>
  <c r="O926" i="12"/>
  <c r="O927" i="12"/>
  <c r="O928" i="12"/>
  <c r="O929" i="12"/>
  <c r="O930" i="12"/>
  <c r="O931" i="12"/>
  <c r="O932" i="12"/>
  <c r="O933" i="12"/>
  <c r="O934" i="12"/>
  <c r="O935" i="12"/>
  <c r="O936" i="12"/>
  <c r="O937" i="12"/>
  <c r="O938" i="12"/>
  <c r="O939" i="12"/>
  <c r="O940" i="12"/>
  <c r="O941" i="12"/>
  <c r="O942" i="12"/>
  <c r="O943" i="12"/>
  <c r="O944" i="12"/>
  <c r="O945" i="12"/>
  <c r="O946" i="12"/>
  <c r="O947" i="12"/>
  <c r="O948" i="12"/>
  <c r="O949" i="12"/>
  <c r="O950" i="12"/>
  <c r="O951" i="12"/>
  <c r="O952" i="12"/>
  <c r="O953" i="12"/>
  <c r="O954" i="12"/>
  <c r="O955" i="12"/>
  <c r="O956" i="12"/>
  <c r="O957" i="12"/>
  <c r="O958" i="12"/>
  <c r="O959" i="12"/>
  <c r="O960" i="12"/>
  <c r="O961" i="12"/>
  <c r="O962" i="12"/>
  <c r="O963" i="12"/>
  <c r="O964" i="12"/>
  <c r="O965" i="12"/>
  <c r="O966" i="12"/>
  <c r="O967" i="12"/>
  <c r="O968" i="12"/>
  <c r="O969" i="12"/>
  <c r="O970" i="12"/>
  <c r="O971" i="12"/>
  <c r="O972" i="12"/>
  <c r="O973" i="12"/>
  <c r="O974" i="12"/>
  <c r="O975" i="12"/>
  <c r="O976" i="12"/>
  <c r="O977" i="12"/>
  <c r="O978" i="12"/>
  <c r="O979" i="12"/>
  <c r="O980" i="12"/>
  <c r="O981" i="12"/>
  <c r="O982" i="12"/>
  <c r="O983" i="12"/>
  <c r="O984" i="12"/>
  <c r="O985" i="12"/>
  <c r="O986" i="12"/>
  <c r="O987" i="12"/>
  <c r="O988" i="12"/>
  <c r="O989" i="12"/>
  <c r="O990" i="12"/>
  <c r="O991" i="12"/>
  <c r="O992" i="12"/>
  <c r="O993" i="12"/>
  <c r="O994" i="12"/>
  <c r="O995" i="12"/>
  <c r="O996" i="12"/>
  <c r="O997" i="12"/>
  <c r="O998" i="12"/>
  <c r="O999" i="12"/>
  <c r="O1000" i="12"/>
  <c r="O4" i="12"/>
  <c r="V4" i="10"/>
  <c r="E11" i="5" l="1"/>
  <c r="F22" i="5"/>
  <c r="E61" i="5" s="1"/>
  <c r="E59" i="5" s="1"/>
  <c r="E54" i="5" s="1"/>
  <c r="E33" i="5"/>
  <c r="E42" i="5"/>
  <c r="F33" i="5"/>
  <c r="E72" i="5" s="1"/>
  <c r="E70" i="5" s="1"/>
  <c r="E65" i="5" s="1"/>
  <c r="E79" i="5"/>
  <c r="E22" i="5"/>
  <c r="F65" i="5"/>
  <c r="E104" i="5" s="1"/>
  <c r="E82" i="5"/>
  <c r="F42" i="5"/>
  <c r="E81" i="5" s="1"/>
  <c r="F152" i="2"/>
  <c r="F144" i="2"/>
  <c r="F145" i="2"/>
  <c r="F146" i="2"/>
  <c r="F148" i="2"/>
  <c r="F150" i="2"/>
  <c r="F140" i="2"/>
  <c r="F141" i="2"/>
  <c r="F139" i="2"/>
  <c r="F136" i="2"/>
  <c r="F137" i="2"/>
  <c r="F135" i="2"/>
  <c r="F131" i="2"/>
  <c r="F132" i="2"/>
  <c r="F123" i="2"/>
  <c r="F124" i="2"/>
  <c r="F125" i="2"/>
  <c r="F126" i="2"/>
  <c r="F120" i="2"/>
  <c r="F119" i="2"/>
  <c r="F117" i="2"/>
  <c r="F116" i="2"/>
  <c r="F114" i="2"/>
  <c r="F113" i="2"/>
  <c r="F111" i="2"/>
  <c r="F108" i="2"/>
  <c r="F99" i="2"/>
  <c r="F100" i="2"/>
  <c r="F101" i="2"/>
  <c r="F102" i="2"/>
  <c r="F103" i="2"/>
  <c r="F104" i="2"/>
  <c r="F105" i="2"/>
  <c r="E80" i="5" l="1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S159" i="12"/>
  <c r="S160" i="12"/>
  <c r="S161" i="12"/>
  <c r="S162" i="12"/>
  <c r="S163" i="12"/>
  <c r="S164" i="12"/>
  <c r="S165" i="12"/>
  <c r="S166" i="12"/>
  <c r="S167" i="12"/>
  <c r="S168" i="12"/>
  <c r="S169" i="12"/>
  <c r="S170" i="12"/>
  <c r="S171" i="12"/>
  <c r="S172" i="12"/>
  <c r="S173" i="12"/>
  <c r="S174" i="12"/>
  <c r="S175" i="12"/>
  <c r="S176" i="12"/>
  <c r="S177" i="12"/>
  <c r="S178" i="12"/>
  <c r="S179" i="12"/>
  <c r="S180" i="12"/>
  <c r="S181" i="12"/>
  <c r="S182" i="12"/>
  <c r="S183" i="12"/>
  <c r="S184" i="12"/>
  <c r="S185" i="12"/>
  <c r="S186" i="12"/>
  <c r="S187" i="12"/>
  <c r="S188" i="12"/>
  <c r="S189" i="12"/>
  <c r="S190" i="12"/>
  <c r="S191" i="12"/>
  <c r="S192" i="12"/>
  <c r="S193" i="12"/>
  <c r="S194" i="12"/>
  <c r="S195" i="12"/>
  <c r="S196" i="12"/>
  <c r="S197" i="12"/>
  <c r="S198" i="12"/>
  <c r="S199" i="12"/>
  <c r="S200" i="12"/>
  <c r="S201" i="12"/>
  <c r="S202" i="12"/>
  <c r="S203" i="12"/>
  <c r="S204" i="12"/>
  <c r="S205" i="12"/>
  <c r="S206" i="12"/>
  <c r="S207" i="12"/>
  <c r="S208" i="12"/>
  <c r="S209" i="12"/>
  <c r="S210" i="12"/>
  <c r="S211" i="12"/>
  <c r="S212" i="12"/>
  <c r="S213" i="12"/>
  <c r="S214" i="12"/>
  <c r="S215" i="12"/>
  <c r="S216" i="12"/>
  <c r="S217" i="12"/>
  <c r="S218" i="12"/>
  <c r="S219" i="12"/>
  <c r="S220" i="12"/>
  <c r="S221" i="12"/>
  <c r="S222" i="12"/>
  <c r="S223" i="12"/>
  <c r="S224" i="12"/>
  <c r="S225" i="12"/>
  <c r="S226" i="12"/>
  <c r="S227" i="12"/>
  <c r="S228" i="12"/>
  <c r="S229" i="12"/>
  <c r="S230" i="12"/>
  <c r="S231" i="12"/>
  <c r="S232" i="12"/>
  <c r="S233" i="12"/>
  <c r="S234" i="12"/>
  <c r="S235" i="12"/>
  <c r="S236" i="12"/>
  <c r="S237" i="12"/>
  <c r="S238" i="12"/>
  <c r="S239" i="12"/>
  <c r="S240" i="12"/>
  <c r="S241" i="12"/>
  <c r="S242" i="12"/>
  <c r="S243" i="12"/>
  <c r="S244" i="12"/>
  <c r="S245" i="12"/>
  <c r="S246" i="12"/>
  <c r="S247" i="12"/>
  <c r="S248" i="12"/>
  <c r="S249" i="12"/>
  <c r="S250" i="12"/>
  <c r="S251" i="12"/>
  <c r="S252" i="12"/>
  <c r="S253" i="12"/>
  <c r="S254" i="12"/>
  <c r="S255" i="12"/>
  <c r="S256" i="12"/>
  <c r="S257" i="12"/>
  <c r="S258" i="12"/>
  <c r="S259" i="12"/>
  <c r="S260" i="12"/>
  <c r="S261" i="12"/>
  <c r="S262" i="12"/>
  <c r="S263" i="12"/>
  <c r="S264" i="12"/>
  <c r="S265" i="12"/>
  <c r="S266" i="12"/>
  <c r="S267" i="12"/>
  <c r="S268" i="12"/>
  <c r="S269" i="12"/>
  <c r="S270" i="12"/>
  <c r="S271" i="12"/>
  <c r="S272" i="12"/>
  <c r="S273" i="12"/>
  <c r="S274" i="12"/>
  <c r="S275" i="12"/>
  <c r="S276" i="12"/>
  <c r="S277" i="12"/>
  <c r="S278" i="12"/>
  <c r="S279" i="12"/>
  <c r="S280" i="12"/>
  <c r="S281" i="12"/>
  <c r="S282" i="12"/>
  <c r="S283" i="12"/>
  <c r="S284" i="12"/>
  <c r="S285" i="12"/>
  <c r="S286" i="12"/>
  <c r="S287" i="12"/>
  <c r="S288" i="12"/>
  <c r="S289" i="12"/>
  <c r="S290" i="12"/>
  <c r="S291" i="12"/>
  <c r="S292" i="12"/>
  <c r="S293" i="12"/>
  <c r="S294" i="12"/>
  <c r="S295" i="12"/>
  <c r="S296" i="12"/>
  <c r="S297" i="12"/>
  <c r="S298" i="12"/>
  <c r="S299" i="12"/>
  <c r="S300" i="12"/>
  <c r="S301" i="12"/>
  <c r="S302" i="12"/>
  <c r="S303" i="12"/>
  <c r="S304" i="12"/>
  <c r="S305" i="12"/>
  <c r="S306" i="12"/>
  <c r="S307" i="12"/>
  <c r="S308" i="12"/>
  <c r="S309" i="12"/>
  <c r="S310" i="12"/>
  <c r="S311" i="12"/>
  <c r="S312" i="12"/>
  <c r="S313" i="12"/>
  <c r="S314" i="12"/>
  <c r="S315" i="12"/>
  <c r="S316" i="12"/>
  <c r="S317" i="12"/>
  <c r="S318" i="12"/>
  <c r="S319" i="12"/>
  <c r="S320" i="12"/>
  <c r="S321" i="12"/>
  <c r="S322" i="12"/>
  <c r="S323" i="12"/>
  <c r="S324" i="12"/>
  <c r="S325" i="12"/>
  <c r="S326" i="12"/>
  <c r="S327" i="12"/>
  <c r="S328" i="12"/>
  <c r="S329" i="12"/>
  <c r="S330" i="12"/>
  <c r="S331" i="12"/>
  <c r="S332" i="12"/>
  <c r="S333" i="12"/>
  <c r="S334" i="12"/>
  <c r="S335" i="12"/>
  <c r="S336" i="12"/>
  <c r="S337" i="12"/>
  <c r="S338" i="12"/>
  <c r="S339" i="12"/>
  <c r="S340" i="12"/>
  <c r="S341" i="12"/>
  <c r="S342" i="12"/>
  <c r="S343" i="12"/>
  <c r="S344" i="12"/>
  <c r="S345" i="12"/>
  <c r="S346" i="12"/>
  <c r="S347" i="12"/>
  <c r="S348" i="12"/>
  <c r="S349" i="12"/>
  <c r="S350" i="12"/>
  <c r="S351" i="12"/>
  <c r="S352" i="12"/>
  <c r="S353" i="12"/>
  <c r="S354" i="12"/>
  <c r="S355" i="12"/>
  <c r="S356" i="12"/>
  <c r="S357" i="12"/>
  <c r="S358" i="12"/>
  <c r="S359" i="12"/>
  <c r="S360" i="12"/>
  <c r="S361" i="12"/>
  <c r="S362" i="12"/>
  <c r="S363" i="12"/>
  <c r="S364" i="12"/>
  <c r="S365" i="12"/>
  <c r="S366" i="12"/>
  <c r="S367" i="12"/>
  <c r="S368" i="12"/>
  <c r="S369" i="12"/>
  <c r="S370" i="12"/>
  <c r="S371" i="12"/>
  <c r="S372" i="12"/>
  <c r="S373" i="12"/>
  <c r="S374" i="12"/>
  <c r="S375" i="12"/>
  <c r="S376" i="12"/>
  <c r="S377" i="12"/>
  <c r="S378" i="12"/>
  <c r="S379" i="12"/>
  <c r="S380" i="12"/>
  <c r="S381" i="12"/>
  <c r="S382" i="12"/>
  <c r="S383" i="12"/>
  <c r="S384" i="12"/>
  <c r="S385" i="12"/>
  <c r="S386" i="12"/>
  <c r="S387" i="12"/>
  <c r="S388" i="12"/>
  <c r="S389" i="12"/>
  <c r="S390" i="12"/>
  <c r="S391" i="12"/>
  <c r="S392" i="12"/>
  <c r="S393" i="12"/>
  <c r="S394" i="12"/>
  <c r="S395" i="12"/>
  <c r="S396" i="12"/>
  <c r="S397" i="12"/>
  <c r="S398" i="12"/>
  <c r="S399" i="12"/>
  <c r="S400" i="12"/>
  <c r="S401" i="12"/>
  <c r="S402" i="12"/>
  <c r="S403" i="12"/>
  <c r="S404" i="12"/>
  <c r="S405" i="12"/>
  <c r="S406" i="12"/>
  <c r="S407" i="12"/>
  <c r="S408" i="12"/>
  <c r="S409" i="12"/>
  <c r="S410" i="12"/>
  <c r="S411" i="12"/>
  <c r="S412" i="12"/>
  <c r="S413" i="12"/>
  <c r="S414" i="12"/>
  <c r="S415" i="12"/>
  <c r="S416" i="12"/>
  <c r="S417" i="12"/>
  <c r="S418" i="12"/>
  <c r="S419" i="12"/>
  <c r="S420" i="12"/>
  <c r="S421" i="12"/>
  <c r="S422" i="12"/>
  <c r="S423" i="12"/>
  <c r="S424" i="12"/>
  <c r="S425" i="12"/>
  <c r="S426" i="12"/>
  <c r="S427" i="12"/>
  <c r="S428" i="12"/>
  <c r="S429" i="12"/>
  <c r="S430" i="12"/>
  <c r="S431" i="12"/>
  <c r="S432" i="12"/>
  <c r="S433" i="12"/>
  <c r="S434" i="12"/>
  <c r="S435" i="12"/>
  <c r="S436" i="12"/>
  <c r="S437" i="12"/>
  <c r="S438" i="12"/>
  <c r="S439" i="12"/>
  <c r="S440" i="12"/>
  <c r="S441" i="12"/>
  <c r="S442" i="12"/>
  <c r="S443" i="12"/>
  <c r="S444" i="12"/>
  <c r="S445" i="12"/>
  <c r="S446" i="12"/>
  <c r="S447" i="12"/>
  <c r="S448" i="12"/>
  <c r="S449" i="12"/>
  <c r="S450" i="12"/>
  <c r="S451" i="12"/>
  <c r="S452" i="12"/>
  <c r="S453" i="12"/>
  <c r="S454" i="12"/>
  <c r="S455" i="12"/>
  <c r="S456" i="12"/>
  <c r="S457" i="12"/>
  <c r="S458" i="12"/>
  <c r="S459" i="12"/>
  <c r="S460" i="12"/>
  <c r="S461" i="12"/>
  <c r="S462" i="12"/>
  <c r="S463" i="12"/>
  <c r="S464" i="12"/>
  <c r="S465" i="12"/>
  <c r="S466" i="12"/>
  <c r="S467" i="12"/>
  <c r="S468" i="12"/>
  <c r="S469" i="12"/>
  <c r="S470" i="12"/>
  <c r="S471" i="12"/>
  <c r="S472" i="12"/>
  <c r="S473" i="12"/>
  <c r="S474" i="12"/>
  <c r="S475" i="12"/>
  <c r="S476" i="12"/>
  <c r="S477" i="12"/>
  <c r="S478" i="12"/>
  <c r="S479" i="12"/>
  <c r="S480" i="12"/>
  <c r="S481" i="12"/>
  <c r="S482" i="12"/>
  <c r="S483" i="12"/>
  <c r="S484" i="12"/>
  <c r="S485" i="12"/>
  <c r="S486" i="12"/>
  <c r="S487" i="12"/>
  <c r="S488" i="12"/>
  <c r="S489" i="12"/>
  <c r="S490" i="12"/>
  <c r="S491" i="12"/>
  <c r="S492" i="12"/>
  <c r="S493" i="12"/>
  <c r="S494" i="12"/>
  <c r="S495" i="12"/>
  <c r="S496" i="12"/>
  <c r="S497" i="12"/>
  <c r="S498" i="12"/>
  <c r="S499" i="12"/>
  <c r="S500" i="12"/>
  <c r="S501" i="12"/>
  <c r="S502" i="12"/>
  <c r="S503" i="12"/>
  <c r="S504" i="12"/>
  <c r="S505" i="12"/>
  <c r="S506" i="12"/>
  <c r="S507" i="12"/>
  <c r="S508" i="12"/>
  <c r="S509" i="12"/>
  <c r="S510" i="12"/>
  <c r="S511" i="12"/>
  <c r="S512" i="12"/>
  <c r="S513" i="12"/>
  <c r="S514" i="12"/>
  <c r="S515" i="12"/>
  <c r="S516" i="12"/>
  <c r="S517" i="12"/>
  <c r="S518" i="12"/>
  <c r="S519" i="12"/>
  <c r="S520" i="12"/>
  <c r="S521" i="12"/>
  <c r="S522" i="12"/>
  <c r="S523" i="12"/>
  <c r="S524" i="12"/>
  <c r="S525" i="12"/>
  <c r="S526" i="12"/>
  <c r="S527" i="12"/>
  <c r="S528" i="12"/>
  <c r="S529" i="12"/>
  <c r="S530" i="12"/>
  <c r="S531" i="12"/>
  <c r="S532" i="12"/>
  <c r="S533" i="12"/>
  <c r="S534" i="12"/>
  <c r="S535" i="12"/>
  <c r="S536" i="12"/>
  <c r="S537" i="12"/>
  <c r="S538" i="12"/>
  <c r="S539" i="12"/>
  <c r="S540" i="12"/>
  <c r="S541" i="12"/>
  <c r="S542" i="12"/>
  <c r="S543" i="12"/>
  <c r="S544" i="12"/>
  <c r="S545" i="12"/>
  <c r="S546" i="12"/>
  <c r="S547" i="12"/>
  <c r="S548" i="12"/>
  <c r="S549" i="12"/>
  <c r="S550" i="12"/>
  <c r="S551" i="12"/>
  <c r="S552" i="12"/>
  <c r="S553" i="12"/>
  <c r="S554" i="12"/>
  <c r="S555" i="12"/>
  <c r="S556" i="12"/>
  <c r="S557" i="12"/>
  <c r="S558" i="12"/>
  <c r="S559" i="12"/>
  <c r="S560" i="12"/>
  <c r="S561" i="12"/>
  <c r="S562" i="12"/>
  <c r="S563" i="12"/>
  <c r="S564" i="12"/>
  <c r="S565" i="12"/>
  <c r="S566" i="12"/>
  <c r="S567" i="12"/>
  <c r="S568" i="12"/>
  <c r="S569" i="12"/>
  <c r="S570" i="12"/>
  <c r="S571" i="12"/>
  <c r="S572" i="12"/>
  <c r="S573" i="12"/>
  <c r="S574" i="12"/>
  <c r="S575" i="12"/>
  <c r="S576" i="12"/>
  <c r="S577" i="12"/>
  <c r="S578" i="12"/>
  <c r="S579" i="12"/>
  <c r="S580" i="12"/>
  <c r="S581" i="12"/>
  <c r="S582" i="12"/>
  <c r="S583" i="12"/>
  <c r="S584" i="12"/>
  <c r="S585" i="12"/>
  <c r="S586" i="12"/>
  <c r="S587" i="12"/>
  <c r="S588" i="12"/>
  <c r="S589" i="12"/>
  <c r="S590" i="12"/>
  <c r="S591" i="12"/>
  <c r="S592" i="12"/>
  <c r="S593" i="12"/>
  <c r="S594" i="12"/>
  <c r="S595" i="12"/>
  <c r="S596" i="12"/>
  <c r="S597" i="12"/>
  <c r="S598" i="12"/>
  <c r="S599" i="12"/>
  <c r="S600" i="12"/>
  <c r="S601" i="12"/>
  <c r="S602" i="12"/>
  <c r="S603" i="12"/>
  <c r="S604" i="12"/>
  <c r="S605" i="12"/>
  <c r="S606" i="12"/>
  <c r="S607" i="12"/>
  <c r="S608" i="12"/>
  <c r="S609" i="12"/>
  <c r="S610" i="12"/>
  <c r="S611" i="12"/>
  <c r="S612" i="12"/>
  <c r="S613" i="12"/>
  <c r="S614" i="12"/>
  <c r="S615" i="12"/>
  <c r="S616" i="12"/>
  <c r="S617" i="12"/>
  <c r="S618" i="12"/>
  <c r="S619" i="12"/>
  <c r="S620" i="12"/>
  <c r="S621" i="12"/>
  <c r="S622" i="12"/>
  <c r="S623" i="12"/>
  <c r="S624" i="12"/>
  <c r="S625" i="12"/>
  <c r="S626" i="12"/>
  <c r="S627" i="12"/>
  <c r="S628" i="12"/>
  <c r="S629" i="12"/>
  <c r="S630" i="12"/>
  <c r="S631" i="12"/>
  <c r="S632" i="12"/>
  <c r="S633" i="12"/>
  <c r="S634" i="12"/>
  <c r="S635" i="12"/>
  <c r="S636" i="12"/>
  <c r="S637" i="12"/>
  <c r="S638" i="12"/>
  <c r="S639" i="12"/>
  <c r="S640" i="12"/>
  <c r="S641" i="12"/>
  <c r="S642" i="12"/>
  <c r="S643" i="12"/>
  <c r="S644" i="12"/>
  <c r="S645" i="12"/>
  <c r="S646" i="12"/>
  <c r="S647" i="12"/>
  <c r="S648" i="12"/>
  <c r="S649" i="12"/>
  <c r="S650" i="12"/>
  <c r="S651" i="12"/>
  <c r="S652" i="12"/>
  <c r="S653" i="12"/>
  <c r="S654" i="12"/>
  <c r="S655" i="12"/>
  <c r="S656" i="12"/>
  <c r="S657" i="12"/>
  <c r="S658" i="12"/>
  <c r="S659" i="12"/>
  <c r="S660" i="12"/>
  <c r="S661" i="12"/>
  <c r="S662" i="12"/>
  <c r="S663" i="12"/>
  <c r="S664" i="12"/>
  <c r="S665" i="12"/>
  <c r="S666" i="12"/>
  <c r="S667" i="12"/>
  <c r="S668" i="12"/>
  <c r="S669" i="12"/>
  <c r="S670" i="12"/>
  <c r="S671" i="12"/>
  <c r="S672" i="12"/>
  <c r="S673" i="12"/>
  <c r="S674" i="12"/>
  <c r="S675" i="12"/>
  <c r="S676" i="12"/>
  <c r="S677" i="12"/>
  <c r="S678" i="12"/>
  <c r="S679" i="12"/>
  <c r="S680" i="12"/>
  <c r="S681" i="12"/>
  <c r="S682" i="12"/>
  <c r="S683" i="12"/>
  <c r="S684" i="12"/>
  <c r="S685" i="12"/>
  <c r="S686" i="12"/>
  <c r="S687" i="12"/>
  <c r="S688" i="12"/>
  <c r="S689" i="12"/>
  <c r="S690" i="12"/>
  <c r="S691" i="12"/>
  <c r="S692" i="12"/>
  <c r="S693" i="12"/>
  <c r="S694" i="12"/>
  <c r="S695" i="12"/>
  <c r="S696" i="12"/>
  <c r="S697" i="12"/>
  <c r="S698" i="12"/>
  <c r="S699" i="12"/>
  <c r="S700" i="12"/>
  <c r="S701" i="12"/>
  <c r="S702" i="12"/>
  <c r="S703" i="12"/>
  <c r="S704" i="12"/>
  <c r="S705" i="12"/>
  <c r="S706" i="12"/>
  <c r="S707" i="12"/>
  <c r="S708" i="12"/>
  <c r="S709" i="12"/>
  <c r="S710" i="12"/>
  <c r="S711" i="12"/>
  <c r="S712" i="12"/>
  <c r="S713" i="12"/>
  <c r="S714" i="12"/>
  <c r="S715" i="12"/>
  <c r="S716" i="12"/>
  <c r="S717" i="12"/>
  <c r="S718" i="12"/>
  <c r="S719" i="12"/>
  <c r="S720" i="12"/>
  <c r="S721" i="12"/>
  <c r="S722" i="12"/>
  <c r="S723" i="12"/>
  <c r="S724" i="12"/>
  <c r="S725" i="12"/>
  <c r="S726" i="12"/>
  <c r="S727" i="12"/>
  <c r="S728" i="12"/>
  <c r="S729" i="12"/>
  <c r="S730" i="12"/>
  <c r="S731" i="12"/>
  <c r="S732" i="12"/>
  <c r="S733" i="12"/>
  <c r="S734" i="12"/>
  <c r="S735" i="12"/>
  <c r="S736" i="12"/>
  <c r="S737" i="12"/>
  <c r="S738" i="12"/>
  <c r="S739" i="12"/>
  <c r="S740" i="12"/>
  <c r="S741" i="12"/>
  <c r="S742" i="12"/>
  <c r="S743" i="12"/>
  <c r="S744" i="12"/>
  <c r="S745" i="12"/>
  <c r="S746" i="12"/>
  <c r="S747" i="12"/>
  <c r="S748" i="12"/>
  <c r="S749" i="12"/>
  <c r="S750" i="12"/>
  <c r="S751" i="12"/>
  <c r="S752" i="12"/>
  <c r="S753" i="12"/>
  <c r="S754" i="12"/>
  <c r="S755" i="12"/>
  <c r="S756" i="12"/>
  <c r="S757" i="12"/>
  <c r="S758" i="12"/>
  <c r="S759" i="12"/>
  <c r="S760" i="12"/>
  <c r="S761" i="12"/>
  <c r="S762" i="12"/>
  <c r="S763" i="12"/>
  <c r="S764" i="12"/>
  <c r="S765" i="12"/>
  <c r="S766" i="12"/>
  <c r="S767" i="12"/>
  <c r="S768" i="12"/>
  <c r="S769" i="12"/>
  <c r="S770" i="12"/>
  <c r="S771" i="12"/>
  <c r="S772" i="12"/>
  <c r="S773" i="12"/>
  <c r="S774" i="12"/>
  <c r="S775" i="12"/>
  <c r="S776" i="12"/>
  <c r="S777" i="12"/>
  <c r="S778" i="12"/>
  <c r="S779" i="12"/>
  <c r="S780" i="12"/>
  <c r="S781" i="12"/>
  <c r="S782" i="12"/>
  <c r="S783" i="12"/>
  <c r="S784" i="12"/>
  <c r="S785" i="12"/>
  <c r="S786" i="12"/>
  <c r="S787" i="12"/>
  <c r="S788" i="12"/>
  <c r="S789" i="12"/>
  <c r="S790" i="12"/>
  <c r="S791" i="12"/>
  <c r="S792" i="12"/>
  <c r="S793" i="12"/>
  <c r="S794" i="12"/>
  <c r="S795" i="12"/>
  <c r="S796" i="12"/>
  <c r="S797" i="12"/>
  <c r="S798" i="12"/>
  <c r="S799" i="12"/>
  <c r="S800" i="12"/>
  <c r="S801" i="12"/>
  <c r="S802" i="12"/>
  <c r="S803" i="12"/>
  <c r="S804" i="12"/>
  <c r="S805" i="12"/>
  <c r="S806" i="12"/>
  <c r="S807" i="12"/>
  <c r="S808" i="12"/>
  <c r="S809" i="12"/>
  <c r="S810" i="12"/>
  <c r="S811" i="12"/>
  <c r="S812" i="12"/>
  <c r="S813" i="12"/>
  <c r="S814" i="12"/>
  <c r="S815" i="12"/>
  <c r="S816" i="12"/>
  <c r="S817" i="12"/>
  <c r="S818" i="12"/>
  <c r="S819" i="12"/>
  <c r="S820" i="12"/>
  <c r="S821" i="12"/>
  <c r="S822" i="12"/>
  <c r="S823" i="12"/>
  <c r="S824" i="12"/>
  <c r="S825" i="12"/>
  <c r="S826" i="12"/>
  <c r="S827" i="12"/>
  <c r="S828" i="12"/>
  <c r="S829" i="12"/>
  <c r="S830" i="12"/>
  <c r="S831" i="12"/>
  <c r="S832" i="12"/>
  <c r="S833" i="12"/>
  <c r="S834" i="12"/>
  <c r="S835" i="12"/>
  <c r="S836" i="12"/>
  <c r="S837" i="12"/>
  <c r="S838" i="12"/>
  <c r="S839" i="12"/>
  <c r="S840" i="12"/>
  <c r="S841" i="12"/>
  <c r="S842" i="12"/>
  <c r="S843" i="12"/>
  <c r="S844" i="12"/>
  <c r="S845" i="12"/>
  <c r="S846" i="12"/>
  <c r="S847" i="12"/>
  <c r="S848" i="12"/>
  <c r="S849" i="12"/>
  <c r="S850" i="12"/>
  <c r="S851" i="12"/>
  <c r="S852" i="12"/>
  <c r="S853" i="12"/>
  <c r="S854" i="12"/>
  <c r="S855" i="12"/>
  <c r="S856" i="12"/>
  <c r="S857" i="12"/>
  <c r="S858" i="12"/>
  <c r="S859" i="12"/>
  <c r="S860" i="12"/>
  <c r="S861" i="12"/>
  <c r="S862" i="12"/>
  <c r="S863" i="12"/>
  <c r="S864" i="12"/>
  <c r="S865" i="12"/>
  <c r="S866" i="12"/>
  <c r="S867" i="12"/>
  <c r="S868" i="12"/>
  <c r="S869" i="12"/>
  <c r="S870" i="12"/>
  <c r="S871" i="12"/>
  <c r="S872" i="12"/>
  <c r="S873" i="12"/>
  <c r="S874" i="12"/>
  <c r="S875" i="12"/>
  <c r="S876" i="12"/>
  <c r="S877" i="12"/>
  <c r="S878" i="12"/>
  <c r="S879" i="12"/>
  <c r="S880" i="12"/>
  <c r="S881" i="12"/>
  <c r="S882" i="12"/>
  <c r="S883" i="12"/>
  <c r="S884" i="12"/>
  <c r="S885" i="12"/>
  <c r="S886" i="12"/>
  <c r="S887" i="12"/>
  <c r="S888" i="12"/>
  <c r="S889" i="12"/>
  <c r="S890" i="12"/>
  <c r="S891" i="12"/>
  <c r="S892" i="12"/>
  <c r="S893" i="12"/>
  <c r="S894" i="12"/>
  <c r="S895" i="12"/>
  <c r="S896" i="12"/>
  <c r="S897" i="12"/>
  <c r="S898" i="12"/>
  <c r="S899" i="12"/>
  <c r="S900" i="12"/>
  <c r="S901" i="12"/>
  <c r="S902" i="12"/>
  <c r="S903" i="12"/>
  <c r="S904" i="12"/>
  <c r="S905" i="12"/>
  <c r="S906" i="12"/>
  <c r="S907" i="12"/>
  <c r="S908" i="12"/>
  <c r="S909" i="12"/>
  <c r="S910" i="12"/>
  <c r="S911" i="12"/>
  <c r="S912" i="12"/>
  <c r="S913" i="12"/>
  <c r="S914" i="12"/>
  <c r="S915" i="12"/>
  <c r="S916" i="12"/>
  <c r="S917" i="12"/>
  <c r="S918" i="12"/>
  <c r="S919" i="12"/>
  <c r="S920" i="12"/>
  <c r="S921" i="12"/>
  <c r="S922" i="12"/>
  <c r="S923" i="12"/>
  <c r="S924" i="12"/>
  <c r="S925" i="12"/>
  <c r="S926" i="12"/>
  <c r="S927" i="12"/>
  <c r="S928" i="12"/>
  <c r="S929" i="12"/>
  <c r="S930" i="12"/>
  <c r="S931" i="12"/>
  <c r="S932" i="12"/>
  <c r="S933" i="12"/>
  <c r="S934" i="12"/>
  <c r="S935" i="12"/>
  <c r="S936" i="12"/>
  <c r="S937" i="12"/>
  <c r="S938" i="12"/>
  <c r="S939" i="12"/>
  <c r="S940" i="12"/>
  <c r="S941" i="12"/>
  <c r="S942" i="12"/>
  <c r="S943" i="12"/>
  <c r="S944" i="12"/>
  <c r="S945" i="12"/>
  <c r="S946" i="12"/>
  <c r="S947" i="12"/>
  <c r="S948" i="12"/>
  <c r="S949" i="12"/>
  <c r="S950" i="12"/>
  <c r="S951" i="12"/>
  <c r="S952" i="12"/>
  <c r="S953" i="12"/>
  <c r="S954" i="12"/>
  <c r="S955" i="12"/>
  <c r="S956" i="12"/>
  <c r="S957" i="12"/>
  <c r="S958" i="12"/>
  <c r="S959" i="12"/>
  <c r="S960" i="12"/>
  <c r="S961" i="12"/>
  <c r="S962" i="12"/>
  <c r="S963" i="12"/>
  <c r="S964" i="12"/>
  <c r="S965" i="12"/>
  <c r="S966" i="12"/>
  <c r="S967" i="12"/>
  <c r="S968" i="12"/>
  <c r="S969" i="12"/>
  <c r="S970" i="12"/>
  <c r="S971" i="12"/>
  <c r="S972" i="12"/>
  <c r="S973" i="12"/>
  <c r="S974" i="12"/>
  <c r="S975" i="12"/>
  <c r="S976" i="12"/>
  <c r="S977" i="12"/>
  <c r="S978" i="12"/>
  <c r="S979" i="12"/>
  <c r="S980" i="12"/>
  <c r="S981" i="12"/>
  <c r="S982" i="12"/>
  <c r="S983" i="12"/>
  <c r="S984" i="12"/>
  <c r="S985" i="12"/>
  <c r="S986" i="12"/>
  <c r="S987" i="12"/>
  <c r="S988" i="12"/>
  <c r="S989" i="12"/>
  <c r="S990" i="12"/>
  <c r="S991" i="12"/>
  <c r="S992" i="12"/>
  <c r="S993" i="12"/>
  <c r="S994" i="12"/>
  <c r="S995" i="12"/>
  <c r="S996" i="12"/>
  <c r="S997" i="12"/>
  <c r="S998" i="12"/>
  <c r="S999" i="12"/>
  <c r="S1000" i="12"/>
  <c r="S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V20" i="12" s="1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V36" i="12" s="1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V52" i="12" s="1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V68" i="12" s="1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V84" i="12" s="1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V100" i="12" s="1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V116" i="12" s="1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V132" i="12" s="1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V148" i="12" s="1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V164" i="12" s="1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365" i="12"/>
  <c r="R366" i="12"/>
  <c r="R367" i="12"/>
  <c r="R368" i="12"/>
  <c r="R369" i="12"/>
  <c r="R370" i="12"/>
  <c r="R371" i="12"/>
  <c r="R372" i="12"/>
  <c r="R373" i="12"/>
  <c r="R374" i="12"/>
  <c r="R375" i="12"/>
  <c r="R376" i="12"/>
  <c r="R377" i="12"/>
  <c r="R378" i="12"/>
  <c r="R379" i="12"/>
  <c r="R380" i="12"/>
  <c r="R381" i="12"/>
  <c r="R382" i="12"/>
  <c r="R383" i="12"/>
  <c r="R384" i="12"/>
  <c r="R385" i="12"/>
  <c r="R386" i="12"/>
  <c r="R387" i="12"/>
  <c r="R388" i="12"/>
  <c r="R389" i="12"/>
  <c r="R390" i="12"/>
  <c r="R391" i="12"/>
  <c r="R392" i="12"/>
  <c r="R393" i="12"/>
  <c r="R394" i="12"/>
  <c r="R395" i="12"/>
  <c r="R396" i="12"/>
  <c r="R397" i="12"/>
  <c r="R398" i="12"/>
  <c r="R399" i="12"/>
  <c r="R400" i="12"/>
  <c r="R401" i="12"/>
  <c r="R402" i="12"/>
  <c r="R403" i="12"/>
  <c r="R404" i="12"/>
  <c r="R405" i="12"/>
  <c r="R406" i="12"/>
  <c r="R407" i="12"/>
  <c r="R408" i="12"/>
  <c r="R409" i="12"/>
  <c r="R410" i="12"/>
  <c r="R411" i="12"/>
  <c r="R412" i="12"/>
  <c r="R413" i="12"/>
  <c r="R414" i="12"/>
  <c r="R415" i="12"/>
  <c r="R416" i="12"/>
  <c r="R417" i="12"/>
  <c r="R418" i="12"/>
  <c r="R419" i="12"/>
  <c r="R420" i="12"/>
  <c r="R421" i="12"/>
  <c r="R422" i="12"/>
  <c r="R423" i="12"/>
  <c r="R424" i="12"/>
  <c r="R425" i="12"/>
  <c r="R426" i="12"/>
  <c r="R427" i="12"/>
  <c r="R428" i="12"/>
  <c r="R429" i="12"/>
  <c r="R430" i="12"/>
  <c r="R431" i="12"/>
  <c r="R432" i="12"/>
  <c r="R433" i="12"/>
  <c r="R434" i="12"/>
  <c r="R435" i="12"/>
  <c r="R436" i="12"/>
  <c r="R437" i="12"/>
  <c r="R438" i="12"/>
  <c r="R439" i="12"/>
  <c r="R440" i="12"/>
  <c r="R441" i="12"/>
  <c r="R442" i="12"/>
  <c r="R443" i="12"/>
  <c r="R444" i="12"/>
  <c r="R445" i="12"/>
  <c r="R446" i="12"/>
  <c r="R447" i="12"/>
  <c r="R448" i="12"/>
  <c r="R449" i="12"/>
  <c r="R450" i="12"/>
  <c r="R451" i="12"/>
  <c r="R452" i="12"/>
  <c r="R453" i="12"/>
  <c r="R454" i="12"/>
  <c r="R455" i="12"/>
  <c r="R456" i="12"/>
  <c r="R457" i="12"/>
  <c r="R458" i="12"/>
  <c r="R459" i="12"/>
  <c r="R460" i="12"/>
  <c r="R461" i="12"/>
  <c r="R462" i="12"/>
  <c r="R463" i="12"/>
  <c r="R464" i="12"/>
  <c r="R465" i="12"/>
  <c r="R466" i="12"/>
  <c r="R467" i="12"/>
  <c r="R468" i="12"/>
  <c r="R469" i="12"/>
  <c r="R470" i="12"/>
  <c r="R471" i="12"/>
  <c r="R472" i="12"/>
  <c r="R473" i="12"/>
  <c r="R474" i="12"/>
  <c r="R475" i="12"/>
  <c r="R476" i="12"/>
  <c r="R477" i="12"/>
  <c r="R478" i="12"/>
  <c r="R479" i="12"/>
  <c r="R480" i="12"/>
  <c r="R481" i="12"/>
  <c r="R482" i="12"/>
  <c r="R483" i="12"/>
  <c r="R484" i="12"/>
  <c r="R485" i="12"/>
  <c r="R486" i="12"/>
  <c r="R487" i="12"/>
  <c r="R488" i="12"/>
  <c r="R489" i="12"/>
  <c r="R490" i="12"/>
  <c r="R491" i="12"/>
  <c r="R492" i="12"/>
  <c r="R493" i="12"/>
  <c r="R494" i="12"/>
  <c r="R495" i="12"/>
  <c r="R496" i="12"/>
  <c r="R497" i="12"/>
  <c r="R498" i="12"/>
  <c r="R499" i="12"/>
  <c r="R500" i="12"/>
  <c r="R501" i="12"/>
  <c r="R502" i="12"/>
  <c r="R503" i="12"/>
  <c r="R504" i="12"/>
  <c r="R505" i="12"/>
  <c r="R506" i="12"/>
  <c r="R507" i="12"/>
  <c r="R508" i="12"/>
  <c r="R509" i="12"/>
  <c r="R510" i="12"/>
  <c r="R511" i="12"/>
  <c r="R512" i="12"/>
  <c r="R513" i="12"/>
  <c r="R514" i="12"/>
  <c r="R515" i="12"/>
  <c r="R516" i="12"/>
  <c r="R517" i="12"/>
  <c r="R518" i="12"/>
  <c r="R519" i="12"/>
  <c r="R520" i="12"/>
  <c r="R521" i="12"/>
  <c r="R522" i="12"/>
  <c r="R523" i="12"/>
  <c r="R524" i="12"/>
  <c r="R525" i="12"/>
  <c r="R526" i="12"/>
  <c r="R527" i="12"/>
  <c r="R528" i="12"/>
  <c r="R529" i="12"/>
  <c r="R530" i="12"/>
  <c r="R531" i="12"/>
  <c r="R532" i="12"/>
  <c r="R533" i="12"/>
  <c r="R534" i="12"/>
  <c r="R535" i="12"/>
  <c r="R536" i="12"/>
  <c r="R537" i="12"/>
  <c r="R538" i="12"/>
  <c r="R539" i="12"/>
  <c r="R540" i="12"/>
  <c r="R541" i="12"/>
  <c r="R542" i="12"/>
  <c r="R543" i="12"/>
  <c r="R544" i="12"/>
  <c r="R545" i="12"/>
  <c r="R546" i="12"/>
  <c r="R547" i="12"/>
  <c r="R548" i="12"/>
  <c r="R549" i="12"/>
  <c r="R550" i="12"/>
  <c r="R551" i="12"/>
  <c r="R552" i="12"/>
  <c r="R553" i="12"/>
  <c r="R554" i="12"/>
  <c r="R555" i="12"/>
  <c r="R556" i="12"/>
  <c r="R557" i="12"/>
  <c r="R558" i="12"/>
  <c r="R559" i="12"/>
  <c r="R560" i="12"/>
  <c r="R561" i="12"/>
  <c r="R562" i="12"/>
  <c r="R563" i="12"/>
  <c r="R564" i="12"/>
  <c r="R565" i="12"/>
  <c r="R566" i="12"/>
  <c r="R567" i="12"/>
  <c r="R568" i="12"/>
  <c r="R569" i="12"/>
  <c r="R570" i="12"/>
  <c r="R571" i="12"/>
  <c r="R572" i="12"/>
  <c r="R573" i="12"/>
  <c r="R574" i="12"/>
  <c r="R575" i="12"/>
  <c r="R576" i="12"/>
  <c r="R577" i="12"/>
  <c r="R578" i="12"/>
  <c r="R579" i="12"/>
  <c r="R580" i="12"/>
  <c r="R581" i="12"/>
  <c r="R582" i="12"/>
  <c r="R583" i="12"/>
  <c r="R584" i="12"/>
  <c r="R585" i="12"/>
  <c r="R586" i="12"/>
  <c r="R587" i="12"/>
  <c r="R588" i="12"/>
  <c r="R589" i="12"/>
  <c r="R590" i="12"/>
  <c r="R591" i="12"/>
  <c r="R592" i="12"/>
  <c r="R593" i="12"/>
  <c r="R594" i="12"/>
  <c r="R595" i="12"/>
  <c r="R596" i="12"/>
  <c r="R597" i="12"/>
  <c r="R598" i="12"/>
  <c r="R599" i="12"/>
  <c r="R600" i="12"/>
  <c r="R601" i="12"/>
  <c r="R602" i="12"/>
  <c r="R603" i="12"/>
  <c r="R604" i="12"/>
  <c r="R605" i="12"/>
  <c r="R606" i="12"/>
  <c r="R607" i="12"/>
  <c r="R608" i="12"/>
  <c r="R609" i="12"/>
  <c r="R610" i="12"/>
  <c r="R611" i="12"/>
  <c r="R612" i="12"/>
  <c r="R613" i="12"/>
  <c r="R614" i="12"/>
  <c r="R615" i="12"/>
  <c r="R616" i="12"/>
  <c r="R617" i="12"/>
  <c r="R618" i="12"/>
  <c r="R619" i="12"/>
  <c r="R620" i="12"/>
  <c r="R621" i="12"/>
  <c r="R622" i="12"/>
  <c r="R623" i="12"/>
  <c r="R624" i="12"/>
  <c r="R625" i="12"/>
  <c r="R626" i="12"/>
  <c r="R627" i="12"/>
  <c r="R628" i="12"/>
  <c r="R629" i="12"/>
  <c r="R630" i="12"/>
  <c r="R631" i="12"/>
  <c r="R632" i="12"/>
  <c r="R633" i="12"/>
  <c r="R634" i="12"/>
  <c r="R635" i="12"/>
  <c r="R636" i="12"/>
  <c r="R637" i="12"/>
  <c r="R638" i="12"/>
  <c r="R639" i="12"/>
  <c r="R640" i="12"/>
  <c r="R641" i="12"/>
  <c r="R642" i="12"/>
  <c r="R643" i="12"/>
  <c r="R644" i="12"/>
  <c r="R645" i="12"/>
  <c r="R646" i="12"/>
  <c r="R647" i="12"/>
  <c r="R648" i="12"/>
  <c r="R649" i="12"/>
  <c r="R650" i="12"/>
  <c r="R651" i="12"/>
  <c r="R652" i="12"/>
  <c r="R653" i="12"/>
  <c r="R654" i="12"/>
  <c r="R655" i="12"/>
  <c r="R656" i="12"/>
  <c r="R657" i="12"/>
  <c r="R658" i="12"/>
  <c r="R659" i="12"/>
  <c r="R660" i="12"/>
  <c r="R661" i="12"/>
  <c r="R662" i="12"/>
  <c r="R663" i="12"/>
  <c r="R664" i="12"/>
  <c r="R665" i="12"/>
  <c r="R666" i="12"/>
  <c r="R667" i="12"/>
  <c r="R668" i="12"/>
  <c r="R669" i="12"/>
  <c r="R670" i="12"/>
  <c r="R671" i="12"/>
  <c r="R672" i="12"/>
  <c r="R673" i="12"/>
  <c r="R674" i="12"/>
  <c r="R675" i="12"/>
  <c r="R676" i="12"/>
  <c r="R677" i="12"/>
  <c r="R678" i="12"/>
  <c r="R679" i="12"/>
  <c r="R680" i="12"/>
  <c r="R681" i="12"/>
  <c r="R682" i="12"/>
  <c r="R683" i="12"/>
  <c r="R684" i="12"/>
  <c r="R685" i="12"/>
  <c r="R686" i="12"/>
  <c r="R687" i="12"/>
  <c r="R688" i="12"/>
  <c r="R689" i="12"/>
  <c r="R690" i="12"/>
  <c r="R691" i="12"/>
  <c r="R692" i="12"/>
  <c r="R693" i="12"/>
  <c r="R694" i="12"/>
  <c r="R695" i="12"/>
  <c r="R696" i="12"/>
  <c r="R697" i="12"/>
  <c r="R698" i="12"/>
  <c r="R699" i="12"/>
  <c r="R700" i="12"/>
  <c r="R701" i="12"/>
  <c r="R702" i="12"/>
  <c r="R703" i="12"/>
  <c r="R704" i="12"/>
  <c r="R705" i="12"/>
  <c r="R706" i="12"/>
  <c r="R707" i="12"/>
  <c r="R708" i="12"/>
  <c r="R709" i="12"/>
  <c r="R710" i="12"/>
  <c r="R711" i="12"/>
  <c r="R712" i="12"/>
  <c r="R713" i="12"/>
  <c r="R714" i="12"/>
  <c r="R715" i="12"/>
  <c r="R716" i="12"/>
  <c r="R717" i="12"/>
  <c r="R718" i="12"/>
  <c r="R719" i="12"/>
  <c r="R720" i="12"/>
  <c r="R721" i="12"/>
  <c r="R722" i="12"/>
  <c r="R723" i="12"/>
  <c r="R724" i="12"/>
  <c r="R725" i="12"/>
  <c r="R726" i="12"/>
  <c r="R727" i="12"/>
  <c r="R728" i="12"/>
  <c r="R729" i="12"/>
  <c r="R730" i="12"/>
  <c r="R731" i="12"/>
  <c r="R732" i="12"/>
  <c r="R733" i="12"/>
  <c r="R734" i="12"/>
  <c r="R735" i="12"/>
  <c r="R736" i="12"/>
  <c r="R737" i="12"/>
  <c r="R738" i="12"/>
  <c r="R739" i="12"/>
  <c r="R740" i="12"/>
  <c r="R741" i="12"/>
  <c r="R742" i="12"/>
  <c r="R743" i="12"/>
  <c r="R744" i="12"/>
  <c r="R745" i="12"/>
  <c r="R746" i="12"/>
  <c r="R747" i="12"/>
  <c r="R748" i="12"/>
  <c r="R749" i="12"/>
  <c r="R750" i="12"/>
  <c r="R751" i="12"/>
  <c r="R752" i="12"/>
  <c r="R753" i="12"/>
  <c r="R754" i="12"/>
  <c r="R755" i="12"/>
  <c r="R756" i="12"/>
  <c r="R757" i="12"/>
  <c r="R758" i="12"/>
  <c r="R759" i="12"/>
  <c r="R760" i="12"/>
  <c r="R761" i="12"/>
  <c r="R762" i="12"/>
  <c r="R763" i="12"/>
  <c r="R764" i="12"/>
  <c r="R765" i="12"/>
  <c r="R766" i="12"/>
  <c r="R767" i="12"/>
  <c r="R768" i="12"/>
  <c r="R769" i="12"/>
  <c r="R770" i="12"/>
  <c r="R771" i="12"/>
  <c r="R772" i="12"/>
  <c r="R773" i="12"/>
  <c r="R774" i="12"/>
  <c r="R775" i="12"/>
  <c r="R776" i="12"/>
  <c r="R777" i="12"/>
  <c r="R778" i="12"/>
  <c r="R779" i="12"/>
  <c r="R780" i="12"/>
  <c r="R781" i="12"/>
  <c r="R782" i="12"/>
  <c r="R783" i="12"/>
  <c r="R784" i="12"/>
  <c r="R785" i="12"/>
  <c r="R786" i="12"/>
  <c r="R787" i="12"/>
  <c r="R788" i="12"/>
  <c r="R789" i="12"/>
  <c r="R790" i="12"/>
  <c r="R791" i="12"/>
  <c r="R792" i="12"/>
  <c r="R793" i="12"/>
  <c r="R794" i="12"/>
  <c r="R795" i="12"/>
  <c r="R796" i="12"/>
  <c r="R797" i="12"/>
  <c r="R798" i="12"/>
  <c r="R799" i="12"/>
  <c r="R800" i="12"/>
  <c r="R801" i="12"/>
  <c r="R802" i="12"/>
  <c r="R803" i="12"/>
  <c r="R804" i="12"/>
  <c r="R805" i="12"/>
  <c r="R806" i="12"/>
  <c r="R807" i="12"/>
  <c r="R808" i="12"/>
  <c r="R809" i="12"/>
  <c r="R810" i="12"/>
  <c r="R811" i="12"/>
  <c r="R812" i="12"/>
  <c r="R813" i="12"/>
  <c r="R814" i="12"/>
  <c r="R815" i="12"/>
  <c r="R816" i="12"/>
  <c r="R817" i="12"/>
  <c r="R818" i="12"/>
  <c r="R819" i="12"/>
  <c r="R820" i="12"/>
  <c r="R821" i="12"/>
  <c r="R822" i="12"/>
  <c r="R823" i="12"/>
  <c r="R824" i="12"/>
  <c r="R825" i="12"/>
  <c r="R826" i="12"/>
  <c r="R827" i="12"/>
  <c r="R828" i="12"/>
  <c r="R829" i="12"/>
  <c r="R830" i="12"/>
  <c r="R831" i="12"/>
  <c r="R832" i="12"/>
  <c r="R833" i="12"/>
  <c r="R834" i="12"/>
  <c r="R835" i="12"/>
  <c r="R836" i="12"/>
  <c r="R837" i="12"/>
  <c r="R838" i="12"/>
  <c r="R839" i="12"/>
  <c r="R840" i="12"/>
  <c r="R841" i="12"/>
  <c r="R842" i="12"/>
  <c r="R843" i="12"/>
  <c r="R844" i="12"/>
  <c r="R845" i="12"/>
  <c r="R846" i="12"/>
  <c r="R847" i="12"/>
  <c r="R848" i="12"/>
  <c r="R849" i="12"/>
  <c r="R850" i="12"/>
  <c r="R851" i="12"/>
  <c r="R852" i="12"/>
  <c r="R853" i="12"/>
  <c r="R854" i="12"/>
  <c r="R855" i="12"/>
  <c r="R856" i="12"/>
  <c r="R857" i="12"/>
  <c r="R858" i="12"/>
  <c r="R859" i="12"/>
  <c r="R860" i="12"/>
  <c r="R861" i="12"/>
  <c r="R862" i="12"/>
  <c r="R863" i="12"/>
  <c r="R864" i="12"/>
  <c r="R865" i="12"/>
  <c r="R866" i="12"/>
  <c r="R867" i="12"/>
  <c r="R868" i="12"/>
  <c r="R869" i="12"/>
  <c r="R870" i="12"/>
  <c r="R871" i="12"/>
  <c r="R872" i="12"/>
  <c r="R873" i="12"/>
  <c r="R874" i="12"/>
  <c r="R875" i="12"/>
  <c r="R876" i="12"/>
  <c r="R877" i="12"/>
  <c r="R878" i="12"/>
  <c r="R879" i="12"/>
  <c r="R880" i="12"/>
  <c r="R881" i="12"/>
  <c r="R882" i="12"/>
  <c r="R883" i="12"/>
  <c r="R884" i="12"/>
  <c r="R885" i="12"/>
  <c r="R886" i="12"/>
  <c r="R887" i="12"/>
  <c r="R888" i="12"/>
  <c r="R889" i="12"/>
  <c r="R890" i="12"/>
  <c r="R891" i="12"/>
  <c r="R892" i="12"/>
  <c r="R893" i="12"/>
  <c r="R894" i="12"/>
  <c r="R895" i="12"/>
  <c r="R896" i="12"/>
  <c r="R897" i="12"/>
  <c r="R898" i="12"/>
  <c r="R899" i="12"/>
  <c r="R900" i="12"/>
  <c r="R901" i="12"/>
  <c r="R902" i="12"/>
  <c r="R903" i="12"/>
  <c r="R904" i="12"/>
  <c r="R905" i="12"/>
  <c r="R906" i="12"/>
  <c r="R907" i="12"/>
  <c r="R908" i="12"/>
  <c r="R909" i="12"/>
  <c r="R910" i="12"/>
  <c r="R911" i="12"/>
  <c r="R912" i="12"/>
  <c r="R913" i="12"/>
  <c r="R914" i="12"/>
  <c r="R915" i="12"/>
  <c r="R916" i="12"/>
  <c r="R917" i="12"/>
  <c r="R918" i="12"/>
  <c r="R919" i="12"/>
  <c r="R920" i="12"/>
  <c r="R921" i="12"/>
  <c r="R922" i="12"/>
  <c r="R923" i="12"/>
  <c r="R924" i="12"/>
  <c r="R925" i="12"/>
  <c r="R926" i="12"/>
  <c r="R927" i="12"/>
  <c r="R928" i="12"/>
  <c r="R929" i="12"/>
  <c r="R930" i="12"/>
  <c r="R931" i="12"/>
  <c r="R932" i="12"/>
  <c r="R933" i="12"/>
  <c r="R934" i="12"/>
  <c r="R935" i="12"/>
  <c r="R936" i="12"/>
  <c r="R937" i="12"/>
  <c r="R938" i="12"/>
  <c r="R939" i="12"/>
  <c r="R940" i="12"/>
  <c r="R941" i="12"/>
  <c r="R942" i="12"/>
  <c r="R943" i="12"/>
  <c r="R944" i="12"/>
  <c r="R945" i="12"/>
  <c r="R946" i="12"/>
  <c r="R947" i="12"/>
  <c r="R948" i="12"/>
  <c r="R949" i="12"/>
  <c r="R950" i="12"/>
  <c r="R951" i="12"/>
  <c r="R952" i="12"/>
  <c r="R953" i="12"/>
  <c r="R954" i="12"/>
  <c r="R955" i="12"/>
  <c r="R956" i="12"/>
  <c r="R957" i="12"/>
  <c r="R958" i="12"/>
  <c r="R959" i="12"/>
  <c r="R960" i="12"/>
  <c r="R961" i="12"/>
  <c r="R962" i="12"/>
  <c r="R963" i="12"/>
  <c r="R964" i="12"/>
  <c r="R965" i="12"/>
  <c r="R966" i="12"/>
  <c r="R967" i="12"/>
  <c r="R968" i="12"/>
  <c r="R969" i="12"/>
  <c r="R970" i="12"/>
  <c r="R971" i="12"/>
  <c r="R972" i="12"/>
  <c r="R973" i="12"/>
  <c r="R974" i="12"/>
  <c r="R975" i="12"/>
  <c r="R976" i="12"/>
  <c r="R977" i="12"/>
  <c r="R978" i="12"/>
  <c r="R979" i="12"/>
  <c r="R980" i="12"/>
  <c r="R981" i="12"/>
  <c r="R982" i="12"/>
  <c r="R983" i="12"/>
  <c r="R984" i="12"/>
  <c r="R985" i="12"/>
  <c r="R986" i="12"/>
  <c r="R987" i="12"/>
  <c r="R988" i="12"/>
  <c r="R989" i="12"/>
  <c r="R990" i="12"/>
  <c r="R991" i="12"/>
  <c r="R992" i="12"/>
  <c r="R993" i="12"/>
  <c r="R994" i="12"/>
  <c r="R995" i="12"/>
  <c r="R996" i="12"/>
  <c r="R997" i="12"/>
  <c r="R998" i="12"/>
  <c r="R999" i="12"/>
  <c r="R1000" i="12"/>
  <c r="R4" i="12"/>
  <c r="V923" i="12" l="1"/>
  <c r="U923" i="12"/>
  <c r="V587" i="12"/>
  <c r="U587" i="12"/>
  <c r="V995" i="12"/>
  <c r="U995" i="12"/>
  <c r="V987" i="12"/>
  <c r="U987" i="12"/>
  <c r="V979" i="12"/>
  <c r="U979" i="12"/>
  <c r="V971" i="12"/>
  <c r="U971" i="12"/>
  <c r="V963" i="12"/>
  <c r="U963" i="12"/>
  <c r="V955" i="12"/>
  <c r="U955" i="12"/>
  <c r="V947" i="12"/>
  <c r="U947" i="12"/>
  <c r="V939" i="12"/>
  <c r="U939" i="12"/>
  <c r="V931" i="12"/>
  <c r="U931" i="12"/>
  <c r="V919" i="12"/>
  <c r="U919" i="12"/>
  <c r="V911" i="12"/>
  <c r="U911" i="12"/>
  <c r="V907" i="12"/>
  <c r="U907" i="12"/>
  <c r="V903" i="12"/>
  <c r="U903" i="12"/>
  <c r="V899" i="12"/>
  <c r="U899" i="12"/>
  <c r="V891" i="12"/>
  <c r="U891" i="12"/>
  <c r="V883" i="12"/>
  <c r="U883" i="12"/>
  <c r="V875" i="12"/>
  <c r="U875" i="12"/>
  <c r="V867" i="12"/>
  <c r="U867" i="12"/>
  <c r="V859" i="12"/>
  <c r="U859" i="12"/>
  <c r="V855" i="12"/>
  <c r="U855" i="12"/>
  <c r="V847" i="12"/>
  <c r="U847" i="12"/>
  <c r="V839" i="12"/>
  <c r="U839" i="12"/>
  <c r="V831" i="12"/>
  <c r="U831" i="12"/>
  <c r="V823" i="12"/>
  <c r="U823" i="12"/>
  <c r="V815" i="12"/>
  <c r="U815" i="12"/>
  <c r="V807" i="12"/>
  <c r="U807" i="12"/>
  <c r="V799" i="12"/>
  <c r="U799" i="12"/>
  <c r="V791" i="12"/>
  <c r="U791" i="12"/>
  <c r="V783" i="12"/>
  <c r="U783" i="12"/>
  <c r="V775" i="12"/>
  <c r="U775" i="12"/>
  <c r="V767" i="12"/>
  <c r="U767" i="12"/>
  <c r="V759" i="12"/>
  <c r="U759" i="12"/>
  <c r="V751" i="12"/>
  <c r="U751" i="12"/>
  <c r="V743" i="12"/>
  <c r="U743" i="12"/>
  <c r="V735" i="12"/>
  <c r="U735" i="12"/>
  <c r="V727" i="12"/>
  <c r="U727" i="12"/>
  <c r="V719" i="12"/>
  <c r="U719" i="12"/>
  <c r="V711" i="12"/>
  <c r="U711" i="12"/>
  <c r="V703" i="12"/>
  <c r="U703" i="12"/>
  <c r="V695" i="12"/>
  <c r="U695" i="12"/>
  <c r="V687" i="12"/>
  <c r="U687" i="12"/>
  <c r="V679" i="12"/>
  <c r="U679" i="12"/>
  <c r="V675" i="12"/>
  <c r="U675" i="12"/>
  <c r="V667" i="12"/>
  <c r="U667" i="12"/>
  <c r="V659" i="12"/>
  <c r="U659" i="12"/>
  <c r="V651" i="12"/>
  <c r="U651" i="12"/>
  <c r="V643" i="12"/>
  <c r="U643" i="12"/>
  <c r="V635" i="12"/>
  <c r="U635" i="12"/>
  <c r="V627" i="12"/>
  <c r="U627" i="12"/>
  <c r="V619" i="12"/>
  <c r="U619" i="12"/>
  <c r="V611" i="12"/>
  <c r="U611" i="12"/>
  <c r="V603" i="12"/>
  <c r="U603" i="12"/>
  <c r="V595" i="12"/>
  <c r="U595" i="12"/>
  <c r="V583" i="12"/>
  <c r="U583" i="12"/>
  <c r="V575" i="12"/>
  <c r="U575" i="12"/>
  <c r="V567" i="12"/>
  <c r="U567" i="12"/>
  <c r="V559" i="12"/>
  <c r="U559" i="12"/>
  <c r="V551" i="12"/>
  <c r="U551" i="12"/>
  <c r="V543" i="12"/>
  <c r="U543" i="12"/>
  <c r="V535" i="12"/>
  <c r="U535" i="12"/>
  <c r="V527" i="12"/>
  <c r="U527" i="12"/>
  <c r="V519" i="12"/>
  <c r="U519" i="12"/>
  <c r="V511" i="12"/>
  <c r="U511" i="12"/>
  <c r="V507" i="12"/>
  <c r="U507" i="12"/>
  <c r="V499" i="12"/>
  <c r="U499" i="12"/>
  <c r="V491" i="12"/>
  <c r="U491" i="12"/>
  <c r="V483" i="12"/>
  <c r="U483" i="12"/>
  <c r="V475" i="12"/>
  <c r="U475" i="12"/>
  <c r="V463" i="12"/>
  <c r="U463" i="12"/>
  <c r="V435" i="12"/>
  <c r="U435" i="12"/>
  <c r="V427" i="12"/>
  <c r="U427" i="12"/>
  <c r="V419" i="12"/>
  <c r="U419" i="12"/>
  <c r="V411" i="12"/>
  <c r="U411" i="12"/>
  <c r="V403" i="12"/>
  <c r="U403" i="12"/>
  <c r="V399" i="12"/>
  <c r="U399" i="12"/>
  <c r="V391" i="12"/>
  <c r="U391" i="12"/>
  <c r="V383" i="12"/>
  <c r="U383" i="12"/>
  <c r="V375" i="12"/>
  <c r="U375" i="12"/>
  <c r="V367" i="12"/>
  <c r="U367" i="12"/>
  <c r="V359" i="12"/>
  <c r="U359" i="12"/>
  <c r="V347" i="12"/>
  <c r="U347" i="12"/>
  <c r="V339" i="12"/>
  <c r="U339" i="12"/>
  <c r="V331" i="12"/>
  <c r="U331" i="12"/>
  <c r="V323" i="12"/>
  <c r="U323" i="12"/>
  <c r="V255" i="12"/>
  <c r="U255" i="12"/>
  <c r="V998" i="12"/>
  <c r="U998" i="12"/>
  <c r="V994" i="12"/>
  <c r="U994" i="12"/>
  <c r="V990" i="12"/>
  <c r="U990" i="12"/>
  <c r="V986" i="12"/>
  <c r="U986" i="12"/>
  <c r="V982" i="12"/>
  <c r="U982" i="12"/>
  <c r="V978" i="12"/>
  <c r="U978" i="12"/>
  <c r="V974" i="12"/>
  <c r="U974" i="12"/>
  <c r="V970" i="12"/>
  <c r="U970" i="12"/>
  <c r="V966" i="12"/>
  <c r="U966" i="12"/>
  <c r="V962" i="12"/>
  <c r="U962" i="12"/>
  <c r="V958" i="12"/>
  <c r="U958" i="12"/>
  <c r="V954" i="12"/>
  <c r="U954" i="12"/>
  <c r="V950" i="12"/>
  <c r="U950" i="12"/>
  <c r="V946" i="12"/>
  <c r="U946" i="12"/>
  <c r="V942" i="12"/>
  <c r="U942" i="12"/>
  <c r="V938" i="12"/>
  <c r="U938" i="12"/>
  <c r="V934" i="12"/>
  <c r="U934" i="12"/>
  <c r="V930" i="12"/>
  <c r="U930" i="12"/>
  <c r="V926" i="12"/>
  <c r="U926" i="12"/>
  <c r="V922" i="12"/>
  <c r="U922" i="12"/>
  <c r="V918" i="12"/>
  <c r="U918" i="12"/>
  <c r="V914" i="12"/>
  <c r="U914" i="12"/>
  <c r="V910" i="12"/>
  <c r="U910" i="12"/>
  <c r="V906" i="12"/>
  <c r="U906" i="12"/>
  <c r="V902" i="12"/>
  <c r="U902" i="12"/>
  <c r="V898" i="12"/>
  <c r="U898" i="12"/>
  <c r="V894" i="12"/>
  <c r="U894" i="12"/>
  <c r="V890" i="12"/>
  <c r="U890" i="12"/>
  <c r="V886" i="12"/>
  <c r="U886" i="12"/>
  <c r="V882" i="12"/>
  <c r="U882" i="12"/>
  <c r="V878" i="12"/>
  <c r="U878" i="12"/>
  <c r="V874" i="12"/>
  <c r="U874" i="12"/>
  <c r="V870" i="12"/>
  <c r="U870" i="12"/>
  <c r="V866" i="12"/>
  <c r="U866" i="12"/>
  <c r="V862" i="12"/>
  <c r="U862" i="12"/>
  <c r="V858" i="12"/>
  <c r="U858" i="12"/>
  <c r="V854" i="12"/>
  <c r="U854" i="12"/>
  <c r="V850" i="12"/>
  <c r="U850" i="12"/>
  <c r="V846" i="12"/>
  <c r="U846" i="12"/>
  <c r="V842" i="12"/>
  <c r="U842" i="12"/>
  <c r="V838" i="12"/>
  <c r="U838" i="12"/>
  <c r="V834" i="12"/>
  <c r="U834" i="12"/>
  <c r="V830" i="12"/>
  <c r="U830" i="12"/>
  <c r="V826" i="12"/>
  <c r="U826" i="12"/>
  <c r="V822" i="12"/>
  <c r="U822" i="12"/>
  <c r="V818" i="12"/>
  <c r="U818" i="12"/>
  <c r="V814" i="12"/>
  <c r="U814" i="12"/>
  <c r="V810" i="12"/>
  <c r="U810" i="12"/>
  <c r="V806" i="12"/>
  <c r="U806" i="12"/>
  <c r="V802" i="12"/>
  <c r="U802" i="12"/>
  <c r="V798" i="12"/>
  <c r="U798" i="12"/>
  <c r="V794" i="12"/>
  <c r="U794" i="12"/>
  <c r="V790" i="12"/>
  <c r="U790" i="12"/>
  <c r="V786" i="12"/>
  <c r="U786" i="12"/>
  <c r="V782" i="12"/>
  <c r="U782" i="12"/>
  <c r="V778" i="12"/>
  <c r="U778" i="12"/>
  <c r="V774" i="12"/>
  <c r="U774" i="12"/>
  <c r="V770" i="12"/>
  <c r="U770" i="12"/>
  <c r="V766" i="12"/>
  <c r="U766" i="12"/>
  <c r="V762" i="12"/>
  <c r="U762" i="12"/>
  <c r="V758" i="12"/>
  <c r="U758" i="12"/>
  <c r="V754" i="12"/>
  <c r="U754" i="12"/>
  <c r="V750" i="12"/>
  <c r="U750" i="12"/>
  <c r="V746" i="12"/>
  <c r="U746" i="12"/>
  <c r="V742" i="12"/>
  <c r="U742" i="12"/>
  <c r="V738" i="12"/>
  <c r="U738" i="12"/>
  <c r="V734" i="12"/>
  <c r="U734" i="12"/>
  <c r="V730" i="12"/>
  <c r="U730" i="12"/>
  <c r="V726" i="12"/>
  <c r="U726" i="12"/>
  <c r="V722" i="12"/>
  <c r="U722" i="12"/>
  <c r="V718" i="12"/>
  <c r="U718" i="12"/>
  <c r="V714" i="12"/>
  <c r="U714" i="12"/>
  <c r="V710" i="12"/>
  <c r="U710" i="12"/>
  <c r="V706" i="12"/>
  <c r="U706" i="12"/>
  <c r="V702" i="12"/>
  <c r="U702" i="12"/>
  <c r="V698" i="12"/>
  <c r="U698" i="12"/>
  <c r="V694" i="12"/>
  <c r="U694" i="12"/>
  <c r="V690" i="12"/>
  <c r="U690" i="12"/>
  <c r="V686" i="12"/>
  <c r="U686" i="12"/>
  <c r="V682" i="12"/>
  <c r="U682" i="12"/>
  <c r="V678" i="12"/>
  <c r="U678" i="12"/>
  <c r="V674" i="12"/>
  <c r="U674" i="12"/>
  <c r="V670" i="12"/>
  <c r="U670" i="12"/>
  <c r="V666" i="12"/>
  <c r="U666" i="12"/>
  <c r="V662" i="12"/>
  <c r="U662" i="12"/>
  <c r="V658" i="12"/>
  <c r="U658" i="12"/>
  <c r="V654" i="12"/>
  <c r="U654" i="12"/>
  <c r="V650" i="12"/>
  <c r="U650" i="12"/>
  <c r="V646" i="12"/>
  <c r="U646" i="12"/>
  <c r="V642" i="12"/>
  <c r="U642" i="12"/>
  <c r="V638" i="12"/>
  <c r="U638" i="12"/>
  <c r="V634" i="12"/>
  <c r="U634" i="12"/>
  <c r="V630" i="12"/>
  <c r="U630" i="12"/>
  <c r="V626" i="12"/>
  <c r="U626" i="12"/>
  <c r="V622" i="12"/>
  <c r="U622" i="12"/>
  <c r="V618" i="12"/>
  <c r="U618" i="12"/>
  <c r="V614" i="12"/>
  <c r="U614" i="12"/>
  <c r="V610" i="12"/>
  <c r="U610" i="12"/>
  <c r="V606" i="12"/>
  <c r="U606" i="12"/>
  <c r="V602" i="12"/>
  <c r="U602" i="12"/>
  <c r="V598" i="12"/>
  <c r="U598" i="12"/>
  <c r="V594" i="12"/>
  <c r="U594" i="12"/>
  <c r="V590" i="12"/>
  <c r="U590" i="12"/>
  <c r="V586" i="12"/>
  <c r="U586" i="12"/>
  <c r="V582" i="12"/>
  <c r="U582" i="12"/>
  <c r="V578" i="12"/>
  <c r="U578" i="12"/>
  <c r="V574" i="12"/>
  <c r="U574" i="12"/>
  <c r="V570" i="12"/>
  <c r="U570" i="12"/>
  <c r="V566" i="12"/>
  <c r="U566" i="12"/>
  <c r="V562" i="12"/>
  <c r="U562" i="12"/>
  <c r="V558" i="12"/>
  <c r="U558" i="12"/>
  <c r="V554" i="12"/>
  <c r="U554" i="12"/>
  <c r="V550" i="12"/>
  <c r="U550" i="12"/>
  <c r="V546" i="12"/>
  <c r="U546" i="12"/>
  <c r="V542" i="12"/>
  <c r="U542" i="12"/>
  <c r="V538" i="12"/>
  <c r="U538" i="12"/>
  <c r="V534" i="12"/>
  <c r="U534" i="12"/>
  <c r="V530" i="12"/>
  <c r="U530" i="12"/>
  <c r="V526" i="12"/>
  <c r="U526" i="12"/>
  <c r="V522" i="12"/>
  <c r="U522" i="12"/>
  <c r="V518" i="12"/>
  <c r="U518" i="12"/>
  <c r="V514" i="12"/>
  <c r="U514" i="12"/>
  <c r="V510" i="12"/>
  <c r="U510" i="12"/>
  <c r="V506" i="12"/>
  <c r="U506" i="12"/>
  <c r="V502" i="12"/>
  <c r="U502" i="12"/>
  <c r="V498" i="12"/>
  <c r="U498" i="12"/>
  <c r="V494" i="12"/>
  <c r="U494" i="12"/>
  <c r="V490" i="12"/>
  <c r="U490" i="12"/>
  <c r="V486" i="12"/>
  <c r="U486" i="12"/>
  <c r="V482" i="12"/>
  <c r="U482" i="12"/>
  <c r="V478" i="12"/>
  <c r="U478" i="12"/>
  <c r="V474" i="12"/>
  <c r="U474" i="12"/>
  <c r="V470" i="12"/>
  <c r="U470" i="12"/>
  <c r="V466" i="12"/>
  <c r="U466" i="12"/>
  <c r="V462" i="12"/>
  <c r="U462" i="12"/>
  <c r="V458" i="12"/>
  <c r="U458" i="12"/>
  <c r="V454" i="12"/>
  <c r="U454" i="12"/>
  <c r="V450" i="12"/>
  <c r="U450" i="12"/>
  <c r="V446" i="12"/>
  <c r="U446" i="12"/>
  <c r="V442" i="12"/>
  <c r="U442" i="12"/>
  <c r="V438" i="12"/>
  <c r="U438" i="12"/>
  <c r="V434" i="12"/>
  <c r="U434" i="12"/>
  <c r="V430" i="12"/>
  <c r="U430" i="12"/>
  <c r="V426" i="12"/>
  <c r="U426" i="12"/>
  <c r="V422" i="12"/>
  <c r="U422" i="12"/>
  <c r="V418" i="12"/>
  <c r="U418" i="12"/>
  <c r="V414" i="12"/>
  <c r="U414" i="12"/>
  <c r="V410" i="12"/>
  <c r="U410" i="12"/>
  <c r="V406" i="12"/>
  <c r="U406" i="12"/>
  <c r="V402" i="12"/>
  <c r="U402" i="12"/>
  <c r="V398" i="12"/>
  <c r="U398" i="12"/>
  <c r="V394" i="12"/>
  <c r="U394" i="12"/>
  <c r="V390" i="12"/>
  <c r="U390" i="12"/>
  <c r="V386" i="12"/>
  <c r="U386" i="12"/>
  <c r="V382" i="12"/>
  <c r="U382" i="12"/>
  <c r="V378" i="12"/>
  <c r="U378" i="12"/>
  <c r="V374" i="12"/>
  <c r="U374" i="12"/>
  <c r="V370" i="12"/>
  <c r="U370" i="12"/>
  <c r="V366" i="12"/>
  <c r="U366" i="12"/>
  <c r="V362" i="12"/>
  <c r="U362" i="12"/>
  <c r="V358" i="12"/>
  <c r="U358" i="12"/>
  <c r="V354" i="12"/>
  <c r="U354" i="12"/>
  <c r="V350" i="12"/>
  <c r="U350" i="12"/>
  <c r="V346" i="12"/>
  <c r="U346" i="12"/>
  <c r="V342" i="12"/>
  <c r="U342" i="12"/>
  <c r="V338" i="12"/>
  <c r="U338" i="12"/>
  <c r="V334" i="12"/>
  <c r="U334" i="12"/>
  <c r="V330" i="12"/>
  <c r="U330" i="12"/>
  <c r="V326" i="12"/>
  <c r="U326" i="12"/>
  <c r="V322" i="12"/>
  <c r="U322" i="12"/>
  <c r="V318" i="12"/>
  <c r="U318" i="12"/>
  <c r="V314" i="12"/>
  <c r="U314" i="12"/>
  <c r="V310" i="12"/>
  <c r="U310" i="12"/>
  <c r="V306" i="12"/>
  <c r="U306" i="12"/>
  <c r="V302" i="12"/>
  <c r="U302" i="12"/>
  <c r="V298" i="12"/>
  <c r="U298" i="12"/>
  <c r="V294" i="12"/>
  <c r="U294" i="12"/>
  <c r="V290" i="12"/>
  <c r="U290" i="12"/>
  <c r="V286" i="12"/>
  <c r="U286" i="12"/>
  <c r="V282" i="12"/>
  <c r="U282" i="12"/>
  <c r="V278" i="12"/>
  <c r="U278" i="12"/>
  <c r="V274" i="12"/>
  <c r="U274" i="12"/>
  <c r="V270" i="12"/>
  <c r="U270" i="12"/>
  <c r="V266" i="12"/>
  <c r="U266" i="12"/>
  <c r="V262" i="12"/>
  <c r="U262" i="12"/>
  <c r="V258" i="12"/>
  <c r="U258" i="12"/>
  <c r="V254" i="12"/>
  <c r="U254" i="12"/>
  <c r="V250" i="12"/>
  <c r="U250" i="12"/>
  <c r="V246" i="12"/>
  <c r="U246" i="12"/>
  <c r="V242" i="12"/>
  <c r="U242" i="12"/>
  <c r="V238" i="12"/>
  <c r="U238" i="12"/>
  <c r="V234" i="12"/>
  <c r="U234" i="12"/>
  <c r="V230" i="12"/>
  <c r="U230" i="12"/>
  <c r="V226" i="12"/>
  <c r="U226" i="12"/>
  <c r="V222" i="12"/>
  <c r="U222" i="12"/>
  <c r="V218" i="12"/>
  <c r="U218" i="12"/>
  <c r="V214" i="12"/>
  <c r="U214" i="12"/>
  <c r="V210" i="12"/>
  <c r="U210" i="12"/>
  <c r="V206" i="12"/>
  <c r="U206" i="12"/>
  <c r="V202" i="12"/>
  <c r="U202" i="12"/>
  <c r="V198" i="12"/>
  <c r="U198" i="12"/>
  <c r="V194" i="12"/>
  <c r="U194" i="12"/>
  <c r="V190" i="12"/>
  <c r="U190" i="12"/>
  <c r="V186" i="12"/>
  <c r="U186" i="12"/>
  <c r="V182" i="12"/>
  <c r="U182" i="12"/>
  <c r="V178" i="12"/>
  <c r="U178" i="12"/>
  <c r="V174" i="12"/>
  <c r="U174" i="12"/>
  <c r="V170" i="12"/>
  <c r="U170" i="12"/>
  <c r="V166" i="12"/>
  <c r="U166" i="12"/>
  <c r="V999" i="12"/>
  <c r="U999" i="12"/>
  <c r="V991" i="12"/>
  <c r="U991" i="12"/>
  <c r="V983" i="12"/>
  <c r="U983" i="12"/>
  <c r="V975" i="12"/>
  <c r="U975" i="12"/>
  <c r="V967" i="12"/>
  <c r="U967" i="12"/>
  <c r="V959" i="12"/>
  <c r="U959" i="12"/>
  <c r="V951" i="12"/>
  <c r="U951" i="12"/>
  <c r="V943" i="12"/>
  <c r="U943" i="12"/>
  <c r="V935" i="12"/>
  <c r="U935" i="12"/>
  <c r="V927" i="12"/>
  <c r="U927" i="12"/>
  <c r="V915" i="12"/>
  <c r="U915" i="12"/>
  <c r="V895" i="12"/>
  <c r="U895" i="12"/>
  <c r="V887" i="12"/>
  <c r="U887" i="12"/>
  <c r="V879" i="12"/>
  <c r="U879" i="12"/>
  <c r="V871" i="12"/>
  <c r="U871" i="12"/>
  <c r="V863" i="12"/>
  <c r="U863" i="12"/>
  <c r="V851" i="12"/>
  <c r="U851" i="12"/>
  <c r="V843" i="12"/>
  <c r="U843" i="12"/>
  <c r="V835" i="12"/>
  <c r="U835" i="12"/>
  <c r="V827" i="12"/>
  <c r="U827" i="12"/>
  <c r="V819" i="12"/>
  <c r="U819" i="12"/>
  <c r="V811" i="12"/>
  <c r="U811" i="12"/>
  <c r="V803" i="12"/>
  <c r="U803" i="12"/>
  <c r="V795" i="12"/>
  <c r="U795" i="12"/>
  <c r="V787" i="12"/>
  <c r="U787" i="12"/>
  <c r="V779" i="12"/>
  <c r="U779" i="12"/>
  <c r="V771" i="12"/>
  <c r="U771" i="12"/>
  <c r="V763" i="12"/>
  <c r="U763" i="12"/>
  <c r="V755" i="12"/>
  <c r="U755" i="12"/>
  <c r="V747" i="12"/>
  <c r="U747" i="12"/>
  <c r="V739" i="12"/>
  <c r="U739" i="12"/>
  <c r="V731" i="12"/>
  <c r="U731" i="12"/>
  <c r="V723" i="12"/>
  <c r="U723" i="12"/>
  <c r="V715" i="12"/>
  <c r="U715" i="12"/>
  <c r="V707" i="12"/>
  <c r="U707" i="12"/>
  <c r="V699" i="12"/>
  <c r="U699" i="12"/>
  <c r="V691" i="12"/>
  <c r="U691" i="12"/>
  <c r="V683" i="12"/>
  <c r="U683" i="12"/>
  <c r="V671" i="12"/>
  <c r="U671" i="12"/>
  <c r="V663" i="12"/>
  <c r="U663" i="12"/>
  <c r="V655" i="12"/>
  <c r="U655" i="12"/>
  <c r="V647" i="12"/>
  <c r="U647" i="12"/>
  <c r="V639" i="12"/>
  <c r="U639" i="12"/>
  <c r="V631" i="12"/>
  <c r="U631" i="12"/>
  <c r="V623" i="12"/>
  <c r="U623" i="12"/>
  <c r="V615" i="12"/>
  <c r="U615" i="12"/>
  <c r="V607" i="12"/>
  <c r="U607" i="12"/>
  <c r="V599" i="12"/>
  <c r="U599" i="12"/>
  <c r="V591" i="12"/>
  <c r="U591" i="12"/>
  <c r="V579" i="12"/>
  <c r="U579" i="12"/>
  <c r="V571" i="12"/>
  <c r="U571" i="12"/>
  <c r="V563" i="12"/>
  <c r="U563" i="12"/>
  <c r="V555" i="12"/>
  <c r="U555" i="12"/>
  <c r="V547" i="12"/>
  <c r="U547" i="12"/>
  <c r="V539" i="12"/>
  <c r="U539" i="12"/>
  <c r="V531" i="12"/>
  <c r="U531" i="12"/>
  <c r="V523" i="12"/>
  <c r="U523" i="12"/>
  <c r="U515" i="12"/>
  <c r="V515" i="12"/>
  <c r="V503" i="12"/>
  <c r="U503" i="12"/>
  <c r="V495" i="12"/>
  <c r="U495" i="12"/>
  <c r="V487" i="12"/>
  <c r="U487" i="12"/>
  <c r="V479" i="12"/>
  <c r="U479" i="12"/>
  <c r="V471" i="12"/>
  <c r="U471" i="12"/>
  <c r="V467" i="12"/>
  <c r="U467" i="12"/>
  <c r="V459" i="12"/>
  <c r="U459" i="12"/>
  <c r="V455" i="12"/>
  <c r="U455" i="12"/>
  <c r="U451" i="12"/>
  <c r="V451" i="12"/>
  <c r="V447" i="12"/>
  <c r="U447" i="12"/>
  <c r="V443" i="12"/>
  <c r="U443" i="12"/>
  <c r="V439" i="12"/>
  <c r="U439" i="12"/>
  <c r="V431" i="12"/>
  <c r="U431" i="12"/>
  <c r="V423" i="12"/>
  <c r="U423" i="12"/>
  <c r="V415" i="12"/>
  <c r="U415" i="12"/>
  <c r="V407" i="12"/>
  <c r="U407" i="12"/>
  <c r="V395" i="12"/>
  <c r="U395" i="12"/>
  <c r="U387" i="12"/>
  <c r="V387" i="12"/>
  <c r="V379" i="12"/>
  <c r="U379" i="12"/>
  <c r="V371" i="12"/>
  <c r="U371" i="12"/>
  <c r="V363" i="12"/>
  <c r="U363" i="12"/>
  <c r="V355" i="12"/>
  <c r="U355" i="12"/>
  <c r="V351" i="12"/>
  <c r="U351" i="12"/>
  <c r="V343" i="12"/>
  <c r="U343" i="12"/>
  <c r="V335" i="12"/>
  <c r="U335" i="12"/>
  <c r="V327" i="12"/>
  <c r="U327" i="12"/>
  <c r="V319" i="12"/>
  <c r="U319" i="12"/>
  <c r="V315" i="12"/>
  <c r="U315" i="12"/>
  <c r="V311" i="12"/>
  <c r="U311" i="12"/>
  <c r="V307" i="12"/>
  <c r="U307" i="12"/>
  <c r="V303" i="12"/>
  <c r="U303" i="12"/>
  <c r="V299" i="12"/>
  <c r="U299" i="12"/>
  <c r="V295" i="12"/>
  <c r="U295" i="12"/>
  <c r="V291" i="12"/>
  <c r="U291" i="12"/>
  <c r="V287" i="12"/>
  <c r="U287" i="12"/>
  <c r="V283" i="12"/>
  <c r="U283" i="12"/>
  <c r="V279" i="12"/>
  <c r="U279" i="12"/>
  <c r="V275" i="12"/>
  <c r="U275" i="12"/>
  <c r="V271" i="12"/>
  <c r="U271" i="12"/>
  <c r="V267" i="12"/>
  <c r="U267" i="12"/>
  <c r="V263" i="12"/>
  <c r="U263" i="12"/>
  <c r="V259" i="12"/>
  <c r="U259" i="12"/>
  <c r="V251" i="12"/>
  <c r="U251" i="12"/>
  <c r="V247" i="12"/>
  <c r="U247" i="12"/>
  <c r="V243" i="12"/>
  <c r="U243" i="12"/>
  <c r="V239" i="12"/>
  <c r="U239" i="12"/>
  <c r="V235" i="12"/>
  <c r="U235" i="12"/>
  <c r="V231" i="12"/>
  <c r="U231" i="12"/>
  <c r="V227" i="12"/>
  <c r="U227" i="12"/>
  <c r="V223" i="12"/>
  <c r="U223" i="12"/>
  <c r="V219" i="12"/>
  <c r="U219" i="12"/>
  <c r="V215" i="12"/>
  <c r="U215" i="12"/>
  <c r="V211" i="12"/>
  <c r="U211" i="12"/>
  <c r="V207" i="12"/>
  <c r="U207" i="12"/>
  <c r="V203" i="12"/>
  <c r="U203" i="12"/>
  <c r="V199" i="12"/>
  <c r="U199" i="12"/>
  <c r="V195" i="12"/>
  <c r="U195" i="12"/>
  <c r="V4" i="12"/>
  <c r="U4" i="12"/>
  <c r="V997" i="12"/>
  <c r="U997" i="12"/>
  <c r="V993" i="12"/>
  <c r="U993" i="12"/>
  <c r="V989" i="12"/>
  <c r="U989" i="12"/>
  <c r="V985" i="12"/>
  <c r="U985" i="12"/>
  <c r="V981" i="12"/>
  <c r="U981" i="12"/>
  <c r="V977" i="12"/>
  <c r="U977" i="12"/>
  <c r="V973" i="12"/>
  <c r="U973" i="12"/>
  <c r="V969" i="12"/>
  <c r="U969" i="12"/>
  <c r="V965" i="12"/>
  <c r="U965" i="12"/>
  <c r="V961" i="12"/>
  <c r="U961" i="12"/>
  <c r="V957" i="12"/>
  <c r="U957" i="12"/>
  <c r="U953" i="12"/>
  <c r="V953" i="12"/>
  <c r="V949" i="12"/>
  <c r="U949" i="12"/>
  <c r="V945" i="12"/>
  <c r="U945" i="12"/>
  <c r="V941" i="12"/>
  <c r="U941" i="12"/>
  <c r="U937" i="12"/>
  <c r="V937" i="12"/>
  <c r="V933" i="12"/>
  <c r="U933" i="12"/>
  <c r="V929" i="12"/>
  <c r="U929" i="12"/>
  <c r="V925" i="12"/>
  <c r="U925" i="12"/>
  <c r="V921" i="12"/>
  <c r="U921" i="12"/>
  <c r="V917" i="12"/>
  <c r="U917" i="12"/>
  <c r="V913" i="12"/>
  <c r="U913" i="12"/>
  <c r="V909" i="12"/>
  <c r="U909" i="12"/>
  <c r="V905" i="12"/>
  <c r="U905" i="12"/>
  <c r="V901" i="12"/>
  <c r="U901" i="12"/>
  <c r="V897" i="12"/>
  <c r="U897" i="12"/>
  <c r="V893" i="12"/>
  <c r="U893" i="12"/>
  <c r="U889" i="12"/>
  <c r="V889" i="12"/>
  <c r="V885" i="12"/>
  <c r="U885" i="12"/>
  <c r="V881" i="12"/>
  <c r="U881" i="12"/>
  <c r="V877" i="12"/>
  <c r="U877" i="12"/>
  <c r="V873" i="12"/>
  <c r="U873" i="12"/>
  <c r="V869" i="12"/>
  <c r="U869" i="12"/>
  <c r="V865" i="12"/>
  <c r="U865" i="12"/>
  <c r="V861" i="12"/>
  <c r="U861" i="12"/>
  <c r="V857" i="12"/>
  <c r="U857" i="12"/>
  <c r="V853" i="12"/>
  <c r="U853" i="12"/>
  <c r="V849" i="12"/>
  <c r="U849" i="12"/>
  <c r="V845" i="12"/>
  <c r="U845" i="12"/>
  <c r="V841" i="12"/>
  <c r="U841" i="12"/>
  <c r="V837" i="12"/>
  <c r="U837" i="12"/>
  <c r="V833" i="12"/>
  <c r="U833" i="12"/>
  <c r="V829" i="12"/>
  <c r="U829" i="12"/>
  <c r="V825" i="12"/>
  <c r="U825" i="12"/>
  <c r="V821" i="12"/>
  <c r="U821" i="12"/>
  <c r="V817" i="12"/>
  <c r="U817" i="12"/>
  <c r="V813" i="12"/>
  <c r="U813" i="12"/>
  <c r="V809" i="12"/>
  <c r="U809" i="12"/>
  <c r="V805" i="12"/>
  <c r="U805" i="12"/>
  <c r="V801" i="12"/>
  <c r="U801" i="12"/>
  <c r="V797" i="12"/>
  <c r="U797" i="12"/>
  <c r="V793" i="12"/>
  <c r="U793" i="12"/>
  <c r="V789" i="12"/>
  <c r="U789" i="12"/>
  <c r="V785" i="12"/>
  <c r="U785" i="12"/>
  <c r="V781" i="12"/>
  <c r="U781" i="12"/>
  <c r="V777" i="12"/>
  <c r="U777" i="12"/>
  <c r="V773" i="12"/>
  <c r="U773" i="12"/>
  <c r="V769" i="12"/>
  <c r="U769" i="12"/>
  <c r="V765" i="12"/>
  <c r="U765" i="12"/>
  <c r="U761" i="12"/>
  <c r="V761" i="12"/>
  <c r="V757" i="12"/>
  <c r="U757" i="12"/>
  <c r="V753" i="12"/>
  <c r="U753" i="12"/>
  <c r="V749" i="12"/>
  <c r="U749" i="12"/>
  <c r="V745" i="12"/>
  <c r="U745" i="12"/>
  <c r="V741" i="12"/>
  <c r="U741" i="12"/>
  <c r="V737" i="12"/>
  <c r="U737" i="12"/>
  <c r="V733" i="12"/>
  <c r="U733" i="12"/>
  <c r="V729" i="12"/>
  <c r="U729" i="12"/>
  <c r="V725" i="12"/>
  <c r="U725" i="12"/>
  <c r="V721" i="12"/>
  <c r="U721" i="12"/>
  <c r="V717" i="12"/>
  <c r="U717" i="12"/>
  <c r="V713" i="12"/>
  <c r="U713" i="12"/>
  <c r="V709" i="12"/>
  <c r="U709" i="12"/>
  <c r="V705" i="12"/>
  <c r="U705" i="12"/>
  <c r="V701" i="12"/>
  <c r="U701" i="12"/>
  <c r="V697" i="12"/>
  <c r="U697" i="12"/>
  <c r="V693" i="12"/>
  <c r="U693" i="12"/>
  <c r="V689" i="12"/>
  <c r="U689" i="12"/>
  <c r="V685" i="12"/>
  <c r="U685" i="12"/>
  <c r="V681" i="12"/>
  <c r="U681" i="12"/>
  <c r="V677" i="12"/>
  <c r="U677" i="12"/>
  <c r="V673" i="12"/>
  <c r="U673" i="12"/>
  <c r="V669" i="12"/>
  <c r="U669" i="12"/>
  <c r="V665" i="12"/>
  <c r="U665" i="12"/>
  <c r="V661" i="12"/>
  <c r="U661" i="12"/>
  <c r="V657" i="12"/>
  <c r="U657" i="12"/>
  <c r="V653" i="12"/>
  <c r="U653" i="12"/>
  <c r="V649" i="12"/>
  <c r="U649" i="12"/>
  <c r="V645" i="12"/>
  <c r="U645" i="12"/>
  <c r="V641" i="12"/>
  <c r="U641" i="12"/>
  <c r="V637" i="12"/>
  <c r="U637" i="12"/>
  <c r="V633" i="12"/>
  <c r="U633" i="12"/>
  <c r="V629" i="12"/>
  <c r="U629" i="12"/>
  <c r="V625" i="12"/>
  <c r="U625" i="12"/>
  <c r="V621" i="12"/>
  <c r="U621" i="12"/>
  <c r="V617" i="12"/>
  <c r="U617" i="12"/>
  <c r="V613" i="12"/>
  <c r="U613" i="12"/>
  <c r="V609" i="12"/>
  <c r="U609" i="12"/>
  <c r="V605" i="12"/>
  <c r="U605" i="12"/>
  <c r="V601" i="12"/>
  <c r="U601" i="12"/>
  <c r="V597" i="12"/>
  <c r="U597" i="12"/>
  <c r="V593" i="12"/>
  <c r="U593" i="12"/>
  <c r="V589" i="12"/>
  <c r="U589" i="12"/>
  <c r="V585" i="12"/>
  <c r="U585" i="12"/>
  <c r="V581" i="12"/>
  <c r="U581" i="12"/>
  <c r="V577" i="12"/>
  <c r="U577" i="12"/>
  <c r="V573" i="12"/>
  <c r="U573" i="12"/>
  <c r="V569" i="12"/>
  <c r="U569" i="12"/>
  <c r="V565" i="12"/>
  <c r="U565" i="12"/>
  <c r="V561" i="12"/>
  <c r="U561" i="12"/>
  <c r="V557" i="12"/>
  <c r="U557" i="12"/>
  <c r="V553" i="12"/>
  <c r="U553" i="12"/>
  <c r="V549" i="12"/>
  <c r="U549" i="12"/>
  <c r="V545" i="12"/>
  <c r="U545" i="12"/>
  <c r="V541" i="12"/>
  <c r="U541" i="12"/>
  <c r="V537" i="12"/>
  <c r="U537" i="12"/>
  <c r="V533" i="12"/>
  <c r="U533" i="12"/>
  <c r="V529" i="12"/>
  <c r="U529" i="12"/>
  <c r="V525" i="12"/>
  <c r="U525" i="12"/>
  <c r="V521" i="12"/>
  <c r="U521" i="12"/>
  <c r="V517" i="12"/>
  <c r="U517" i="12"/>
  <c r="V513" i="12"/>
  <c r="U513" i="12"/>
  <c r="V509" i="12"/>
  <c r="U509" i="12"/>
  <c r="V505" i="12"/>
  <c r="U505" i="12"/>
  <c r="V501" i="12"/>
  <c r="U501" i="12"/>
  <c r="V497" i="12"/>
  <c r="U497" i="12"/>
  <c r="V493" i="12"/>
  <c r="U493" i="12"/>
  <c r="V489" i="12"/>
  <c r="U489" i="12"/>
  <c r="V485" i="12"/>
  <c r="U485" i="12"/>
  <c r="V481" i="12"/>
  <c r="U481" i="12"/>
  <c r="V477" i="12"/>
  <c r="U477" i="12"/>
  <c r="V473" i="12"/>
  <c r="U473" i="12"/>
  <c r="V469" i="12"/>
  <c r="U469" i="12"/>
  <c r="V465" i="12"/>
  <c r="U465" i="12"/>
  <c r="V461" i="12"/>
  <c r="U461" i="12"/>
  <c r="V457" i="12"/>
  <c r="U457" i="12"/>
  <c r="V453" i="12"/>
  <c r="U453" i="12"/>
  <c r="V449" i="12"/>
  <c r="U449" i="12"/>
  <c r="V445" i="12"/>
  <c r="U445" i="12"/>
  <c r="V441" i="12"/>
  <c r="U441" i="12"/>
  <c r="V437" i="12"/>
  <c r="U437" i="12"/>
  <c r="V433" i="12"/>
  <c r="U433" i="12"/>
  <c r="V429" i="12"/>
  <c r="U429" i="12"/>
  <c r="V425" i="12"/>
  <c r="U425" i="12"/>
  <c r="V421" i="12"/>
  <c r="U421" i="12"/>
  <c r="V417" i="12"/>
  <c r="U417" i="12"/>
  <c r="V413" i="12"/>
  <c r="U413" i="12"/>
  <c r="V409" i="12"/>
  <c r="U409" i="12"/>
  <c r="V405" i="12"/>
  <c r="U405" i="12"/>
  <c r="V401" i="12"/>
  <c r="U401" i="12"/>
  <c r="V397" i="12"/>
  <c r="U397" i="12"/>
  <c r="V393" i="12"/>
  <c r="U393" i="12"/>
  <c r="V389" i="12"/>
  <c r="U389" i="12"/>
  <c r="V385" i="12"/>
  <c r="U385" i="12"/>
  <c r="V381" i="12"/>
  <c r="U381" i="12"/>
  <c r="V377" i="12"/>
  <c r="U377" i="12"/>
  <c r="V373" i="12"/>
  <c r="U373" i="12"/>
  <c r="V369" i="12"/>
  <c r="U369" i="12"/>
  <c r="V365" i="12"/>
  <c r="U365" i="12"/>
  <c r="V361" i="12"/>
  <c r="U361" i="12"/>
  <c r="V357" i="12"/>
  <c r="U357" i="12"/>
  <c r="V353" i="12"/>
  <c r="U353" i="12"/>
  <c r="V349" i="12"/>
  <c r="U349" i="12"/>
  <c r="V345" i="12"/>
  <c r="U345" i="12"/>
  <c r="V341" i="12"/>
  <c r="U341" i="12"/>
  <c r="V337" i="12"/>
  <c r="U337" i="12"/>
  <c r="V333" i="12"/>
  <c r="U333" i="12"/>
  <c r="V329" i="12"/>
  <c r="U329" i="12"/>
  <c r="V325" i="12"/>
  <c r="U325" i="12"/>
  <c r="V321" i="12"/>
  <c r="U321" i="12"/>
  <c r="V317" i="12"/>
  <c r="U317" i="12"/>
  <c r="V313" i="12"/>
  <c r="U313" i="12"/>
  <c r="V309" i="12"/>
  <c r="U309" i="12"/>
  <c r="V305" i="12"/>
  <c r="U305" i="12"/>
  <c r="V301" i="12"/>
  <c r="U301" i="12"/>
  <c r="V297" i="12"/>
  <c r="U297" i="12"/>
  <c r="V293" i="12"/>
  <c r="U293" i="12"/>
  <c r="V289" i="12"/>
  <c r="U289" i="12"/>
  <c r="V285" i="12"/>
  <c r="U285" i="12"/>
  <c r="V281" i="12"/>
  <c r="U281" i="12"/>
  <c r="V277" i="12"/>
  <c r="U277" i="12"/>
  <c r="V273" i="12"/>
  <c r="U273" i="12"/>
  <c r="V269" i="12"/>
  <c r="U269" i="12"/>
  <c r="V265" i="12"/>
  <c r="U265" i="12"/>
  <c r="V261" i="12"/>
  <c r="U261" i="12"/>
  <c r="V257" i="12"/>
  <c r="U257" i="12"/>
  <c r="V253" i="12"/>
  <c r="U253" i="12"/>
  <c r="V249" i="12"/>
  <c r="U249" i="12"/>
  <c r="V245" i="12"/>
  <c r="U245" i="12"/>
  <c r="V241" i="12"/>
  <c r="U241" i="12"/>
  <c r="V237" i="12"/>
  <c r="U237" i="12"/>
  <c r="V233" i="12"/>
  <c r="U233" i="12"/>
  <c r="V229" i="12"/>
  <c r="U229" i="12"/>
  <c r="V225" i="12"/>
  <c r="U225" i="12"/>
  <c r="V221" i="12"/>
  <c r="U221" i="12"/>
  <c r="V217" i="12"/>
  <c r="U217" i="12"/>
  <c r="V213" i="12"/>
  <c r="U213" i="12"/>
  <c r="V209" i="12"/>
  <c r="U209" i="12"/>
  <c r="V205" i="12"/>
  <c r="U205" i="12"/>
  <c r="V201" i="12"/>
  <c r="U201" i="12"/>
  <c r="V197" i="12"/>
  <c r="U197" i="12"/>
  <c r="V193" i="12"/>
  <c r="U193" i="12"/>
  <c r="V189" i="12"/>
  <c r="U189" i="12"/>
  <c r="V185" i="12"/>
  <c r="U185" i="12"/>
  <c r="V181" i="12"/>
  <c r="U181" i="12"/>
  <c r="V177" i="12"/>
  <c r="U177" i="12"/>
  <c r="V173" i="12"/>
  <c r="U173" i="12"/>
  <c r="V169" i="12"/>
  <c r="U169" i="12"/>
  <c r="V165" i="12"/>
  <c r="U165" i="12"/>
  <c r="V161" i="12"/>
  <c r="U161" i="12"/>
  <c r="V157" i="12"/>
  <c r="U157" i="12"/>
  <c r="V153" i="12"/>
  <c r="U153" i="12"/>
  <c r="V149" i="12"/>
  <c r="U149" i="12"/>
  <c r="V145" i="12"/>
  <c r="U145" i="12"/>
  <c r="V141" i="12"/>
  <c r="U141" i="12"/>
  <c r="V137" i="12"/>
  <c r="U137" i="12"/>
  <c r="V133" i="12"/>
  <c r="U133" i="12"/>
  <c r="V129" i="12"/>
  <c r="U129" i="12"/>
  <c r="V125" i="12"/>
  <c r="U125" i="12"/>
  <c r="V121" i="12"/>
  <c r="U121" i="12"/>
  <c r="V117" i="12"/>
  <c r="U117" i="12"/>
  <c r="V113" i="12"/>
  <c r="U113" i="12"/>
  <c r="V109" i="12"/>
  <c r="U109" i="12"/>
  <c r="V105" i="12"/>
  <c r="U105" i="12"/>
  <c r="V101" i="12"/>
  <c r="U101" i="12"/>
  <c r="V97" i="12"/>
  <c r="U97" i="12"/>
  <c r="V93" i="12"/>
  <c r="U93" i="12"/>
  <c r="V89" i="12"/>
  <c r="U89" i="12"/>
  <c r="V85" i="12"/>
  <c r="U85" i="12"/>
  <c r="V81" i="12"/>
  <c r="U81" i="12"/>
  <c r="V1000" i="12"/>
  <c r="U1000" i="12"/>
  <c r="V996" i="12"/>
  <c r="U996" i="12"/>
  <c r="V992" i="12"/>
  <c r="U992" i="12"/>
  <c r="V988" i="12"/>
  <c r="U988" i="12"/>
  <c r="V984" i="12"/>
  <c r="U984" i="12"/>
  <c r="V980" i="12"/>
  <c r="U980" i="12"/>
  <c r="V976" i="12"/>
  <c r="U976" i="12"/>
  <c r="V972" i="12"/>
  <c r="U972" i="12"/>
  <c r="V968" i="12"/>
  <c r="U968" i="12"/>
  <c r="V964" i="12"/>
  <c r="U964" i="12"/>
  <c r="V960" i="12"/>
  <c r="U960" i="12"/>
  <c r="V956" i="12"/>
  <c r="U956" i="12"/>
  <c r="V952" i="12"/>
  <c r="U952" i="12"/>
  <c r="V948" i="12"/>
  <c r="U948" i="12"/>
  <c r="V944" i="12"/>
  <c r="U944" i="12"/>
  <c r="V940" i="12"/>
  <c r="U940" i="12"/>
  <c r="V936" i="12"/>
  <c r="U936" i="12"/>
  <c r="V932" i="12"/>
  <c r="U932" i="12"/>
  <c r="V928" i="12"/>
  <c r="U928" i="12"/>
  <c r="V924" i="12"/>
  <c r="U924" i="12"/>
  <c r="V920" i="12"/>
  <c r="U920" i="12"/>
  <c r="V916" i="12"/>
  <c r="U916" i="12"/>
  <c r="V912" i="12"/>
  <c r="U912" i="12"/>
  <c r="V908" i="12"/>
  <c r="U908" i="12"/>
  <c r="V904" i="12"/>
  <c r="U904" i="12"/>
  <c r="V900" i="12"/>
  <c r="U900" i="12"/>
  <c r="V896" i="12"/>
  <c r="U896" i="12"/>
  <c r="V892" i="12"/>
  <c r="U892" i="12"/>
  <c r="V888" i="12"/>
  <c r="U888" i="12"/>
  <c r="V884" i="12"/>
  <c r="U884" i="12"/>
  <c r="V880" i="12"/>
  <c r="U880" i="12"/>
  <c r="V876" i="12"/>
  <c r="U876" i="12"/>
  <c r="V872" i="12"/>
  <c r="U872" i="12"/>
  <c r="V868" i="12"/>
  <c r="U868" i="12"/>
  <c r="V864" i="12"/>
  <c r="U864" i="12"/>
  <c r="V860" i="12"/>
  <c r="U860" i="12"/>
  <c r="V856" i="12"/>
  <c r="U856" i="12"/>
  <c r="V852" i="12"/>
  <c r="U852" i="12"/>
  <c r="V848" i="12"/>
  <c r="U848" i="12"/>
  <c r="V844" i="12"/>
  <c r="U844" i="12"/>
  <c r="V840" i="12"/>
  <c r="U840" i="12"/>
  <c r="V836" i="12"/>
  <c r="U836" i="12"/>
  <c r="V832" i="12"/>
  <c r="U832" i="12"/>
  <c r="V828" i="12"/>
  <c r="U828" i="12"/>
  <c r="V824" i="12"/>
  <c r="U824" i="12"/>
  <c r="V820" i="12"/>
  <c r="U820" i="12"/>
  <c r="V816" i="12"/>
  <c r="U816" i="12"/>
  <c r="V812" i="12"/>
  <c r="U812" i="12"/>
  <c r="V808" i="12"/>
  <c r="U808" i="12"/>
  <c r="V804" i="12"/>
  <c r="U804" i="12"/>
  <c r="V800" i="12"/>
  <c r="U800" i="12"/>
  <c r="V796" i="12"/>
  <c r="U796" i="12"/>
  <c r="V792" i="12"/>
  <c r="U792" i="12"/>
  <c r="V788" i="12"/>
  <c r="U788" i="12"/>
  <c r="V784" i="12"/>
  <c r="U784" i="12"/>
  <c r="V780" i="12"/>
  <c r="U780" i="12"/>
  <c r="V776" i="12"/>
  <c r="U776" i="12"/>
  <c r="V772" i="12"/>
  <c r="U772" i="12"/>
  <c r="V768" i="12"/>
  <c r="U768" i="12"/>
  <c r="V764" i="12"/>
  <c r="U764" i="12"/>
  <c r="V760" i="12"/>
  <c r="U760" i="12"/>
  <c r="V756" i="12"/>
  <c r="U756" i="12"/>
  <c r="V752" i="12"/>
  <c r="U752" i="12"/>
  <c r="V748" i="12"/>
  <c r="U748" i="12"/>
  <c r="V744" i="12"/>
  <c r="U744" i="12"/>
  <c r="V740" i="12"/>
  <c r="U740" i="12"/>
  <c r="V736" i="12"/>
  <c r="U736" i="12"/>
  <c r="V732" i="12"/>
  <c r="U732" i="12"/>
  <c r="V728" i="12"/>
  <c r="U728" i="12"/>
  <c r="V724" i="12"/>
  <c r="U724" i="12"/>
  <c r="V720" i="12"/>
  <c r="U720" i="12"/>
  <c r="V716" i="12"/>
  <c r="U716" i="12"/>
  <c r="V712" i="12"/>
  <c r="U712" i="12"/>
  <c r="V708" i="12"/>
  <c r="U708" i="12"/>
  <c r="V704" i="12"/>
  <c r="U704" i="12"/>
  <c r="V700" i="12"/>
  <c r="U700" i="12"/>
  <c r="V696" i="12"/>
  <c r="U696" i="12"/>
  <c r="V692" i="12"/>
  <c r="U692" i="12"/>
  <c r="V688" i="12"/>
  <c r="U688" i="12"/>
  <c r="V684" i="12"/>
  <c r="U684" i="12"/>
  <c r="V680" i="12"/>
  <c r="U680" i="12"/>
  <c r="V676" i="12"/>
  <c r="U676" i="12"/>
  <c r="V672" i="12"/>
  <c r="U672" i="12"/>
  <c r="V668" i="12"/>
  <c r="U668" i="12"/>
  <c r="V664" i="12"/>
  <c r="U664" i="12"/>
  <c r="V660" i="12"/>
  <c r="U660" i="12"/>
  <c r="V656" i="12"/>
  <c r="U656" i="12"/>
  <c r="V652" i="12"/>
  <c r="U652" i="12"/>
  <c r="V648" i="12"/>
  <c r="U648" i="12"/>
  <c r="V644" i="12"/>
  <c r="U644" i="12"/>
  <c r="V640" i="12"/>
  <c r="U640" i="12"/>
  <c r="V636" i="12"/>
  <c r="U636" i="12"/>
  <c r="V632" i="12"/>
  <c r="U632" i="12"/>
  <c r="V628" i="12"/>
  <c r="U628" i="12"/>
  <c r="V624" i="12"/>
  <c r="U624" i="12"/>
  <c r="V620" i="12"/>
  <c r="U620" i="12"/>
  <c r="V616" i="12"/>
  <c r="U616" i="12"/>
  <c r="V612" i="12"/>
  <c r="U612" i="12"/>
  <c r="V608" i="12"/>
  <c r="U608" i="12"/>
  <c r="V604" i="12"/>
  <c r="U604" i="12"/>
  <c r="V600" i="12"/>
  <c r="U600" i="12"/>
  <c r="V596" i="12"/>
  <c r="U596" i="12"/>
  <c r="V592" i="12"/>
  <c r="U592" i="12"/>
  <c r="V588" i="12"/>
  <c r="U588" i="12"/>
  <c r="V584" i="12"/>
  <c r="U584" i="12"/>
  <c r="V580" i="12"/>
  <c r="U580" i="12"/>
  <c r="V576" i="12"/>
  <c r="U576" i="12"/>
  <c r="V572" i="12"/>
  <c r="U572" i="12"/>
  <c r="V568" i="12"/>
  <c r="U568" i="12"/>
  <c r="V564" i="12"/>
  <c r="U564" i="12"/>
  <c r="V560" i="12"/>
  <c r="U560" i="12"/>
  <c r="V556" i="12"/>
  <c r="U556" i="12"/>
  <c r="V552" i="12"/>
  <c r="U552" i="12"/>
  <c r="V548" i="12"/>
  <c r="U548" i="12"/>
  <c r="V544" i="12"/>
  <c r="U544" i="12"/>
  <c r="V540" i="12"/>
  <c r="U540" i="12"/>
  <c r="V536" i="12"/>
  <c r="U536" i="12"/>
  <c r="V532" i="12"/>
  <c r="U532" i="12"/>
  <c r="V528" i="12"/>
  <c r="U528" i="12"/>
  <c r="V524" i="12"/>
  <c r="U524" i="12"/>
  <c r="V520" i="12"/>
  <c r="U520" i="12"/>
  <c r="V516" i="12"/>
  <c r="U516" i="12"/>
  <c r="V512" i="12"/>
  <c r="U512" i="12"/>
  <c r="V508" i="12"/>
  <c r="U508" i="12"/>
  <c r="V504" i="12"/>
  <c r="U504" i="12"/>
  <c r="V500" i="12"/>
  <c r="U500" i="12"/>
  <c r="V496" i="12"/>
  <c r="U496" i="12"/>
  <c r="V492" i="12"/>
  <c r="U492" i="12"/>
  <c r="V488" i="12"/>
  <c r="U488" i="12"/>
  <c r="V484" i="12"/>
  <c r="U484" i="12"/>
  <c r="V480" i="12"/>
  <c r="U480" i="12"/>
  <c r="V476" i="12"/>
  <c r="U476" i="12"/>
  <c r="V472" i="12"/>
  <c r="U472" i="12"/>
  <c r="V468" i="12"/>
  <c r="U468" i="12"/>
  <c r="V464" i="12"/>
  <c r="U464" i="12"/>
  <c r="V460" i="12"/>
  <c r="U460" i="12"/>
  <c r="V456" i="12"/>
  <c r="U456" i="12"/>
  <c r="V452" i="12"/>
  <c r="U452" i="12"/>
  <c r="V448" i="12"/>
  <c r="U448" i="12"/>
  <c r="V444" i="12"/>
  <c r="U444" i="12"/>
  <c r="V440" i="12"/>
  <c r="U440" i="12"/>
  <c r="V436" i="12"/>
  <c r="U436" i="12"/>
  <c r="V432" i="12"/>
  <c r="U432" i="12"/>
  <c r="V428" i="12"/>
  <c r="U428" i="12"/>
  <c r="V424" i="12"/>
  <c r="U424" i="12"/>
  <c r="V420" i="12"/>
  <c r="U420" i="12"/>
  <c r="V416" i="12"/>
  <c r="U416" i="12"/>
  <c r="V412" i="12"/>
  <c r="U412" i="12"/>
  <c r="V408" i="12"/>
  <c r="U408" i="12"/>
  <c r="V404" i="12"/>
  <c r="U404" i="12"/>
  <c r="V400" i="12"/>
  <c r="U400" i="12"/>
  <c r="V396" i="12"/>
  <c r="U396" i="12"/>
  <c r="V392" i="12"/>
  <c r="U392" i="12"/>
  <c r="V388" i="12"/>
  <c r="U388" i="12"/>
  <c r="V384" i="12"/>
  <c r="U384" i="12"/>
  <c r="V380" i="12"/>
  <c r="U380" i="12"/>
  <c r="V376" i="12"/>
  <c r="U376" i="12"/>
  <c r="V372" i="12"/>
  <c r="U372" i="12"/>
  <c r="V368" i="12"/>
  <c r="U368" i="12"/>
  <c r="V364" i="12"/>
  <c r="U364" i="12"/>
  <c r="V360" i="12"/>
  <c r="U360" i="12"/>
  <c r="V356" i="12"/>
  <c r="U356" i="12"/>
  <c r="V352" i="12"/>
  <c r="U352" i="12"/>
  <c r="V348" i="12"/>
  <c r="U348" i="12"/>
  <c r="V344" i="12"/>
  <c r="U344" i="12"/>
  <c r="V340" i="12"/>
  <c r="U340" i="12"/>
  <c r="V336" i="12"/>
  <c r="U336" i="12"/>
  <c r="V332" i="12"/>
  <c r="U332" i="12"/>
  <c r="V328" i="12"/>
  <c r="U328" i="12"/>
  <c r="V324" i="12"/>
  <c r="U324" i="12"/>
  <c r="V320" i="12"/>
  <c r="U320" i="12"/>
  <c r="V316" i="12"/>
  <c r="U316" i="12"/>
  <c r="V312" i="12"/>
  <c r="U312" i="12"/>
  <c r="V308" i="12"/>
  <c r="U308" i="12"/>
  <c r="V304" i="12"/>
  <c r="U304" i="12"/>
  <c r="V300" i="12"/>
  <c r="U300" i="12"/>
  <c r="V296" i="12"/>
  <c r="U296" i="12"/>
  <c r="V292" i="12"/>
  <c r="U292" i="12"/>
  <c r="V288" i="12"/>
  <c r="U288" i="12"/>
  <c r="V284" i="12"/>
  <c r="U284" i="12"/>
  <c r="V280" i="12"/>
  <c r="U280" i="12"/>
  <c r="V276" i="12"/>
  <c r="U276" i="12"/>
  <c r="V272" i="12"/>
  <c r="U272" i="12"/>
  <c r="V268" i="12"/>
  <c r="U268" i="12"/>
  <c r="V264" i="12"/>
  <c r="U264" i="12"/>
  <c r="V260" i="12"/>
  <c r="U260" i="12"/>
  <c r="V256" i="12"/>
  <c r="U256" i="12"/>
  <c r="V252" i="12"/>
  <c r="U252" i="12"/>
  <c r="V248" i="12"/>
  <c r="U248" i="12"/>
  <c r="V244" i="12"/>
  <c r="U244" i="12"/>
  <c r="V240" i="12"/>
  <c r="U240" i="12"/>
  <c r="V236" i="12"/>
  <c r="U236" i="12"/>
  <c r="V232" i="12"/>
  <c r="U232" i="12"/>
  <c r="V228" i="12"/>
  <c r="U228" i="12"/>
  <c r="V224" i="12"/>
  <c r="U224" i="12"/>
  <c r="V220" i="12"/>
  <c r="U220" i="12"/>
  <c r="V216" i="12"/>
  <c r="U216" i="12"/>
  <c r="V212" i="12"/>
  <c r="U212" i="12"/>
  <c r="V208" i="12"/>
  <c r="U208" i="12"/>
  <c r="V204" i="12"/>
  <c r="U204" i="12"/>
  <c r="V200" i="12"/>
  <c r="U200" i="12"/>
  <c r="V196" i="12"/>
  <c r="U196" i="12"/>
  <c r="V192" i="12"/>
  <c r="U192" i="12"/>
  <c r="V188" i="12"/>
  <c r="U188" i="12"/>
  <c r="V184" i="12"/>
  <c r="U184" i="12"/>
  <c r="V180" i="12"/>
  <c r="U180" i="12"/>
  <c r="V176" i="12"/>
  <c r="U176" i="12"/>
  <c r="V172" i="12"/>
  <c r="U172" i="12"/>
  <c r="V168" i="12"/>
  <c r="U168" i="12"/>
  <c r="V160" i="12"/>
  <c r="U160" i="12"/>
  <c r="V156" i="12"/>
  <c r="U156" i="12"/>
  <c r="V152" i="12"/>
  <c r="U152" i="12"/>
  <c r="V144" i="12"/>
  <c r="U144" i="12"/>
  <c r="V140" i="12"/>
  <c r="U140" i="12"/>
  <c r="V136" i="12"/>
  <c r="U136" i="12"/>
  <c r="V128" i="12"/>
  <c r="U128" i="12"/>
  <c r="V124" i="12"/>
  <c r="U124" i="12"/>
  <c r="V120" i="12"/>
  <c r="U120" i="12"/>
  <c r="V112" i="12"/>
  <c r="U112" i="12"/>
  <c r="V108" i="12"/>
  <c r="U108" i="12"/>
  <c r="V104" i="12"/>
  <c r="U104" i="12"/>
  <c r="V96" i="12"/>
  <c r="U96" i="12"/>
  <c r="V92" i="12"/>
  <c r="U92" i="12"/>
  <c r="V88" i="12"/>
  <c r="U88" i="12"/>
  <c r="V80" i="12"/>
  <c r="U80" i="12"/>
  <c r="V76" i="12"/>
  <c r="U76" i="12"/>
  <c r="V72" i="12"/>
  <c r="U72" i="12"/>
  <c r="V64" i="12"/>
  <c r="U64" i="12"/>
  <c r="V60" i="12"/>
  <c r="U60" i="12"/>
  <c r="V56" i="12"/>
  <c r="U56" i="12"/>
  <c r="V48" i="12"/>
  <c r="U48" i="12"/>
  <c r="V44" i="12"/>
  <c r="U44" i="12"/>
  <c r="V40" i="12"/>
  <c r="U40" i="12"/>
  <c r="V32" i="12"/>
  <c r="U32" i="12"/>
  <c r="V28" i="12"/>
  <c r="U28" i="12"/>
  <c r="V24" i="12"/>
  <c r="U24" i="12"/>
  <c r="V16" i="12"/>
  <c r="U16" i="12"/>
  <c r="V12" i="12"/>
  <c r="U12" i="12"/>
  <c r="V8" i="12"/>
  <c r="U8" i="12"/>
  <c r="U148" i="12"/>
  <c r="U84" i="12"/>
  <c r="U20" i="12"/>
  <c r="V191" i="12"/>
  <c r="U191" i="12"/>
  <c r="V187" i="12"/>
  <c r="U187" i="12"/>
  <c r="V183" i="12"/>
  <c r="U183" i="12"/>
  <c r="V179" i="12"/>
  <c r="U179" i="12"/>
  <c r="V175" i="12"/>
  <c r="U175" i="12"/>
  <c r="V171" i="12"/>
  <c r="U171" i="12"/>
  <c r="V167" i="12"/>
  <c r="U167" i="12"/>
  <c r="V163" i="12"/>
  <c r="U163" i="12"/>
  <c r="V159" i="12"/>
  <c r="U159" i="12"/>
  <c r="V155" i="12"/>
  <c r="U155" i="12"/>
  <c r="V151" i="12"/>
  <c r="U151" i="12"/>
  <c r="V147" i="12"/>
  <c r="U147" i="12"/>
  <c r="V143" i="12"/>
  <c r="U143" i="12"/>
  <c r="V139" i="12"/>
  <c r="U139" i="12"/>
  <c r="V135" i="12"/>
  <c r="U135" i="12"/>
  <c r="V131" i="12"/>
  <c r="U131" i="12"/>
  <c r="V127" i="12"/>
  <c r="U127" i="12"/>
  <c r="V123" i="12"/>
  <c r="U123" i="12"/>
  <c r="V119" i="12"/>
  <c r="U119" i="12"/>
  <c r="V115" i="12"/>
  <c r="U115" i="12"/>
  <c r="V111" i="12"/>
  <c r="U111" i="12"/>
  <c r="V107" i="12"/>
  <c r="U107" i="12"/>
  <c r="V103" i="12"/>
  <c r="U103" i="12"/>
  <c r="V99" i="12"/>
  <c r="U99" i="12"/>
  <c r="V95" i="12"/>
  <c r="U95" i="12"/>
  <c r="V91" i="12"/>
  <c r="U91" i="12"/>
  <c r="V87" i="12"/>
  <c r="U87" i="12"/>
  <c r="V83" i="12"/>
  <c r="U83" i="12"/>
  <c r="V79" i="12"/>
  <c r="U79" i="12"/>
  <c r="V75" i="12"/>
  <c r="U75" i="12"/>
  <c r="V71" i="12"/>
  <c r="U71" i="12"/>
  <c r="V67" i="12"/>
  <c r="U67" i="12"/>
  <c r="V63" i="12"/>
  <c r="U63" i="12"/>
  <c r="V59" i="12"/>
  <c r="U59" i="12"/>
  <c r="V55" i="12"/>
  <c r="U55" i="12"/>
  <c r="V51" i="12"/>
  <c r="U51" i="12"/>
  <c r="V47" i="12"/>
  <c r="U47" i="12"/>
  <c r="V43" i="12"/>
  <c r="U43" i="12"/>
  <c r="V39" i="12"/>
  <c r="U39" i="12"/>
  <c r="V35" i="12"/>
  <c r="U35" i="12"/>
  <c r="V31" i="12"/>
  <c r="U31" i="12"/>
  <c r="V27" i="12"/>
  <c r="U27" i="12"/>
  <c r="V23" i="12"/>
  <c r="U23" i="12"/>
  <c r="V19" i="12"/>
  <c r="U19" i="12"/>
  <c r="V15" i="12"/>
  <c r="U15" i="12"/>
  <c r="V11" i="12"/>
  <c r="U11" i="12"/>
  <c r="V7" i="12"/>
  <c r="U7" i="12"/>
  <c r="U132" i="12"/>
  <c r="U68" i="12"/>
  <c r="V162" i="12"/>
  <c r="U162" i="12"/>
  <c r="V158" i="12"/>
  <c r="U158" i="12"/>
  <c r="V154" i="12"/>
  <c r="U154" i="12"/>
  <c r="V150" i="12"/>
  <c r="U150" i="12"/>
  <c r="V146" i="12"/>
  <c r="U146" i="12"/>
  <c r="V142" i="12"/>
  <c r="U142" i="12"/>
  <c r="V138" i="12"/>
  <c r="U138" i="12"/>
  <c r="V134" i="12"/>
  <c r="U134" i="12"/>
  <c r="V130" i="12"/>
  <c r="U130" i="12"/>
  <c r="V126" i="12"/>
  <c r="U126" i="12"/>
  <c r="V122" i="12"/>
  <c r="U122" i="12"/>
  <c r="V118" i="12"/>
  <c r="U118" i="12"/>
  <c r="V114" i="12"/>
  <c r="U114" i="12"/>
  <c r="V110" i="12"/>
  <c r="U110" i="12"/>
  <c r="V106" i="12"/>
  <c r="U106" i="12"/>
  <c r="V102" i="12"/>
  <c r="U102" i="12"/>
  <c r="V98" i="12"/>
  <c r="U98" i="12"/>
  <c r="V94" i="12"/>
  <c r="U94" i="12"/>
  <c r="V90" i="12"/>
  <c r="U90" i="12"/>
  <c r="V86" i="12"/>
  <c r="U86" i="12"/>
  <c r="V82" i="12"/>
  <c r="U82" i="12"/>
  <c r="V78" i="12"/>
  <c r="U78" i="12"/>
  <c r="V74" i="12"/>
  <c r="U74" i="12"/>
  <c r="V70" i="12"/>
  <c r="U70" i="12"/>
  <c r="V66" i="12"/>
  <c r="U66" i="12"/>
  <c r="V62" i="12"/>
  <c r="U62" i="12"/>
  <c r="V58" i="12"/>
  <c r="U58" i="12"/>
  <c r="V54" i="12"/>
  <c r="U54" i="12"/>
  <c r="V50" i="12"/>
  <c r="U50" i="12"/>
  <c r="V46" i="12"/>
  <c r="U46" i="12"/>
  <c r="V42" i="12"/>
  <c r="U42" i="12"/>
  <c r="V38" i="12"/>
  <c r="U38" i="12"/>
  <c r="V34" i="12"/>
  <c r="U34" i="12"/>
  <c r="V30" i="12"/>
  <c r="U30" i="12"/>
  <c r="V26" i="12"/>
  <c r="U26" i="12"/>
  <c r="V22" i="12"/>
  <c r="U22" i="12"/>
  <c r="V18" i="12"/>
  <c r="U18" i="12"/>
  <c r="V14" i="12"/>
  <c r="U14" i="12"/>
  <c r="V10" i="12"/>
  <c r="U10" i="12"/>
  <c r="V6" i="12"/>
  <c r="U6" i="12"/>
  <c r="U116" i="12"/>
  <c r="U52" i="12"/>
  <c r="V77" i="12"/>
  <c r="U77" i="12"/>
  <c r="V73" i="12"/>
  <c r="U73" i="12"/>
  <c r="V69" i="12"/>
  <c r="U69" i="12"/>
  <c r="V65" i="12"/>
  <c r="U65" i="12"/>
  <c r="V61" i="12"/>
  <c r="U61" i="12"/>
  <c r="V57" i="12"/>
  <c r="U57" i="12"/>
  <c r="V53" i="12"/>
  <c r="U53" i="12"/>
  <c r="V49" i="12"/>
  <c r="U49" i="12"/>
  <c r="V45" i="12"/>
  <c r="U45" i="12"/>
  <c r="V41" i="12"/>
  <c r="U41" i="12"/>
  <c r="V37" i="12"/>
  <c r="U37" i="12"/>
  <c r="V33" i="12"/>
  <c r="U33" i="12"/>
  <c r="V29" i="12"/>
  <c r="U29" i="12"/>
  <c r="V25" i="12"/>
  <c r="U25" i="12"/>
  <c r="V21" i="12"/>
  <c r="U21" i="12"/>
  <c r="V17" i="12"/>
  <c r="U17" i="12"/>
  <c r="V13" i="12"/>
  <c r="U13" i="12"/>
  <c r="V9" i="12"/>
  <c r="U9" i="12"/>
  <c r="V5" i="12"/>
  <c r="U5" i="12"/>
  <c r="U164" i="12"/>
  <c r="U100" i="12"/>
  <c r="U36" i="12"/>
  <c r="E11" i="8" l="1"/>
  <c r="E10" i="8"/>
  <c r="E9" i="8"/>
  <c r="E8" i="8"/>
  <c r="P8" i="5"/>
  <c r="P9" i="5"/>
  <c r="P11" i="5"/>
  <c r="P12" i="5"/>
  <c r="P13" i="5"/>
  <c r="P14" i="5"/>
  <c r="P15" i="5"/>
  <c r="P16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9" i="5"/>
  <c r="P6" i="5"/>
  <c r="O8" i="5"/>
  <c r="O9" i="5"/>
  <c r="O11" i="5"/>
  <c r="O12" i="5"/>
  <c r="O13" i="5"/>
  <c r="O14" i="5"/>
  <c r="O15" i="5"/>
  <c r="O16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9" i="5"/>
  <c r="O6" i="5"/>
  <c r="N8" i="5"/>
  <c r="N9" i="5"/>
  <c r="N11" i="5"/>
  <c r="N12" i="5"/>
  <c r="N13" i="5"/>
  <c r="N14" i="5"/>
  <c r="N15" i="5"/>
  <c r="N16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9" i="5"/>
  <c r="N6" i="5"/>
  <c r="M8" i="5"/>
  <c r="M9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9" i="5"/>
  <c r="M6" i="5"/>
  <c r="E92" i="5" l="1"/>
  <c r="E93" i="5" s="1"/>
  <c r="A27" i="10"/>
  <c r="I72" i="2"/>
  <c r="I71" i="2"/>
  <c r="I70" i="2"/>
  <c r="I69" i="2"/>
  <c r="I68" i="2"/>
  <c r="U5" i="10"/>
  <c r="V5" i="10"/>
  <c r="U6" i="10"/>
  <c r="V6" i="10"/>
  <c r="U7" i="10"/>
  <c r="V7" i="10"/>
  <c r="U8" i="10"/>
  <c r="V8" i="10"/>
  <c r="U9" i="10"/>
  <c r="V9" i="10"/>
  <c r="U10" i="10"/>
  <c r="V10" i="10"/>
  <c r="U11" i="10"/>
  <c r="V11" i="10"/>
  <c r="U12" i="10"/>
  <c r="V12" i="10"/>
  <c r="U13" i="10"/>
  <c r="V13" i="10"/>
  <c r="U14" i="10"/>
  <c r="V14" i="10"/>
  <c r="U15" i="10"/>
  <c r="V15" i="10"/>
  <c r="U16" i="10"/>
  <c r="V16" i="10"/>
  <c r="U17" i="10"/>
  <c r="V17" i="10"/>
  <c r="U18" i="10"/>
  <c r="V18" i="10"/>
  <c r="U19" i="10"/>
  <c r="V19" i="10"/>
  <c r="U20" i="10"/>
  <c r="V20" i="10"/>
  <c r="U21" i="10"/>
  <c r="V21" i="10"/>
  <c r="U22" i="10"/>
  <c r="V22" i="10"/>
  <c r="U23" i="10"/>
  <c r="V23" i="10"/>
  <c r="U24" i="10"/>
  <c r="V24" i="10"/>
  <c r="U25" i="10"/>
  <c r="V25" i="10"/>
  <c r="U26" i="10"/>
  <c r="V26" i="10"/>
  <c r="U27" i="10"/>
  <c r="V27" i="10"/>
  <c r="U28" i="10"/>
  <c r="V28" i="10"/>
  <c r="U29" i="10"/>
  <c r="V29" i="10"/>
  <c r="U30" i="10"/>
  <c r="V30" i="10"/>
  <c r="U31" i="10"/>
  <c r="V31" i="10"/>
  <c r="U32" i="10"/>
  <c r="V32" i="10"/>
  <c r="U33" i="10"/>
  <c r="V33" i="10"/>
  <c r="U34" i="10"/>
  <c r="V34" i="10"/>
  <c r="U35" i="10"/>
  <c r="V35" i="10"/>
  <c r="U36" i="10"/>
  <c r="V36" i="10"/>
  <c r="U37" i="10"/>
  <c r="V37" i="10"/>
  <c r="U38" i="10"/>
  <c r="V38" i="10"/>
  <c r="U39" i="10"/>
  <c r="V39" i="10"/>
  <c r="U40" i="10"/>
  <c r="V40" i="10"/>
  <c r="U41" i="10"/>
  <c r="V41" i="10"/>
  <c r="U42" i="10"/>
  <c r="V42" i="10"/>
  <c r="U43" i="10"/>
  <c r="V43" i="10"/>
  <c r="U44" i="10"/>
  <c r="V44" i="10"/>
  <c r="U45" i="10"/>
  <c r="V45" i="10"/>
  <c r="U46" i="10"/>
  <c r="V46" i="10"/>
  <c r="U47" i="10"/>
  <c r="V47" i="10"/>
  <c r="U48" i="10"/>
  <c r="V48" i="10"/>
  <c r="U49" i="10"/>
  <c r="V49" i="10"/>
  <c r="U50" i="10"/>
  <c r="V50" i="10"/>
  <c r="U51" i="10"/>
  <c r="V51" i="10"/>
  <c r="U52" i="10"/>
  <c r="V52" i="10"/>
  <c r="U53" i="10"/>
  <c r="V53" i="10"/>
  <c r="U54" i="10"/>
  <c r="V54" i="10"/>
  <c r="U55" i="10"/>
  <c r="V55" i="10"/>
  <c r="U56" i="10"/>
  <c r="V56" i="10"/>
  <c r="U57" i="10"/>
  <c r="V57" i="10"/>
  <c r="U58" i="10"/>
  <c r="V58" i="10"/>
  <c r="U59" i="10"/>
  <c r="V59" i="10"/>
  <c r="U60" i="10"/>
  <c r="V60" i="10"/>
  <c r="U61" i="10"/>
  <c r="V61" i="10"/>
  <c r="U62" i="10"/>
  <c r="V62" i="10"/>
  <c r="U63" i="10"/>
  <c r="V63" i="10"/>
  <c r="U64" i="10"/>
  <c r="V64" i="10"/>
  <c r="U65" i="10"/>
  <c r="V65" i="10"/>
  <c r="U66" i="10"/>
  <c r="V66" i="10"/>
  <c r="U67" i="10"/>
  <c r="V67" i="10"/>
  <c r="U68" i="10"/>
  <c r="V68" i="10"/>
  <c r="U69" i="10"/>
  <c r="V69" i="10"/>
  <c r="U70" i="10"/>
  <c r="V70" i="10"/>
  <c r="U71" i="10"/>
  <c r="V71" i="10"/>
  <c r="U72" i="10"/>
  <c r="V72" i="10"/>
  <c r="U73" i="10"/>
  <c r="V73" i="10"/>
  <c r="U74" i="10"/>
  <c r="V74" i="10"/>
  <c r="U75" i="10"/>
  <c r="V75" i="10"/>
  <c r="U76" i="10"/>
  <c r="V76" i="10"/>
  <c r="U77" i="10"/>
  <c r="V77" i="10"/>
  <c r="U78" i="10"/>
  <c r="V78" i="10"/>
  <c r="U79" i="10"/>
  <c r="V79" i="10"/>
  <c r="U80" i="10"/>
  <c r="V80" i="10"/>
  <c r="U81" i="10"/>
  <c r="V81" i="10"/>
  <c r="U82" i="10"/>
  <c r="V82" i="10"/>
  <c r="U83" i="10"/>
  <c r="V83" i="10"/>
  <c r="U84" i="10"/>
  <c r="V84" i="10"/>
  <c r="U85" i="10"/>
  <c r="V85" i="10"/>
  <c r="U86" i="10"/>
  <c r="V86" i="10"/>
  <c r="U87" i="10"/>
  <c r="V87" i="10"/>
  <c r="U88" i="10"/>
  <c r="V88" i="10"/>
  <c r="U89" i="10"/>
  <c r="V89" i="10"/>
  <c r="U90" i="10"/>
  <c r="V90" i="10"/>
  <c r="U91" i="10"/>
  <c r="V91" i="10"/>
  <c r="U92" i="10"/>
  <c r="V92" i="10"/>
  <c r="U93" i="10"/>
  <c r="V93" i="10"/>
  <c r="U94" i="10"/>
  <c r="V94" i="10"/>
  <c r="U95" i="10"/>
  <c r="V95" i="10"/>
  <c r="U96" i="10"/>
  <c r="V96" i="10"/>
  <c r="U97" i="10"/>
  <c r="V97" i="10"/>
  <c r="U98" i="10"/>
  <c r="V98" i="10"/>
  <c r="U99" i="10"/>
  <c r="V99" i="10"/>
  <c r="U100" i="10"/>
  <c r="V100" i="10"/>
  <c r="U101" i="10"/>
  <c r="V101" i="10"/>
  <c r="U102" i="10"/>
  <c r="V102" i="10"/>
  <c r="U103" i="10"/>
  <c r="V103" i="10"/>
  <c r="U104" i="10"/>
  <c r="V104" i="10"/>
  <c r="U105" i="10"/>
  <c r="V105" i="10"/>
  <c r="U106" i="10"/>
  <c r="V106" i="10"/>
  <c r="U107" i="10"/>
  <c r="V107" i="10"/>
  <c r="U108" i="10"/>
  <c r="V108" i="10"/>
  <c r="U109" i="10"/>
  <c r="V109" i="10"/>
  <c r="U110" i="10"/>
  <c r="V110" i="10"/>
  <c r="U111" i="10"/>
  <c r="V111" i="10"/>
  <c r="U112" i="10"/>
  <c r="V112" i="10"/>
  <c r="U113" i="10"/>
  <c r="V113" i="10"/>
  <c r="U114" i="10"/>
  <c r="V114" i="10"/>
  <c r="U115" i="10"/>
  <c r="V115" i="10"/>
  <c r="U116" i="10"/>
  <c r="V116" i="10"/>
  <c r="U117" i="10"/>
  <c r="V117" i="10"/>
  <c r="U118" i="10"/>
  <c r="V118" i="10"/>
  <c r="U119" i="10"/>
  <c r="V119" i="10"/>
  <c r="U120" i="10"/>
  <c r="V120" i="10"/>
  <c r="U121" i="10"/>
  <c r="V121" i="10"/>
  <c r="U122" i="10"/>
  <c r="V122" i="10"/>
  <c r="U123" i="10"/>
  <c r="V123" i="10"/>
  <c r="U124" i="10"/>
  <c r="V124" i="10"/>
  <c r="U125" i="10"/>
  <c r="V125" i="10"/>
  <c r="U126" i="10"/>
  <c r="V126" i="10"/>
  <c r="U127" i="10"/>
  <c r="V127" i="10"/>
  <c r="U128" i="10"/>
  <c r="V128" i="10"/>
  <c r="U129" i="10"/>
  <c r="V129" i="10"/>
  <c r="U130" i="10"/>
  <c r="V130" i="10"/>
  <c r="U131" i="10"/>
  <c r="V131" i="10"/>
  <c r="U132" i="10"/>
  <c r="V132" i="10"/>
  <c r="U133" i="10"/>
  <c r="V133" i="10"/>
  <c r="U134" i="10"/>
  <c r="V134" i="10"/>
  <c r="U135" i="10"/>
  <c r="V135" i="10"/>
  <c r="U136" i="10"/>
  <c r="V136" i="10"/>
  <c r="U137" i="10"/>
  <c r="V137" i="10"/>
  <c r="U138" i="10"/>
  <c r="V138" i="10"/>
  <c r="U139" i="10"/>
  <c r="V139" i="10"/>
  <c r="U140" i="10"/>
  <c r="V140" i="10"/>
  <c r="U141" i="10"/>
  <c r="V141" i="10"/>
  <c r="U142" i="10"/>
  <c r="V142" i="10"/>
  <c r="U143" i="10"/>
  <c r="V143" i="10"/>
  <c r="U144" i="10"/>
  <c r="V144" i="10"/>
  <c r="U145" i="10"/>
  <c r="V145" i="10"/>
  <c r="U146" i="10"/>
  <c r="V146" i="10"/>
  <c r="U147" i="10"/>
  <c r="V147" i="10"/>
  <c r="U148" i="10"/>
  <c r="V148" i="10"/>
  <c r="U149" i="10"/>
  <c r="V149" i="10"/>
  <c r="U150" i="10"/>
  <c r="V150" i="10"/>
  <c r="U151" i="10"/>
  <c r="V151" i="10"/>
  <c r="U152" i="10"/>
  <c r="V152" i="10"/>
  <c r="U153" i="10"/>
  <c r="V153" i="10"/>
  <c r="U154" i="10"/>
  <c r="V154" i="10"/>
  <c r="U155" i="10"/>
  <c r="V155" i="10"/>
  <c r="U156" i="10"/>
  <c r="V156" i="10"/>
  <c r="U157" i="10"/>
  <c r="V157" i="10"/>
  <c r="U158" i="10"/>
  <c r="V158" i="10"/>
  <c r="U159" i="10"/>
  <c r="V159" i="10"/>
  <c r="U160" i="10"/>
  <c r="V160" i="10"/>
  <c r="U161" i="10"/>
  <c r="V161" i="10"/>
  <c r="U162" i="10"/>
  <c r="V162" i="10"/>
  <c r="U163" i="10"/>
  <c r="V163" i="10"/>
  <c r="U164" i="10"/>
  <c r="V164" i="10"/>
  <c r="U165" i="10"/>
  <c r="V165" i="10"/>
  <c r="U166" i="10"/>
  <c r="V166" i="10"/>
  <c r="U167" i="10"/>
  <c r="V167" i="10"/>
  <c r="U168" i="10"/>
  <c r="V168" i="10"/>
  <c r="U169" i="10"/>
  <c r="V169" i="10"/>
  <c r="U170" i="10"/>
  <c r="V170" i="10"/>
  <c r="U171" i="10"/>
  <c r="V171" i="10"/>
  <c r="U172" i="10"/>
  <c r="V172" i="10"/>
  <c r="U173" i="10"/>
  <c r="V173" i="10"/>
  <c r="U174" i="10"/>
  <c r="V174" i="10"/>
  <c r="U175" i="10"/>
  <c r="V175" i="10"/>
  <c r="U176" i="10"/>
  <c r="V176" i="10"/>
  <c r="U177" i="10"/>
  <c r="V177" i="10"/>
  <c r="U178" i="10"/>
  <c r="V178" i="10"/>
  <c r="U179" i="10"/>
  <c r="V179" i="10"/>
  <c r="U180" i="10"/>
  <c r="V180" i="10"/>
  <c r="U181" i="10"/>
  <c r="V181" i="10"/>
  <c r="U182" i="10"/>
  <c r="V182" i="10"/>
  <c r="U183" i="10"/>
  <c r="V183" i="10"/>
  <c r="U184" i="10"/>
  <c r="V184" i="10"/>
  <c r="U185" i="10"/>
  <c r="V185" i="10"/>
  <c r="U186" i="10"/>
  <c r="V186" i="10"/>
  <c r="U187" i="10"/>
  <c r="V187" i="10"/>
  <c r="U188" i="10"/>
  <c r="V188" i="10"/>
  <c r="U189" i="10"/>
  <c r="V189" i="10"/>
  <c r="U190" i="10"/>
  <c r="V190" i="10"/>
  <c r="U191" i="10"/>
  <c r="V191" i="10"/>
  <c r="U192" i="10"/>
  <c r="V192" i="10"/>
  <c r="U193" i="10"/>
  <c r="V193" i="10"/>
  <c r="U194" i="10"/>
  <c r="V194" i="10"/>
  <c r="U195" i="10"/>
  <c r="V195" i="10"/>
  <c r="U196" i="10"/>
  <c r="V196" i="10"/>
  <c r="U197" i="10"/>
  <c r="V197" i="10"/>
  <c r="U198" i="10"/>
  <c r="V198" i="10"/>
  <c r="U199" i="10"/>
  <c r="V199" i="10"/>
  <c r="U200" i="10"/>
  <c r="V200" i="10"/>
  <c r="U201" i="10"/>
  <c r="V201" i="10"/>
  <c r="U202" i="10"/>
  <c r="V202" i="10"/>
  <c r="U203" i="10"/>
  <c r="V203" i="10"/>
  <c r="U204" i="10"/>
  <c r="V204" i="10"/>
  <c r="U205" i="10"/>
  <c r="V205" i="10"/>
  <c r="U206" i="10"/>
  <c r="V206" i="10"/>
  <c r="U207" i="10"/>
  <c r="V207" i="10"/>
  <c r="U208" i="10"/>
  <c r="V208" i="10"/>
  <c r="U209" i="10"/>
  <c r="V209" i="10"/>
  <c r="U210" i="10"/>
  <c r="V210" i="10"/>
  <c r="U211" i="10"/>
  <c r="V211" i="10"/>
  <c r="U212" i="10"/>
  <c r="V212" i="10"/>
  <c r="U213" i="10"/>
  <c r="V213" i="10"/>
  <c r="U214" i="10"/>
  <c r="V214" i="10"/>
  <c r="U215" i="10"/>
  <c r="V215" i="10"/>
  <c r="U216" i="10"/>
  <c r="V216" i="10"/>
  <c r="U217" i="10"/>
  <c r="V217" i="10"/>
  <c r="U218" i="10"/>
  <c r="V218" i="10"/>
  <c r="U219" i="10"/>
  <c r="V219" i="10"/>
  <c r="U220" i="10"/>
  <c r="V220" i="10"/>
  <c r="U221" i="10"/>
  <c r="V221" i="10"/>
  <c r="U222" i="10"/>
  <c r="V222" i="10"/>
  <c r="U223" i="10"/>
  <c r="V223" i="10"/>
  <c r="U224" i="10"/>
  <c r="V224" i="10"/>
  <c r="U225" i="10"/>
  <c r="V225" i="10"/>
  <c r="U226" i="10"/>
  <c r="V226" i="10"/>
  <c r="U227" i="10"/>
  <c r="V227" i="10"/>
  <c r="U228" i="10"/>
  <c r="V228" i="10"/>
  <c r="U229" i="10"/>
  <c r="V229" i="10"/>
  <c r="U230" i="10"/>
  <c r="V230" i="10"/>
  <c r="U231" i="10"/>
  <c r="V231" i="10"/>
  <c r="U232" i="10"/>
  <c r="V232" i="10"/>
  <c r="U233" i="10"/>
  <c r="V233" i="10"/>
  <c r="U234" i="10"/>
  <c r="V234" i="10"/>
  <c r="U235" i="10"/>
  <c r="V235" i="10"/>
  <c r="U236" i="10"/>
  <c r="V236" i="10"/>
  <c r="U237" i="10"/>
  <c r="V237" i="10"/>
  <c r="U238" i="10"/>
  <c r="V238" i="10"/>
  <c r="U239" i="10"/>
  <c r="V239" i="10"/>
  <c r="U240" i="10"/>
  <c r="V240" i="10"/>
  <c r="U241" i="10"/>
  <c r="V241" i="10"/>
  <c r="U242" i="10"/>
  <c r="V242" i="10"/>
  <c r="U243" i="10"/>
  <c r="V243" i="10"/>
  <c r="U244" i="10"/>
  <c r="V244" i="10"/>
  <c r="U245" i="10"/>
  <c r="V245" i="10"/>
  <c r="U246" i="10"/>
  <c r="V246" i="10"/>
  <c r="U247" i="10"/>
  <c r="V247" i="10"/>
  <c r="U248" i="10"/>
  <c r="V248" i="10"/>
  <c r="U249" i="10"/>
  <c r="V249" i="10"/>
  <c r="U250" i="10"/>
  <c r="V250" i="10"/>
  <c r="U251" i="10"/>
  <c r="V251" i="10"/>
  <c r="U252" i="10"/>
  <c r="V252" i="10"/>
  <c r="U253" i="10"/>
  <c r="V253" i="10"/>
  <c r="U254" i="10"/>
  <c r="V254" i="10"/>
  <c r="U255" i="10"/>
  <c r="V255" i="10"/>
  <c r="U256" i="10"/>
  <c r="V256" i="10"/>
  <c r="U257" i="10"/>
  <c r="V257" i="10"/>
  <c r="U258" i="10"/>
  <c r="V258" i="10"/>
  <c r="U259" i="10"/>
  <c r="V259" i="10"/>
  <c r="U260" i="10"/>
  <c r="V260" i="10"/>
  <c r="U261" i="10"/>
  <c r="V261" i="10"/>
  <c r="U262" i="10"/>
  <c r="V262" i="10"/>
  <c r="U263" i="10"/>
  <c r="V263" i="10"/>
  <c r="U264" i="10"/>
  <c r="V264" i="10"/>
  <c r="U265" i="10"/>
  <c r="V265" i="10"/>
  <c r="U266" i="10"/>
  <c r="V266" i="10"/>
  <c r="U267" i="10"/>
  <c r="V267" i="10"/>
  <c r="U268" i="10"/>
  <c r="V268" i="10"/>
  <c r="U269" i="10"/>
  <c r="V269" i="10"/>
  <c r="U270" i="10"/>
  <c r="V270" i="10"/>
  <c r="U271" i="10"/>
  <c r="V271" i="10"/>
  <c r="U272" i="10"/>
  <c r="V272" i="10"/>
  <c r="U273" i="10"/>
  <c r="V273" i="10"/>
  <c r="U274" i="10"/>
  <c r="V274" i="10"/>
  <c r="U275" i="10"/>
  <c r="V275" i="10"/>
  <c r="U276" i="10"/>
  <c r="V276" i="10"/>
  <c r="U277" i="10"/>
  <c r="V277" i="10"/>
  <c r="U278" i="10"/>
  <c r="V278" i="10"/>
  <c r="U279" i="10"/>
  <c r="V279" i="10"/>
  <c r="U280" i="10"/>
  <c r="V280" i="10"/>
  <c r="U281" i="10"/>
  <c r="V281" i="10"/>
  <c r="U282" i="10"/>
  <c r="V282" i="10"/>
  <c r="U283" i="10"/>
  <c r="V283" i="10"/>
  <c r="U284" i="10"/>
  <c r="V284" i="10"/>
  <c r="U285" i="10"/>
  <c r="V285" i="10"/>
  <c r="U286" i="10"/>
  <c r="V286" i="10"/>
  <c r="U287" i="10"/>
  <c r="V287" i="10"/>
  <c r="U288" i="10"/>
  <c r="V288" i="10"/>
  <c r="U289" i="10"/>
  <c r="V289" i="10"/>
  <c r="U290" i="10"/>
  <c r="V290" i="10"/>
  <c r="U291" i="10"/>
  <c r="V291" i="10"/>
  <c r="U292" i="10"/>
  <c r="V292" i="10"/>
  <c r="U293" i="10"/>
  <c r="V293" i="10"/>
  <c r="U294" i="10"/>
  <c r="V294" i="10"/>
  <c r="U295" i="10"/>
  <c r="V295" i="10"/>
  <c r="U296" i="10"/>
  <c r="V296" i="10"/>
  <c r="U297" i="10"/>
  <c r="V297" i="10"/>
  <c r="U298" i="10"/>
  <c r="V298" i="10"/>
  <c r="U299" i="10"/>
  <c r="V299" i="10"/>
  <c r="U300" i="10"/>
  <c r="V300" i="10"/>
  <c r="U301" i="10"/>
  <c r="V301" i="10"/>
  <c r="U302" i="10"/>
  <c r="V302" i="10"/>
  <c r="U303" i="10"/>
  <c r="V303" i="10"/>
  <c r="U304" i="10"/>
  <c r="V304" i="10"/>
  <c r="U305" i="10"/>
  <c r="V305" i="10"/>
  <c r="U306" i="10"/>
  <c r="V306" i="10"/>
  <c r="U307" i="10"/>
  <c r="V307" i="10"/>
  <c r="U308" i="10"/>
  <c r="V308" i="10"/>
  <c r="U309" i="10"/>
  <c r="V309" i="10"/>
  <c r="U310" i="10"/>
  <c r="V310" i="10"/>
  <c r="U311" i="10"/>
  <c r="V311" i="10"/>
  <c r="U312" i="10"/>
  <c r="V312" i="10"/>
  <c r="U313" i="10"/>
  <c r="V313" i="10"/>
  <c r="U314" i="10"/>
  <c r="V314" i="10"/>
  <c r="U315" i="10"/>
  <c r="V315" i="10"/>
  <c r="U316" i="10"/>
  <c r="V316" i="10"/>
  <c r="U317" i="10"/>
  <c r="V317" i="10"/>
  <c r="U318" i="10"/>
  <c r="V318" i="10"/>
  <c r="U319" i="10"/>
  <c r="V319" i="10"/>
  <c r="U320" i="10"/>
  <c r="V320" i="10"/>
  <c r="U321" i="10"/>
  <c r="V321" i="10"/>
  <c r="U322" i="10"/>
  <c r="V322" i="10"/>
  <c r="U323" i="10"/>
  <c r="V323" i="10"/>
  <c r="U324" i="10"/>
  <c r="V324" i="10"/>
  <c r="U325" i="10"/>
  <c r="V325" i="10"/>
  <c r="U326" i="10"/>
  <c r="V326" i="10"/>
  <c r="U327" i="10"/>
  <c r="V327" i="10"/>
  <c r="U328" i="10"/>
  <c r="V328" i="10"/>
  <c r="U329" i="10"/>
  <c r="V329" i="10"/>
  <c r="U330" i="10"/>
  <c r="V330" i="10"/>
  <c r="U331" i="10"/>
  <c r="V331" i="10"/>
  <c r="U332" i="10"/>
  <c r="V332" i="10"/>
  <c r="U333" i="10"/>
  <c r="V333" i="10"/>
  <c r="U334" i="10"/>
  <c r="V334" i="10"/>
  <c r="U335" i="10"/>
  <c r="V335" i="10"/>
  <c r="U336" i="10"/>
  <c r="V336" i="10"/>
  <c r="U337" i="10"/>
  <c r="V337" i="10"/>
  <c r="U338" i="10"/>
  <c r="V338" i="10"/>
  <c r="U339" i="10"/>
  <c r="V339" i="10"/>
  <c r="U340" i="10"/>
  <c r="V340" i="10"/>
  <c r="U341" i="10"/>
  <c r="V341" i="10"/>
  <c r="U342" i="10"/>
  <c r="V342" i="10"/>
  <c r="U343" i="10"/>
  <c r="V343" i="10"/>
  <c r="U344" i="10"/>
  <c r="V344" i="10"/>
  <c r="U345" i="10"/>
  <c r="V345" i="10"/>
  <c r="U346" i="10"/>
  <c r="V346" i="10"/>
  <c r="U347" i="10"/>
  <c r="V347" i="10"/>
  <c r="U348" i="10"/>
  <c r="V348" i="10"/>
  <c r="U349" i="10"/>
  <c r="V349" i="10"/>
  <c r="U350" i="10"/>
  <c r="V350" i="10"/>
  <c r="U351" i="10"/>
  <c r="V351" i="10"/>
  <c r="U352" i="10"/>
  <c r="V352" i="10"/>
  <c r="U353" i="10"/>
  <c r="V353" i="10"/>
  <c r="U354" i="10"/>
  <c r="V354" i="10"/>
  <c r="U355" i="10"/>
  <c r="V355" i="10"/>
  <c r="U356" i="10"/>
  <c r="V356" i="10"/>
  <c r="U357" i="10"/>
  <c r="V357" i="10"/>
  <c r="U358" i="10"/>
  <c r="V358" i="10"/>
  <c r="U359" i="10"/>
  <c r="V359" i="10"/>
  <c r="U360" i="10"/>
  <c r="V360" i="10"/>
  <c r="U361" i="10"/>
  <c r="V361" i="10"/>
  <c r="U362" i="10"/>
  <c r="V362" i="10"/>
  <c r="U363" i="10"/>
  <c r="V363" i="10"/>
  <c r="U364" i="10"/>
  <c r="V364" i="10"/>
  <c r="U365" i="10"/>
  <c r="V365" i="10"/>
  <c r="U366" i="10"/>
  <c r="V366" i="10"/>
  <c r="U367" i="10"/>
  <c r="V367" i="10"/>
  <c r="U368" i="10"/>
  <c r="V368" i="10"/>
  <c r="U369" i="10"/>
  <c r="V369" i="10"/>
  <c r="U370" i="10"/>
  <c r="V370" i="10"/>
  <c r="U371" i="10"/>
  <c r="V371" i="10"/>
  <c r="U372" i="10"/>
  <c r="V372" i="10"/>
  <c r="U373" i="10"/>
  <c r="V373" i="10"/>
  <c r="U374" i="10"/>
  <c r="V374" i="10"/>
  <c r="U375" i="10"/>
  <c r="V375" i="10"/>
  <c r="U376" i="10"/>
  <c r="V376" i="10"/>
  <c r="U377" i="10"/>
  <c r="V377" i="10"/>
  <c r="U378" i="10"/>
  <c r="V378" i="10"/>
  <c r="U379" i="10"/>
  <c r="V379" i="10"/>
  <c r="U380" i="10"/>
  <c r="V380" i="10"/>
  <c r="U381" i="10"/>
  <c r="V381" i="10"/>
  <c r="U382" i="10"/>
  <c r="V382" i="10"/>
  <c r="U383" i="10"/>
  <c r="V383" i="10"/>
  <c r="U384" i="10"/>
  <c r="V384" i="10"/>
  <c r="U385" i="10"/>
  <c r="V385" i="10"/>
  <c r="U386" i="10"/>
  <c r="V386" i="10"/>
  <c r="U387" i="10"/>
  <c r="V387" i="10"/>
  <c r="U388" i="10"/>
  <c r="V388" i="10"/>
  <c r="U389" i="10"/>
  <c r="V389" i="10"/>
  <c r="U390" i="10"/>
  <c r="V390" i="10"/>
  <c r="U391" i="10"/>
  <c r="V391" i="10"/>
  <c r="U392" i="10"/>
  <c r="V392" i="10"/>
  <c r="U393" i="10"/>
  <c r="V393" i="10"/>
  <c r="U394" i="10"/>
  <c r="V394" i="10"/>
  <c r="U395" i="10"/>
  <c r="V395" i="10"/>
  <c r="U396" i="10"/>
  <c r="V396" i="10"/>
  <c r="U397" i="10"/>
  <c r="V397" i="10"/>
  <c r="U398" i="10"/>
  <c r="V398" i="10"/>
  <c r="U399" i="10"/>
  <c r="V399" i="10"/>
  <c r="U400" i="10"/>
  <c r="V400" i="10"/>
  <c r="U401" i="10"/>
  <c r="V401" i="10"/>
  <c r="U402" i="10"/>
  <c r="V402" i="10"/>
  <c r="U403" i="10"/>
  <c r="V403" i="10"/>
  <c r="U404" i="10"/>
  <c r="V404" i="10"/>
  <c r="U405" i="10"/>
  <c r="V405" i="10"/>
  <c r="U406" i="10"/>
  <c r="V406" i="10"/>
  <c r="U407" i="10"/>
  <c r="V407" i="10"/>
  <c r="U408" i="10"/>
  <c r="V408" i="10"/>
  <c r="U409" i="10"/>
  <c r="V409" i="10"/>
  <c r="U410" i="10"/>
  <c r="V410" i="10"/>
  <c r="U411" i="10"/>
  <c r="V411" i="10"/>
  <c r="U412" i="10"/>
  <c r="V412" i="10"/>
  <c r="U413" i="10"/>
  <c r="V413" i="10"/>
  <c r="U414" i="10"/>
  <c r="V414" i="10"/>
  <c r="U415" i="10"/>
  <c r="V415" i="10"/>
  <c r="U416" i="10"/>
  <c r="V416" i="10"/>
  <c r="U417" i="10"/>
  <c r="V417" i="10"/>
  <c r="U418" i="10"/>
  <c r="V418" i="10"/>
  <c r="U419" i="10"/>
  <c r="V419" i="10"/>
  <c r="U420" i="10"/>
  <c r="V420" i="10"/>
  <c r="U421" i="10"/>
  <c r="V421" i="10"/>
  <c r="U422" i="10"/>
  <c r="V422" i="10"/>
  <c r="U423" i="10"/>
  <c r="V423" i="10"/>
  <c r="U424" i="10"/>
  <c r="V424" i="10"/>
  <c r="U425" i="10"/>
  <c r="V425" i="10"/>
  <c r="U426" i="10"/>
  <c r="V426" i="10"/>
  <c r="U427" i="10"/>
  <c r="V427" i="10"/>
  <c r="U428" i="10"/>
  <c r="V428" i="10"/>
  <c r="U429" i="10"/>
  <c r="V429" i="10"/>
  <c r="U430" i="10"/>
  <c r="V430" i="10"/>
  <c r="U431" i="10"/>
  <c r="V431" i="10"/>
  <c r="U432" i="10"/>
  <c r="V432" i="10"/>
  <c r="U433" i="10"/>
  <c r="V433" i="10"/>
  <c r="U434" i="10"/>
  <c r="V434" i="10"/>
  <c r="U435" i="10"/>
  <c r="V435" i="10"/>
  <c r="U436" i="10"/>
  <c r="V436" i="10"/>
  <c r="U437" i="10"/>
  <c r="V437" i="10"/>
  <c r="U438" i="10"/>
  <c r="V438" i="10"/>
  <c r="U439" i="10"/>
  <c r="V439" i="10"/>
  <c r="U440" i="10"/>
  <c r="V440" i="10"/>
  <c r="U441" i="10"/>
  <c r="V441" i="10"/>
  <c r="U442" i="10"/>
  <c r="V442" i="10"/>
  <c r="U443" i="10"/>
  <c r="V443" i="10"/>
  <c r="U444" i="10"/>
  <c r="V444" i="10"/>
  <c r="U445" i="10"/>
  <c r="V445" i="10"/>
  <c r="U446" i="10"/>
  <c r="V446" i="10"/>
  <c r="U447" i="10"/>
  <c r="V447" i="10"/>
  <c r="U448" i="10"/>
  <c r="V448" i="10"/>
  <c r="U449" i="10"/>
  <c r="V449" i="10"/>
  <c r="U450" i="10"/>
  <c r="V450" i="10"/>
  <c r="U451" i="10"/>
  <c r="V451" i="10"/>
  <c r="U452" i="10"/>
  <c r="V452" i="10"/>
  <c r="U453" i="10"/>
  <c r="V453" i="10"/>
  <c r="U454" i="10"/>
  <c r="V454" i="10"/>
  <c r="U455" i="10"/>
  <c r="V455" i="10"/>
  <c r="U456" i="10"/>
  <c r="V456" i="10"/>
  <c r="U457" i="10"/>
  <c r="V457" i="10"/>
  <c r="U458" i="10"/>
  <c r="V458" i="10"/>
  <c r="U459" i="10"/>
  <c r="V459" i="10"/>
  <c r="U460" i="10"/>
  <c r="V460" i="10"/>
  <c r="U461" i="10"/>
  <c r="V461" i="10"/>
  <c r="U462" i="10"/>
  <c r="V462" i="10"/>
  <c r="U463" i="10"/>
  <c r="V463" i="10"/>
  <c r="U464" i="10"/>
  <c r="V464" i="10"/>
  <c r="U465" i="10"/>
  <c r="V465" i="10"/>
  <c r="U466" i="10"/>
  <c r="V466" i="10"/>
  <c r="U467" i="10"/>
  <c r="V467" i="10"/>
  <c r="U468" i="10"/>
  <c r="V468" i="10"/>
  <c r="U469" i="10"/>
  <c r="V469" i="10"/>
  <c r="U470" i="10"/>
  <c r="V470" i="10"/>
  <c r="U471" i="10"/>
  <c r="V471" i="10"/>
  <c r="U472" i="10"/>
  <c r="V472" i="10"/>
  <c r="U473" i="10"/>
  <c r="V473" i="10"/>
  <c r="U474" i="10"/>
  <c r="V474" i="10"/>
  <c r="U475" i="10"/>
  <c r="V475" i="10"/>
  <c r="U476" i="10"/>
  <c r="V476" i="10"/>
  <c r="U477" i="10"/>
  <c r="V477" i="10"/>
  <c r="U478" i="10"/>
  <c r="V478" i="10"/>
  <c r="U479" i="10"/>
  <c r="V479" i="10"/>
  <c r="U480" i="10"/>
  <c r="V480" i="10"/>
  <c r="U481" i="10"/>
  <c r="V481" i="10"/>
  <c r="U482" i="10"/>
  <c r="V482" i="10"/>
  <c r="U483" i="10"/>
  <c r="V483" i="10"/>
  <c r="U484" i="10"/>
  <c r="V484" i="10"/>
  <c r="U485" i="10"/>
  <c r="V485" i="10"/>
  <c r="U486" i="10"/>
  <c r="V486" i="10"/>
  <c r="U487" i="10"/>
  <c r="V487" i="10"/>
  <c r="U488" i="10"/>
  <c r="V488" i="10"/>
  <c r="U489" i="10"/>
  <c r="V489" i="10"/>
  <c r="U490" i="10"/>
  <c r="V490" i="10"/>
  <c r="U491" i="10"/>
  <c r="V491" i="10"/>
  <c r="U492" i="10"/>
  <c r="V492" i="10"/>
  <c r="U493" i="10"/>
  <c r="V493" i="10"/>
  <c r="U494" i="10"/>
  <c r="V494" i="10"/>
  <c r="U495" i="10"/>
  <c r="V495" i="10"/>
  <c r="U496" i="10"/>
  <c r="V496" i="10"/>
  <c r="U497" i="10"/>
  <c r="V497" i="10"/>
  <c r="U498" i="10"/>
  <c r="V498" i="10"/>
  <c r="U499" i="10"/>
  <c r="V499" i="10"/>
  <c r="U500" i="10"/>
  <c r="V500" i="10"/>
  <c r="U501" i="10"/>
  <c r="V501" i="10"/>
  <c r="U502" i="10"/>
  <c r="V502" i="10"/>
  <c r="U503" i="10"/>
  <c r="V503" i="10"/>
  <c r="U504" i="10"/>
  <c r="V504" i="10"/>
  <c r="U505" i="10"/>
  <c r="V505" i="10"/>
  <c r="U506" i="10"/>
  <c r="V506" i="10"/>
  <c r="U507" i="10"/>
  <c r="V507" i="10"/>
  <c r="U508" i="10"/>
  <c r="V508" i="10"/>
  <c r="U509" i="10"/>
  <c r="V509" i="10"/>
  <c r="U510" i="10"/>
  <c r="V510" i="10"/>
  <c r="U511" i="10"/>
  <c r="V511" i="10"/>
  <c r="U512" i="10"/>
  <c r="V512" i="10"/>
  <c r="U513" i="10"/>
  <c r="V513" i="10"/>
  <c r="U514" i="10"/>
  <c r="V514" i="10"/>
  <c r="U515" i="10"/>
  <c r="V515" i="10"/>
  <c r="U516" i="10"/>
  <c r="V516" i="10"/>
  <c r="U517" i="10"/>
  <c r="V517" i="10"/>
  <c r="U518" i="10"/>
  <c r="V518" i="10"/>
  <c r="U519" i="10"/>
  <c r="V519" i="10"/>
  <c r="U520" i="10"/>
  <c r="V520" i="10"/>
  <c r="U521" i="10"/>
  <c r="V521" i="10"/>
  <c r="U522" i="10"/>
  <c r="V522" i="10"/>
  <c r="U523" i="10"/>
  <c r="V523" i="10"/>
  <c r="U524" i="10"/>
  <c r="V524" i="10"/>
  <c r="U525" i="10"/>
  <c r="V525" i="10"/>
  <c r="U526" i="10"/>
  <c r="V526" i="10"/>
  <c r="U527" i="10"/>
  <c r="V527" i="10"/>
  <c r="U528" i="10"/>
  <c r="V528" i="10"/>
  <c r="U529" i="10"/>
  <c r="V529" i="10"/>
  <c r="U530" i="10"/>
  <c r="V530" i="10"/>
  <c r="U531" i="10"/>
  <c r="V531" i="10"/>
  <c r="U532" i="10"/>
  <c r="V532" i="10"/>
  <c r="U533" i="10"/>
  <c r="V533" i="10"/>
  <c r="U534" i="10"/>
  <c r="V534" i="10"/>
  <c r="U535" i="10"/>
  <c r="V535" i="10"/>
  <c r="U536" i="10"/>
  <c r="V536" i="10"/>
  <c r="U537" i="10"/>
  <c r="V537" i="10"/>
  <c r="U538" i="10"/>
  <c r="V538" i="10"/>
  <c r="U539" i="10"/>
  <c r="V539" i="10"/>
  <c r="U540" i="10"/>
  <c r="V540" i="10"/>
  <c r="U541" i="10"/>
  <c r="V541" i="10"/>
  <c r="U542" i="10"/>
  <c r="V542" i="10"/>
  <c r="U543" i="10"/>
  <c r="V543" i="10"/>
  <c r="U544" i="10"/>
  <c r="V544" i="10"/>
  <c r="U545" i="10"/>
  <c r="V545" i="10"/>
  <c r="U546" i="10"/>
  <c r="V546" i="10"/>
  <c r="U547" i="10"/>
  <c r="V547" i="10"/>
  <c r="U548" i="10"/>
  <c r="V548" i="10"/>
  <c r="U549" i="10"/>
  <c r="V549" i="10"/>
  <c r="U550" i="10"/>
  <c r="V550" i="10"/>
  <c r="U551" i="10"/>
  <c r="V551" i="10"/>
  <c r="U552" i="10"/>
  <c r="V552" i="10"/>
  <c r="U553" i="10"/>
  <c r="V553" i="10"/>
  <c r="U554" i="10"/>
  <c r="V554" i="10"/>
  <c r="U555" i="10"/>
  <c r="V555" i="10"/>
  <c r="U556" i="10"/>
  <c r="V556" i="10"/>
  <c r="U557" i="10"/>
  <c r="V557" i="10"/>
  <c r="U558" i="10"/>
  <c r="V558" i="10"/>
  <c r="U559" i="10"/>
  <c r="V559" i="10"/>
  <c r="U560" i="10"/>
  <c r="V560" i="10"/>
  <c r="U561" i="10"/>
  <c r="V561" i="10"/>
  <c r="U562" i="10"/>
  <c r="V562" i="10"/>
  <c r="U563" i="10"/>
  <c r="V563" i="10"/>
  <c r="U564" i="10"/>
  <c r="V564" i="10"/>
  <c r="U565" i="10"/>
  <c r="V565" i="10"/>
  <c r="U566" i="10"/>
  <c r="V566" i="10"/>
  <c r="U567" i="10"/>
  <c r="V567" i="10"/>
  <c r="U568" i="10"/>
  <c r="V568" i="10"/>
  <c r="U569" i="10"/>
  <c r="V569" i="10"/>
  <c r="U570" i="10"/>
  <c r="V570" i="10"/>
  <c r="U571" i="10"/>
  <c r="V571" i="10"/>
  <c r="U572" i="10"/>
  <c r="V572" i="10"/>
  <c r="U573" i="10"/>
  <c r="V573" i="10"/>
  <c r="U574" i="10"/>
  <c r="V574" i="10"/>
  <c r="U575" i="10"/>
  <c r="V575" i="10"/>
  <c r="U576" i="10"/>
  <c r="V576" i="10"/>
  <c r="U577" i="10"/>
  <c r="V577" i="10"/>
  <c r="U578" i="10"/>
  <c r="V578" i="10"/>
  <c r="U579" i="10"/>
  <c r="V579" i="10"/>
  <c r="U580" i="10"/>
  <c r="V580" i="10"/>
  <c r="U581" i="10"/>
  <c r="V581" i="10"/>
  <c r="U582" i="10"/>
  <c r="V582" i="10"/>
  <c r="U583" i="10"/>
  <c r="V583" i="10"/>
  <c r="U584" i="10"/>
  <c r="V584" i="10"/>
  <c r="U585" i="10"/>
  <c r="V585" i="10"/>
  <c r="U586" i="10"/>
  <c r="V586" i="10"/>
  <c r="U587" i="10"/>
  <c r="V587" i="10"/>
  <c r="U588" i="10"/>
  <c r="V588" i="10"/>
  <c r="U589" i="10"/>
  <c r="V589" i="10"/>
  <c r="U590" i="10"/>
  <c r="V590" i="10"/>
  <c r="U591" i="10"/>
  <c r="V591" i="10"/>
  <c r="U592" i="10"/>
  <c r="V592" i="10"/>
  <c r="U593" i="10"/>
  <c r="V593" i="10"/>
  <c r="U594" i="10"/>
  <c r="V594" i="10"/>
  <c r="U595" i="10"/>
  <c r="V595" i="10"/>
  <c r="U596" i="10"/>
  <c r="V596" i="10"/>
  <c r="U597" i="10"/>
  <c r="V597" i="10"/>
  <c r="U598" i="10"/>
  <c r="V598" i="10"/>
  <c r="U599" i="10"/>
  <c r="V599" i="10"/>
  <c r="U600" i="10"/>
  <c r="V600" i="10"/>
  <c r="U601" i="10"/>
  <c r="V601" i="10"/>
  <c r="U602" i="10"/>
  <c r="V602" i="10"/>
  <c r="U603" i="10"/>
  <c r="V603" i="10"/>
  <c r="U604" i="10"/>
  <c r="V604" i="10"/>
  <c r="U605" i="10"/>
  <c r="V605" i="10"/>
  <c r="U606" i="10"/>
  <c r="V606" i="10"/>
  <c r="U607" i="10"/>
  <c r="V607" i="10"/>
  <c r="U608" i="10"/>
  <c r="V608" i="10"/>
  <c r="U609" i="10"/>
  <c r="V609" i="10"/>
  <c r="U610" i="10"/>
  <c r="V610" i="10"/>
  <c r="U611" i="10"/>
  <c r="V611" i="10"/>
  <c r="U612" i="10"/>
  <c r="V612" i="10"/>
  <c r="U613" i="10"/>
  <c r="V613" i="10"/>
  <c r="U614" i="10"/>
  <c r="V614" i="10"/>
  <c r="U615" i="10"/>
  <c r="V615" i="10"/>
  <c r="U616" i="10"/>
  <c r="V616" i="10"/>
  <c r="U617" i="10"/>
  <c r="V617" i="10"/>
  <c r="U618" i="10"/>
  <c r="V618" i="10"/>
  <c r="U619" i="10"/>
  <c r="V619" i="10"/>
  <c r="U620" i="10"/>
  <c r="V620" i="10"/>
  <c r="U621" i="10"/>
  <c r="V621" i="10"/>
  <c r="U622" i="10"/>
  <c r="V622" i="10"/>
  <c r="U623" i="10"/>
  <c r="V623" i="10"/>
  <c r="U624" i="10"/>
  <c r="V624" i="10"/>
  <c r="U625" i="10"/>
  <c r="V625" i="10"/>
  <c r="U626" i="10"/>
  <c r="V626" i="10"/>
  <c r="U627" i="10"/>
  <c r="V627" i="10"/>
  <c r="U628" i="10"/>
  <c r="V628" i="10"/>
  <c r="U629" i="10"/>
  <c r="V629" i="10"/>
  <c r="U630" i="10"/>
  <c r="V630" i="10"/>
  <c r="U631" i="10"/>
  <c r="V631" i="10"/>
  <c r="U632" i="10"/>
  <c r="V632" i="10"/>
  <c r="U633" i="10"/>
  <c r="V633" i="10"/>
  <c r="U634" i="10"/>
  <c r="V634" i="10"/>
  <c r="U635" i="10"/>
  <c r="V635" i="10"/>
  <c r="U636" i="10"/>
  <c r="V636" i="10"/>
  <c r="U637" i="10"/>
  <c r="V637" i="10"/>
  <c r="U638" i="10"/>
  <c r="V638" i="10"/>
  <c r="U639" i="10"/>
  <c r="V639" i="10"/>
  <c r="U640" i="10"/>
  <c r="V640" i="10"/>
  <c r="U641" i="10"/>
  <c r="V641" i="10"/>
  <c r="U642" i="10"/>
  <c r="V642" i="10"/>
  <c r="U643" i="10"/>
  <c r="V643" i="10"/>
  <c r="U644" i="10"/>
  <c r="V644" i="10"/>
  <c r="U645" i="10"/>
  <c r="V645" i="10"/>
  <c r="U646" i="10"/>
  <c r="V646" i="10"/>
  <c r="U647" i="10"/>
  <c r="V647" i="10"/>
  <c r="U648" i="10"/>
  <c r="V648" i="10"/>
  <c r="U649" i="10"/>
  <c r="V649" i="10"/>
  <c r="U650" i="10"/>
  <c r="V650" i="10"/>
  <c r="U651" i="10"/>
  <c r="V651" i="10"/>
  <c r="U652" i="10"/>
  <c r="V652" i="10"/>
  <c r="U653" i="10"/>
  <c r="V653" i="10"/>
  <c r="U654" i="10"/>
  <c r="V654" i="10"/>
  <c r="U655" i="10"/>
  <c r="V655" i="10"/>
  <c r="U656" i="10"/>
  <c r="V656" i="10"/>
  <c r="U657" i="10"/>
  <c r="V657" i="10"/>
  <c r="U658" i="10"/>
  <c r="V658" i="10"/>
  <c r="U659" i="10"/>
  <c r="V659" i="10"/>
  <c r="U660" i="10"/>
  <c r="V660" i="10"/>
  <c r="U661" i="10"/>
  <c r="V661" i="10"/>
  <c r="U662" i="10"/>
  <c r="V662" i="10"/>
  <c r="U663" i="10"/>
  <c r="V663" i="10"/>
  <c r="U664" i="10"/>
  <c r="V664" i="10"/>
  <c r="U665" i="10"/>
  <c r="V665" i="10"/>
  <c r="U666" i="10"/>
  <c r="V666" i="10"/>
  <c r="U667" i="10"/>
  <c r="V667" i="10"/>
  <c r="U668" i="10"/>
  <c r="V668" i="10"/>
  <c r="U669" i="10"/>
  <c r="V669" i="10"/>
  <c r="U670" i="10"/>
  <c r="V670" i="10"/>
  <c r="U671" i="10"/>
  <c r="V671" i="10"/>
  <c r="U672" i="10"/>
  <c r="V672" i="10"/>
  <c r="U673" i="10"/>
  <c r="V673" i="10"/>
  <c r="U674" i="10"/>
  <c r="V674" i="10"/>
  <c r="U675" i="10"/>
  <c r="V675" i="10"/>
  <c r="U676" i="10"/>
  <c r="V676" i="10"/>
  <c r="U677" i="10"/>
  <c r="V677" i="10"/>
  <c r="U678" i="10"/>
  <c r="V678" i="10"/>
  <c r="U679" i="10"/>
  <c r="V679" i="10"/>
  <c r="U680" i="10"/>
  <c r="V680" i="10"/>
  <c r="U681" i="10"/>
  <c r="V681" i="10"/>
  <c r="U682" i="10"/>
  <c r="V682" i="10"/>
  <c r="U683" i="10"/>
  <c r="V683" i="10"/>
  <c r="U684" i="10"/>
  <c r="V684" i="10"/>
  <c r="U685" i="10"/>
  <c r="V685" i="10"/>
  <c r="U686" i="10"/>
  <c r="V686" i="10"/>
  <c r="U687" i="10"/>
  <c r="V687" i="10"/>
  <c r="U688" i="10"/>
  <c r="V688" i="10"/>
  <c r="U689" i="10"/>
  <c r="V689" i="10"/>
  <c r="U690" i="10"/>
  <c r="V690" i="10"/>
  <c r="U691" i="10"/>
  <c r="V691" i="10"/>
  <c r="U692" i="10"/>
  <c r="V692" i="10"/>
  <c r="U693" i="10"/>
  <c r="V693" i="10"/>
  <c r="U694" i="10"/>
  <c r="V694" i="10"/>
  <c r="U695" i="10"/>
  <c r="V695" i="10"/>
  <c r="U696" i="10"/>
  <c r="V696" i="10"/>
  <c r="U697" i="10"/>
  <c r="V697" i="10"/>
  <c r="U698" i="10"/>
  <c r="V698" i="10"/>
  <c r="U699" i="10"/>
  <c r="V699" i="10"/>
  <c r="U700" i="10"/>
  <c r="V700" i="10"/>
  <c r="U701" i="10"/>
  <c r="V701" i="10"/>
  <c r="U702" i="10"/>
  <c r="V702" i="10"/>
  <c r="U703" i="10"/>
  <c r="V703" i="10"/>
  <c r="U704" i="10"/>
  <c r="V704" i="10"/>
  <c r="U705" i="10"/>
  <c r="V705" i="10"/>
  <c r="U706" i="10"/>
  <c r="V706" i="10"/>
  <c r="U707" i="10"/>
  <c r="V707" i="10"/>
  <c r="U708" i="10"/>
  <c r="V708" i="10"/>
  <c r="U709" i="10"/>
  <c r="V709" i="10"/>
  <c r="U710" i="10"/>
  <c r="V710" i="10"/>
  <c r="U711" i="10"/>
  <c r="V711" i="10"/>
  <c r="U712" i="10"/>
  <c r="V712" i="10"/>
  <c r="U713" i="10"/>
  <c r="V713" i="10"/>
  <c r="U714" i="10"/>
  <c r="V714" i="10"/>
  <c r="U715" i="10"/>
  <c r="V715" i="10"/>
  <c r="U716" i="10"/>
  <c r="V716" i="10"/>
  <c r="U717" i="10"/>
  <c r="V717" i="10"/>
  <c r="U718" i="10"/>
  <c r="V718" i="10"/>
  <c r="U719" i="10"/>
  <c r="V719" i="10"/>
  <c r="U720" i="10"/>
  <c r="V720" i="10"/>
  <c r="U721" i="10"/>
  <c r="V721" i="10"/>
  <c r="U722" i="10"/>
  <c r="V722" i="10"/>
  <c r="U723" i="10"/>
  <c r="V723" i="10"/>
  <c r="U724" i="10"/>
  <c r="V724" i="10"/>
  <c r="U725" i="10"/>
  <c r="V725" i="10"/>
  <c r="U726" i="10"/>
  <c r="V726" i="10"/>
  <c r="U727" i="10"/>
  <c r="V727" i="10"/>
  <c r="U728" i="10"/>
  <c r="V728" i="10"/>
  <c r="U729" i="10"/>
  <c r="V729" i="10"/>
  <c r="U730" i="10"/>
  <c r="V730" i="10"/>
  <c r="U731" i="10"/>
  <c r="V731" i="10"/>
  <c r="U732" i="10"/>
  <c r="V732" i="10"/>
  <c r="U733" i="10"/>
  <c r="V733" i="10"/>
  <c r="U734" i="10"/>
  <c r="V734" i="10"/>
  <c r="U735" i="10"/>
  <c r="V735" i="10"/>
  <c r="U736" i="10"/>
  <c r="V736" i="10"/>
  <c r="U737" i="10"/>
  <c r="V737" i="10"/>
  <c r="U738" i="10"/>
  <c r="V738" i="10"/>
  <c r="U739" i="10"/>
  <c r="V739" i="10"/>
  <c r="U740" i="10"/>
  <c r="V740" i="10"/>
  <c r="U741" i="10"/>
  <c r="V741" i="10"/>
  <c r="U742" i="10"/>
  <c r="V742" i="10"/>
  <c r="U743" i="10"/>
  <c r="V743" i="10"/>
  <c r="U744" i="10"/>
  <c r="V744" i="10"/>
  <c r="U745" i="10"/>
  <c r="V745" i="10"/>
  <c r="U746" i="10"/>
  <c r="V746" i="10"/>
  <c r="U747" i="10"/>
  <c r="V747" i="10"/>
  <c r="U748" i="10"/>
  <c r="V748" i="10"/>
  <c r="U749" i="10"/>
  <c r="V749" i="10"/>
  <c r="U750" i="10"/>
  <c r="V750" i="10"/>
  <c r="U751" i="10"/>
  <c r="V751" i="10"/>
  <c r="U752" i="10"/>
  <c r="V752" i="10"/>
  <c r="U753" i="10"/>
  <c r="V753" i="10"/>
  <c r="U754" i="10"/>
  <c r="V754" i="10"/>
  <c r="U755" i="10"/>
  <c r="V755" i="10"/>
  <c r="U756" i="10"/>
  <c r="V756" i="10"/>
  <c r="U757" i="10"/>
  <c r="V757" i="10"/>
  <c r="U758" i="10"/>
  <c r="V758" i="10"/>
  <c r="U759" i="10"/>
  <c r="V759" i="10"/>
  <c r="U760" i="10"/>
  <c r="V760" i="10"/>
  <c r="U761" i="10"/>
  <c r="V761" i="10"/>
  <c r="U762" i="10"/>
  <c r="V762" i="10"/>
  <c r="U763" i="10"/>
  <c r="V763" i="10"/>
  <c r="U764" i="10"/>
  <c r="V764" i="10"/>
  <c r="U765" i="10"/>
  <c r="V765" i="10"/>
  <c r="U766" i="10"/>
  <c r="V766" i="10"/>
  <c r="U767" i="10"/>
  <c r="V767" i="10"/>
  <c r="U768" i="10"/>
  <c r="V768" i="10"/>
  <c r="U769" i="10"/>
  <c r="V769" i="10"/>
  <c r="U770" i="10"/>
  <c r="V770" i="10"/>
  <c r="U771" i="10"/>
  <c r="V771" i="10"/>
  <c r="U772" i="10"/>
  <c r="V772" i="10"/>
  <c r="U773" i="10"/>
  <c r="V773" i="10"/>
  <c r="U774" i="10"/>
  <c r="V774" i="10"/>
  <c r="U775" i="10"/>
  <c r="V775" i="10"/>
  <c r="U776" i="10"/>
  <c r="V776" i="10"/>
  <c r="U777" i="10"/>
  <c r="V777" i="10"/>
  <c r="U778" i="10"/>
  <c r="V778" i="10"/>
  <c r="U779" i="10"/>
  <c r="V779" i="10"/>
  <c r="U780" i="10"/>
  <c r="V780" i="10"/>
  <c r="U781" i="10"/>
  <c r="V781" i="10"/>
  <c r="U782" i="10"/>
  <c r="V782" i="10"/>
  <c r="U783" i="10"/>
  <c r="V783" i="10"/>
  <c r="U784" i="10"/>
  <c r="V784" i="10"/>
  <c r="U785" i="10"/>
  <c r="V785" i="10"/>
  <c r="U786" i="10"/>
  <c r="V786" i="10"/>
  <c r="U787" i="10"/>
  <c r="V787" i="10"/>
  <c r="U788" i="10"/>
  <c r="V788" i="10"/>
  <c r="U789" i="10"/>
  <c r="V789" i="10"/>
  <c r="U790" i="10"/>
  <c r="V790" i="10"/>
  <c r="U791" i="10"/>
  <c r="V791" i="10"/>
  <c r="U792" i="10"/>
  <c r="V792" i="10"/>
  <c r="U793" i="10"/>
  <c r="V793" i="10"/>
  <c r="U794" i="10"/>
  <c r="V794" i="10"/>
  <c r="U795" i="10"/>
  <c r="V795" i="10"/>
  <c r="U796" i="10"/>
  <c r="V796" i="10"/>
  <c r="U797" i="10"/>
  <c r="V797" i="10"/>
  <c r="U798" i="10"/>
  <c r="V798" i="10"/>
  <c r="U799" i="10"/>
  <c r="V799" i="10"/>
  <c r="U800" i="10"/>
  <c r="V800" i="10"/>
  <c r="U801" i="10"/>
  <c r="V801" i="10"/>
  <c r="U802" i="10"/>
  <c r="V802" i="10"/>
  <c r="U803" i="10"/>
  <c r="V803" i="10"/>
  <c r="U804" i="10"/>
  <c r="V804" i="10"/>
  <c r="U805" i="10"/>
  <c r="V805" i="10"/>
  <c r="U806" i="10"/>
  <c r="V806" i="10"/>
  <c r="U807" i="10"/>
  <c r="V807" i="10"/>
  <c r="U808" i="10"/>
  <c r="V808" i="10"/>
  <c r="U809" i="10"/>
  <c r="V809" i="10"/>
  <c r="U810" i="10"/>
  <c r="V810" i="10"/>
  <c r="U811" i="10"/>
  <c r="V811" i="10"/>
  <c r="U812" i="10"/>
  <c r="V812" i="10"/>
  <c r="U813" i="10"/>
  <c r="V813" i="10"/>
  <c r="U814" i="10"/>
  <c r="V814" i="10"/>
  <c r="U815" i="10"/>
  <c r="V815" i="10"/>
  <c r="U816" i="10"/>
  <c r="V816" i="10"/>
  <c r="U817" i="10"/>
  <c r="V817" i="10"/>
  <c r="U818" i="10"/>
  <c r="V818" i="10"/>
  <c r="U819" i="10"/>
  <c r="V819" i="10"/>
  <c r="U820" i="10"/>
  <c r="V820" i="10"/>
  <c r="U821" i="10"/>
  <c r="V821" i="10"/>
  <c r="U822" i="10"/>
  <c r="V822" i="10"/>
  <c r="U823" i="10"/>
  <c r="V823" i="10"/>
  <c r="U824" i="10"/>
  <c r="V824" i="10"/>
  <c r="U825" i="10"/>
  <c r="V825" i="10"/>
  <c r="U826" i="10"/>
  <c r="V826" i="10"/>
  <c r="U827" i="10"/>
  <c r="V827" i="10"/>
  <c r="U828" i="10"/>
  <c r="V828" i="10"/>
  <c r="U829" i="10"/>
  <c r="V829" i="10"/>
  <c r="U830" i="10"/>
  <c r="V830" i="10"/>
  <c r="U831" i="10"/>
  <c r="V831" i="10"/>
  <c r="U832" i="10"/>
  <c r="V832" i="10"/>
  <c r="U833" i="10"/>
  <c r="V833" i="10"/>
  <c r="U834" i="10"/>
  <c r="V834" i="10"/>
  <c r="U835" i="10"/>
  <c r="V835" i="10"/>
  <c r="U836" i="10"/>
  <c r="V836" i="10"/>
  <c r="U837" i="10"/>
  <c r="V837" i="10"/>
  <c r="U838" i="10"/>
  <c r="V838" i="10"/>
  <c r="U839" i="10"/>
  <c r="V839" i="10"/>
  <c r="U840" i="10"/>
  <c r="V840" i="10"/>
  <c r="U841" i="10"/>
  <c r="V841" i="10"/>
  <c r="U842" i="10"/>
  <c r="V842" i="10"/>
  <c r="U843" i="10"/>
  <c r="V843" i="10"/>
  <c r="U844" i="10"/>
  <c r="V844" i="10"/>
  <c r="U845" i="10"/>
  <c r="V845" i="10"/>
  <c r="U846" i="10"/>
  <c r="V846" i="10"/>
  <c r="U847" i="10"/>
  <c r="V847" i="10"/>
  <c r="U848" i="10"/>
  <c r="V848" i="10"/>
  <c r="U849" i="10"/>
  <c r="V849" i="10"/>
  <c r="U850" i="10"/>
  <c r="V850" i="10"/>
  <c r="U851" i="10"/>
  <c r="V851" i="10"/>
  <c r="U852" i="10"/>
  <c r="V852" i="10"/>
  <c r="U853" i="10"/>
  <c r="V853" i="10"/>
  <c r="U854" i="10"/>
  <c r="V854" i="10"/>
  <c r="U855" i="10"/>
  <c r="V855" i="10"/>
  <c r="U856" i="10"/>
  <c r="V856" i="10"/>
  <c r="U857" i="10"/>
  <c r="V857" i="10"/>
  <c r="U858" i="10"/>
  <c r="V858" i="10"/>
  <c r="U859" i="10"/>
  <c r="V859" i="10"/>
  <c r="U860" i="10"/>
  <c r="V860" i="10"/>
  <c r="U861" i="10"/>
  <c r="V861" i="10"/>
  <c r="U862" i="10"/>
  <c r="V862" i="10"/>
  <c r="U863" i="10"/>
  <c r="V863" i="10"/>
  <c r="U864" i="10"/>
  <c r="V864" i="10"/>
  <c r="U865" i="10"/>
  <c r="V865" i="10"/>
  <c r="U866" i="10"/>
  <c r="V866" i="10"/>
  <c r="U867" i="10"/>
  <c r="V867" i="10"/>
  <c r="U868" i="10"/>
  <c r="V868" i="10"/>
  <c r="U869" i="10"/>
  <c r="V869" i="10"/>
  <c r="U870" i="10"/>
  <c r="V870" i="10"/>
  <c r="U871" i="10"/>
  <c r="V871" i="10"/>
  <c r="U872" i="10"/>
  <c r="V872" i="10"/>
  <c r="U873" i="10"/>
  <c r="V873" i="10"/>
  <c r="U874" i="10"/>
  <c r="V874" i="10"/>
  <c r="U875" i="10"/>
  <c r="V875" i="10"/>
  <c r="U876" i="10"/>
  <c r="V876" i="10"/>
  <c r="U877" i="10"/>
  <c r="V877" i="10"/>
  <c r="U878" i="10"/>
  <c r="V878" i="10"/>
  <c r="U879" i="10"/>
  <c r="V879" i="10"/>
  <c r="U880" i="10"/>
  <c r="V880" i="10"/>
  <c r="U881" i="10"/>
  <c r="V881" i="10"/>
  <c r="U882" i="10"/>
  <c r="V882" i="10"/>
  <c r="U883" i="10"/>
  <c r="V883" i="10"/>
  <c r="U884" i="10"/>
  <c r="V884" i="10"/>
  <c r="U885" i="10"/>
  <c r="V885" i="10"/>
  <c r="U886" i="10"/>
  <c r="V886" i="10"/>
  <c r="U887" i="10"/>
  <c r="V887" i="10"/>
  <c r="U888" i="10"/>
  <c r="V888" i="10"/>
  <c r="U889" i="10"/>
  <c r="V889" i="10"/>
  <c r="U890" i="10"/>
  <c r="V890" i="10"/>
  <c r="U891" i="10"/>
  <c r="V891" i="10"/>
  <c r="U892" i="10"/>
  <c r="V892" i="10"/>
  <c r="U893" i="10"/>
  <c r="V893" i="10"/>
  <c r="U894" i="10"/>
  <c r="V894" i="10"/>
  <c r="U895" i="10"/>
  <c r="V895" i="10"/>
  <c r="U896" i="10"/>
  <c r="V896" i="10"/>
  <c r="U897" i="10"/>
  <c r="V897" i="10"/>
  <c r="U898" i="10"/>
  <c r="V898" i="10"/>
  <c r="U899" i="10"/>
  <c r="V899" i="10"/>
  <c r="U900" i="10"/>
  <c r="V900" i="10"/>
  <c r="U901" i="10"/>
  <c r="V901" i="10"/>
  <c r="U902" i="10"/>
  <c r="V902" i="10"/>
  <c r="U903" i="10"/>
  <c r="V903" i="10"/>
  <c r="U904" i="10"/>
  <c r="V904" i="10"/>
  <c r="U905" i="10"/>
  <c r="V905" i="10"/>
  <c r="U906" i="10"/>
  <c r="V906" i="10"/>
  <c r="U907" i="10"/>
  <c r="V907" i="10"/>
  <c r="U908" i="10"/>
  <c r="V908" i="10"/>
  <c r="U909" i="10"/>
  <c r="V909" i="10"/>
  <c r="U910" i="10"/>
  <c r="V910" i="10"/>
  <c r="U911" i="10"/>
  <c r="V911" i="10"/>
  <c r="U912" i="10"/>
  <c r="V912" i="10"/>
  <c r="U913" i="10"/>
  <c r="V913" i="10"/>
  <c r="U914" i="10"/>
  <c r="V914" i="10"/>
  <c r="U915" i="10"/>
  <c r="V915" i="10"/>
  <c r="U916" i="10"/>
  <c r="V916" i="10"/>
  <c r="U917" i="10"/>
  <c r="V917" i="10"/>
  <c r="U918" i="10"/>
  <c r="V918" i="10"/>
  <c r="U919" i="10"/>
  <c r="V919" i="10"/>
  <c r="U920" i="10"/>
  <c r="V920" i="10"/>
  <c r="U921" i="10"/>
  <c r="V921" i="10"/>
  <c r="U922" i="10"/>
  <c r="V922" i="10"/>
  <c r="U923" i="10"/>
  <c r="V923" i="10"/>
  <c r="U924" i="10"/>
  <c r="V924" i="10"/>
  <c r="U925" i="10"/>
  <c r="V925" i="10"/>
  <c r="U926" i="10"/>
  <c r="V926" i="10"/>
  <c r="U927" i="10"/>
  <c r="V927" i="10"/>
  <c r="U928" i="10"/>
  <c r="V928" i="10"/>
  <c r="U929" i="10"/>
  <c r="V929" i="10"/>
  <c r="U930" i="10"/>
  <c r="V930" i="10"/>
  <c r="U931" i="10"/>
  <c r="V931" i="10"/>
  <c r="U932" i="10"/>
  <c r="V932" i="10"/>
  <c r="U933" i="10"/>
  <c r="V933" i="10"/>
  <c r="U934" i="10"/>
  <c r="V934" i="10"/>
  <c r="U935" i="10"/>
  <c r="V935" i="10"/>
  <c r="U936" i="10"/>
  <c r="V936" i="10"/>
  <c r="U937" i="10"/>
  <c r="V937" i="10"/>
  <c r="U938" i="10"/>
  <c r="V938" i="10"/>
  <c r="U939" i="10"/>
  <c r="V939" i="10"/>
  <c r="U940" i="10"/>
  <c r="V940" i="10"/>
  <c r="U941" i="10"/>
  <c r="V941" i="10"/>
  <c r="U942" i="10"/>
  <c r="V942" i="10"/>
  <c r="U943" i="10"/>
  <c r="V943" i="10"/>
  <c r="U944" i="10"/>
  <c r="V944" i="10"/>
  <c r="U945" i="10"/>
  <c r="V945" i="10"/>
  <c r="U946" i="10"/>
  <c r="V946" i="10"/>
  <c r="U947" i="10"/>
  <c r="V947" i="10"/>
  <c r="U948" i="10"/>
  <c r="V948" i="10"/>
  <c r="U949" i="10"/>
  <c r="V949" i="10"/>
  <c r="U950" i="10"/>
  <c r="V950" i="10"/>
  <c r="U951" i="10"/>
  <c r="V951" i="10"/>
  <c r="U952" i="10"/>
  <c r="V952" i="10"/>
  <c r="U953" i="10"/>
  <c r="V953" i="10"/>
  <c r="U954" i="10"/>
  <c r="V954" i="10"/>
  <c r="U955" i="10"/>
  <c r="V955" i="10"/>
  <c r="U956" i="10"/>
  <c r="V956" i="10"/>
  <c r="U957" i="10"/>
  <c r="V957" i="10"/>
  <c r="U958" i="10"/>
  <c r="V958" i="10"/>
  <c r="U959" i="10"/>
  <c r="V959" i="10"/>
  <c r="U960" i="10"/>
  <c r="V960" i="10"/>
  <c r="U961" i="10"/>
  <c r="V961" i="10"/>
  <c r="U962" i="10"/>
  <c r="V962" i="10"/>
  <c r="U963" i="10"/>
  <c r="V963" i="10"/>
  <c r="U964" i="10"/>
  <c r="V964" i="10"/>
  <c r="U965" i="10"/>
  <c r="V965" i="10"/>
  <c r="U966" i="10"/>
  <c r="V966" i="10"/>
  <c r="U967" i="10"/>
  <c r="V967" i="10"/>
  <c r="U968" i="10"/>
  <c r="V968" i="10"/>
  <c r="U969" i="10"/>
  <c r="V969" i="10"/>
  <c r="U970" i="10"/>
  <c r="V970" i="10"/>
  <c r="U971" i="10"/>
  <c r="V971" i="10"/>
  <c r="U972" i="10"/>
  <c r="V972" i="10"/>
  <c r="U973" i="10"/>
  <c r="V973" i="10"/>
  <c r="U974" i="10"/>
  <c r="V974" i="10"/>
  <c r="U975" i="10"/>
  <c r="V975" i="10"/>
  <c r="U976" i="10"/>
  <c r="V976" i="10"/>
  <c r="U977" i="10"/>
  <c r="V977" i="10"/>
  <c r="U978" i="10"/>
  <c r="V978" i="10"/>
  <c r="U979" i="10"/>
  <c r="V979" i="10"/>
  <c r="U980" i="10"/>
  <c r="V980" i="10"/>
  <c r="U981" i="10"/>
  <c r="V981" i="10"/>
  <c r="U982" i="10"/>
  <c r="V982" i="10"/>
  <c r="U983" i="10"/>
  <c r="V983" i="10"/>
  <c r="U984" i="10"/>
  <c r="V984" i="10"/>
  <c r="U985" i="10"/>
  <c r="V985" i="10"/>
  <c r="U986" i="10"/>
  <c r="V986" i="10"/>
  <c r="U987" i="10"/>
  <c r="V987" i="10"/>
  <c r="U988" i="10"/>
  <c r="V988" i="10"/>
  <c r="U989" i="10"/>
  <c r="V989" i="10"/>
  <c r="U990" i="10"/>
  <c r="V990" i="10"/>
  <c r="U991" i="10"/>
  <c r="V991" i="10"/>
  <c r="U992" i="10"/>
  <c r="V992" i="10"/>
  <c r="U993" i="10"/>
  <c r="V993" i="10"/>
  <c r="U994" i="10"/>
  <c r="V994" i="10"/>
  <c r="U995" i="10"/>
  <c r="V995" i="10"/>
  <c r="U996" i="10"/>
  <c r="V996" i="10"/>
  <c r="U997" i="10"/>
  <c r="V997" i="10"/>
  <c r="U998" i="10"/>
  <c r="V998" i="10"/>
  <c r="U999" i="10"/>
  <c r="V999" i="10"/>
  <c r="U1000" i="10"/>
  <c r="V1000" i="10"/>
  <c r="E65" i="6"/>
  <c r="E64" i="6"/>
  <c r="D65" i="6"/>
  <c r="E63" i="6"/>
  <c r="D62" i="6"/>
  <c r="E62" i="6"/>
  <c r="A61" i="6"/>
  <c r="E61" i="6"/>
  <c r="A60" i="6"/>
  <c r="E60" i="6"/>
  <c r="D59" i="6"/>
  <c r="E59" i="6"/>
  <c r="A58" i="6"/>
  <c r="E58" i="6"/>
  <c r="A57" i="6"/>
  <c r="E57" i="6"/>
  <c r="B56" i="6"/>
  <c r="E56" i="6"/>
  <c r="C55" i="6"/>
  <c r="E55" i="6"/>
  <c r="C54" i="6"/>
  <c r="E54" i="6"/>
  <c r="C53" i="6"/>
  <c r="E53" i="6"/>
  <c r="C52" i="6"/>
  <c r="E52" i="6"/>
  <c r="C51" i="6"/>
  <c r="E51" i="6"/>
  <c r="C50" i="6"/>
  <c r="E50" i="6"/>
  <c r="C49" i="6"/>
  <c r="E49" i="6"/>
  <c r="C48" i="6"/>
  <c r="E48" i="6"/>
  <c r="C47" i="6"/>
  <c r="E47" i="6"/>
  <c r="B46" i="6"/>
  <c r="E46" i="6"/>
  <c r="C45" i="6"/>
  <c r="E45" i="6"/>
  <c r="C44" i="6"/>
  <c r="E44" i="6"/>
  <c r="C43" i="6"/>
  <c r="E43" i="6"/>
  <c r="E42" i="6"/>
  <c r="C42" i="6"/>
  <c r="B41" i="6"/>
  <c r="E41" i="6"/>
  <c r="A40" i="6"/>
  <c r="E40" i="6"/>
  <c r="B39" i="6"/>
  <c r="E39" i="6"/>
  <c r="C38" i="6"/>
  <c r="E38" i="6"/>
  <c r="D37" i="6"/>
  <c r="E37" i="6"/>
  <c r="D36" i="6"/>
  <c r="E36" i="6"/>
  <c r="D35" i="6"/>
  <c r="E35" i="6"/>
  <c r="D34" i="6"/>
  <c r="E34" i="6"/>
  <c r="C33" i="6"/>
  <c r="E33" i="6"/>
  <c r="C32" i="6"/>
  <c r="E32" i="6"/>
  <c r="E31" i="6"/>
  <c r="D28" i="6"/>
  <c r="D27" i="6"/>
  <c r="D26" i="6"/>
  <c r="D25" i="6"/>
  <c r="C31" i="6"/>
  <c r="B30" i="6"/>
  <c r="E30" i="6"/>
  <c r="C29" i="6"/>
  <c r="E29" i="6"/>
  <c r="E28" i="6"/>
  <c r="E27" i="6"/>
  <c r="E26" i="6"/>
  <c r="E25" i="6"/>
  <c r="D24" i="6"/>
  <c r="D30" i="6"/>
  <c r="A64" i="6"/>
  <c r="I64" i="6" s="1"/>
  <c r="A63" i="6"/>
  <c r="I63" i="6" s="1"/>
  <c r="B59" i="6"/>
  <c r="S64" i="6" l="1"/>
  <c r="U64" i="6"/>
  <c r="T64" i="6"/>
  <c r="R64" i="6"/>
  <c r="S63" i="6"/>
  <c r="T63" i="6"/>
  <c r="R63" i="6"/>
  <c r="U63" i="6"/>
  <c r="F92" i="2"/>
  <c r="F82" i="2"/>
  <c r="F77" i="2"/>
  <c r="F72" i="2"/>
  <c r="F51" i="2"/>
  <c r="F46" i="2"/>
  <c r="F44" i="2"/>
  <c r="F38" i="2"/>
  <c r="F33" i="2"/>
  <c r="F23" i="2"/>
  <c r="F19" i="2"/>
  <c r="F10" i="2"/>
  <c r="F91" i="2"/>
  <c r="F83" i="2"/>
  <c r="F78" i="2"/>
  <c r="F64" i="2"/>
  <c r="F52" i="2"/>
  <c r="F41" i="2"/>
  <c r="F40" i="2"/>
  <c r="F35" i="2"/>
  <c r="F30" i="2"/>
  <c r="F24" i="2"/>
  <c r="F20" i="2"/>
  <c r="F11" i="2"/>
  <c r="F88" i="2"/>
  <c r="F84" i="2"/>
  <c r="F79" i="2"/>
  <c r="F50" i="2"/>
  <c r="F42" i="2"/>
  <c r="F36" i="2"/>
  <c r="F31" i="2"/>
  <c r="F27" i="2"/>
  <c r="F22" i="2"/>
  <c r="F14" i="2"/>
  <c r="F8" i="2"/>
  <c r="F89" i="2"/>
  <c r="F81" i="2"/>
  <c r="F76" i="2"/>
  <c r="F60" i="2"/>
  <c r="F47" i="2"/>
  <c r="F43" i="2"/>
  <c r="F37" i="2"/>
  <c r="F32" i="2"/>
  <c r="F26" i="2"/>
  <c r="F16" i="2"/>
  <c r="F9" i="2"/>
  <c r="M63" i="6"/>
  <c r="O63" i="6"/>
  <c r="P63" i="6"/>
  <c r="N63" i="6"/>
  <c r="P64" i="6"/>
  <c r="N64" i="6"/>
  <c r="O64" i="6"/>
  <c r="M64" i="6"/>
  <c r="C58" i="6"/>
  <c r="C57" i="6"/>
  <c r="C56" i="6"/>
  <c r="B49" i="6"/>
  <c r="C46" i="6"/>
  <c r="B44" i="6"/>
  <c r="A43" i="6"/>
  <c r="B42" i="6"/>
  <c r="C41" i="6"/>
  <c r="D40" i="6"/>
  <c r="D39" i="6"/>
  <c r="D38" i="6"/>
  <c r="C36" i="6"/>
  <c r="C35" i="6"/>
  <c r="C34" i="6"/>
  <c r="B33" i="6"/>
  <c r="D31" i="6"/>
  <c r="D29" i="6"/>
  <c r="I59" i="6" l="1"/>
  <c r="I55" i="6"/>
  <c r="I51" i="6"/>
  <c r="I47" i="6"/>
  <c r="I43" i="6"/>
  <c r="I58" i="6"/>
  <c r="I54" i="6"/>
  <c r="I50" i="6"/>
  <c r="I46" i="6"/>
  <c r="I57" i="6"/>
  <c r="I53" i="6"/>
  <c r="I49" i="6"/>
  <c r="I45" i="6"/>
  <c r="I56" i="6"/>
  <c r="I52" i="6"/>
  <c r="I48" i="6"/>
  <c r="I44" i="6"/>
  <c r="D11" i="8"/>
  <c r="U49" i="6" l="1"/>
  <c r="T49" i="6"/>
  <c r="R49" i="6"/>
  <c r="S49" i="6"/>
  <c r="S47" i="6"/>
  <c r="H47" i="6" s="1"/>
  <c r="T47" i="6"/>
  <c r="R47" i="6"/>
  <c r="U47" i="6"/>
  <c r="S52" i="6"/>
  <c r="U52" i="6"/>
  <c r="T52" i="6"/>
  <c r="R52" i="6"/>
  <c r="U53" i="6"/>
  <c r="T53" i="6"/>
  <c r="R53" i="6"/>
  <c r="S53" i="6"/>
  <c r="T54" i="6"/>
  <c r="R54" i="6"/>
  <c r="U54" i="6"/>
  <c r="S54" i="6"/>
  <c r="S51" i="6"/>
  <c r="T51" i="6"/>
  <c r="R51" i="6"/>
  <c r="U51" i="6"/>
  <c r="U57" i="6"/>
  <c r="T57" i="6"/>
  <c r="S57" i="6"/>
  <c r="R57" i="6"/>
  <c r="T58" i="6"/>
  <c r="R58" i="6"/>
  <c r="S58" i="6"/>
  <c r="U58" i="6"/>
  <c r="S55" i="6"/>
  <c r="T55" i="6"/>
  <c r="R55" i="6"/>
  <c r="U55" i="6"/>
  <c r="S48" i="6"/>
  <c r="T48" i="6"/>
  <c r="R48" i="6"/>
  <c r="H48" i="6" s="1"/>
  <c r="U48" i="6"/>
  <c r="T50" i="6"/>
  <c r="R50" i="6"/>
  <c r="S50" i="6"/>
  <c r="U50" i="6"/>
  <c r="S56" i="6"/>
  <c r="T56" i="6"/>
  <c r="R56" i="6"/>
  <c r="U56" i="6"/>
  <c r="S44" i="6"/>
  <c r="U44" i="6"/>
  <c r="T44" i="6"/>
  <c r="R44" i="6"/>
  <c r="U45" i="6"/>
  <c r="S45" i="6"/>
  <c r="T45" i="6"/>
  <c r="R45" i="6"/>
  <c r="T46" i="6"/>
  <c r="R46" i="6"/>
  <c r="U46" i="6"/>
  <c r="S46" i="6"/>
  <c r="S43" i="6"/>
  <c r="T43" i="6"/>
  <c r="R43" i="6"/>
  <c r="U43" i="6"/>
  <c r="S59" i="6"/>
  <c r="T59" i="6"/>
  <c r="R59" i="6"/>
  <c r="U59" i="6"/>
  <c r="P56" i="6"/>
  <c r="N56" i="6"/>
  <c r="M56" i="6"/>
  <c r="O56" i="6"/>
  <c r="O57" i="6"/>
  <c r="P57" i="6"/>
  <c r="M57" i="6"/>
  <c r="N57" i="6"/>
  <c r="N58" i="6"/>
  <c r="P58" i="6"/>
  <c r="M58" i="6"/>
  <c r="O58" i="6"/>
  <c r="M55" i="6"/>
  <c r="O55" i="6"/>
  <c r="N55" i="6"/>
  <c r="P55" i="6"/>
  <c r="P44" i="6"/>
  <c r="N44" i="6"/>
  <c r="M44" i="6"/>
  <c r="O44" i="6"/>
  <c r="O45" i="6"/>
  <c r="P45" i="6"/>
  <c r="M45" i="6"/>
  <c r="N45" i="6"/>
  <c r="N46" i="6"/>
  <c r="P46" i="6"/>
  <c r="M46" i="6"/>
  <c r="O46" i="6"/>
  <c r="M43" i="6"/>
  <c r="O43" i="6"/>
  <c r="N43" i="6"/>
  <c r="P43" i="6"/>
  <c r="M59" i="6"/>
  <c r="N59" i="6"/>
  <c r="O59" i="6"/>
  <c r="P59" i="6"/>
  <c r="P48" i="6"/>
  <c r="M48" i="6"/>
  <c r="G48" i="6" s="1"/>
  <c r="N48" i="6"/>
  <c r="O48" i="6"/>
  <c r="O49" i="6"/>
  <c r="M49" i="6"/>
  <c r="N49" i="6"/>
  <c r="P49" i="6"/>
  <c r="N50" i="6"/>
  <c r="O50" i="6"/>
  <c r="P50" i="6"/>
  <c r="M50" i="6"/>
  <c r="M47" i="6"/>
  <c r="O47" i="6"/>
  <c r="P47" i="6"/>
  <c r="N47" i="6"/>
  <c r="G47" i="6" s="1"/>
  <c r="P52" i="6"/>
  <c r="N52" i="6"/>
  <c r="O52" i="6"/>
  <c r="M52" i="6"/>
  <c r="O53" i="6"/>
  <c r="M53" i="6"/>
  <c r="P53" i="6"/>
  <c r="N53" i="6"/>
  <c r="N54" i="6"/>
  <c r="P54" i="6"/>
  <c r="O54" i="6"/>
  <c r="M54" i="6"/>
  <c r="M51" i="6"/>
  <c r="N51" i="6"/>
  <c r="O51" i="6"/>
  <c r="P51" i="6"/>
  <c r="I62" i="6"/>
  <c r="I61" i="6"/>
  <c r="I60" i="6"/>
  <c r="I65" i="6"/>
  <c r="C24" i="6"/>
  <c r="E24" i="6"/>
  <c r="E23" i="6"/>
  <c r="D23" i="6"/>
  <c r="C23" i="6"/>
  <c r="R3" i="12"/>
  <c r="E22" i="6"/>
  <c r="D22" i="6"/>
  <c r="C22" i="6"/>
  <c r="E21" i="6"/>
  <c r="B21" i="6"/>
  <c r="C21" i="6"/>
  <c r="E20" i="6"/>
  <c r="E19" i="6"/>
  <c r="C19" i="6"/>
  <c r="B19" i="6"/>
  <c r="C20" i="6"/>
  <c r="A20" i="6"/>
  <c r="E18" i="6"/>
  <c r="C18" i="6"/>
  <c r="B18" i="6"/>
  <c r="E17" i="6"/>
  <c r="C17" i="6"/>
  <c r="A17" i="6"/>
  <c r="E16" i="6"/>
  <c r="C16" i="6"/>
  <c r="B16" i="6"/>
  <c r="E15" i="6"/>
  <c r="C15" i="6"/>
  <c r="E14" i="6"/>
  <c r="C14" i="6"/>
  <c r="E13" i="6"/>
  <c r="C13" i="6"/>
  <c r="E12" i="6"/>
  <c r="C12" i="6"/>
  <c r="I7" i="6"/>
  <c r="I6" i="6"/>
  <c r="E11" i="6"/>
  <c r="C11" i="6"/>
  <c r="E10" i="6"/>
  <c r="C10" i="6"/>
  <c r="B10" i="6"/>
  <c r="E9" i="6"/>
  <c r="C9" i="6"/>
  <c r="E8" i="6"/>
  <c r="C8" i="6"/>
  <c r="B8" i="6"/>
  <c r="E7" i="6"/>
  <c r="O7" i="6" l="1"/>
  <c r="N7" i="6"/>
  <c r="M7" i="6"/>
  <c r="P7" i="6"/>
  <c r="U7" i="6"/>
  <c r="R7" i="6"/>
  <c r="S7" i="6"/>
  <c r="T7" i="6"/>
  <c r="S60" i="6"/>
  <c r="T60" i="6"/>
  <c r="R60" i="6"/>
  <c r="U60" i="6"/>
  <c r="U65" i="6"/>
  <c r="T65" i="6"/>
  <c r="R65" i="6"/>
  <c r="S65" i="6"/>
  <c r="U61" i="6"/>
  <c r="R61" i="6"/>
  <c r="S61" i="6"/>
  <c r="T61" i="6"/>
  <c r="T62" i="6"/>
  <c r="R62" i="6"/>
  <c r="U62" i="6"/>
  <c r="S62" i="6"/>
  <c r="O61" i="6"/>
  <c r="M61" i="6"/>
  <c r="N61" i="6"/>
  <c r="P61" i="6"/>
  <c r="O65" i="6"/>
  <c r="M65" i="6"/>
  <c r="P65" i="6"/>
  <c r="N65" i="6"/>
  <c r="N62" i="6"/>
  <c r="O62" i="6"/>
  <c r="P62" i="6"/>
  <c r="M62" i="6"/>
  <c r="P60" i="6"/>
  <c r="M60" i="6"/>
  <c r="N60" i="6"/>
  <c r="O60" i="6"/>
  <c r="I42" i="6"/>
  <c r="I41" i="6"/>
  <c r="I40" i="6"/>
  <c r="I36" i="6"/>
  <c r="I32" i="6"/>
  <c r="I28" i="6"/>
  <c r="I37" i="6"/>
  <c r="I25" i="6"/>
  <c r="I39" i="6"/>
  <c r="I35" i="6"/>
  <c r="I31" i="6"/>
  <c r="I27" i="6"/>
  <c r="I29" i="6"/>
  <c r="I38" i="6"/>
  <c r="I34" i="6"/>
  <c r="I30" i="6"/>
  <c r="I26" i="6"/>
  <c r="I33" i="6"/>
  <c r="I24" i="6"/>
  <c r="I23" i="6"/>
  <c r="I22" i="6"/>
  <c r="I20" i="6"/>
  <c r="I21" i="6"/>
  <c r="I19" i="6"/>
  <c r="I18" i="6"/>
  <c r="I16" i="6"/>
  <c r="I17" i="6"/>
  <c r="I13" i="6"/>
  <c r="I12" i="6"/>
  <c r="I14" i="6"/>
  <c r="I15" i="6"/>
  <c r="I9" i="6"/>
  <c r="I10" i="6"/>
  <c r="I11" i="6"/>
  <c r="I8" i="6"/>
  <c r="T3" i="10"/>
  <c r="T3" i="12" s="1"/>
  <c r="H5" i="6"/>
  <c r="G5" i="6"/>
  <c r="U13" i="6" l="1"/>
  <c r="R13" i="6"/>
  <c r="T13" i="6"/>
  <c r="S13" i="6"/>
  <c r="S23" i="6"/>
  <c r="T23" i="6"/>
  <c r="R23" i="6"/>
  <c r="U23" i="6"/>
  <c r="T30" i="6"/>
  <c r="R30" i="6"/>
  <c r="U30" i="6"/>
  <c r="S30" i="6"/>
  <c r="U25" i="6"/>
  <c r="R25" i="6"/>
  <c r="S25" i="6"/>
  <c r="T25" i="6"/>
  <c r="R8" i="6"/>
  <c r="S8" i="6"/>
  <c r="T8" i="6"/>
  <c r="U8" i="6"/>
  <c r="S15" i="6"/>
  <c r="T15" i="6"/>
  <c r="R15" i="6"/>
  <c r="U15" i="6"/>
  <c r="U17" i="6"/>
  <c r="R17" i="6"/>
  <c r="S17" i="6"/>
  <c r="T17" i="6"/>
  <c r="U21" i="6"/>
  <c r="T21" i="6"/>
  <c r="S21" i="6"/>
  <c r="R21" i="6"/>
  <c r="S24" i="6"/>
  <c r="U24" i="6"/>
  <c r="T24" i="6"/>
  <c r="R24" i="6"/>
  <c r="T34" i="6"/>
  <c r="R34" i="6"/>
  <c r="U34" i="6"/>
  <c r="S34" i="6"/>
  <c r="S31" i="6"/>
  <c r="T31" i="6"/>
  <c r="R31" i="6"/>
  <c r="H31" i="6" s="1"/>
  <c r="U31" i="6"/>
  <c r="U37" i="6"/>
  <c r="R37" i="6"/>
  <c r="S37" i="6"/>
  <c r="H37" i="6" s="1"/>
  <c r="T37" i="6"/>
  <c r="S40" i="6"/>
  <c r="T40" i="6"/>
  <c r="R40" i="6"/>
  <c r="U40" i="6"/>
  <c r="U9" i="6"/>
  <c r="R9" i="6"/>
  <c r="S9" i="6"/>
  <c r="H9" i="6" s="1"/>
  <c r="T9" i="6"/>
  <c r="S19" i="6"/>
  <c r="T19" i="6"/>
  <c r="R19" i="6"/>
  <c r="U19" i="6"/>
  <c r="S27" i="6"/>
  <c r="T27" i="6"/>
  <c r="R27" i="6"/>
  <c r="H27" i="6" s="1"/>
  <c r="U27" i="6"/>
  <c r="S36" i="6"/>
  <c r="U36" i="6"/>
  <c r="T36" i="6"/>
  <c r="R36" i="6"/>
  <c r="S11" i="6"/>
  <c r="T11" i="6"/>
  <c r="U11" i="6"/>
  <c r="R11" i="6"/>
  <c r="T14" i="6"/>
  <c r="U14" i="6"/>
  <c r="R14" i="6"/>
  <c r="S14" i="6"/>
  <c r="R16" i="6"/>
  <c r="U16" i="6"/>
  <c r="S16" i="6"/>
  <c r="T16" i="6"/>
  <c r="S20" i="6"/>
  <c r="T20" i="6"/>
  <c r="R20" i="6"/>
  <c r="U20" i="6"/>
  <c r="U33" i="6"/>
  <c r="T33" i="6"/>
  <c r="S33" i="6"/>
  <c r="R33" i="6"/>
  <c r="T38" i="6"/>
  <c r="R38" i="6"/>
  <c r="S38" i="6"/>
  <c r="U38" i="6"/>
  <c r="S35" i="6"/>
  <c r="T35" i="6"/>
  <c r="R35" i="6"/>
  <c r="U35" i="6"/>
  <c r="S28" i="6"/>
  <c r="T28" i="6"/>
  <c r="R28" i="6"/>
  <c r="H28" i="6" s="1"/>
  <c r="U28" i="6"/>
  <c r="U41" i="6"/>
  <c r="T41" i="6"/>
  <c r="R41" i="6"/>
  <c r="S41" i="6"/>
  <c r="T10" i="6"/>
  <c r="U10" i="6"/>
  <c r="S10" i="6"/>
  <c r="R10" i="6"/>
  <c r="R12" i="6"/>
  <c r="S12" i="6"/>
  <c r="U12" i="6"/>
  <c r="T12" i="6"/>
  <c r="T18" i="6"/>
  <c r="R18" i="6"/>
  <c r="U18" i="6"/>
  <c r="S18" i="6"/>
  <c r="T22" i="6"/>
  <c r="R22" i="6"/>
  <c r="U22" i="6"/>
  <c r="S22" i="6"/>
  <c r="T26" i="6"/>
  <c r="R26" i="6"/>
  <c r="S26" i="6"/>
  <c r="U26" i="6"/>
  <c r="U29" i="6"/>
  <c r="T29" i="6"/>
  <c r="R29" i="6"/>
  <c r="S29" i="6"/>
  <c r="H29" i="6" s="1"/>
  <c r="S39" i="6"/>
  <c r="T39" i="6"/>
  <c r="R39" i="6"/>
  <c r="U39" i="6"/>
  <c r="S32" i="6"/>
  <c r="H32" i="6" s="1"/>
  <c r="U32" i="6"/>
  <c r="T32" i="6"/>
  <c r="R32" i="6"/>
  <c r="T42" i="6"/>
  <c r="R42" i="6"/>
  <c r="U42" i="6"/>
  <c r="S42" i="6"/>
  <c r="O9" i="6"/>
  <c r="M9" i="6"/>
  <c r="N9" i="6"/>
  <c r="G9" i="6" s="1"/>
  <c r="P9" i="6"/>
  <c r="O13" i="6"/>
  <c r="M13" i="6"/>
  <c r="P13" i="6"/>
  <c r="N13" i="6"/>
  <c r="M19" i="6"/>
  <c r="O19" i="6"/>
  <c r="N19" i="6"/>
  <c r="P19" i="6"/>
  <c r="M23" i="6"/>
  <c r="N23" i="6"/>
  <c r="O23" i="6"/>
  <c r="P23" i="6"/>
  <c r="N30" i="6"/>
  <c r="P30" i="6"/>
  <c r="O30" i="6"/>
  <c r="M30" i="6"/>
  <c r="M27" i="6"/>
  <c r="G27" i="6" s="1"/>
  <c r="O27" i="6"/>
  <c r="P27" i="6"/>
  <c r="N27" i="6"/>
  <c r="O25" i="6"/>
  <c r="M25" i="6"/>
  <c r="N25" i="6"/>
  <c r="P25" i="6"/>
  <c r="P36" i="6"/>
  <c r="M36" i="6"/>
  <c r="N36" i="6"/>
  <c r="O36" i="6"/>
  <c r="M11" i="6"/>
  <c r="N11" i="6"/>
  <c r="O11" i="6"/>
  <c r="P11" i="6"/>
  <c r="N14" i="6"/>
  <c r="P14" i="6"/>
  <c r="M14" i="6"/>
  <c r="O14" i="6"/>
  <c r="P16" i="6"/>
  <c r="N16" i="6"/>
  <c r="M16" i="6"/>
  <c r="O16" i="6"/>
  <c r="P20" i="6"/>
  <c r="N20" i="6"/>
  <c r="O20" i="6"/>
  <c r="M20" i="6"/>
  <c r="O33" i="6"/>
  <c r="P33" i="6"/>
  <c r="M33" i="6"/>
  <c r="N33" i="6"/>
  <c r="N38" i="6"/>
  <c r="O38" i="6"/>
  <c r="P38" i="6"/>
  <c r="M38" i="6"/>
  <c r="M35" i="6"/>
  <c r="O35" i="6"/>
  <c r="P35" i="6"/>
  <c r="N35" i="6"/>
  <c r="P28" i="6"/>
  <c r="N28" i="6"/>
  <c r="M28" i="6"/>
  <c r="G28" i="6" s="1"/>
  <c r="O28" i="6"/>
  <c r="O41" i="6"/>
  <c r="M41" i="6"/>
  <c r="P41" i="6"/>
  <c r="N41" i="6"/>
  <c r="P8" i="6"/>
  <c r="N8" i="6"/>
  <c r="M8" i="6"/>
  <c r="O8" i="6"/>
  <c r="M15" i="6"/>
  <c r="O15" i="6"/>
  <c r="P15" i="6"/>
  <c r="N15" i="6"/>
  <c r="O17" i="6"/>
  <c r="P17" i="6"/>
  <c r="M17" i="6"/>
  <c r="N17" i="6"/>
  <c r="O21" i="6"/>
  <c r="P21" i="6"/>
  <c r="M21" i="6"/>
  <c r="N21" i="6"/>
  <c r="P24" i="6"/>
  <c r="M24" i="6"/>
  <c r="N24" i="6"/>
  <c r="O24" i="6"/>
  <c r="N34" i="6"/>
  <c r="P34" i="6"/>
  <c r="M34" i="6"/>
  <c r="O34" i="6"/>
  <c r="M31" i="6"/>
  <c r="G31" i="6" s="1"/>
  <c r="O31" i="6"/>
  <c r="N31" i="6"/>
  <c r="P31" i="6"/>
  <c r="O37" i="6"/>
  <c r="M37" i="6"/>
  <c r="N37" i="6"/>
  <c r="G37" i="6" s="1"/>
  <c r="P37" i="6"/>
  <c r="P40" i="6"/>
  <c r="N40" i="6"/>
  <c r="O40" i="6"/>
  <c r="M40" i="6"/>
  <c r="N10" i="6"/>
  <c r="O10" i="6"/>
  <c r="P10" i="6"/>
  <c r="M10" i="6"/>
  <c r="P12" i="6"/>
  <c r="M12" i="6"/>
  <c r="N12" i="6"/>
  <c r="O12" i="6"/>
  <c r="N18" i="6"/>
  <c r="P18" i="6"/>
  <c r="O18" i="6"/>
  <c r="M18" i="6"/>
  <c r="N22" i="6"/>
  <c r="O22" i="6"/>
  <c r="P22" i="6"/>
  <c r="M22" i="6"/>
  <c r="N26" i="6"/>
  <c r="P26" i="6"/>
  <c r="M26" i="6"/>
  <c r="O26" i="6"/>
  <c r="O29" i="6"/>
  <c r="M29" i="6"/>
  <c r="P29" i="6"/>
  <c r="N29" i="6"/>
  <c r="G29" i="6" s="1"/>
  <c r="M39" i="6"/>
  <c r="N39" i="6"/>
  <c r="O39" i="6"/>
  <c r="P39" i="6"/>
  <c r="P32" i="6"/>
  <c r="N32" i="6"/>
  <c r="G32" i="6" s="1"/>
  <c r="O32" i="6"/>
  <c r="M32" i="6"/>
  <c r="N42" i="6"/>
  <c r="P42" i="6"/>
  <c r="O42" i="6"/>
  <c r="M42" i="6"/>
  <c r="C1" i="3"/>
  <c r="D9" i="8"/>
  <c r="B2" i="8" l="1"/>
  <c r="M5" i="12"/>
  <c r="N5" i="12"/>
  <c r="M6" i="12"/>
  <c r="N6" i="12"/>
  <c r="M7" i="12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2" i="12"/>
  <c r="N52" i="12"/>
  <c r="M53" i="12"/>
  <c r="N53" i="12"/>
  <c r="M54" i="12"/>
  <c r="N54" i="12"/>
  <c r="M55" i="12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62" i="12"/>
  <c r="N62" i="12"/>
  <c r="M63" i="12"/>
  <c r="N63" i="12"/>
  <c r="M64" i="12"/>
  <c r="N64" i="12"/>
  <c r="M65" i="12"/>
  <c r="N65" i="12"/>
  <c r="M66" i="12"/>
  <c r="N66" i="12"/>
  <c r="M67" i="12"/>
  <c r="N67" i="12"/>
  <c r="M68" i="12"/>
  <c r="N68" i="12"/>
  <c r="M69" i="12"/>
  <c r="N69" i="12"/>
  <c r="M70" i="12"/>
  <c r="N70" i="12"/>
  <c r="M71" i="12"/>
  <c r="N71" i="12"/>
  <c r="M72" i="12"/>
  <c r="N72" i="12"/>
  <c r="M73" i="12"/>
  <c r="N73" i="12"/>
  <c r="M74" i="12"/>
  <c r="N74" i="12"/>
  <c r="M75" i="12"/>
  <c r="N75" i="12"/>
  <c r="M76" i="12"/>
  <c r="N76" i="12"/>
  <c r="M77" i="12"/>
  <c r="N77" i="12"/>
  <c r="M78" i="12"/>
  <c r="N78" i="12"/>
  <c r="M79" i="12"/>
  <c r="N79" i="12"/>
  <c r="M80" i="12"/>
  <c r="N80" i="12"/>
  <c r="M81" i="12"/>
  <c r="N81" i="12"/>
  <c r="M82" i="12"/>
  <c r="N82" i="12"/>
  <c r="M83" i="12"/>
  <c r="N83" i="12"/>
  <c r="M84" i="12"/>
  <c r="N84" i="12"/>
  <c r="M85" i="12"/>
  <c r="N85" i="12"/>
  <c r="M86" i="12"/>
  <c r="N86" i="12"/>
  <c r="M87" i="12"/>
  <c r="N87" i="12"/>
  <c r="M88" i="12"/>
  <c r="N88" i="12"/>
  <c r="M89" i="12"/>
  <c r="N89" i="12"/>
  <c r="M90" i="12"/>
  <c r="N90" i="12"/>
  <c r="M91" i="12"/>
  <c r="N91" i="12"/>
  <c r="M92" i="12"/>
  <c r="N92" i="12"/>
  <c r="M93" i="12"/>
  <c r="N93" i="12"/>
  <c r="M94" i="12"/>
  <c r="N94" i="12"/>
  <c r="M95" i="12"/>
  <c r="N95" i="12"/>
  <c r="M96" i="12"/>
  <c r="N96" i="12"/>
  <c r="M97" i="12"/>
  <c r="N97" i="12"/>
  <c r="M98" i="12"/>
  <c r="N98" i="12"/>
  <c r="M99" i="12"/>
  <c r="N99" i="12"/>
  <c r="M100" i="12"/>
  <c r="N100" i="12"/>
  <c r="M101" i="12"/>
  <c r="N101" i="12"/>
  <c r="M102" i="12"/>
  <c r="N102" i="12"/>
  <c r="M103" i="12"/>
  <c r="N103" i="12"/>
  <c r="M104" i="12"/>
  <c r="N104" i="12"/>
  <c r="M105" i="12"/>
  <c r="N105" i="12"/>
  <c r="M106" i="12"/>
  <c r="N106" i="12"/>
  <c r="M107" i="12"/>
  <c r="N107" i="12"/>
  <c r="M108" i="12"/>
  <c r="N108" i="12"/>
  <c r="M109" i="12"/>
  <c r="N109" i="12"/>
  <c r="M110" i="12"/>
  <c r="N110" i="12"/>
  <c r="M111" i="12"/>
  <c r="N111" i="12"/>
  <c r="M112" i="12"/>
  <c r="N112" i="12"/>
  <c r="M113" i="12"/>
  <c r="N113" i="12"/>
  <c r="M114" i="12"/>
  <c r="N114" i="12"/>
  <c r="M115" i="12"/>
  <c r="N115" i="12"/>
  <c r="M116" i="12"/>
  <c r="N116" i="12"/>
  <c r="M117" i="12"/>
  <c r="N117" i="12"/>
  <c r="M118" i="12"/>
  <c r="N118" i="12"/>
  <c r="M119" i="12"/>
  <c r="N119" i="12"/>
  <c r="M120" i="12"/>
  <c r="N120" i="12"/>
  <c r="M121" i="12"/>
  <c r="N121" i="12"/>
  <c r="M122" i="12"/>
  <c r="N122" i="12"/>
  <c r="M123" i="12"/>
  <c r="N123" i="12"/>
  <c r="M124" i="12"/>
  <c r="N124" i="12"/>
  <c r="M125" i="12"/>
  <c r="N125" i="12"/>
  <c r="M126" i="12"/>
  <c r="N126" i="12"/>
  <c r="M127" i="12"/>
  <c r="N127" i="12"/>
  <c r="M128" i="12"/>
  <c r="N128" i="12"/>
  <c r="M129" i="12"/>
  <c r="N129" i="12"/>
  <c r="M130" i="12"/>
  <c r="N130" i="12"/>
  <c r="M131" i="12"/>
  <c r="N131" i="12"/>
  <c r="M132" i="12"/>
  <c r="N132" i="12"/>
  <c r="M133" i="12"/>
  <c r="N133" i="12"/>
  <c r="M134" i="12"/>
  <c r="N134" i="12"/>
  <c r="M135" i="12"/>
  <c r="N135" i="12"/>
  <c r="M136" i="12"/>
  <c r="N136" i="12"/>
  <c r="M137" i="12"/>
  <c r="N137" i="12"/>
  <c r="M138" i="12"/>
  <c r="N138" i="12"/>
  <c r="M139" i="12"/>
  <c r="N139" i="12"/>
  <c r="M140" i="12"/>
  <c r="N140" i="12"/>
  <c r="M141" i="12"/>
  <c r="N141" i="12"/>
  <c r="M142" i="12"/>
  <c r="N142" i="12"/>
  <c r="M143" i="12"/>
  <c r="N143" i="12"/>
  <c r="M144" i="12"/>
  <c r="N144" i="12"/>
  <c r="M145" i="12"/>
  <c r="N145" i="12"/>
  <c r="M146" i="12"/>
  <c r="N146" i="12"/>
  <c r="M147" i="12"/>
  <c r="N147" i="12"/>
  <c r="M148" i="12"/>
  <c r="N148" i="12"/>
  <c r="M149" i="12"/>
  <c r="N149" i="12"/>
  <c r="M150" i="12"/>
  <c r="N150" i="12"/>
  <c r="M151" i="12"/>
  <c r="N151" i="12"/>
  <c r="M152" i="12"/>
  <c r="N152" i="12"/>
  <c r="M153" i="12"/>
  <c r="N153" i="12"/>
  <c r="M154" i="12"/>
  <c r="N154" i="12"/>
  <c r="M155" i="12"/>
  <c r="N155" i="12"/>
  <c r="M156" i="12"/>
  <c r="N156" i="12"/>
  <c r="M157" i="12"/>
  <c r="N157" i="12"/>
  <c r="M158" i="12"/>
  <c r="N158" i="12"/>
  <c r="M159" i="12"/>
  <c r="N159" i="12"/>
  <c r="M160" i="12"/>
  <c r="N160" i="12"/>
  <c r="M161" i="12"/>
  <c r="N161" i="12"/>
  <c r="M162" i="12"/>
  <c r="N162" i="12"/>
  <c r="M163" i="12"/>
  <c r="N163" i="12"/>
  <c r="M164" i="12"/>
  <c r="N164" i="12"/>
  <c r="M165" i="12"/>
  <c r="N165" i="12"/>
  <c r="M166" i="12"/>
  <c r="N166" i="12"/>
  <c r="M167" i="12"/>
  <c r="N167" i="12"/>
  <c r="M168" i="12"/>
  <c r="N168" i="12"/>
  <c r="M169" i="12"/>
  <c r="N169" i="12"/>
  <c r="M170" i="12"/>
  <c r="N170" i="12"/>
  <c r="M171" i="12"/>
  <c r="N171" i="12"/>
  <c r="M172" i="12"/>
  <c r="N172" i="12"/>
  <c r="M173" i="12"/>
  <c r="N173" i="12"/>
  <c r="M174" i="12"/>
  <c r="N174" i="12"/>
  <c r="M175" i="12"/>
  <c r="N175" i="12"/>
  <c r="M176" i="12"/>
  <c r="N176" i="12"/>
  <c r="M177" i="12"/>
  <c r="N177" i="12"/>
  <c r="M178" i="12"/>
  <c r="N178" i="12"/>
  <c r="M179" i="12"/>
  <c r="N179" i="12"/>
  <c r="M180" i="12"/>
  <c r="N180" i="12"/>
  <c r="M181" i="12"/>
  <c r="N181" i="12"/>
  <c r="M182" i="12"/>
  <c r="N182" i="12"/>
  <c r="M183" i="12"/>
  <c r="N183" i="12"/>
  <c r="M184" i="12"/>
  <c r="N184" i="12"/>
  <c r="M185" i="12"/>
  <c r="N185" i="12"/>
  <c r="M186" i="12"/>
  <c r="N186" i="12"/>
  <c r="M187" i="12"/>
  <c r="N187" i="12"/>
  <c r="M188" i="12"/>
  <c r="N188" i="12"/>
  <c r="M189" i="12"/>
  <c r="N189" i="12"/>
  <c r="M190" i="12"/>
  <c r="N190" i="12"/>
  <c r="M191" i="12"/>
  <c r="N191" i="12"/>
  <c r="M192" i="12"/>
  <c r="N192" i="12"/>
  <c r="M193" i="12"/>
  <c r="N193" i="12"/>
  <c r="M194" i="12"/>
  <c r="N194" i="12"/>
  <c r="M195" i="12"/>
  <c r="N195" i="12"/>
  <c r="M196" i="12"/>
  <c r="N196" i="12"/>
  <c r="M197" i="12"/>
  <c r="N197" i="12"/>
  <c r="M198" i="12"/>
  <c r="N198" i="12"/>
  <c r="M199" i="12"/>
  <c r="N199" i="12"/>
  <c r="M200" i="12"/>
  <c r="N200" i="12"/>
  <c r="M201" i="12"/>
  <c r="N201" i="12"/>
  <c r="M202" i="12"/>
  <c r="N202" i="12"/>
  <c r="M203" i="12"/>
  <c r="N203" i="12"/>
  <c r="M204" i="12"/>
  <c r="N204" i="12"/>
  <c r="M205" i="12"/>
  <c r="N205" i="12"/>
  <c r="M206" i="12"/>
  <c r="N206" i="12"/>
  <c r="M207" i="12"/>
  <c r="N207" i="12"/>
  <c r="M208" i="12"/>
  <c r="N208" i="12"/>
  <c r="M209" i="12"/>
  <c r="N209" i="12"/>
  <c r="M210" i="12"/>
  <c r="N210" i="12"/>
  <c r="M211" i="12"/>
  <c r="N211" i="12"/>
  <c r="M212" i="12"/>
  <c r="N212" i="12"/>
  <c r="M213" i="12"/>
  <c r="N213" i="12"/>
  <c r="M214" i="12"/>
  <c r="N214" i="12"/>
  <c r="M215" i="12"/>
  <c r="N215" i="12"/>
  <c r="M216" i="12"/>
  <c r="N216" i="12"/>
  <c r="M217" i="12"/>
  <c r="N217" i="12"/>
  <c r="M218" i="12"/>
  <c r="N218" i="12"/>
  <c r="M219" i="12"/>
  <c r="N219" i="12"/>
  <c r="M220" i="12"/>
  <c r="N220" i="12"/>
  <c r="M221" i="12"/>
  <c r="N221" i="12"/>
  <c r="M222" i="12"/>
  <c r="N222" i="12"/>
  <c r="M223" i="12"/>
  <c r="N223" i="12"/>
  <c r="M224" i="12"/>
  <c r="N224" i="12"/>
  <c r="M225" i="12"/>
  <c r="N225" i="12"/>
  <c r="M226" i="12"/>
  <c r="N226" i="12"/>
  <c r="M227" i="12"/>
  <c r="N227" i="12"/>
  <c r="M228" i="12"/>
  <c r="N228" i="12"/>
  <c r="M229" i="12"/>
  <c r="N229" i="12"/>
  <c r="M230" i="12"/>
  <c r="N230" i="12"/>
  <c r="M231" i="12"/>
  <c r="N231" i="12"/>
  <c r="M232" i="12"/>
  <c r="N232" i="12"/>
  <c r="M233" i="12"/>
  <c r="N233" i="12"/>
  <c r="M234" i="12"/>
  <c r="N234" i="12"/>
  <c r="M235" i="12"/>
  <c r="N235" i="12"/>
  <c r="M236" i="12"/>
  <c r="N236" i="12"/>
  <c r="M237" i="12"/>
  <c r="N237" i="12"/>
  <c r="M238" i="12"/>
  <c r="N238" i="12"/>
  <c r="M239" i="12"/>
  <c r="N239" i="12"/>
  <c r="M240" i="12"/>
  <c r="N240" i="12"/>
  <c r="M241" i="12"/>
  <c r="N241" i="12"/>
  <c r="M242" i="12"/>
  <c r="N242" i="12"/>
  <c r="M243" i="12"/>
  <c r="N243" i="12"/>
  <c r="M244" i="12"/>
  <c r="N244" i="12"/>
  <c r="M245" i="12"/>
  <c r="N245" i="12"/>
  <c r="M246" i="12"/>
  <c r="N246" i="12"/>
  <c r="M247" i="12"/>
  <c r="N247" i="12"/>
  <c r="M248" i="12"/>
  <c r="N248" i="12"/>
  <c r="M249" i="12"/>
  <c r="N249" i="12"/>
  <c r="M250" i="12"/>
  <c r="N250" i="12"/>
  <c r="M251" i="12"/>
  <c r="N251" i="12"/>
  <c r="M252" i="12"/>
  <c r="N252" i="12"/>
  <c r="M253" i="12"/>
  <c r="N253" i="12"/>
  <c r="M254" i="12"/>
  <c r="N254" i="12"/>
  <c r="M255" i="12"/>
  <c r="N255" i="12"/>
  <c r="M256" i="12"/>
  <c r="N256" i="12"/>
  <c r="M257" i="12"/>
  <c r="N257" i="12"/>
  <c r="M258" i="12"/>
  <c r="N258" i="12"/>
  <c r="M259" i="12"/>
  <c r="N259" i="12"/>
  <c r="M260" i="12"/>
  <c r="N260" i="12"/>
  <c r="M261" i="12"/>
  <c r="N261" i="12"/>
  <c r="M262" i="12"/>
  <c r="N262" i="12"/>
  <c r="M263" i="12"/>
  <c r="N263" i="12"/>
  <c r="M264" i="12"/>
  <c r="N264" i="12"/>
  <c r="M265" i="12"/>
  <c r="N265" i="12"/>
  <c r="M266" i="12"/>
  <c r="N266" i="12"/>
  <c r="M267" i="12"/>
  <c r="N267" i="12"/>
  <c r="M268" i="12"/>
  <c r="N268" i="12"/>
  <c r="M269" i="12"/>
  <c r="N269" i="12"/>
  <c r="M270" i="12"/>
  <c r="N270" i="12"/>
  <c r="M271" i="12"/>
  <c r="N271" i="12"/>
  <c r="M272" i="12"/>
  <c r="N272" i="12"/>
  <c r="M273" i="12"/>
  <c r="N273" i="12"/>
  <c r="M274" i="12"/>
  <c r="N274" i="12"/>
  <c r="M275" i="12"/>
  <c r="N275" i="12"/>
  <c r="M276" i="12"/>
  <c r="N276" i="12"/>
  <c r="M277" i="12"/>
  <c r="N277" i="12"/>
  <c r="M278" i="12"/>
  <c r="N278" i="12"/>
  <c r="M279" i="12"/>
  <c r="N279" i="12"/>
  <c r="M280" i="12"/>
  <c r="N280" i="12"/>
  <c r="M281" i="12"/>
  <c r="N281" i="12"/>
  <c r="M282" i="12"/>
  <c r="N282" i="12"/>
  <c r="M283" i="12"/>
  <c r="N283" i="12"/>
  <c r="M284" i="12"/>
  <c r="N284" i="12"/>
  <c r="M285" i="12"/>
  <c r="N285" i="12"/>
  <c r="M286" i="12"/>
  <c r="N286" i="12"/>
  <c r="M287" i="12"/>
  <c r="N287" i="12"/>
  <c r="M288" i="12"/>
  <c r="N288" i="12"/>
  <c r="M289" i="12"/>
  <c r="N289" i="12"/>
  <c r="M290" i="12"/>
  <c r="N290" i="12"/>
  <c r="M291" i="12"/>
  <c r="N291" i="12"/>
  <c r="M292" i="12"/>
  <c r="N292" i="12"/>
  <c r="M293" i="12"/>
  <c r="N293" i="12"/>
  <c r="M294" i="12"/>
  <c r="N294" i="12"/>
  <c r="M295" i="12"/>
  <c r="N295" i="12"/>
  <c r="M296" i="12"/>
  <c r="N296" i="12"/>
  <c r="M297" i="12"/>
  <c r="N297" i="12"/>
  <c r="M298" i="12"/>
  <c r="N298" i="12"/>
  <c r="M299" i="12"/>
  <c r="N299" i="12"/>
  <c r="M300" i="12"/>
  <c r="N300" i="12"/>
  <c r="M301" i="12"/>
  <c r="N301" i="12"/>
  <c r="M302" i="12"/>
  <c r="N302" i="12"/>
  <c r="M303" i="12"/>
  <c r="N303" i="12"/>
  <c r="M304" i="12"/>
  <c r="N304" i="12"/>
  <c r="M305" i="12"/>
  <c r="N305" i="12"/>
  <c r="M306" i="12"/>
  <c r="N306" i="12"/>
  <c r="M307" i="12"/>
  <c r="N307" i="12"/>
  <c r="M308" i="12"/>
  <c r="N308" i="12"/>
  <c r="M309" i="12"/>
  <c r="N309" i="12"/>
  <c r="M310" i="12"/>
  <c r="N310" i="12"/>
  <c r="M311" i="12"/>
  <c r="N311" i="12"/>
  <c r="M312" i="12"/>
  <c r="N312" i="12"/>
  <c r="M313" i="12"/>
  <c r="N313" i="12"/>
  <c r="M314" i="12"/>
  <c r="N314" i="12"/>
  <c r="M315" i="12"/>
  <c r="N315" i="12"/>
  <c r="M316" i="12"/>
  <c r="N316" i="12"/>
  <c r="M317" i="12"/>
  <c r="N317" i="12"/>
  <c r="M318" i="12"/>
  <c r="N318" i="12"/>
  <c r="M319" i="12"/>
  <c r="N319" i="12"/>
  <c r="M320" i="12"/>
  <c r="N320" i="12"/>
  <c r="M321" i="12"/>
  <c r="N321" i="12"/>
  <c r="M322" i="12"/>
  <c r="N322" i="12"/>
  <c r="M323" i="12"/>
  <c r="N323" i="12"/>
  <c r="M324" i="12"/>
  <c r="N324" i="12"/>
  <c r="M325" i="12"/>
  <c r="N325" i="12"/>
  <c r="M326" i="12"/>
  <c r="N326" i="12"/>
  <c r="M327" i="12"/>
  <c r="N327" i="12"/>
  <c r="M328" i="12"/>
  <c r="N328" i="12"/>
  <c r="M329" i="12"/>
  <c r="N329" i="12"/>
  <c r="M330" i="12"/>
  <c r="N330" i="12"/>
  <c r="M331" i="12"/>
  <c r="N331" i="12"/>
  <c r="M332" i="12"/>
  <c r="N332" i="12"/>
  <c r="M333" i="12"/>
  <c r="N333" i="12"/>
  <c r="M334" i="12"/>
  <c r="N334" i="12"/>
  <c r="M335" i="12"/>
  <c r="N335" i="12"/>
  <c r="M336" i="12"/>
  <c r="N336" i="12"/>
  <c r="M337" i="12"/>
  <c r="N337" i="12"/>
  <c r="M338" i="12"/>
  <c r="N338" i="12"/>
  <c r="M339" i="12"/>
  <c r="N339" i="12"/>
  <c r="M340" i="12"/>
  <c r="N340" i="12"/>
  <c r="M341" i="12"/>
  <c r="N341" i="12"/>
  <c r="M342" i="12"/>
  <c r="N342" i="12"/>
  <c r="M343" i="12"/>
  <c r="N343" i="12"/>
  <c r="M344" i="12"/>
  <c r="N344" i="12"/>
  <c r="M345" i="12"/>
  <c r="N345" i="12"/>
  <c r="M346" i="12"/>
  <c r="N346" i="12"/>
  <c r="M347" i="12"/>
  <c r="N347" i="12"/>
  <c r="M348" i="12"/>
  <c r="N348" i="12"/>
  <c r="M349" i="12"/>
  <c r="N349" i="12"/>
  <c r="M350" i="12"/>
  <c r="N350" i="12"/>
  <c r="M351" i="12"/>
  <c r="N351" i="12"/>
  <c r="M352" i="12"/>
  <c r="N352" i="12"/>
  <c r="M353" i="12"/>
  <c r="N353" i="12"/>
  <c r="M354" i="12"/>
  <c r="N354" i="12"/>
  <c r="M355" i="12"/>
  <c r="N355" i="12"/>
  <c r="M356" i="12"/>
  <c r="N356" i="12"/>
  <c r="M357" i="12"/>
  <c r="N357" i="12"/>
  <c r="M358" i="12"/>
  <c r="N358" i="12"/>
  <c r="M359" i="12"/>
  <c r="N359" i="12"/>
  <c r="M360" i="12"/>
  <c r="N360" i="12"/>
  <c r="M361" i="12"/>
  <c r="N361" i="12"/>
  <c r="M362" i="12"/>
  <c r="N362" i="12"/>
  <c r="M363" i="12"/>
  <c r="N363" i="12"/>
  <c r="M364" i="12"/>
  <c r="N364" i="12"/>
  <c r="M365" i="12"/>
  <c r="N365" i="12"/>
  <c r="M366" i="12"/>
  <c r="N366" i="12"/>
  <c r="M367" i="12"/>
  <c r="N367" i="12"/>
  <c r="M368" i="12"/>
  <c r="N368" i="12"/>
  <c r="M369" i="12"/>
  <c r="N369" i="12"/>
  <c r="M370" i="12"/>
  <c r="N370" i="12"/>
  <c r="M371" i="12"/>
  <c r="N371" i="12"/>
  <c r="M372" i="12"/>
  <c r="N372" i="12"/>
  <c r="M373" i="12"/>
  <c r="N373" i="12"/>
  <c r="M374" i="12"/>
  <c r="N374" i="12"/>
  <c r="M375" i="12"/>
  <c r="N375" i="12"/>
  <c r="M376" i="12"/>
  <c r="N376" i="12"/>
  <c r="M377" i="12"/>
  <c r="N377" i="12"/>
  <c r="M378" i="12"/>
  <c r="N378" i="12"/>
  <c r="M379" i="12"/>
  <c r="N379" i="12"/>
  <c r="M380" i="12"/>
  <c r="N380" i="12"/>
  <c r="M381" i="12"/>
  <c r="N381" i="12"/>
  <c r="M382" i="12"/>
  <c r="N382" i="12"/>
  <c r="M383" i="12"/>
  <c r="N383" i="12"/>
  <c r="M384" i="12"/>
  <c r="N384" i="12"/>
  <c r="M385" i="12"/>
  <c r="N385" i="12"/>
  <c r="M386" i="12"/>
  <c r="N386" i="12"/>
  <c r="M387" i="12"/>
  <c r="N387" i="12"/>
  <c r="M388" i="12"/>
  <c r="N388" i="12"/>
  <c r="M389" i="12"/>
  <c r="N389" i="12"/>
  <c r="M390" i="12"/>
  <c r="N390" i="12"/>
  <c r="M391" i="12"/>
  <c r="N391" i="12"/>
  <c r="M392" i="12"/>
  <c r="N392" i="12"/>
  <c r="M393" i="12"/>
  <c r="N393" i="12"/>
  <c r="M394" i="12"/>
  <c r="N394" i="12"/>
  <c r="M395" i="12"/>
  <c r="N395" i="12"/>
  <c r="M396" i="12"/>
  <c r="N396" i="12"/>
  <c r="M397" i="12"/>
  <c r="N397" i="12"/>
  <c r="M398" i="12"/>
  <c r="N398" i="12"/>
  <c r="M399" i="12"/>
  <c r="N399" i="12"/>
  <c r="M400" i="12"/>
  <c r="N400" i="12"/>
  <c r="M401" i="12"/>
  <c r="N401" i="12"/>
  <c r="M402" i="12"/>
  <c r="N402" i="12"/>
  <c r="M403" i="12"/>
  <c r="N403" i="12"/>
  <c r="M404" i="12"/>
  <c r="N404" i="12"/>
  <c r="M405" i="12"/>
  <c r="N405" i="12"/>
  <c r="M406" i="12"/>
  <c r="N406" i="12"/>
  <c r="M407" i="12"/>
  <c r="N407" i="12"/>
  <c r="M408" i="12"/>
  <c r="N408" i="12"/>
  <c r="M409" i="12"/>
  <c r="N409" i="12"/>
  <c r="M410" i="12"/>
  <c r="N410" i="12"/>
  <c r="M411" i="12"/>
  <c r="N411" i="12"/>
  <c r="M412" i="12"/>
  <c r="N412" i="12"/>
  <c r="M413" i="12"/>
  <c r="N413" i="12"/>
  <c r="M414" i="12"/>
  <c r="N414" i="12"/>
  <c r="M415" i="12"/>
  <c r="N415" i="12"/>
  <c r="M416" i="12"/>
  <c r="N416" i="12"/>
  <c r="M417" i="12"/>
  <c r="N417" i="12"/>
  <c r="M418" i="12"/>
  <c r="N418" i="12"/>
  <c r="M419" i="12"/>
  <c r="N419" i="12"/>
  <c r="M420" i="12"/>
  <c r="N420" i="12"/>
  <c r="M421" i="12"/>
  <c r="N421" i="12"/>
  <c r="M422" i="12"/>
  <c r="N422" i="12"/>
  <c r="M423" i="12"/>
  <c r="N423" i="12"/>
  <c r="M424" i="12"/>
  <c r="N424" i="12"/>
  <c r="M425" i="12"/>
  <c r="N425" i="12"/>
  <c r="M426" i="12"/>
  <c r="N426" i="12"/>
  <c r="M427" i="12"/>
  <c r="N427" i="12"/>
  <c r="M428" i="12"/>
  <c r="N428" i="12"/>
  <c r="M429" i="12"/>
  <c r="N429" i="12"/>
  <c r="M430" i="12"/>
  <c r="N430" i="12"/>
  <c r="M431" i="12"/>
  <c r="N431" i="12"/>
  <c r="M432" i="12"/>
  <c r="N432" i="12"/>
  <c r="M433" i="12"/>
  <c r="N433" i="12"/>
  <c r="M434" i="12"/>
  <c r="N434" i="12"/>
  <c r="M435" i="12"/>
  <c r="N435" i="12"/>
  <c r="M436" i="12"/>
  <c r="N436" i="12"/>
  <c r="M437" i="12"/>
  <c r="N437" i="12"/>
  <c r="M438" i="12"/>
  <c r="N438" i="12"/>
  <c r="M439" i="12"/>
  <c r="N439" i="12"/>
  <c r="M440" i="12"/>
  <c r="N440" i="12"/>
  <c r="M441" i="12"/>
  <c r="N441" i="12"/>
  <c r="M442" i="12"/>
  <c r="N442" i="12"/>
  <c r="M443" i="12"/>
  <c r="N443" i="12"/>
  <c r="M444" i="12"/>
  <c r="N444" i="12"/>
  <c r="M445" i="12"/>
  <c r="N445" i="12"/>
  <c r="M446" i="12"/>
  <c r="N446" i="12"/>
  <c r="M447" i="12"/>
  <c r="N447" i="12"/>
  <c r="M448" i="12"/>
  <c r="N448" i="12"/>
  <c r="M449" i="12"/>
  <c r="N449" i="12"/>
  <c r="M450" i="12"/>
  <c r="N450" i="12"/>
  <c r="M451" i="12"/>
  <c r="N451" i="12"/>
  <c r="M452" i="12"/>
  <c r="N452" i="12"/>
  <c r="M453" i="12"/>
  <c r="N453" i="12"/>
  <c r="M454" i="12"/>
  <c r="N454" i="12"/>
  <c r="M455" i="12"/>
  <c r="N455" i="12"/>
  <c r="M456" i="12"/>
  <c r="N456" i="12"/>
  <c r="M457" i="12"/>
  <c r="N457" i="12"/>
  <c r="M458" i="12"/>
  <c r="N458" i="12"/>
  <c r="M459" i="12"/>
  <c r="N459" i="12"/>
  <c r="M460" i="12"/>
  <c r="N460" i="12"/>
  <c r="M461" i="12"/>
  <c r="N461" i="12"/>
  <c r="M462" i="12"/>
  <c r="N462" i="12"/>
  <c r="M463" i="12"/>
  <c r="N463" i="12"/>
  <c r="M464" i="12"/>
  <c r="N464" i="12"/>
  <c r="M465" i="12"/>
  <c r="N465" i="12"/>
  <c r="M466" i="12"/>
  <c r="N466" i="12"/>
  <c r="M467" i="12"/>
  <c r="N467" i="12"/>
  <c r="M468" i="12"/>
  <c r="N468" i="12"/>
  <c r="M469" i="12"/>
  <c r="N469" i="12"/>
  <c r="M470" i="12"/>
  <c r="N470" i="12"/>
  <c r="M471" i="12"/>
  <c r="N471" i="12"/>
  <c r="M472" i="12"/>
  <c r="N472" i="12"/>
  <c r="M473" i="12"/>
  <c r="N473" i="12"/>
  <c r="M474" i="12"/>
  <c r="N474" i="12"/>
  <c r="M475" i="12"/>
  <c r="N475" i="12"/>
  <c r="M476" i="12"/>
  <c r="N476" i="12"/>
  <c r="M477" i="12"/>
  <c r="N477" i="12"/>
  <c r="M478" i="12"/>
  <c r="N478" i="12"/>
  <c r="M479" i="12"/>
  <c r="N479" i="12"/>
  <c r="M480" i="12"/>
  <c r="N480" i="12"/>
  <c r="M481" i="12"/>
  <c r="N481" i="12"/>
  <c r="M482" i="12"/>
  <c r="N482" i="12"/>
  <c r="M483" i="12"/>
  <c r="N483" i="12"/>
  <c r="M484" i="12"/>
  <c r="N484" i="12"/>
  <c r="M485" i="12"/>
  <c r="N485" i="12"/>
  <c r="M486" i="12"/>
  <c r="N486" i="12"/>
  <c r="M487" i="12"/>
  <c r="N487" i="12"/>
  <c r="M488" i="12"/>
  <c r="N488" i="12"/>
  <c r="M489" i="12"/>
  <c r="N489" i="12"/>
  <c r="M490" i="12"/>
  <c r="N490" i="12"/>
  <c r="M491" i="12"/>
  <c r="N491" i="12"/>
  <c r="M492" i="12"/>
  <c r="N492" i="12"/>
  <c r="M493" i="12"/>
  <c r="N493" i="12"/>
  <c r="M494" i="12"/>
  <c r="N494" i="12"/>
  <c r="M495" i="12"/>
  <c r="N495" i="12"/>
  <c r="M496" i="12"/>
  <c r="N496" i="12"/>
  <c r="M497" i="12"/>
  <c r="N497" i="12"/>
  <c r="M498" i="12"/>
  <c r="N498" i="12"/>
  <c r="M499" i="12"/>
  <c r="N499" i="12"/>
  <c r="M500" i="12"/>
  <c r="N500" i="12"/>
  <c r="M501" i="12"/>
  <c r="N501" i="12"/>
  <c r="M502" i="12"/>
  <c r="N502" i="12"/>
  <c r="M503" i="12"/>
  <c r="N503" i="12"/>
  <c r="M504" i="12"/>
  <c r="N504" i="12"/>
  <c r="M505" i="12"/>
  <c r="N505" i="12"/>
  <c r="M506" i="12"/>
  <c r="N506" i="12"/>
  <c r="M507" i="12"/>
  <c r="N507" i="12"/>
  <c r="M508" i="12"/>
  <c r="N508" i="12"/>
  <c r="M509" i="12"/>
  <c r="N509" i="12"/>
  <c r="M510" i="12"/>
  <c r="N510" i="12"/>
  <c r="M511" i="12"/>
  <c r="N511" i="12"/>
  <c r="M512" i="12"/>
  <c r="N512" i="12"/>
  <c r="M513" i="12"/>
  <c r="N513" i="12"/>
  <c r="M514" i="12"/>
  <c r="N514" i="12"/>
  <c r="M515" i="12"/>
  <c r="N515" i="12"/>
  <c r="M516" i="12"/>
  <c r="N516" i="12"/>
  <c r="M517" i="12"/>
  <c r="N517" i="12"/>
  <c r="M518" i="12"/>
  <c r="N518" i="12"/>
  <c r="M519" i="12"/>
  <c r="N519" i="12"/>
  <c r="M520" i="12"/>
  <c r="N520" i="12"/>
  <c r="M521" i="12"/>
  <c r="N521" i="12"/>
  <c r="M522" i="12"/>
  <c r="N522" i="12"/>
  <c r="M523" i="12"/>
  <c r="N523" i="12"/>
  <c r="M524" i="12"/>
  <c r="N524" i="12"/>
  <c r="M525" i="12"/>
  <c r="N525" i="12"/>
  <c r="M526" i="12"/>
  <c r="N526" i="12"/>
  <c r="M527" i="12"/>
  <c r="N527" i="12"/>
  <c r="M528" i="12"/>
  <c r="N528" i="12"/>
  <c r="M529" i="12"/>
  <c r="N529" i="12"/>
  <c r="M530" i="12"/>
  <c r="N530" i="12"/>
  <c r="M531" i="12"/>
  <c r="N531" i="12"/>
  <c r="M532" i="12"/>
  <c r="N532" i="12"/>
  <c r="M533" i="12"/>
  <c r="N533" i="12"/>
  <c r="M534" i="12"/>
  <c r="N534" i="12"/>
  <c r="M535" i="12"/>
  <c r="N535" i="12"/>
  <c r="M536" i="12"/>
  <c r="N536" i="12"/>
  <c r="M537" i="12"/>
  <c r="N537" i="12"/>
  <c r="M538" i="12"/>
  <c r="N538" i="12"/>
  <c r="M539" i="12"/>
  <c r="N539" i="12"/>
  <c r="M540" i="12"/>
  <c r="N540" i="12"/>
  <c r="M541" i="12"/>
  <c r="N541" i="12"/>
  <c r="M542" i="12"/>
  <c r="N542" i="12"/>
  <c r="M543" i="12"/>
  <c r="N543" i="12"/>
  <c r="M544" i="12"/>
  <c r="N544" i="12"/>
  <c r="M545" i="12"/>
  <c r="N545" i="12"/>
  <c r="M546" i="12"/>
  <c r="N546" i="12"/>
  <c r="M547" i="12"/>
  <c r="N547" i="12"/>
  <c r="M548" i="12"/>
  <c r="N548" i="12"/>
  <c r="M549" i="12"/>
  <c r="N549" i="12"/>
  <c r="M550" i="12"/>
  <c r="N550" i="12"/>
  <c r="M551" i="12"/>
  <c r="N551" i="12"/>
  <c r="M552" i="12"/>
  <c r="N552" i="12"/>
  <c r="M553" i="12"/>
  <c r="N553" i="12"/>
  <c r="M554" i="12"/>
  <c r="N554" i="12"/>
  <c r="M555" i="12"/>
  <c r="N555" i="12"/>
  <c r="M556" i="12"/>
  <c r="N556" i="12"/>
  <c r="M557" i="12"/>
  <c r="N557" i="12"/>
  <c r="M558" i="12"/>
  <c r="N558" i="12"/>
  <c r="M559" i="12"/>
  <c r="N559" i="12"/>
  <c r="M560" i="12"/>
  <c r="N560" i="12"/>
  <c r="M561" i="12"/>
  <c r="N561" i="12"/>
  <c r="M562" i="12"/>
  <c r="N562" i="12"/>
  <c r="M563" i="12"/>
  <c r="N563" i="12"/>
  <c r="M564" i="12"/>
  <c r="N564" i="12"/>
  <c r="M565" i="12"/>
  <c r="N565" i="12"/>
  <c r="M566" i="12"/>
  <c r="N566" i="12"/>
  <c r="M567" i="12"/>
  <c r="N567" i="12"/>
  <c r="M568" i="12"/>
  <c r="N568" i="12"/>
  <c r="M569" i="12"/>
  <c r="N569" i="12"/>
  <c r="M570" i="12"/>
  <c r="N570" i="12"/>
  <c r="M571" i="12"/>
  <c r="N571" i="12"/>
  <c r="M572" i="12"/>
  <c r="N572" i="12"/>
  <c r="M573" i="12"/>
  <c r="N573" i="12"/>
  <c r="M574" i="12"/>
  <c r="N574" i="12"/>
  <c r="M575" i="12"/>
  <c r="N575" i="12"/>
  <c r="M576" i="12"/>
  <c r="N576" i="12"/>
  <c r="M577" i="12"/>
  <c r="N577" i="12"/>
  <c r="M578" i="12"/>
  <c r="N578" i="12"/>
  <c r="M579" i="12"/>
  <c r="N579" i="12"/>
  <c r="M580" i="12"/>
  <c r="N580" i="12"/>
  <c r="M581" i="12"/>
  <c r="N581" i="12"/>
  <c r="M582" i="12"/>
  <c r="N582" i="12"/>
  <c r="M583" i="12"/>
  <c r="N583" i="12"/>
  <c r="M584" i="12"/>
  <c r="N584" i="12"/>
  <c r="M585" i="12"/>
  <c r="N585" i="12"/>
  <c r="M586" i="12"/>
  <c r="N586" i="12"/>
  <c r="M587" i="12"/>
  <c r="N587" i="12"/>
  <c r="M588" i="12"/>
  <c r="N588" i="12"/>
  <c r="M589" i="12"/>
  <c r="N589" i="12"/>
  <c r="M590" i="12"/>
  <c r="N590" i="12"/>
  <c r="M591" i="12"/>
  <c r="N591" i="12"/>
  <c r="M592" i="12"/>
  <c r="N592" i="12"/>
  <c r="M593" i="12"/>
  <c r="N593" i="12"/>
  <c r="M594" i="12"/>
  <c r="N594" i="12"/>
  <c r="M595" i="12"/>
  <c r="N595" i="12"/>
  <c r="M596" i="12"/>
  <c r="N596" i="12"/>
  <c r="M597" i="12"/>
  <c r="N597" i="12"/>
  <c r="M598" i="12"/>
  <c r="N598" i="12"/>
  <c r="M599" i="12"/>
  <c r="N599" i="12"/>
  <c r="M600" i="12"/>
  <c r="N600" i="12"/>
  <c r="M601" i="12"/>
  <c r="N601" i="12"/>
  <c r="M602" i="12"/>
  <c r="N602" i="12"/>
  <c r="M603" i="12"/>
  <c r="N603" i="12"/>
  <c r="M604" i="12"/>
  <c r="N604" i="12"/>
  <c r="M605" i="12"/>
  <c r="N605" i="12"/>
  <c r="M606" i="12"/>
  <c r="N606" i="12"/>
  <c r="M607" i="12"/>
  <c r="N607" i="12"/>
  <c r="M608" i="12"/>
  <c r="N608" i="12"/>
  <c r="M609" i="12"/>
  <c r="N609" i="12"/>
  <c r="M610" i="12"/>
  <c r="N610" i="12"/>
  <c r="M611" i="12"/>
  <c r="N611" i="12"/>
  <c r="M612" i="12"/>
  <c r="N612" i="12"/>
  <c r="M613" i="12"/>
  <c r="N613" i="12"/>
  <c r="M614" i="12"/>
  <c r="N614" i="12"/>
  <c r="M615" i="12"/>
  <c r="N615" i="12"/>
  <c r="M616" i="12"/>
  <c r="N616" i="12"/>
  <c r="M617" i="12"/>
  <c r="N617" i="12"/>
  <c r="M618" i="12"/>
  <c r="N618" i="12"/>
  <c r="M619" i="12"/>
  <c r="N619" i="12"/>
  <c r="M620" i="12"/>
  <c r="N620" i="12"/>
  <c r="M621" i="12"/>
  <c r="N621" i="12"/>
  <c r="M622" i="12"/>
  <c r="N622" i="12"/>
  <c r="M623" i="12"/>
  <c r="N623" i="12"/>
  <c r="M624" i="12"/>
  <c r="N624" i="12"/>
  <c r="M625" i="12"/>
  <c r="N625" i="12"/>
  <c r="M626" i="12"/>
  <c r="N626" i="12"/>
  <c r="M627" i="12"/>
  <c r="N627" i="12"/>
  <c r="M628" i="12"/>
  <c r="N628" i="12"/>
  <c r="M629" i="12"/>
  <c r="N629" i="12"/>
  <c r="M630" i="12"/>
  <c r="N630" i="12"/>
  <c r="M631" i="12"/>
  <c r="N631" i="12"/>
  <c r="M632" i="12"/>
  <c r="N632" i="12"/>
  <c r="M633" i="12"/>
  <c r="N633" i="12"/>
  <c r="M634" i="12"/>
  <c r="N634" i="12"/>
  <c r="M635" i="12"/>
  <c r="N635" i="12"/>
  <c r="M636" i="12"/>
  <c r="N636" i="12"/>
  <c r="M637" i="12"/>
  <c r="N637" i="12"/>
  <c r="M638" i="12"/>
  <c r="N638" i="12"/>
  <c r="M639" i="12"/>
  <c r="N639" i="12"/>
  <c r="M640" i="12"/>
  <c r="N640" i="12"/>
  <c r="M641" i="12"/>
  <c r="N641" i="12"/>
  <c r="M642" i="12"/>
  <c r="N642" i="12"/>
  <c r="M643" i="12"/>
  <c r="N643" i="12"/>
  <c r="M644" i="12"/>
  <c r="N644" i="12"/>
  <c r="M645" i="12"/>
  <c r="N645" i="12"/>
  <c r="M646" i="12"/>
  <c r="N646" i="12"/>
  <c r="M647" i="12"/>
  <c r="N647" i="12"/>
  <c r="M648" i="12"/>
  <c r="N648" i="12"/>
  <c r="M649" i="12"/>
  <c r="N649" i="12"/>
  <c r="M650" i="12"/>
  <c r="N650" i="12"/>
  <c r="M651" i="12"/>
  <c r="N651" i="12"/>
  <c r="M652" i="12"/>
  <c r="N652" i="12"/>
  <c r="M653" i="12"/>
  <c r="N653" i="12"/>
  <c r="M654" i="12"/>
  <c r="N654" i="12"/>
  <c r="M655" i="12"/>
  <c r="N655" i="12"/>
  <c r="M656" i="12"/>
  <c r="N656" i="12"/>
  <c r="M657" i="12"/>
  <c r="N657" i="12"/>
  <c r="M658" i="12"/>
  <c r="N658" i="12"/>
  <c r="M659" i="12"/>
  <c r="N659" i="12"/>
  <c r="M660" i="12"/>
  <c r="N660" i="12"/>
  <c r="M661" i="12"/>
  <c r="N661" i="12"/>
  <c r="M662" i="12"/>
  <c r="N662" i="12"/>
  <c r="M663" i="12"/>
  <c r="N663" i="12"/>
  <c r="M664" i="12"/>
  <c r="N664" i="12"/>
  <c r="M665" i="12"/>
  <c r="N665" i="12"/>
  <c r="M666" i="12"/>
  <c r="N666" i="12"/>
  <c r="M667" i="12"/>
  <c r="N667" i="12"/>
  <c r="M668" i="12"/>
  <c r="N668" i="12"/>
  <c r="M669" i="12"/>
  <c r="N669" i="12"/>
  <c r="M670" i="12"/>
  <c r="N670" i="12"/>
  <c r="M671" i="12"/>
  <c r="N671" i="12"/>
  <c r="M672" i="12"/>
  <c r="N672" i="12"/>
  <c r="M673" i="12"/>
  <c r="N673" i="12"/>
  <c r="M674" i="12"/>
  <c r="N674" i="12"/>
  <c r="M675" i="12"/>
  <c r="N675" i="12"/>
  <c r="M676" i="12"/>
  <c r="N676" i="12"/>
  <c r="M677" i="12"/>
  <c r="N677" i="12"/>
  <c r="M678" i="12"/>
  <c r="N678" i="12"/>
  <c r="M679" i="12"/>
  <c r="N679" i="12"/>
  <c r="M680" i="12"/>
  <c r="N680" i="12"/>
  <c r="M681" i="12"/>
  <c r="N681" i="12"/>
  <c r="M682" i="12"/>
  <c r="N682" i="12"/>
  <c r="M683" i="12"/>
  <c r="N683" i="12"/>
  <c r="M684" i="12"/>
  <c r="N684" i="12"/>
  <c r="M685" i="12"/>
  <c r="N685" i="12"/>
  <c r="M686" i="12"/>
  <c r="N686" i="12"/>
  <c r="M687" i="12"/>
  <c r="N687" i="12"/>
  <c r="M688" i="12"/>
  <c r="N688" i="12"/>
  <c r="M689" i="12"/>
  <c r="N689" i="12"/>
  <c r="M690" i="12"/>
  <c r="N690" i="12"/>
  <c r="M691" i="12"/>
  <c r="N691" i="12"/>
  <c r="M692" i="12"/>
  <c r="N692" i="12"/>
  <c r="M693" i="12"/>
  <c r="N693" i="12"/>
  <c r="M694" i="12"/>
  <c r="N694" i="12"/>
  <c r="M695" i="12"/>
  <c r="N695" i="12"/>
  <c r="M696" i="12"/>
  <c r="N696" i="12"/>
  <c r="M697" i="12"/>
  <c r="N697" i="12"/>
  <c r="M698" i="12"/>
  <c r="N698" i="12"/>
  <c r="M699" i="12"/>
  <c r="N699" i="12"/>
  <c r="M700" i="12"/>
  <c r="N700" i="12"/>
  <c r="M701" i="12"/>
  <c r="N701" i="12"/>
  <c r="M702" i="12"/>
  <c r="N702" i="12"/>
  <c r="M703" i="12"/>
  <c r="N703" i="12"/>
  <c r="M704" i="12"/>
  <c r="N704" i="12"/>
  <c r="M705" i="12"/>
  <c r="N705" i="12"/>
  <c r="M706" i="12"/>
  <c r="N706" i="12"/>
  <c r="M707" i="12"/>
  <c r="N707" i="12"/>
  <c r="M708" i="12"/>
  <c r="N708" i="12"/>
  <c r="M709" i="12"/>
  <c r="N709" i="12"/>
  <c r="M710" i="12"/>
  <c r="N710" i="12"/>
  <c r="M711" i="12"/>
  <c r="N711" i="12"/>
  <c r="M712" i="12"/>
  <c r="N712" i="12"/>
  <c r="M713" i="12"/>
  <c r="N713" i="12"/>
  <c r="M714" i="12"/>
  <c r="N714" i="12"/>
  <c r="M715" i="12"/>
  <c r="N715" i="12"/>
  <c r="M716" i="12"/>
  <c r="N716" i="12"/>
  <c r="M717" i="12"/>
  <c r="N717" i="12"/>
  <c r="M718" i="12"/>
  <c r="N718" i="12"/>
  <c r="M719" i="12"/>
  <c r="N719" i="12"/>
  <c r="M720" i="12"/>
  <c r="N720" i="12"/>
  <c r="M721" i="12"/>
  <c r="N721" i="12"/>
  <c r="M722" i="12"/>
  <c r="N722" i="12"/>
  <c r="M723" i="12"/>
  <c r="N723" i="12"/>
  <c r="M724" i="12"/>
  <c r="N724" i="12"/>
  <c r="M725" i="12"/>
  <c r="N725" i="12"/>
  <c r="M726" i="12"/>
  <c r="N726" i="12"/>
  <c r="M727" i="12"/>
  <c r="N727" i="12"/>
  <c r="M728" i="12"/>
  <c r="N728" i="12"/>
  <c r="M729" i="12"/>
  <c r="N729" i="12"/>
  <c r="M730" i="12"/>
  <c r="N730" i="12"/>
  <c r="M731" i="12"/>
  <c r="N731" i="12"/>
  <c r="M732" i="12"/>
  <c r="N732" i="12"/>
  <c r="M733" i="12"/>
  <c r="N733" i="12"/>
  <c r="M734" i="12"/>
  <c r="N734" i="12"/>
  <c r="M735" i="12"/>
  <c r="N735" i="12"/>
  <c r="M736" i="12"/>
  <c r="N736" i="12"/>
  <c r="M737" i="12"/>
  <c r="N737" i="12"/>
  <c r="M738" i="12"/>
  <c r="N738" i="12"/>
  <c r="M739" i="12"/>
  <c r="N739" i="12"/>
  <c r="M740" i="12"/>
  <c r="N740" i="12"/>
  <c r="M741" i="12"/>
  <c r="N741" i="12"/>
  <c r="M742" i="12"/>
  <c r="N742" i="12"/>
  <c r="M743" i="12"/>
  <c r="N743" i="12"/>
  <c r="M744" i="12"/>
  <c r="N744" i="12"/>
  <c r="M745" i="12"/>
  <c r="N745" i="12"/>
  <c r="M746" i="12"/>
  <c r="N746" i="12"/>
  <c r="M747" i="12"/>
  <c r="N747" i="12"/>
  <c r="M748" i="12"/>
  <c r="N748" i="12"/>
  <c r="M749" i="12"/>
  <c r="N749" i="12"/>
  <c r="M750" i="12"/>
  <c r="N750" i="12"/>
  <c r="M751" i="12"/>
  <c r="N751" i="12"/>
  <c r="M752" i="12"/>
  <c r="N752" i="12"/>
  <c r="M753" i="12"/>
  <c r="N753" i="12"/>
  <c r="M754" i="12"/>
  <c r="N754" i="12"/>
  <c r="M755" i="12"/>
  <c r="N755" i="12"/>
  <c r="M756" i="12"/>
  <c r="N756" i="12"/>
  <c r="M757" i="12"/>
  <c r="N757" i="12"/>
  <c r="M758" i="12"/>
  <c r="N758" i="12"/>
  <c r="M759" i="12"/>
  <c r="N759" i="12"/>
  <c r="M760" i="12"/>
  <c r="N760" i="12"/>
  <c r="M761" i="12"/>
  <c r="N761" i="12"/>
  <c r="M762" i="12"/>
  <c r="N762" i="12"/>
  <c r="M763" i="12"/>
  <c r="N763" i="12"/>
  <c r="M764" i="12"/>
  <c r="N764" i="12"/>
  <c r="M765" i="12"/>
  <c r="N765" i="12"/>
  <c r="M766" i="12"/>
  <c r="N766" i="12"/>
  <c r="M767" i="12"/>
  <c r="N767" i="12"/>
  <c r="M768" i="12"/>
  <c r="N768" i="12"/>
  <c r="M769" i="12"/>
  <c r="N769" i="12"/>
  <c r="M770" i="12"/>
  <c r="N770" i="12"/>
  <c r="M771" i="12"/>
  <c r="N771" i="12"/>
  <c r="M772" i="12"/>
  <c r="N772" i="12"/>
  <c r="M773" i="12"/>
  <c r="N773" i="12"/>
  <c r="M774" i="12"/>
  <c r="N774" i="12"/>
  <c r="M775" i="12"/>
  <c r="N775" i="12"/>
  <c r="M776" i="12"/>
  <c r="N776" i="12"/>
  <c r="M777" i="12"/>
  <c r="N777" i="12"/>
  <c r="M778" i="12"/>
  <c r="N778" i="12"/>
  <c r="M779" i="12"/>
  <c r="N779" i="12"/>
  <c r="M780" i="12"/>
  <c r="N780" i="12"/>
  <c r="M781" i="12"/>
  <c r="N781" i="12"/>
  <c r="M782" i="12"/>
  <c r="N782" i="12"/>
  <c r="M783" i="12"/>
  <c r="N783" i="12"/>
  <c r="M784" i="12"/>
  <c r="N784" i="12"/>
  <c r="M785" i="12"/>
  <c r="N785" i="12"/>
  <c r="M786" i="12"/>
  <c r="N786" i="12"/>
  <c r="M787" i="12"/>
  <c r="N787" i="12"/>
  <c r="M788" i="12"/>
  <c r="N788" i="12"/>
  <c r="M789" i="12"/>
  <c r="N789" i="12"/>
  <c r="M790" i="12"/>
  <c r="N790" i="12"/>
  <c r="M791" i="12"/>
  <c r="N791" i="12"/>
  <c r="M792" i="12"/>
  <c r="N792" i="12"/>
  <c r="M793" i="12"/>
  <c r="N793" i="12"/>
  <c r="M794" i="12"/>
  <c r="N794" i="12"/>
  <c r="M795" i="12"/>
  <c r="N795" i="12"/>
  <c r="M796" i="12"/>
  <c r="N796" i="12"/>
  <c r="M797" i="12"/>
  <c r="N797" i="12"/>
  <c r="M798" i="12"/>
  <c r="N798" i="12"/>
  <c r="M799" i="12"/>
  <c r="N799" i="12"/>
  <c r="M800" i="12"/>
  <c r="N800" i="12"/>
  <c r="M801" i="12"/>
  <c r="N801" i="12"/>
  <c r="M802" i="12"/>
  <c r="N802" i="12"/>
  <c r="M803" i="12"/>
  <c r="N803" i="12"/>
  <c r="M804" i="12"/>
  <c r="N804" i="12"/>
  <c r="M805" i="12"/>
  <c r="N805" i="12"/>
  <c r="M806" i="12"/>
  <c r="N806" i="12"/>
  <c r="M807" i="12"/>
  <c r="N807" i="12"/>
  <c r="M808" i="12"/>
  <c r="N808" i="12"/>
  <c r="M809" i="12"/>
  <c r="N809" i="12"/>
  <c r="M810" i="12"/>
  <c r="N810" i="12"/>
  <c r="M811" i="12"/>
  <c r="N811" i="12"/>
  <c r="M812" i="12"/>
  <c r="N812" i="12"/>
  <c r="M813" i="12"/>
  <c r="N813" i="12"/>
  <c r="M814" i="12"/>
  <c r="N814" i="12"/>
  <c r="M815" i="12"/>
  <c r="N815" i="12"/>
  <c r="M816" i="12"/>
  <c r="N816" i="12"/>
  <c r="M817" i="12"/>
  <c r="N817" i="12"/>
  <c r="M818" i="12"/>
  <c r="N818" i="12"/>
  <c r="M819" i="12"/>
  <c r="N819" i="12"/>
  <c r="M820" i="12"/>
  <c r="N820" i="12"/>
  <c r="M821" i="12"/>
  <c r="N821" i="12"/>
  <c r="M822" i="12"/>
  <c r="N822" i="12"/>
  <c r="M823" i="12"/>
  <c r="N823" i="12"/>
  <c r="M824" i="12"/>
  <c r="N824" i="12"/>
  <c r="M825" i="12"/>
  <c r="N825" i="12"/>
  <c r="M826" i="12"/>
  <c r="N826" i="12"/>
  <c r="M827" i="12"/>
  <c r="N827" i="12"/>
  <c r="M828" i="12"/>
  <c r="N828" i="12"/>
  <c r="M829" i="12"/>
  <c r="N829" i="12"/>
  <c r="M830" i="12"/>
  <c r="N830" i="12"/>
  <c r="M831" i="12"/>
  <c r="N831" i="12"/>
  <c r="M832" i="12"/>
  <c r="N832" i="12"/>
  <c r="M833" i="12"/>
  <c r="N833" i="12"/>
  <c r="M834" i="12"/>
  <c r="N834" i="12"/>
  <c r="M835" i="12"/>
  <c r="N835" i="12"/>
  <c r="M836" i="12"/>
  <c r="N836" i="12"/>
  <c r="M837" i="12"/>
  <c r="N837" i="12"/>
  <c r="M838" i="12"/>
  <c r="N838" i="12"/>
  <c r="M839" i="12"/>
  <c r="N839" i="12"/>
  <c r="M840" i="12"/>
  <c r="N840" i="12"/>
  <c r="M841" i="12"/>
  <c r="N841" i="12"/>
  <c r="M842" i="12"/>
  <c r="N842" i="12"/>
  <c r="M843" i="12"/>
  <c r="N843" i="12"/>
  <c r="M844" i="12"/>
  <c r="N844" i="12"/>
  <c r="M845" i="12"/>
  <c r="N845" i="12"/>
  <c r="M846" i="12"/>
  <c r="N846" i="12"/>
  <c r="M847" i="12"/>
  <c r="N847" i="12"/>
  <c r="M848" i="12"/>
  <c r="N848" i="12"/>
  <c r="M849" i="12"/>
  <c r="N849" i="12"/>
  <c r="M850" i="12"/>
  <c r="N850" i="12"/>
  <c r="M851" i="12"/>
  <c r="N851" i="12"/>
  <c r="M852" i="12"/>
  <c r="N852" i="12"/>
  <c r="M853" i="12"/>
  <c r="N853" i="12"/>
  <c r="M854" i="12"/>
  <c r="N854" i="12"/>
  <c r="M855" i="12"/>
  <c r="N855" i="12"/>
  <c r="M856" i="12"/>
  <c r="N856" i="12"/>
  <c r="M857" i="12"/>
  <c r="N857" i="12"/>
  <c r="M858" i="12"/>
  <c r="N858" i="12"/>
  <c r="M859" i="12"/>
  <c r="N859" i="12"/>
  <c r="M860" i="12"/>
  <c r="N860" i="12"/>
  <c r="M861" i="12"/>
  <c r="N861" i="12"/>
  <c r="M862" i="12"/>
  <c r="N862" i="12"/>
  <c r="M863" i="12"/>
  <c r="N863" i="12"/>
  <c r="M864" i="12"/>
  <c r="N864" i="12"/>
  <c r="M865" i="12"/>
  <c r="N865" i="12"/>
  <c r="M866" i="12"/>
  <c r="N866" i="12"/>
  <c r="M867" i="12"/>
  <c r="N867" i="12"/>
  <c r="M868" i="12"/>
  <c r="N868" i="12"/>
  <c r="M869" i="12"/>
  <c r="N869" i="12"/>
  <c r="M870" i="12"/>
  <c r="N870" i="12"/>
  <c r="M871" i="12"/>
  <c r="N871" i="12"/>
  <c r="M872" i="12"/>
  <c r="N872" i="12"/>
  <c r="M873" i="12"/>
  <c r="N873" i="12"/>
  <c r="M874" i="12"/>
  <c r="N874" i="12"/>
  <c r="M875" i="12"/>
  <c r="N875" i="12"/>
  <c r="M876" i="12"/>
  <c r="N876" i="12"/>
  <c r="M877" i="12"/>
  <c r="N877" i="12"/>
  <c r="M878" i="12"/>
  <c r="N878" i="12"/>
  <c r="M879" i="12"/>
  <c r="N879" i="12"/>
  <c r="M880" i="12"/>
  <c r="N880" i="12"/>
  <c r="M881" i="12"/>
  <c r="N881" i="12"/>
  <c r="M882" i="12"/>
  <c r="N882" i="12"/>
  <c r="M883" i="12"/>
  <c r="N883" i="12"/>
  <c r="M884" i="12"/>
  <c r="N884" i="12"/>
  <c r="M885" i="12"/>
  <c r="N885" i="12"/>
  <c r="M886" i="12"/>
  <c r="N886" i="12"/>
  <c r="M887" i="12"/>
  <c r="N887" i="12"/>
  <c r="M888" i="12"/>
  <c r="N888" i="12"/>
  <c r="M889" i="12"/>
  <c r="N889" i="12"/>
  <c r="M890" i="12"/>
  <c r="N890" i="12"/>
  <c r="M891" i="12"/>
  <c r="N891" i="12"/>
  <c r="M892" i="12"/>
  <c r="N892" i="12"/>
  <c r="M893" i="12"/>
  <c r="N893" i="12"/>
  <c r="M894" i="12"/>
  <c r="N894" i="12"/>
  <c r="M895" i="12"/>
  <c r="N895" i="12"/>
  <c r="M896" i="12"/>
  <c r="N896" i="12"/>
  <c r="M897" i="12"/>
  <c r="N897" i="12"/>
  <c r="M898" i="12"/>
  <c r="N898" i="12"/>
  <c r="M899" i="12"/>
  <c r="N899" i="12"/>
  <c r="M900" i="12"/>
  <c r="N900" i="12"/>
  <c r="M901" i="12"/>
  <c r="N901" i="12"/>
  <c r="M902" i="12"/>
  <c r="N902" i="12"/>
  <c r="M903" i="12"/>
  <c r="N903" i="12"/>
  <c r="M904" i="12"/>
  <c r="N904" i="12"/>
  <c r="M905" i="12"/>
  <c r="N905" i="12"/>
  <c r="M906" i="12"/>
  <c r="N906" i="12"/>
  <c r="M907" i="12"/>
  <c r="N907" i="12"/>
  <c r="M908" i="12"/>
  <c r="N908" i="12"/>
  <c r="M909" i="12"/>
  <c r="N909" i="12"/>
  <c r="M910" i="12"/>
  <c r="N910" i="12"/>
  <c r="M911" i="12"/>
  <c r="N911" i="12"/>
  <c r="M912" i="12"/>
  <c r="N912" i="12"/>
  <c r="M913" i="12"/>
  <c r="N913" i="12"/>
  <c r="M914" i="12"/>
  <c r="N914" i="12"/>
  <c r="M915" i="12"/>
  <c r="N915" i="12"/>
  <c r="M916" i="12"/>
  <c r="N916" i="12"/>
  <c r="M917" i="12"/>
  <c r="N917" i="12"/>
  <c r="M918" i="12"/>
  <c r="N918" i="12"/>
  <c r="M919" i="12"/>
  <c r="N919" i="12"/>
  <c r="M920" i="12"/>
  <c r="N920" i="12"/>
  <c r="M921" i="12"/>
  <c r="N921" i="12"/>
  <c r="M922" i="12"/>
  <c r="N922" i="12"/>
  <c r="M923" i="12"/>
  <c r="N923" i="12"/>
  <c r="M924" i="12"/>
  <c r="N924" i="12"/>
  <c r="M925" i="12"/>
  <c r="N925" i="12"/>
  <c r="M926" i="12"/>
  <c r="N926" i="12"/>
  <c r="M927" i="12"/>
  <c r="N927" i="12"/>
  <c r="M928" i="12"/>
  <c r="N928" i="12"/>
  <c r="M929" i="12"/>
  <c r="N929" i="12"/>
  <c r="M930" i="12"/>
  <c r="N930" i="12"/>
  <c r="M931" i="12"/>
  <c r="N931" i="12"/>
  <c r="M932" i="12"/>
  <c r="N932" i="12"/>
  <c r="M933" i="12"/>
  <c r="N933" i="12"/>
  <c r="M934" i="12"/>
  <c r="N934" i="12"/>
  <c r="M935" i="12"/>
  <c r="N935" i="12"/>
  <c r="M936" i="12"/>
  <c r="N936" i="12"/>
  <c r="M937" i="12"/>
  <c r="N937" i="12"/>
  <c r="M938" i="12"/>
  <c r="N938" i="12"/>
  <c r="M939" i="12"/>
  <c r="N939" i="12"/>
  <c r="M940" i="12"/>
  <c r="N940" i="12"/>
  <c r="M941" i="12"/>
  <c r="N941" i="12"/>
  <c r="M942" i="12"/>
  <c r="N942" i="12"/>
  <c r="M943" i="12"/>
  <c r="N943" i="12"/>
  <c r="M944" i="12"/>
  <c r="N944" i="12"/>
  <c r="M945" i="12"/>
  <c r="N945" i="12"/>
  <c r="M946" i="12"/>
  <c r="N946" i="12"/>
  <c r="M947" i="12"/>
  <c r="N947" i="12"/>
  <c r="M948" i="12"/>
  <c r="N948" i="12"/>
  <c r="M949" i="12"/>
  <c r="N949" i="12"/>
  <c r="M950" i="12"/>
  <c r="N950" i="12"/>
  <c r="M951" i="12"/>
  <c r="N951" i="12"/>
  <c r="M952" i="12"/>
  <c r="N952" i="12"/>
  <c r="M953" i="12"/>
  <c r="N953" i="12"/>
  <c r="M954" i="12"/>
  <c r="N954" i="12"/>
  <c r="M955" i="12"/>
  <c r="N955" i="12"/>
  <c r="M956" i="12"/>
  <c r="N956" i="12"/>
  <c r="M957" i="12"/>
  <c r="N957" i="12"/>
  <c r="M958" i="12"/>
  <c r="N958" i="12"/>
  <c r="M959" i="12"/>
  <c r="N959" i="12"/>
  <c r="M960" i="12"/>
  <c r="N960" i="12"/>
  <c r="M961" i="12"/>
  <c r="N961" i="12"/>
  <c r="M962" i="12"/>
  <c r="N962" i="12"/>
  <c r="M963" i="12"/>
  <c r="N963" i="12"/>
  <c r="M964" i="12"/>
  <c r="N964" i="12"/>
  <c r="M965" i="12"/>
  <c r="N965" i="12"/>
  <c r="M966" i="12"/>
  <c r="N966" i="12"/>
  <c r="M967" i="12"/>
  <c r="N967" i="12"/>
  <c r="M968" i="12"/>
  <c r="N968" i="12"/>
  <c r="M969" i="12"/>
  <c r="N969" i="12"/>
  <c r="M970" i="12"/>
  <c r="N970" i="12"/>
  <c r="M971" i="12"/>
  <c r="N971" i="12"/>
  <c r="M972" i="12"/>
  <c r="N972" i="12"/>
  <c r="M973" i="12"/>
  <c r="N973" i="12"/>
  <c r="M974" i="12"/>
  <c r="N974" i="12"/>
  <c r="M975" i="12"/>
  <c r="N975" i="12"/>
  <c r="M976" i="12"/>
  <c r="N976" i="12"/>
  <c r="M977" i="12"/>
  <c r="N977" i="12"/>
  <c r="M978" i="12"/>
  <c r="N978" i="12"/>
  <c r="M979" i="12"/>
  <c r="N979" i="12"/>
  <c r="M980" i="12"/>
  <c r="N980" i="12"/>
  <c r="M981" i="12"/>
  <c r="N981" i="12"/>
  <c r="M982" i="12"/>
  <c r="N982" i="12"/>
  <c r="M983" i="12"/>
  <c r="N983" i="12"/>
  <c r="M984" i="12"/>
  <c r="N984" i="12"/>
  <c r="M985" i="12"/>
  <c r="N985" i="12"/>
  <c r="M986" i="12"/>
  <c r="N986" i="12"/>
  <c r="M987" i="12"/>
  <c r="N987" i="12"/>
  <c r="M988" i="12"/>
  <c r="N988" i="12"/>
  <c r="M989" i="12"/>
  <c r="N989" i="12"/>
  <c r="M990" i="12"/>
  <c r="N990" i="12"/>
  <c r="M991" i="12"/>
  <c r="N991" i="12"/>
  <c r="M992" i="12"/>
  <c r="N992" i="12"/>
  <c r="M993" i="12"/>
  <c r="N993" i="12"/>
  <c r="M994" i="12"/>
  <c r="N994" i="12"/>
  <c r="M995" i="12"/>
  <c r="N995" i="12"/>
  <c r="M996" i="12"/>
  <c r="N996" i="12"/>
  <c r="M997" i="12"/>
  <c r="N997" i="12"/>
  <c r="M998" i="12"/>
  <c r="N998" i="12"/>
  <c r="M999" i="12"/>
  <c r="N999" i="12"/>
  <c r="M1000" i="12"/>
  <c r="N1000" i="12"/>
  <c r="N4" i="12"/>
  <c r="M4" i="12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6" i="5"/>
  <c r="H25" i="5"/>
  <c r="H24" i="5"/>
  <c r="H19" i="5"/>
  <c r="H18" i="5"/>
  <c r="H17" i="5"/>
  <c r="H15" i="5"/>
  <c r="H14" i="5"/>
  <c r="H13" i="5"/>
  <c r="H27" i="5"/>
  <c r="H23" i="5"/>
  <c r="H22" i="5"/>
  <c r="H21" i="5"/>
  <c r="H20" i="5"/>
  <c r="H9" i="5"/>
  <c r="H16" i="5"/>
  <c r="H12" i="5"/>
  <c r="H11" i="5"/>
  <c r="H10" i="5"/>
  <c r="H8" i="5"/>
  <c r="H7" i="5"/>
  <c r="H6" i="5"/>
  <c r="F5" i="5"/>
  <c r="R3" i="5" s="1"/>
  <c r="E5" i="5"/>
  <c r="M3" i="5" s="1"/>
  <c r="F1" i="5"/>
  <c r="D1" i="5"/>
  <c r="I6" i="12"/>
  <c r="K4" i="10"/>
  <c r="K5" i="10"/>
  <c r="K6" i="10"/>
  <c r="K7" i="10"/>
  <c r="K8" i="10"/>
  <c r="I5" i="12"/>
  <c r="J5" i="12"/>
  <c r="J6" i="12"/>
  <c r="I7" i="12"/>
  <c r="J7" i="12"/>
  <c r="I8" i="12"/>
  <c r="J8" i="12"/>
  <c r="I9" i="12"/>
  <c r="J9" i="12"/>
  <c r="I10" i="12"/>
  <c r="J10" i="12"/>
  <c r="I11" i="12"/>
  <c r="J11" i="12"/>
  <c r="I12" i="12"/>
  <c r="J12" i="12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K22" i="12" s="1"/>
  <c r="J22" i="12"/>
  <c r="I23" i="12"/>
  <c r="J23" i="12"/>
  <c r="I24" i="12"/>
  <c r="K24" i="12" s="1"/>
  <c r="J24" i="12"/>
  <c r="I25" i="12"/>
  <c r="J25" i="12"/>
  <c r="I26" i="12"/>
  <c r="K26" i="12" s="1"/>
  <c r="J26" i="12"/>
  <c r="I27" i="12"/>
  <c r="J27" i="12"/>
  <c r="I28" i="12"/>
  <c r="K28" i="12" s="1"/>
  <c r="J28" i="12"/>
  <c r="I29" i="12"/>
  <c r="J29" i="12"/>
  <c r="I30" i="12"/>
  <c r="J30" i="12"/>
  <c r="I31" i="12"/>
  <c r="L31" i="12" s="1"/>
  <c r="J31" i="12"/>
  <c r="I32" i="12"/>
  <c r="K32" i="12" s="1"/>
  <c r="J32" i="12"/>
  <c r="I33" i="12"/>
  <c r="J33" i="12"/>
  <c r="I34" i="12"/>
  <c r="J34" i="12"/>
  <c r="I35" i="12"/>
  <c r="J35" i="12"/>
  <c r="I36" i="12"/>
  <c r="J36" i="12"/>
  <c r="I37" i="12"/>
  <c r="J37" i="12"/>
  <c r="I38" i="12"/>
  <c r="J38" i="12"/>
  <c r="I39" i="12"/>
  <c r="J39" i="12"/>
  <c r="I40" i="12"/>
  <c r="K40" i="12" s="1"/>
  <c r="J40" i="12"/>
  <c r="I41" i="12"/>
  <c r="K41" i="12" s="1"/>
  <c r="J41" i="12"/>
  <c r="I42" i="12"/>
  <c r="J42" i="12"/>
  <c r="I43" i="12"/>
  <c r="J43" i="12"/>
  <c r="I44" i="12"/>
  <c r="K44" i="12" s="1"/>
  <c r="J44" i="12"/>
  <c r="I45" i="12"/>
  <c r="K45" i="12" s="1"/>
  <c r="J45" i="12"/>
  <c r="I46" i="12"/>
  <c r="J46" i="12"/>
  <c r="I47" i="12"/>
  <c r="K47" i="12" s="1"/>
  <c r="J47" i="12"/>
  <c r="I48" i="12"/>
  <c r="K48" i="12" s="1"/>
  <c r="J48" i="12"/>
  <c r="I49" i="12"/>
  <c r="J49" i="12"/>
  <c r="I50" i="12"/>
  <c r="J50" i="12"/>
  <c r="I51" i="12"/>
  <c r="K51" i="12" s="1"/>
  <c r="J51" i="12"/>
  <c r="I52" i="12"/>
  <c r="K52" i="12" s="1"/>
  <c r="J52" i="12"/>
  <c r="I53" i="12"/>
  <c r="J53" i="12"/>
  <c r="I54" i="12"/>
  <c r="J54" i="12"/>
  <c r="I55" i="12"/>
  <c r="K55" i="12" s="1"/>
  <c r="J55" i="12"/>
  <c r="I56" i="12"/>
  <c r="K56" i="12" s="1"/>
  <c r="J56" i="12"/>
  <c r="I57" i="12"/>
  <c r="J57" i="12"/>
  <c r="I58" i="12"/>
  <c r="J58" i="12"/>
  <c r="I59" i="12"/>
  <c r="J59" i="12"/>
  <c r="I60" i="12"/>
  <c r="K60" i="12" s="1"/>
  <c r="J60" i="12"/>
  <c r="I61" i="12"/>
  <c r="K61" i="12" s="1"/>
  <c r="J61" i="12"/>
  <c r="I62" i="12"/>
  <c r="J62" i="12"/>
  <c r="I63" i="12"/>
  <c r="K63" i="12" s="1"/>
  <c r="J63" i="12"/>
  <c r="I64" i="12"/>
  <c r="K64" i="12" s="1"/>
  <c r="J64" i="12"/>
  <c r="I65" i="12"/>
  <c r="K65" i="12" s="1"/>
  <c r="J65" i="12"/>
  <c r="I66" i="12"/>
  <c r="J66" i="12"/>
  <c r="I67" i="12"/>
  <c r="K67" i="12" s="1"/>
  <c r="J67" i="12"/>
  <c r="I68" i="12"/>
  <c r="K68" i="12" s="1"/>
  <c r="J68" i="12"/>
  <c r="I69" i="12"/>
  <c r="J69" i="12"/>
  <c r="I70" i="12"/>
  <c r="J70" i="12"/>
  <c r="I71" i="12"/>
  <c r="J71" i="12"/>
  <c r="I72" i="12"/>
  <c r="K72" i="12" s="1"/>
  <c r="J72" i="12"/>
  <c r="I73" i="12"/>
  <c r="K73" i="12" s="1"/>
  <c r="J73" i="12"/>
  <c r="I74" i="12"/>
  <c r="J74" i="12"/>
  <c r="I75" i="12"/>
  <c r="J75" i="12"/>
  <c r="I76" i="12"/>
  <c r="K76" i="12" s="1"/>
  <c r="J76" i="12"/>
  <c r="I77" i="12"/>
  <c r="K77" i="12" s="1"/>
  <c r="J77" i="12"/>
  <c r="I78" i="12"/>
  <c r="J78" i="12"/>
  <c r="I79" i="12"/>
  <c r="K79" i="12" s="1"/>
  <c r="J79" i="12"/>
  <c r="I80" i="12"/>
  <c r="K80" i="12" s="1"/>
  <c r="J80" i="12"/>
  <c r="I81" i="12"/>
  <c r="K81" i="12" s="1"/>
  <c r="J81" i="12"/>
  <c r="I82" i="12"/>
  <c r="J82" i="12"/>
  <c r="I83" i="12"/>
  <c r="K83" i="12" s="1"/>
  <c r="J83" i="12"/>
  <c r="I84" i="12"/>
  <c r="K84" i="12" s="1"/>
  <c r="J84" i="12"/>
  <c r="I85" i="12"/>
  <c r="J85" i="12"/>
  <c r="I86" i="12"/>
  <c r="J86" i="12"/>
  <c r="I87" i="12"/>
  <c r="K87" i="12" s="1"/>
  <c r="J87" i="12"/>
  <c r="I88" i="12"/>
  <c r="K88" i="12" s="1"/>
  <c r="J88" i="12"/>
  <c r="I89" i="12"/>
  <c r="J89" i="12"/>
  <c r="I90" i="12"/>
  <c r="K90" i="12" s="1"/>
  <c r="J90" i="12"/>
  <c r="I91" i="12"/>
  <c r="K91" i="12" s="1"/>
  <c r="J91" i="12"/>
  <c r="I92" i="12"/>
  <c r="J92" i="12"/>
  <c r="I93" i="12"/>
  <c r="K93" i="12" s="1"/>
  <c r="J93" i="12"/>
  <c r="I94" i="12"/>
  <c r="K94" i="12" s="1"/>
  <c r="J94" i="12"/>
  <c r="I95" i="12"/>
  <c r="K95" i="12" s="1"/>
  <c r="J95" i="12"/>
  <c r="I96" i="12"/>
  <c r="J96" i="12"/>
  <c r="I97" i="12"/>
  <c r="K97" i="12" s="1"/>
  <c r="J97" i="12"/>
  <c r="I98" i="12"/>
  <c r="K98" i="12" s="1"/>
  <c r="J98" i="12"/>
  <c r="I99" i="12"/>
  <c r="J99" i="12"/>
  <c r="I100" i="12"/>
  <c r="J100" i="12"/>
  <c r="I101" i="12"/>
  <c r="K101" i="12" s="1"/>
  <c r="J101" i="12"/>
  <c r="I102" i="12"/>
  <c r="K102" i="12" s="1"/>
  <c r="J102" i="12"/>
  <c r="I103" i="12"/>
  <c r="K103" i="12" s="1"/>
  <c r="J103" i="12"/>
  <c r="I104" i="12"/>
  <c r="J104" i="12"/>
  <c r="I105" i="12"/>
  <c r="J105" i="12"/>
  <c r="I106" i="12"/>
  <c r="K106" i="12" s="1"/>
  <c r="J106" i="12"/>
  <c r="I107" i="12"/>
  <c r="K107" i="12" s="1"/>
  <c r="J107" i="12"/>
  <c r="I108" i="12"/>
  <c r="J108" i="12"/>
  <c r="I109" i="12"/>
  <c r="K109" i="12" s="1"/>
  <c r="J109" i="12"/>
  <c r="I110" i="12"/>
  <c r="K110" i="12" s="1"/>
  <c r="J110" i="12"/>
  <c r="I111" i="12"/>
  <c r="K111" i="12" s="1"/>
  <c r="J111" i="12"/>
  <c r="I112" i="12"/>
  <c r="J112" i="12"/>
  <c r="I113" i="12"/>
  <c r="K113" i="12" s="1"/>
  <c r="J113" i="12"/>
  <c r="I114" i="12"/>
  <c r="K114" i="12" s="1"/>
  <c r="J114" i="12"/>
  <c r="I115" i="12"/>
  <c r="J115" i="12"/>
  <c r="I116" i="12"/>
  <c r="J116" i="12"/>
  <c r="I117" i="12"/>
  <c r="K117" i="12" s="1"/>
  <c r="J117" i="12"/>
  <c r="I118" i="12"/>
  <c r="K118" i="12" s="1"/>
  <c r="J118" i="12"/>
  <c r="I119" i="12"/>
  <c r="K119" i="12" s="1"/>
  <c r="J119" i="12"/>
  <c r="I120" i="12"/>
  <c r="J120" i="12"/>
  <c r="I121" i="12"/>
  <c r="J121" i="12"/>
  <c r="I122" i="12"/>
  <c r="K122" i="12" s="1"/>
  <c r="J122" i="12"/>
  <c r="I123" i="12"/>
  <c r="K123" i="12" s="1"/>
  <c r="J123" i="12"/>
  <c r="I124" i="12"/>
  <c r="J124" i="12"/>
  <c r="I125" i="12"/>
  <c r="K125" i="12" s="1"/>
  <c r="J125" i="12"/>
  <c r="I126" i="12"/>
  <c r="K126" i="12" s="1"/>
  <c r="J126" i="12"/>
  <c r="I127" i="12"/>
  <c r="K127" i="12" s="1"/>
  <c r="J127" i="12"/>
  <c r="I128" i="12"/>
  <c r="J128" i="12"/>
  <c r="I129" i="12"/>
  <c r="K129" i="12" s="1"/>
  <c r="J129" i="12"/>
  <c r="I130" i="12"/>
  <c r="K130" i="12" s="1"/>
  <c r="J130" i="12"/>
  <c r="I131" i="12"/>
  <c r="J131" i="12"/>
  <c r="I132" i="12"/>
  <c r="J132" i="12"/>
  <c r="I133" i="12"/>
  <c r="K133" i="12" s="1"/>
  <c r="J133" i="12"/>
  <c r="I134" i="12"/>
  <c r="K134" i="12" s="1"/>
  <c r="J134" i="12"/>
  <c r="I135" i="12"/>
  <c r="K135" i="12" s="1"/>
  <c r="J135" i="12"/>
  <c r="I136" i="12"/>
  <c r="J136" i="12"/>
  <c r="I137" i="12"/>
  <c r="J137" i="12"/>
  <c r="I138" i="12"/>
  <c r="K138" i="12" s="1"/>
  <c r="J138" i="12"/>
  <c r="I139" i="12"/>
  <c r="K139" i="12" s="1"/>
  <c r="J139" i="12"/>
  <c r="I140" i="12"/>
  <c r="J140" i="12"/>
  <c r="I141" i="12"/>
  <c r="K141" i="12" s="1"/>
  <c r="J141" i="12"/>
  <c r="I142" i="12"/>
  <c r="K142" i="12" s="1"/>
  <c r="J142" i="12"/>
  <c r="I143" i="12"/>
  <c r="K143" i="12" s="1"/>
  <c r="J143" i="12"/>
  <c r="I144" i="12"/>
  <c r="J144" i="12"/>
  <c r="I145" i="12"/>
  <c r="K145" i="12" s="1"/>
  <c r="J145" i="12"/>
  <c r="I146" i="12"/>
  <c r="K146" i="12" s="1"/>
  <c r="J146" i="12"/>
  <c r="I147" i="12"/>
  <c r="J147" i="12"/>
  <c r="I148" i="12"/>
  <c r="J148" i="12"/>
  <c r="I149" i="12"/>
  <c r="K149" i="12" s="1"/>
  <c r="J149" i="12"/>
  <c r="I150" i="12"/>
  <c r="K150" i="12" s="1"/>
  <c r="J150" i="12"/>
  <c r="I151" i="12"/>
  <c r="K151" i="12" s="1"/>
  <c r="J151" i="12"/>
  <c r="I152" i="12"/>
  <c r="J152" i="12"/>
  <c r="I153" i="12"/>
  <c r="J153" i="12"/>
  <c r="I154" i="12"/>
  <c r="K154" i="12" s="1"/>
  <c r="J154" i="12"/>
  <c r="I155" i="12"/>
  <c r="K155" i="12" s="1"/>
  <c r="J155" i="12"/>
  <c r="I156" i="12"/>
  <c r="J156" i="12"/>
  <c r="I157" i="12"/>
  <c r="K157" i="12" s="1"/>
  <c r="J157" i="12"/>
  <c r="I158" i="12"/>
  <c r="K158" i="12" s="1"/>
  <c r="J158" i="12"/>
  <c r="I159" i="12"/>
  <c r="K159" i="12" s="1"/>
  <c r="J159" i="12"/>
  <c r="I160" i="12"/>
  <c r="J160" i="12"/>
  <c r="I161" i="12"/>
  <c r="K161" i="12" s="1"/>
  <c r="J161" i="12"/>
  <c r="I162" i="12"/>
  <c r="K162" i="12" s="1"/>
  <c r="J162" i="12"/>
  <c r="I163" i="12"/>
  <c r="K163" i="12" s="1"/>
  <c r="J163" i="12"/>
  <c r="I164" i="12"/>
  <c r="J164" i="12"/>
  <c r="I165" i="12"/>
  <c r="K165" i="12" s="1"/>
  <c r="J165" i="12"/>
  <c r="I166" i="12"/>
  <c r="K166" i="12" s="1"/>
  <c r="J166" i="12"/>
  <c r="I167" i="12"/>
  <c r="K167" i="12" s="1"/>
  <c r="J167" i="12"/>
  <c r="I168" i="12"/>
  <c r="J168" i="12"/>
  <c r="I169" i="12"/>
  <c r="K169" i="12" s="1"/>
  <c r="J169" i="12"/>
  <c r="I170" i="12"/>
  <c r="K170" i="12" s="1"/>
  <c r="J170" i="12"/>
  <c r="I171" i="12"/>
  <c r="K171" i="12" s="1"/>
  <c r="J171" i="12"/>
  <c r="I172" i="12"/>
  <c r="J172" i="12"/>
  <c r="I173" i="12"/>
  <c r="K173" i="12" s="1"/>
  <c r="J173" i="12"/>
  <c r="I174" i="12"/>
  <c r="K174" i="12" s="1"/>
  <c r="J174" i="12"/>
  <c r="I175" i="12"/>
  <c r="K175" i="12" s="1"/>
  <c r="J175" i="12"/>
  <c r="I176" i="12"/>
  <c r="J176" i="12"/>
  <c r="I177" i="12"/>
  <c r="K177" i="12" s="1"/>
  <c r="J177" i="12"/>
  <c r="I178" i="12"/>
  <c r="K178" i="12" s="1"/>
  <c r="J178" i="12"/>
  <c r="I179" i="12"/>
  <c r="K179" i="12" s="1"/>
  <c r="J179" i="12"/>
  <c r="I180" i="12"/>
  <c r="J180" i="12"/>
  <c r="I181" i="12"/>
  <c r="K181" i="12" s="1"/>
  <c r="J181" i="12"/>
  <c r="I182" i="12"/>
  <c r="K182" i="12" s="1"/>
  <c r="J182" i="12"/>
  <c r="I183" i="12"/>
  <c r="K183" i="12" s="1"/>
  <c r="J183" i="12"/>
  <c r="I184" i="12"/>
  <c r="J184" i="12"/>
  <c r="I185" i="12"/>
  <c r="K185" i="12" s="1"/>
  <c r="J185" i="12"/>
  <c r="I186" i="12"/>
  <c r="K186" i="12" s="1"/>
  <c r="J186" i="12"/>
  <c r="I187" i="12"/>
  <c r="K187" i="12" s="1"/>
  <c r="J187" i="12"/>
  <c r="I188" i="12"/>
  <c r="J188" i="12"/>
  <c r="I189" i="12"/>
  <c r="K189" i="12" s="1"/>
  <c r="J189" i="12"/>
  <c r="I190" i="12"/>
  <c r="K190" i="12" s="1"/>
  <c r="J190" i="12"/>
  <c r="I191" i="12"/>
  <c r="K191" i="12" s="1"/>
  <c r="J191" i="12"/>
  <c r="I192" i="12"/>
  <c r="J192" i="12"/>
  <c r="I193" i="12"/>
  <c r="K193" i="12" s="1"/>
  <c r="J193" i="12"/>
  <c r="I194" i="12"/>
  <c r="K194" i="12" s="1"/>
  <c r="J194" i="12"/>
  <c r="I195" i="12"/>
  <c r="K195" i="12" s="1"/>
  <c r="J195" i="12"/>
  <c r="I196" i="12"/>
  <c r="J196" i="12"/>
  <c r="I197" i="12"/>
  <c r="K197" i="12" s="1"/>
  <c r="J197" i="12"/>
  <c r="I198" i="12"/>
  <c r="K198" i="12" s="1"/>
  <c r="J198" i="12"/>
  <c r="I199" i="12"/>
  <c r="K199" i="12" s="1"/>
  <c r="J199" i="12"/>
  <c r="I200" i="12"/>
  <c r="J200" i="12"/>
  <c r="I201" i="12"/>
  <c r="K201" i="12" s="1"/>
  <c r="J201" i="12"/>
  <c r="I202" i="12"/>
  <c r="K202" i="12" s="1"/>
  <c r="J202" i="12"/>
  <c r="I203" i="12"/>
  <c r="K203" i="12" s="1"/>
  <c r="J203" i="12"/>
  <c r="I204" i="12"/>
  <c r="J204" i="12"/>
  <c r="I205" i="12"/>
  <c r="K205" i="12" s="1"/>
  <c r="J205" i="12"/>
  <c r="I206" i="12"/>
  <c r="K206" i="12" s="1"/>
  <c r="J206" i="12"/>
  <c r="I207" i="12"/>
  <c r="K207" i="12" s="1"/>
  <c r="J207" i="12"/>
  <c r="I208" i="12"/>
  <c r="J208" i="12"/>
  <c r="I209" i="12"/>
  <c r="K209" i="12" s="1"/>
  <c r="J209" i="12"/>
  <c r="I210" i="12"/>
  <c r="K210" i="12" s="1"/>
  <c r="J210" i="12"/>
  <c r="I211" i="12"/>
  <c r="K211" i="12" s="1"/>
  <c r="J211" i="12"/>
  <c r="I212" i="12"/>
  <c r="J212" i="12"/>
  <c r="I213" i="12"/>
  <c r="K213" i="12" s="1"/>
  <c r="J213" i="12"/>
  <c r="I214" i="12"/>
  <c r="K214" i="12" s="1"/>
  <c r="J214" i="12"/>
  <c r="I215" i="12"/>
  <c r="K215" i="12" s="1"/>
  <c r="J215" i="12"/>
  <c r="I216" i="12"/>
  <c r="J216" i="12"/>
  <c r="I217" i="12"/>
  <c r="K217" i="12" s="1"/>
  <c r="J217" i="12"/>
  <c r="I218" i="12"/>
  <c r="K218" i="12" s="1"/>
  <c r="J218" i="12"/>
  <c r="I219" i="12"/>
  <c r="K219" i="12" s="1"/>
  <c r="J219" i="12"/>
  <c r="I220" i="12"/>
  <c r="J220" i="12"/>
  <c r="I221" i="12"/>
  <c r="J221" i="12"/>
  <c r="I222" i="12"/>
  <c r="J222" i="12"/>
  <c r="I223" i="12"/>
  <c r="J223" i="12"/>
  <c r="I224" i="12"/>
  <c r="J224" i="12"/>
  <c r="I225" i="12"/>
  <c r="J225" i="12"/>
  <c r="I226" i="12"/>
  <c r="J226" i="12"/>
  <c r="I227" i="12"/>
  <c r="J227" i="12"/>
  <c r="I228" i="12"/>
  <c r="J228" i="12"/>
  <c r="I229" i="12"/>
  <c r="J229" i="12"/>
  <c r="I230" i="12"/>
  <c r="J230" i="12"/>
  <c r="I231" i="12"/>
  <c r="J231" i="12"/>
  <c r="I232" i="12"/>
  <c r="J232" i="12"/>
  <c r="I233" i="12"/>
  <c r="J233" i="12"/>
  <c r="I234" i="12"/>
  <c r="J234" i="12"/>
  <c r="I235" i="12"/>
  <c r="J235" i="12"/>
  <c r="I236" i="12"/>
  <c r="J236" i="12"/>
  <c r="I237" i="12"/>
  <c r="J237" i="12"/>
  <c r="I238" i="12"/>
  <c r="J238" i="12"/>
  <c r="I239" i="12"/>
  <c r="J239" i="12"/>
  <c r="I240" i="12"/>
  <c r="J240" i="12"/>
  <c r="I241" i="12"/>
  <c r="J241" i="12"/>
  <c r="I242" i="12"/>
  <c r="J242" i="12"/>
  <c r="I243" i="12"/>
  <c r="J243" i="12"/>
  <c r="I244" i="12"/>
  <c r="J244" i="12"/>
  <c r="I245" i="12"/>
  <c r="J245" i="12"/>
  <c r="I246" i="12"/>
  <c r="J246" i="12"/>
  <c r="I247" i="12"/>
  <c r="J247" i="12"/>
  <c r="I248" i="12"/>
  <c r="J248" i="12"/>
  <c r="I249" i="12"/>
  <c r="J249" i="12"/>
  <c r="I250" i="12"/>
  <c r="J250" i="12"/>
  <c r="I251" i="12"/>
  <c r="J251" i="12"/>
  <c r="I252" i="12"/>
  <c r="J252" i="12"/>
  <c r="I253" i="12"/>
  <c r="J253" i="12"/>
  <c r="I254" i="12"/>
  <c r="J254" i="12"/>
  <c r="I255" i="12"/>
  <c r="J255" i="12"/>
  <c r="I256" i="12"/>
  <c r="J256" i="12"/>
  <c r="I257" i="12"/>
  <c r="J257" i="12"/>
  <c r="I258" i="12"/>
  <c r="J258" i="12"/>
  <c r="I259" i="12"/>
  <c r="J259" i="12"/>
  <c r="I260" i="12"/>
  <c r="J260" i="12"/>
  <c r="I261" i="12"/>
  <c r="J261" i="12"/>
  <c r="I262" i="12"/>
  <c r="J262" i="12"/>
  <c r="I263" i="12"/>
  <c r="J263" i="12"/>
  <c r="I264" i="12"/>
  <c r="J264" i="12"/>
  <c r="I265" i="12"/>
  <c r="J265" i="12"/>
  <c r="I266" i="12"/>
  <c r="J266" i="12"/>
  <c r="I267" i="12"/>
  <c r="J267" i="12"/>
  <c r="I268" i="12"/>
  <c r="J268" i="12"/>
  <c r="I269" i="12"/>
  <c r="J269" i="12"/>
  <c r="I270" i="12"/>
  <c r="J270" i="12"/>
  <c r="I271" i="12"/>
  <c r="J271" i="12"/>
  <c r="I272" i="12"/>
  <c r="J272" i="12"/>
  <c r="I273" i="12"/>
  <c r="J273" i="12"/>
  <c r="I274" i="12"/>
  <c r="J274" i="12"/>
  <c r="I275" i="12"/>
  <c r="J275" i="12"/>
  <c r="I276" i="12"/>
  <c r="J276" i="12"/>
  <c r="I277" i="12"/>
  <c r="J277" i="12"/>
  <c r="I278" i="12"/>
  <c r="J278" i="12"/>
  <c r="I279" i="12"/>
  <c r="J279" i="12"/>
  <c r="I280" i="12"/>
  <c r="J280" i="12"/>
  <c r="I281" i="12"/>
  <c r="J281" i="12"/>
  <c r="I282" i="12"/>
  <c r="J282" i="12"/>
  <c r="I283" i="12"/>
  <c r="J283" i="12"/>
  <c r="I284" i="12"/>
  <c r="J284" i="12"/>
  <c r="I285" i="12"/>
  <c r="J285" i="12"/>
  <c r="I286" i="12"/>
  <c r="J286" i="12"/>
  <c r="I287" i="12"/>
  <c r="J287" i="12"/>
  <c r="I288" i="12"/>
  <c r="J288" i="12"/>
  <c r="I289" i="12"/>
  <c r="J289" i="12"/>
  <c r="I290" i="12"/>
  <c r="J290" i="12"/>
  <c r="I291" i="12"/>
  <c r="J291" i="12"/>
  <c r="I292" i="12"/>
  <c r="J292" i="12"/>
  <c r="I293" i="12"/>
  <c r="J293" i="12"/>
  <c r="I294" i="12"/>
  <c r="J294" i="12"/>
  <c r="I295" i="12"/>
  <c r="J295" i="12"/>
  <c r="I296" i="12"/>
  <c r="J296" i="12"/>
  <c r="I297" i="12"/>
  <c r="J297" i="12"/>
  <c r="I298" i="12"/>
  <c r="J298" i="12"/>
  <c r="I299" i="12"/>
  <c r="J299" i="12"/>
  <c r="I300" i="12"/>
  <c r="J300" i="12"/>
  <c r="I301" i="12"/>
  <c r="J301" i="12"/>
  <c r="I302" i="12"/>
  <c r="J302" i="12"/>
  <c r="I303" i="12"/>
  <c r="J303" i="12"/>
  <c r="I304" i="12"/>
  <c r="J304" i="12"/>
  <c r="I305" i="12"/>
  <c r="J305" i="12"/>
  <c r="I306" i="12"/>
  <c r="J306" i="12"/>
  <c r="I307" i="12"/>
  <c r="J307" i="12"/>
  <c r="I308" i="12"/>
  <c r="J308" i="12"/>
  <c r="I309" i="12"/>
  <c r="J309" i="12"/>
  <c r="I310" i="12"/>
  <c r="J310" i="12"/>
  <c r="I311" i="12"/>
  <c r="J311" i="12"/>
  <c r="I312" i="12"/>
  <c r="J312" i="12"/>
  <c r="I313" i="12"/>
  <c r="J313" i="12"/>
  <c r="I314" i="12"/>
  <c r="J314" i="12"/>
  <c r="I315" i="12"/>
  <c r="J315" i="12"/>
  <c r="I316" i="12"/>
  <c r="J316" i="12"/>
  <c r="I317" i="12"/>
  <c r="J317" i="12"/>
  <c r="I318" i="12"/>
  <c r="J318" i="12"/>
  <c r="I319" i="12"/>
  <c r="J319" i="12"/>
  <c r="I320" i="12"/>
  <c r="J320" i="12"/>
  <c r="I321" i="12"/>
  <c r="J321" i="12"/>
  <c r="I322" i="12"/>
  <c r="J322" i="12"/>
  <c r="I323" i="12"/>
  <c r="J323" i="12"/>
  <c r="I324" i="12"/>
  <c r="J324" i="12"/>
  <c r="I325" i="12"/>
  <c r="J325" i="12"/>
  <c r="I326" i="12"/>
  <c r="J326" i="12"/>
  <c r="I327" i="12"/>
  <c r="J327" i="12"/>
  <c r="I328" i="12"/>
  <c r="J328" i="12"/>
  <c r="I329" i="12"/>
  <c r="J329" i="12"/>
  <c r="I330" i="12"/>
  <c r="J330" i="12"/>
  <c r="I331" i="12"/>
  <c r="J331" i="12"/>
  <c r="I332" i="12"/>
  <c r="J332" i="12"/>
  <c r="I333" i="12"/>
  <c r="J333" i="12"/>
  <c r="I334" i="12"/>
  <c r="J334" i="12"/>
  <c r="I335" i="12"/>
  <c r="J335" i="12"/>
  <c r="I336" i="12"/>
  <c r="J336" i="12"/>
  <c r="I337" i="12"/>
  <c r="J337" i="12"/>
  <c r="I338" i="12"/>
  <c r="J338" i="12"/>
  <c r="I339" i="12"/>
  <c r="J339" i="12"/>
  <c r="I340" i="12"/>
  <c r="J340" i="12"/>
  <c r="I341" i="12"/>
  <c r="J341" i="12"/>
  <c r="I342" i="12"/>
  <c r="J342" i="12"/>
  <c r="I343" i="12"/>
  <c r="J343" i="12"/>
  <c r="I344" i="12"/>
  <c r="J344" i="12"/>
  <c r="I345" i="12"/>
  <c r="J345" i="12"/>
  <c r="I346" i="12"/>
  <c r="J346" i="12"/>
  <c r="I347" i="12"/>
  <c r="J347" i="12"/>
  <c r="I348" i="12"/>
  <c r="J348" i="12"/>
  <c r="I349" i="12"/>
  <c r="J349" i="12"/>
  <c r="I350" i="12"/>
  <c r="J350" i="12"/>
  <c r="I351" i="12"/>
  <c r="J351" i="12"/>
  <c r="I352" i="12"/>
  <c r="J352" i="12"/>
  <c r="I353" i="12"/>
  <c r="J353" i="12"/>
  <c r="I354" i="12"/>
  <c r="J354" i="12"/>
  <c r="I355" i="12"/>
  <c r="J355" i="12"/>
  <c r="I356" i="12"/>
  <c r="J356" i="12"/>
  <c r="I357" i="12"/>
  <c r="J357" i="12"/>
  <c r="I358" i="12"/>
  <c r="J358" i="12"/>
  <c r="I359" i="12"/>
  <c r="J359" i="12"/>
  <c r="I360" i="12"/>
  <c r="J360" i="12"/>
  <c r="I361" i="12"/>
  <c r="J361" i="12"/>
  <c r="I362" i="12"/>
  <c r="J362" i="12"/>
  <c r="I363" i="12"/>
  <c r="J363" i="12"/>
  <c r="I364" i="12"/>
  <c r="J364" i="12"/>
  <c r="I365" i="12"/>
  <c r="J365" i="12"/>
  <c r="I366" i="12"/>
  <c r="J366" i="12"/>
  <c r="I367" i="12"/>
  <c r="J367" i="12"/>
  <c r="I368" i="12"/>
  <c r="J368" i="12"/>
  <c r="I369" i="12"/>
  <c r="J369" i="12"/>
  <c r="I370" i="12"/>
  <c r="J370" i="12"/>
  <c r="I371" i="12"/>
  <c r="J371" i="12"/>
  <c r="I372" i="12"/>
  <c r="J372" i="12"/>
  <c r="I373" i="12"/>
  <c r="J373" i="12"/>
  <c r="I374" i="12"/>
  <c r="J374" i="12"/>
  <c r="I375" i="12"/>
  <c r="J375" i="12"/>
  <c r="I376" i="12"/>
  <c r="J376" i="12"/>
  <c r="I377" i="12"/>
  <c r="J377" i="12"/>
  <c r="I378" i="12"/>
  <c r="J378" i="12"/>
  <c r="I379" i="12"/>
  <c r="J379" i="12"/>
  <c r="I380" i="12"/>
  <c r="J380" i="12"/>
  <c r="I381" i="12"/>
  <c r="J381" i="12"/>
  <c r="I382" i="12"/>
  <c r="J382" i="12"/>
  <c r="I383" i="12"/>
  <c r="J383" i="12"/>
  <c r="I384" i="12"/>
  <c r="J384" i="12"/>
  <c r="I385" i="12"/>
  <c r="J385" i="12"/>
  <c r="I386" i="12"/>
  <c r="J386" i="12"/>
  <c r="I387" i="12"/>
  <c r="J387" i="12"/>
  <c r="I388" i="12"/>
  <c r="J388" i="12"/>
  <c r="I389" i="12"/>
  <c r="J389" i="12"/>
  <c r="I390" i="12"/>
  <c r="J390" i="12"/>
  <c r="I391" i="12"/>
  <c r="J391" i="12"/>
  <c r="I392" i="12"/>
  <c r="J392" i="12"/>
  <c r="I393" i="12"/>
  <c r="J393" i="12"/>
  <c r="I394" i="12"/>
  <c r="J394" i="12"/>
  <c r="I395" i="12"/>
  <c r="J395" i="12"/>
  <c r="I396" i="12"/>
  <c r="J396" i="12"/>
  <c r="I397" i="12"/>
  <c r="J397" i="12"/>
  <c r="I398" i="12"/>
  <c r="J398" i="12"/>
  <c r="I399" i="12"/>
  <c r="J399" i="12"/>
  <c r="I400" i="12"/>
  <c r="J400" i="12"/>
  <c r="I401" i="12"/>
  <c r="J401" i="12"/>
  <c r="I402" i="12"/>
  <c r="J402" i="12"/>
  <c r="I403" i="12"/>
  <c r="J403" i="12"/>
  <c r="I404" i="12"/>
  <c r="J404" i="12"/>
  <c r="I405" i="12"/>
  <c r="J405" i="12"/>
  <c r="I406" i="12"/>
  <c r="J406" i="12"/>
  <c r="I407" i="12"/>
  <c r="J407" i="12"/>
  <c r="I408" i="12"/>
  <c r="J408" i="12"/>
  <c r="I409" i="12"/>
  <c r="J409" i="12"/>
  <c r="I410" i="12"/>
  <c r="J410" i="12"/>
  <c r="I411" i="12"/>
  <c r="J411" i="12"/>
  <c r="I412" i="12"/>
  <c r="J412" i="12"/>
  <c r="I413" i="12"/>
  <c r="J413" i="12"/>
  <c r="I414" i="12"/>
  <c r="J414" i="12"/>
  <c r="I415" i="12"/>
  <c r="J415" i="12"/>
  <c r="I416" i="12"/>
  <c r="J416" i="12"/>
  <c r="I417" i="12"/>
  <c r="J417" i="12"/>
  <c r="I418" i="12"/>
  <c r="J418" i="12"/>
  <c r="I419" i="12"/>
  <c r="J419" i="12"/>
  <c r="I420" i="12"/>
  <c r="J420" i="12"/>
  <c r="I421" i="12"/>
  <c r="J421" i="12"/>
  <c r="I422" i="12"/>
  <c r="J422" i="12"/>
  <c r="I423" i="12"/>
  <c r="J423" i="12"/>
  <c r="I424" i="12"/>
  <c r="J424" i="12"/>
  <c r="I425" i="12"/>
  <c r="J425" i="12"/>
  <c r="I426" i="12"/>
  <c r="J426" i="12"/>
  <c r="I427" i="12"/>
  <c r="J427" i="12"/>
  <c r="I428" i="12"/>
  <c r="J428" i="12"/>
  <c r="I429" i="12"/>
  <c r="J429" i="12"/>
  <c r="I430" i="12"/>
  <c r="J430" i="12"/>
  <c r="I431" i="12"/>
  <c r="J431" i="12"/>
  <c r="I432" i="12"/>
  <c r="J432" i="12"/>
  <c r="I433" i="12"/>
  <c r="J433" i="12"/>
  <c r="I434" i="12"/>
  <c r="J434" i="12"/>
  <c r="I435" i="12"/>
  <c r="J435" i="12"/>
  <c r="I436" i="12"/>
  <c r="J436" i="12"/>
  <c r="I437" i="12"/>
  <c r="J437" i="12"/>
  <c r="I438" i="12"/>
  <c r="J438" i="12"/>
  <c r="I439" i="12"/>
  <c r="J439" i="12"/>
  <c r="I440" i="12"/>
  <c r="J440" i="12"/>
  <c r="I441" i="12"/>
  <c r="J441" i="12"/>
  <c r="I442" i="12"/>
  <c r="J442" i="12"/>
  <c r="I443" i="12"/>
  <c r="J443" i="12"/>
  <c r="I444" i="12"/>
  <c r="J444" i="12"/>
  <c r="I445" i="12"/>
  <c r="J445" i="12"/>
  <c r="I446" i="12"/>
  <c r="J446" i="12"/>
  <c r="I447" i="12"/>
  <c r="J447" i="12"/>
  <c r="I448" i="12"/>
  <c r="J448" i="12"/>
  <c r="I449" i="12"/>
  <c r="J449" i="12"/>
  <c r="I450" i="12"/>
  <c r="J450" i="12"/>
  <c r="I451" i="12"/>
  <c r="J451" i="12"/>
  <c r="I452" i="12"/>
  <c r="J452" i="12"/>
  <c r="I453" i="12"/>
  <c r="J453" i="12"/>
  <c r="I454" i="12"/>
  <c r="J454" i="12"/>
  <c r="I455" i="12"/>
  <c r="J455" i="12"/>
  <c r="I456" i="12"/>
  <c r="J456" i="12"/>
  <c r="I457" i="12"/>
  <c r="J457" i="12"/>
  <c r="I458" i="12"/>
  <c r="J458" i="12"/>
  <c r="I459" i="12"/>
  <c r="J459" i="12"/>
  <c r="I460" i="12"/>
  <c r="J460" i="12"/>
  <c r="I461" i="12"/>
  <c r="J461" i="12"/>
  <c r="I462" i="12"/>
  <c r="J462" i="12"/>
  <c r="I463" i="12"/>
  <c r="J463" i="12"/>
  <c r="I464" i="12"/>
  <c r="J464" i="12"/>
  <c r="I465" i="12"/>
  <c r="J465" i="12"/>
  <c r="I466" i="12"/>
  <c r="J466" i="12"/>
  <c r="I467" i="12"/>
  <c r="J467" i="12"/>
  <c r="I468" i="12"/>
  <c r="J468" i="12"/>
  <c r="I469" i="12"/>
  <c r="J469" i="12"/>
  <c r="I470" i="12"/>
  <c r="J470" i="12"/>
  <c r="I471" i="12"/>
  <c r="J471" i="12"/>
  <c r="I472" i="12"/>
  <c r="J472" i="12"/>
  <c r="I473" i="12"/>
  <c r="J473" i="12"/>
  <c r="I474" i="12"/>
  <c r="J474" i="12"/>
  <c r="I475" i="12"/>
  <c r="J475" i="12"/>
  <c r="I476" i="12"/>
  <c r="L476" i="12" s="1"/>
  <c r="J476" i="12"/>
  <c r="I477" i="12"/>
  <c r="L477" i="12" s="1"/>
  <c r="J477" i="12"/>
  <c r="I478" i="12"/>
  <c r="J478" i="12"/>
  <c r="I479" i="12"/>
  <c r="J479" i="12"/>
  <c r="I480" i="12"/>
  <c r="L480" i="12" s="1"/>
  <c r="J480" i="12"/>
  <c r="I481" i="12"/>
  <c r="L481" i="12" s="1"/>
  <c r="J481" i="12"/>
  <c r="I482" i="12"/>
  <c r="J482" i="12"/>
  <c r="I483" i="12"/>
  <c r="J483" i="12"/>
  <c r="I484" i="12"/>
  <c r="L484" i="12" s="1"/>
  <c r="J484" i="12"/>
  <c r="I485" i="12"/>
  <c r="L485" i="12" s="1"/>
  <c r="J485" i="12"/>
  <c r="I486" i="12"/>
  <c r="J486" i="12"/>
  <c r="I487" i="12"/>
  <c r="J487" i="12"/>
  <c r="I488" i="12"/>
  <c r="L488" i="12" s="1"/>
  <c r="J488" i="12"/>
  <c r="I489" i="12"/>
  <c r="L489" i="12" s="1"/>
  <c r="J489" i="12"/>
  <c r="I490" i="12"/>
  <c r="J490" i="12"/>
  <c r="I491" i="12"/>
  <c r="J491" i="12"/>
  <c r="I492" i="12"/>
  <c r="L492" i="12" s="1"/>
  <c r="J492" i="12"/>
  <c r="I493" i="12"/>
  <c r="L493" i="12" s="1"/>
  <c r="J493" i="12"/>
  <c r="I494" i="12"/>
  <c r="J494" i="12"/>
  <c r="I495" i="12"/>
  <c r="J495" i="12"/>
  <c r="I496" i="12"/>
  <c r="L496" i="12" s="1"/>
  <c r="J496" i="12"/>
  <c r="I497" i="12"/>
  <c r="L497" i="12" s="1"/>
  <c r="J497" i="12"/>
  <c r="I498" i="12"/>
  <c r="J498" i="12"/>
  <c r="I499" i="12"/>
  <c r="J499" i="12"/>
  <c r="I500" i="12"/>
  <c r="L500" i="12" s="1"/>
  <c r="J500" i="12"/>
  <c r="I501" i="12"/>
  <c r="L501" i="12" s="1"/>
  <c r="J501" i="12"/>
  <c r="I502" i="12"/>
  <c r="J502" i="12"/>
  <c r="I503" i="12"/>
  <c r="J503" i="12"/>
  <c r="I504" i="12"/>
  <c r="L504" i="12" s="1"/>
  <c r="J504" i="12"/>
  <c r="I505" i="12"/>
  <c r="L505" i="12" s="1"/>
  <c r="J505" i="12"/>
  <c r="I506" i="12"/>
  <c r="J506" i="12"/>
  <c r="I507" i="12"/>
  <c r="J507" i="12"/>
  <c r="I508" i="12"/>
  <c r="L508" i="12" s="1"/>
  <c r="J508" i="12"/>
  <c r="I509" i="12"/>
  <c r="L509" i="12" s="1"/>
  <c r="J509" i="12"/>
  <c r="I510" i="12"/>
  <c r="J510" i="12"/>
  <c r="I511" i="12"/>
  <c r="J511" i="12"/>
  <c r="I512" i="12"/>
  <c r="L512" i="12" s="1"/>
  <c r="J512" i="12"/>
  <c r="I513" i="12"/>
  <c r="L513" i="12" s="1"/>
  <c r="J513" i="12"/>
  <c r="I514" i="12"/>
  <c r="J514" i="12"/>
  <c r="I515" i="12"/>
  <c r="J515" i="12"/>
  <c r="I516" i="12"/>
  <c r="L516" i="12" s="1"/>
  <c r="J516" i="12"/>
  <c r="I517" i="12"/>
  <c r="L517" i="12" s="1"/>
  <c r="J517" i="12"/>
  <c r="I518" i="12"/>
  <c r="J518" i="12"/>
  <c r="I519" i="12"/>
  <c r="J519" i="12"/>
  <c r="I520" i="12"/>
  <c r="L520" i="12" s="1"/>
  <c r="J520" i="12"/>
  <c r="I521" i="12"/>
  <c r="L521" i="12" s="1"/>
  <c r="J521" i="12"/>
  <c r="I522" i="12"/>
  <c r="J522" i="12"/>
  <c r="I523" i="12"/>
  <c r="J523" i="12"/>
  <c r="I524" i="12"/>
  <c r="L524" i="12" s="1"/>
  <c r="J524" i="12"/>
  <c r="I525" i="12"/>
  <c r="L525" i="12" s="1"/>
  <c r="J525" i="12"/>
  <c r="I526" i="12"/>
  <c r="J526" i="12"/>
  <c r="I527" i="12"/>
  <c r="J527" i="12"/>
  <c r="I528" i="12"/>
  <c r="L528" i="12" s="1"/>
  <c r="J528" i="12"/>
  <c r="I529" i="12"/>
  <c r="L529" i="12" s="1"/>
  <c r="J529" i="12"/>
  <c r="I530" i="12"/>
  <c r="K530" i="12" s="1"/>
  <c r="J530" i="12"/>
  <c r="I531" i="12"/>
  <c r="K531" i="12" s="1"/>
  <c r="J531" i="12"/>
  <c r="I532" i="12"/>
  <c r="K532" i="12" s="1"/>
  <c r="J532" i="12"/>
  <c r="I533" i="12"/>
  <c r="K533" i="12" s="1"/>
  <c r="J533" i="12"/>
  <c r="I534" i="12"/>
  <c r="K534" i="12" s="1"/>
  <c r="J534" i="12"/>
  <c r="I535" i="12"/>
  <c r="K535" i="12" s="1"/>
  <c r="J535" i="12"/>
  <c r="I536" i="12"/>
  <c r="K536" i="12" s="1"/>
  <c r="J536" i="12"/>
  <c r="I537" i="12"/>
  <c r="K537" i="12" s="1"/>
  <c r="J537" i="12"/>
  <c r="I538" i="12"/>
  <c r="K538" i="12" s="1"/>
  <c r="J538" i="12"/>
  <c r="I539" i="12"/>
  <c r="K539" i="12" s="1"/>
  <c r="J539" i="12"/>
  <c r="I540" i="12"/>
  <c r="K540" i="12" s="1"/>
  <c r="J540" i="12"/>
  <c r="I541" i="12"/>
  <c r="K541" i="12" s="1"/>
  <c r="J541" i="12"/>
  <c r="I542" i="12"/>
  <c r="K542" i="12" s="1"/>
  <c r="J542" i="12"/>
  <c r="I543" i="12"/>
  <c r="K543" i="12" s="1"/>
  <c r="J543" i="12"/>
  <c r="I544" i="12"/>
  <c r="K544" i="12" s="1"/>
  <c r="J544" i="12"/>
  <c r="I545" i="12"/>
  <c r="K545" i="12" s="1"/>
  <c r="J545" i="12"/>
  <c r="I546" i="12"/>
  <c r="K546" i="12" s="1"/>
  <c r="J546" i="12"/>
  <c r="I547" i="12"/>
  <c r="K547" i="12" s="1"/>
  <c r="J547" i="12"/>
  <c r="I548" i="12"/>
  <c r="K548" i="12" s="1"/>
  <c r="J548" i="12"/>
  <c r="I549" i="12"/>
  <c r="K549" i="12" s="1"/>
  <c r="J549" i="12"/>
  <c r="I550" i="12"/>
  <c r="K550" i="12" s="1"/>
  <c r="J550" i="12"/>
  <c r="I551" i="12"/>
  <c r="K551" i="12" s="1"/>
  <c r="J551" i="12"/>
  <c r="I552" i="12"/>
  <c r="K552" i="12" s="1"/>
  <c r="J552" i="12"/>
  <c r="I553" i="12"/>
  <c r="K553" i="12" s="1"/>
  <c r="J553" i="12"/>
  <c r="I554" i="12"/>
  <c r="K554" i="12" s="1"/>
  <c r="J554" i="12"/>
  <c r="I555" i="12"/>
  <c r="K555" i="12" s="1"/>
  <c r="J555" i="12"/>
  <c r="I556" i="12"/>
  <c r="K556" i="12" s="1"/>
  <c r="J556" i="12"/>
  <c r="I557" i="12"/>
  <c r="K557" i="12" s="1"/>
  <c r="J557" i="12"/>
  <c r="I558" i="12"/>
  <c r="K558" i="12" s="1"/>
  <c r="J558" i="12"/>
  <c r="I559" i="12"/>
  <c r="K559" i="12" s="1"/>
  <c r="J559" i="12"/>
  <c r="I560" i="12"/>
  <c r="K560" i="12" s="1"/>
  <c r="J560" i="12"/>
  <c r="I561" i="12"/>
  <c r="K561" i="12" s="1"/>
  <c r="J561" i="12"/>
  <c r="I562" i="12"/>
  <c r="K562" i="12" s="1"/>
  <c r="J562" i="12"/>
  <c r="I563" i="12"/>
  <c r="K563" i="12" s="1"/>
  <c r="J563" i="12"/>
  <c r="I564" i="12"/>
  <c r="K564" i="12" s="1"/>
  <c r="J564" i="12"/>
  <c r="I565" i="12"/>
  <c r="K565" i="12" s="1"/>
  <c r="J565" i="12"/>
  <c r="I566" i="12"/>
  <c r="K566" i="12" s="1"/>
  <c r="J566" i="12"/>
  <c r="I567" i="12"/>
  <c r="K567" i="12" s="1"/>
  <c r="J567" i="12"/>
  <c r="I568" i="12"/>
  <c r="K568" i="12" s="1"/>
  <c r="J568" i="12"/>
  <c r="I569" i="12"/>
  <c r="K569" i="12" s="1"/>
  <c r="J569" i="12"/>
  <c r="I570" i="12"/>
  <c r="K570" i="12" s="1"/>
  <c r="J570" i="12"/>
  <c r="I571" i="12"/>
  <c r="K571" i="12" s="1"/>
  <c r="J571" i="12"/>
  <c r="I572" i="12"/>
  <c r="K572" i="12" s="1"/>
  <c r="J572" i="12"/>
  <c r="I573" i="12"/>
  <c r="K573" i="12" s="1"/>
  <c r="J573" i="12"/>
  <c r="I574" i="12"/>
  <c r="K574" i="12" s="1"/>
  <c r="J574" i="12"/>
  <c r="I575" i="12"/>
  <c r="K575" i="12" s="1"/>
  <c r="J575" i="12"/>
  <c r="I576" i="12"/>
  <c r="K576" i="12" s="1"/>
  <c r="J576" i="12"/>
  <c r="I577" i="12"/>
  <c r="K577" i="12" s="1"/>
  <c r="J577" i="12"/>
  <c r="I578" i="12"/>
  <c r="K578" i="12" s="1"/>
  <c r="J578" i="12"/>
  <c r="I579" i="12"/>
  <c r="K579" i="12" s="1"/>
  <c r="J579" i="12"/>
  <c r="I580" i="12"/>
  <c r="K580" i="12" s="1"/>
  <c r="J580" i="12"/>
  <c r="I581" i="12"/>
  <c r="K581" i="12" s="1"/>
  <c r="J581" i="12"/>
  <c r="I582" i="12"/>
  <c r="K582" i="12" s="1"/>
  <c r="J582" i="12"/>
  <c r="I583" i="12"/>
  <c r="K583" i="12" s="1"/>
  <c r="J583" i="12"/>
  <c r="I584" i="12"/>
  <c r="K584" i="12" s="1"/>
  <c r="J584" i="12"/>
  <c r="I585" i="12"/>
  <c r="K585" i="12" s="1"/>
  <c r="J585" i="12"/>
  <c r="I586" i="12"/>
  <c r="K586" i="12" s="1"/>
  <c r="J586" i="12"/>
  <c r="I587" i="12"/>
  <c r="K587" i="12" s="1"/>
  <c r="J587" i="12"/>
  <c r="I588" i="12"/>
  <c r="K588" i="12" s="1"/>
  <c r="J588" i="12"/>
  <c r="I589" i="12"/>
  <c r="K589" i="12" s="1"/>
  <c r="J589" i="12"/>
  <c r="I590" i="12"/>
  <c r="K590" i="12" s="1"/>
  <c r="J590" i="12"/>
  <c r="I591" i="12"/>
  <c r="K591" i="12" s="1"/>
  <c r="J591" i="12"/>
  <c r="I592" i="12"/>
  <c r="K592" i="12" s="1"/>
  <c r="J592" i="12"/>
  <c r="I593" i="12"/>
  <c r="K593" i="12" s="1"/>
  <c r="J593" i="12"/>
  <c r="I594" i="12"/>
  <c r="K594" i="12" s="1"/>
  <c r="J594" i="12"/>
  <c r="I595" i="12"/>
  <c r="K595" i="12" s="1"/>
  <c r="J595" i="12"/>
  <c r="I596" i="12"/>
  <c r="K596" i="12" s="1"/>
  <c r="J596" i="12"/>
  <c r="I597" i="12"/>
  <c r="K597" i="12" s="1"/>
  <c r="J597" i="12"/>
  <c r="I598" i="12"/>
  <c r="K598" i="12" s="1"/>
  <c r="J598" i="12"/>
  <c r="I599" i="12"/>
  <c r="K599" i="12" s="1"/>
  <c r="J599" i="12"/>
  <c r="I600" i="12"/>
  <c r="K600" i="12" s="1"/>
  <c r="J600" i="12"/>
  <c r="I601" i="12"/>
  <c r="K601" i="12" s="1"/>
  <c r="J601" i="12"/>
  <c r="I602" i="12"/>
  <c r="K602" i="12" s="1"/>
  <c r="J602" i="12"/>
  <c r="I603" i="12"/>
  <c r="K603" i="12" s="1"/>
  <c r="J603" i="12"/>
  <c r="I604" i="12"/>
  <c r="K604" i="12" s="1"/>
  <c r="J604" i="12"/>
  <c r="I605" i="12"/>
  <c r="K605" i="12" s="1"/>
  <c r="J605" i="12"/>
  <c r="I606" i="12"/>
  <c r="K606" i="12" s="1"/>
  <c r="J606" i="12"/>
  <c r="I607" i="12"/>
  <c r="K607" i="12" s="1"/>
  <c r="J607" i="12"/>
  <c r="I608" i="12"/>
  <c r="K608" i="12" s="1"/>
  <c r="J608" i="12"/>
  <c r="L608" i="12"/>
  <c r="I609" i="12"/>
  <c r="K609" i="12" s="1"/>
  <c r="J609" i="12"/>
  <c r="I610" i="12"/>
  <c r="K610" i="12" s="1"/>
  <c r="J610" i="12"/>
  <c r="I611" i="12"/>
  <c r="K611" i="12" s="1"/>
  <c r="J611" i="12"/>
  <c r="I612" i="12"/>
  <c r="K612" i="12" s="1"/>
  <c r="J612" i="12"/>
  <c r="I613" i="12"/>
  <c r="K613" i="12" s="1"/>
  <c r="J613" i="12"/>
  <c r="I614" i="12"/>
  <c r="K614" i="12" s="1"/>
  <c r="J614" i="12"/>
  <c r="I615" i="12"/>
  <c r="K615" i="12" s="1"/>
  <c r="J615" i="12"/>
  <c r="I616" i="12"/>
  <c r="K616" i="12" s="1"/>
  <c r="J616" i="12"/>
  <c r="I617" i="12"/>
  <c r="K617" i="12" s="1"/>
  <c r="J617" i="12"/>
  <c r="I618" i="12"/>
  <c r="K618" i="12" s="1"/>
  <c r="J618" i="12"/>
  <c r="I619" i="12"/>
  <c r="K619" i="12" s="1"/>
  <c r="J619" i="12"/>
  <c r="I620" i="12"/>
  <c r="K620" i="12" s="1"/>
  <c r="J620" i="12"/>
  <c r="I621" i="12"/>
  <c r="K621" i="12" s="1"/>
  <c r="J621" i="12"/>
  <c r="I622" i="12"/>
  <c r="K622" i="12" s="1"/>
  <c r="J622" i="12"/>
  <c r="I623" i="12"/>
  <c r="K623" i="12" s="1"/>
  <c r="J623" i="12"/>
  <c r="I624" i="12"/>
  <c r="K624" i="12" s="1"/>
  <c r="J624" i="12"/>
  <c r="I625" i="12"/>
  <c r="K625" i="12" s="1"/>
  <c r="J625" i="12"/>
  <c r="I626" i="12"/>
  <c r="K626" i="12" s="1"/>
  <c r="J626" i="12"/>
  <c r="I627" i="12"/>
  <c r="K627" i="12" s="1"/>
  <c r="J627" i="12"/>
  <c r="I628" i="12"/>
  <c r="K628" i="12" s="1"/>
  <c r="J628" i="12"/>
  <c r="I629" i="12"/>
  <c r="K629" i="12" s="1"/>
  <c r="J629" i="12"/>
  <c r="I630" i="12"/>
  <c r="K630" i="12" s="1"/>
  <c r="J630" i="12"/>
  <c r="I631" i="12"/>
  <c r="K631" i="12" s="1"/>
  <c r="J631" i="12"/>
  <c r="I632" i="12"/>
  <c r="K632" i="12" s="1"/>
  <c r="J632" i="12"/>
  <c r="I633" i="12"/>
  <c r="K633" i="12" s="1"/>
  <c r="J633" i="12"/>
  <c r="I634" i="12"/>
  <c r="K634" i="12" s="1"/>
  <c r="J634" i="12"/>
  <c r="I635" i="12"/>
  <c r="K635" i="12" s="1"/>
  <c r="J635" i="12"/>
  <c r="I636" i="12"/>
  <c r="K636" i="12" s="1"/>
  <c r="J636" i="12"/>
  <c r="I637" i="12"/>
  <c r="K637" i="12" s="1"/>
  <c r="J637" i="12"/>
  <c r="I638" i="12"/>
  <c r="K638" i="12" s="1"/>
  <c r="J638" i="12"/>
  <c r="I639" i="12"/>
  <c r="K639" i="12" s="1"/>
  <c r="J639" i="12"/>
  <c r="I640" i="12"/>
  <c r="K640" i="12" s="1"/>
  <c r="J640" i="12"/>
  <c r="I641" i="12"/>
  <c r="K641" i="12" s="1"/>
  <c r="J641" i="12"/>
  <c r="I642" i="12"/>
  <c r="K642" i="12" s="1"/>
  <c r="J642" i="12"/>
  <c r="I643" i="12"/>
  <c r="K643" i="12" s="1"/>
  <c r="J643" i="12"/>
  <c r="I644" i="12"/>
  <c r="K644" i="12" s="1"/>
  <c r="J644" i="12"/>
  <c r="I645" i="12"/>
  <c r="K645" i="12" s="1"/>
  <c r="J645" i="12"/>
  <c r="I646" i="12"/>
  <c r="K646" i="12" s="1"/>
  <c r="J646" i="12"/>
  <c r="I647" i="12"/>
  <c r="K647" i="12" s="1"/>
  <c r="J647" i="12"/>
  <c r="I648" i="12"/>
  <c r="K648" i="12" s="1"/>
  <c r="J648" i="12"/>
  <c r="I649" i="12"/>
  <c r="K649" i="12" s="1"/>
  <c r="J649" i="12"/>
  <c r="I650" i="12"/>
  <c r="K650" i="12" s="1"/>
  <c r="J650" i="12"/>
  <c r="I651" i="12"/>
  <c r="K651" i="12" s="1"/>
  <c r="J651" i="12"/>
  <c r="I652" i="12"/>
  <c r="K652" i="12" s="1"/>
  <c r="J652" i="12"/>
  <c r="I653" i="12"/>
  <c r="K653" i="12" s="1"/>
  <c r="J653" i="12"/>
  <c r="I654" i="12"/>
  <c r="K654" i="12" s="1"/>
  <c r="J654" i="12"/>
  <c r="I655" i="12"/>
  <c r="K655" i="12" s="1"/>
  <c r="J655" i="12"/>
  <c r="I656" i="12"/>
  <c r="K656" i="12" s="1"/>
  <c r="J656" i="12"/>
  <c r="I657" i="12"/>
  <c r="K657" i="12" s="1"/>
  <c r="J657" i="12"/>
  <c r="I658" i="12"/>
  <c r="K658" i="12" s="1"/>
  <c r="J658" i="12"/>
  <c r="I659" i="12"/>
  <c r="K659" i="12" s="1"/>
  <c r="J659" i="12"/>
  <c r="I660" i="12"/>
  <c r="K660" i="12" s="1"/>
  <c r="J660" i="12"/>
  <c r="I661" i="12"/>
  <c r="K661" i="12" s="1"/>
  <c r="J661" i="12"/>
  <c r="I662" i="12"/>
  <c r="K662" i="12" s="1"/>
  <c r="J662" i="12"/>
  <c r="I663" i="12"/>
  <c r="K663" i="12" s="1"/>
  <c r="J663" i="12"/>
  <c r="I664" i="12"/>
  <c r="K664" i="12" s="1"/>
  <c r="J664" i="12"/>
  <c r="I665" i="12"/>
  <c r="K665" i="12" s="1"/>
  <c r="J665" i="12"/>
  <c r="I666" i="12"/>
  <c r="K666" i="12" s="1"/>
  <c r="J666" i="12"/>
  <c r="I667" i="12"/>
  <c r="K667" i="12" s="1"/>
  <c r="J667" i="12"/>
  <c r="I668" i="12"/>
  <c r="K668" i="12" s="1"/>
  <c r="J668" i="12"/>
  <c r="I669" i="12"/>
  <c r="K669" i="12" s="1"/>
  <c r="J669" i="12"/>
  <c r="I670" i="12"/>
  <c r="K670" i="12" s="1"/>
  <c r="J670" i="12"/>
  <c r="I671" i="12"/>
  <c r="K671" i="12" s="1"/>
  <c r="J671" i="12"/>
  <c r="I672" i="12"/>
  <c r="K672" i="12" s="1"/>
  <c r="J672" i="12"/>
  <c r="I673" i="12"/>
  <c r="K673" i="12" s="1"/>
  <c r="J673" i="12"/>
  <c r="I674" i="12"/>
  <c r="K674" i="12" s="1"/>
  <c r="J674" i="12"/>
  <c r="I675" i="12"/>
  <c r="K675" i="12" s="1"/>
  <c r="J675" i="12"/>
  <c r="I676" i="12"/>
  <c r="K676" i="12" s="1"/>
  <c r="J676" i="12"/>
  <c r="I677" i="12"/>
  <c r="K677" i="12" s="1"/>
  <c r="J677" i="12"/>
  <c r="I678" i="12"/>
  <c r="K678" i="12" s="1"/>
  <c r="J678" i="12"/>
  <c r="I679" i="12"/>
  <c r="K679" i="12" s="1"/>
  <c r="J679" i="12"/>
  <c r="I680" i="12"/>
  <c r="K680" i="12" s="1"/>
  <c r="J680" i="12"/>
  <c r="I681" i="12"/>
  <c r="K681" i="12" s="1"/>
  <c r="J681" i="12"/>
  <c r="I682" i="12"/>
  <c r="K682" i="12" s="1"/>
  <c r="J682" i="12"/>
  <c r="I683" i="12"/>
  <c r="K683" i="12" s="1"/>
  <c r="J683" i="12"/>
  <c r="I684" i="12"/>
  <c r="K684" i="12" s="1"/>
  <c r="J684" i="12"/>
  <c r="I685" i="12"/>
  <c r="K685" i="12" s="1"/>
  <c r="J685" i="12"/>
  <c r="I686" i="12"/>
  <c r="K686" i="12" s="1"/>
  <c r="J686" i="12"/>
  <c r="I687" i="12"/>
  <c r="K687" i="12" s="1"/>
  <c r="J687" i="12"/>
  <c r="I688" i="12"/>
  <c r="K688" i="12" s="1"/>
  <c r="J688" i="12"/>
  <c r="I689" i="12"/>
  <c r="K689" i="12" s="1"/>
  <c r="J689" i="12"/>
  <c r="I690" i="12"/>
  <c r="K690" i="12" s="1"/>
  <c r="J690" i="12"/>
  <c r="I691" i="12"/>
  <c r="K691" i="12" s="1"/>
  <c r="J691" i="12"/>
  <c r="I692" i="12"/>
  <c r="K692" i="12" s="1"/>
  <c r="J692" i="12"/>
  <c r="I693" i="12"/>
  <c r="K693" i="12" s="1"/>
  <c r="J693" i="12"/>
  <c r="I694" i="12"/>
  <c r="K694" i="12" s="1"/>
  <c r="J694" i="12"/>
  <c r="I695" i="12"/>
  <c r="K695" i="12" s="1"/>
  <c r="J695" i="12"/>
  <c r="I696" i="12"/>
  <c r="K696" i="12" s="1"/>
  <c r="J696" i="12"/>
  <c r="I697" i="12"/>
  <c r="K697" i="12" s="1"/>
  <c r="J697" i="12"/>
  <c r="I698" i="12"/>
  <c r="K698" i="12" s="1"/>
  <c r="J698" i="12"/>
  <c r="I699" i="12"/>
  <c r="K699" i="12" s="1"/>
  <c r="J699" i="12"/>
  <c r="I700" i="12"/>
  <c r="K700" i="12" s="1"/>
  <c r="J700" i="12"/>
  <c r="I701" i="12"/>
  <c r="K701" i="12" s="1"/>
  <c r="J701" i="12"/>
  <c r="I702" i="12"/>
  <c r="K702" i="12" s="1"/>
  <c r="J702" i="12"/>
  <c r="I703" i="12"/>
  <c r="K703" i="12" s="1"/>
  <c r="J703" i="12"/>
  <c r="I704" i="12"/>
  <c r="K704" i="12" s="1"/>
  <c r="J704" i="12"/>
  <c r="I705" i="12"/>
  <c r="K705" i="12" s="1"/>
  <c r="J705" i="12"/>
  <c r="I706" i="12"/>
  <c r="K706" i="12" s="1"/>
  <c r="J706" i="12"/>
  <c r="I707" i="12"/>
  <c r="K707" i="12" s="1"/>
  <c r="J707" i="12"/>
  <c r="I708" i="12"/>
  <c r="K708" i="12" s="1"/>
  <c r="J708" i="12"/>
  <c r="I709" i="12"/>
  <c r="K709" i="12" s="1"/>
  <c r="J709" i="12"/>
  <c r="I710" i="12"/>
  <c r="K710" i="12" s="1"/>
  <c r="J710" i="12"/>
  <c r="I711" i="12"/>
  <c r="K711" i="12" s="1"/>
  <c r="J711" i="12"/>
  <c r="I712" i="12"/>
  <c r="K712" i="12" s="1"/>
  <c r="J712" i="12"/>
  <c r="I713" i="12"/>
  <c r="K713" i="12" s="1"/>
  <c r="J713" i="12"/>
  <c r="I714" i="12"/>
  <c r="K714" i="12" s="1"/>
  <c r="J714" i="12"/>
  <c r="I715" i="12"/>
  <c r="K715" i="12" s="1"/>
  <c r="J715" i="12"/>
  <c r="I716" i="12"/>
  <c r="K716" i="12" s="1"/>
  <c r="J716" i="12"/>
  <c r="I717" i="12"/>
  <c r="K717" i="12" s="1"/>
  <c r="J717" i="12"/>
  <c r="I718" i="12"/>
  <c r="K718" i="12" s="1"/>
  <c r="J718" i="12"/>
  <c r="I719" i="12"/>
  <c r="K719" i="12" s="1"/>
  <c r="J719" i="12"/>
  <c r="I720" i="12"/>
  <c r="K720" i="12" s="1"/>
  <c r="J720" i="12"/>
  <c r="I721" i="12"/>
  <c r="K721" i="12" s="1"/>
  <c r="J721" i="12"/>
  <c r="I722" i="12"/>
  <c r="K722" i="12" s="1"/>
  <c r="J722" i="12"/>
  <c r="I723" i="12"/>
  <c r="K723" i="12" s="1"/>
  <c r="J723" i="12"/>
  <c r="I724" i="12"/>
  <c r="K724" i="12" s="1"/>
  <c r="J724" i="12"/>
  <c r="I725" i="12"/>
  <c r="K725" i="12" s="1"/>
  <c r="J725" i="12"/>
  <c r="I726" i="12"/>
  <c r="K726" i="12" s="1"/>
  <c r="J726" i="12"/>
  <c r="I727" i="12"/>
  <c r="K727" i="12" s="1"/>
  <c r="J727" i="12"/>
  <c r="I728" i="12"/>
  <c r="K728" i="12" s="1"/>
  <c r="J728" i="12"/>
  <c r="I729" i="12"/>
  <c r="K729" i="12" s="1"/>
  <c r="J729" i="12"/>
  <c r="I730" i="12"/>
  <c r="K730" i="12" s="1"/>
  <c r="J730" i="12"/>
  <c r="I731" i="12"/>
  <c r="K731" i="12" s="1"/>
  <c r="J731" i="12"/>
  <c r="I732" i="12"/>
  <c r="K732" i="12" s="1"/>
  <c r="J732" i="12"/>
  <c r="I733" i="12"/>
  <c r="K733" i="12" s="1"/>
  <c r="J733" i="12"/>
  <c r="I734" i="12"/>
  <c r="K734" i="12" s="1"/>
  <c r="J734" i="12"/>
  <c r="I735" i="12"/>
  <c r="K735" i="12" s="1"/>
  <c r="J735" i="12"/>
  <c r="I736" i="12"/>
  <c r="K736" i="12" s="1"/>
  <c r="J736" i="12"/>
  <c r="I737" i="12"/>
  <c r="K737" i="12" s="1"/>
  <c r="J737" i="12"/>
  <c r="I738" i="12"/>
  <c r="K738" i="12" s="1"/>
  <c r="J738" i="12"/>
  <c r="I739" i="12"/>
  <c r="K739" i="12" s="1"/>
  <c r="J739" i="12"/>
  <c r="I740" i="12"/>
  <c r="K740" i="12" s="1"/>
  <c r="J740" i="12"/>
  <c r="I741" i="12"/>
  <c r="K741" i="12" s="1"/>
  <c r="J741" i="12"/>
  <c r="I742" i="12"/>
  <c r="K742" i="12" s="1"/>
  <c r="J742" i="12"/>
  <c r="I743" i="12"/>
  <c r="K743" i="12" s="1"/>
  <c r="J743" i="12"/>
  <c r="I744" i="12"/>
  <c r="K744" i="12" s="1"/>
  <c r="J744" i="12"/>
  <c r="I745" i="12"/>
  <c r="K745" i="12" s="1"/>
  <c r="J745" i="12"/>
  <c r="I746" i="12"/>
  <c r="K746" i="12" s="1"/>
  <c r="J746" i="12"/>
  <c r="I747" i="12"/>
  <c r="K747" i="12" s="1"/>
  <c r="J747" i="12"/>
  <c r="I748" i="12"/>
  <c r="K748" i="12" s="1"/>
  <c r="J748" i="12"/>
  <c r="I749" i="12"/>
  <c r="K749" i="12" s="1"/>
  <c r="J749" i="12"/>
  <c r="I750" i="12"/>
  <c r="K750" i="12" s="1"/>
  <c r="J750" i="12"/>
  <c r="I751" i="12"/>
  <c r="K751" i="12" s="1"/>
  <c r="J751" i="12"/>
  <c r="I752" i="12"/>
  <c r="K752" i="12" s="1"/>
  <c r="J752" i="12"/>
  <c r="I753" i="12"/>
  <c r="K753" i="12" s="1"/>
  <c r="J753" i="12"/>
  <c r="I754" i="12"/>
  <c r="K754" i="12" s="1"/>
  <c r="J754" i="12"/>
  <c r="I755" i="12"/>
  <c r="K755" i="12" s="1"/>
  <c r="J755" i="12"/>
  <c r="I756" i="12"/>
  <c r="K756" i="12" s="1"/>
  <c r="J756" i="12"/>
  <c r="I757" i="12"/>
  <c r="K757" i="12" s="1"/>
  <c r="J757" i="12"/>
  <c r="I758" i="12"/>
  <c r="K758" i="12" s="1"/>
  <c r="J758" i="12"/>
  <c r="I759" i="12"/>
  <c r="K759" i="12" s="1"/>
  <c r="J759" i="12"/>
  <c r="I760" i="12"/>
  <c r="K760" i="12" s="1"/>
  <c r="J760" i="12"/>
  <c r="I761" i="12"/>
  <c r="K761" i="12" s="1"/>
  <c r="J761" i="12"/>
  <c r="I762" i="12"/>
  <c r="K762" i="12" s="1"/>
  <c r="J762" i="12"/>
  <c r="I763" i="12"/>
  <c r="K763" i="12" s="1"/>
  <c r="J763" i="12"/>
  <c r="I764" i="12"/>
  <c r="K764" i="12" s="1"/>
  <c r="J764" i="12"/>
  <c r="I765" i="12"/>
  <c r="K765" i="12" s="1"/>
  <c r="J765" i="12"/>
  <c r="I766" i="12"/>
  <c r="K766" i="12" s="1"/>
  <c r="J766" i="12"/>
  <c r="I767" i="12"/>
  <c r="K767" i="12" s="1"/>
  <c r="J767" i="12"/>
  <c r="I768" i="12"/>
  <c r="K768" i="12" s="1"/>
  <c r="J768" i="12"/>
  <c r="I769" i="12"/>
  <c r="K769" i="12" s="1"/>
  <c r="J769" i="12"/>
  <c r="I770" i="12"/>
  <c r="K770" i="12" s="1"/>
  <c r="J770" i="12"/>
  <c r="I771" i="12"/>
  <c r="K771" i="12" s="1"/>
  <c r="J771" i="12"/>
  <c r="I772" i="12"/>
  <c r="K772" i="12" s="1"/>
  <c r="J772" i="12"/>
  <c r="I773" i="12"/>
  <c r="K773" i="12" s="1"/>
  <c r="J773" i="12"/>
  <c r="I774" i="12"/>
  <c r="K774" i="12" s="1"/>
  <c r="J774" i="12"/>
  <c r="I775" i="12"/>
  <c r="K775" i="12" s="1"/>
  <c r="J775" i="12"/>
  <c r="I776" i="12"/>
  <c r="K776" i="12" s="1"/>
  <c r="J776" i="12"/>
  <c r="I777" i="12"/>
  <c r="K777" i="12" s="1"/>
  <c r="J777" i="12"/>
  <c r="I778" i="12"/>
  <c r="K778" i="12" s="1"/>
  <c r="J778" i="12"/>
  <c r="I779" i="12"/>
  <c r="K779" i="12" s="1"/>
  <c r="J779" i="12"/>
  <c r="I780" i="12"/>
  <c r="K780" i="12" s="1"/>
  <c r="J780" i="12"/>
  <c r="I781" i="12"/>
  <c r="K781" i="12" s="1"/>
  <c r="J781" i="12"/>
  <c r="I782" i="12"/>
  <c r="K782" i="12" s="1"/>
  <c r="J782" i="12"/>
  <c r="I783" i="12"/>
  <c r="K783" i="12" s="1"/>
  <c r="J783" i="12"/>
  <c r="I784" i="12"/>
  <c r="K784" i="12" s="1"/>
  <c r="J784" i="12"/>
  <c r="I785" i="12"/>
  <c r="K785" i="12" s="1"/>
  <c r="J785" i="12"/>
  <c r="I786" i="12"/>
  <c r="K786" i="12" s="1"/>
  <c r="J786" i="12"/>
  <c r="I787" i="12"/>
  <c r="K787" i="12" s="1"/>
  <c r="J787" i="12"/>
  <c r="I788" i="12"/>
  <c r="K788" i="12" s="1"/>
  <c r="J788" i="12"/>
  <c r="I789" i="12"/>
  <c r="K789" i="12" s="1"/>
  <c r="J789" i="12"/>
  <c r="I790" i="12"/>
  <c r="K790" i="12" s="1"/>
  <c r="J790" i="12"/>
  <c r="I791" i="12"/>
  <c r="K791" i="12" s="1"/>
  <c r="J791" i="12"/>
  <c r="I792" i="12"/>
  <c r="K792" i="12" s="1"/>
  <c r="J792" i="12"/>
  <c r="I793" i="12"/>
  <c r="K793" i="12" s="1"/>
  <c r="J793" i="12"/>
  <c r="I794" i="12"/>
  <c r="K794" i="12" s="1"/>
  <c r="J794" i="12"/>
  <c r="I795" i="12"/>
  <c r="K795" i="12" s="1"/>
  <c r="J795" i="12"/>
  <c r="I796" i="12"/>
  <c r="K796" i="12" s="1"/>
  <c r="J796" i="12"/>
  <c r="I797" i="12"/>
  <c r="K797" i="12" s="1"/>
  <c r="J797" i="12"/>
  <c r="I798" i="12"/>
  <c r="K798" i="12" s="1"/>
  <c r="J798" i="12"/>
  <c r="I799" i="12"/>
  <c r="K799" i="12" s="1"/>
  <c r="J799" i="12"/>
  <c r="I800" i="12"/>
  <c r="K800" i="12" s="1"/>
  <c r="J800" i="12"/>
  <c r="I801" i="12"/>
  <c r="K801" i="12" s="1"/>
  <c r="J801" i="12"/>
  <c r="I802" i="12"/>
  <c r="K802" i="12" s="1"/>
  <c r="J802" i="12"/>
  <c r="I803" i="12"/>
  <c r="K803" i="12" s="1"/>
  <c r="J803" i="12"/>
  <c r="I804" i="12"/>
  <c r="K804" i="12" s="1"/>
  <c r="J804" i="12"/>
  <c r="I805" i="12"/>
  <c r="K805" i="12" s="1"/>
  <c r="J805" i="12"/>
  <c r="I806" i="12"/>
  <c r="K806" i="12" s="1"/>
  <c r="J806" i="12"/>
  <c r="I807" i="12"/>
  <c r="K807" i="12" s="1"/>
  <c r="J807" i="12"/>
  <c r="I808" i="12"/>
  <c r="K808" i="12" s="1"/>
  <c r="J808" i="12"/>
  <c r="I809" i="12"/>
  <c r="K809" i="12" s="1"/>
  <c r="J809" i="12"/>
  <c r="I810" i="12"/>
  <c r="K810" i="12" s="1"/>
  <c r="J810" i="12"/>
  <c r="I811" i="12"/>
  <c r="K811" i="12" s="1"/>
  <c r="J811" i="12"/>
  <c r="I812" i="12"/>
  <c r="K812" i="12" s="1"/>
  <c r="J812" i="12"/>
  <c r="I813" i="12"/>
  <c r="K813" i="12" s="1"/>
  <c r="J813" i="12"/>
  <c r="I814" i="12"/>
  <c r="K814" i="12" s="1"/>
  <c r="J814" i="12"/>
  <c r="I815" i="12"/>
  <c r="K815" i="12" s="1"/>
  <c r="J815" i="12"/>
  <c r="I816" i="12"/>
  <c r="K816" i="12" s="1"/>
  <c r="J816" i="12"/>
  <c r="I817" i="12"/>
  <c r="K817" i="12" s="1"/>
  <c r="J817" i="12"/>
  <c r="I818" i="12"/>
  <c r="K818" i="12" s="1"/>
  <c r="J818" i="12"/>
  <c r="I819" i="12"/>
  <c r="K819" i="12" s="1"/>
  <c r="J819" i="12"/>
  <c r="I820" i="12"/>
  <c r="K820" i="12" s="1"/>
  <c r="J820" i="12"/>
  <c r="I821" i="12"/>
  <c r="K821" i="12" s="1"/>
  <c r="J821" i="12"/>
  <c r="I822" i="12"/>
  <c r="K822" i="12" s="1"/>
  <c r="J822" i="12"/>
  <c r="I823" i="12"/>
  <c r="K823" i="12" s="1"/>
  <c r="J823" i="12"/>
  <c r="I824" i="12"/>
  <c r="K824" i="12" s="1"/>
  <c r="J824" i="12"/>
  <c r="I825" i="12"/>
  <c r="K825" i="12" s="1"/>
  <c r="J825" i="12"/>
  <c r="I826" i="12"/>
  <c r="K826" i="12" s="1"/>
  <c r="J826" i="12"/>
  <c r="I827" i="12"/>
  <c r="K827" i="12" s="1"/>
  <c r="J827" i="12"/>
  <c r="I828" i="12"/>
  <c r="K828" i="12" s="1"/>
  <c r="J828" i="12"/>
  <c r="I829" i="12"/>
  <c r="K829" i="12" s="1"/>
  <c r="J829" i="12"/>
  <c r="I830" i="12"/>
  <c r="K830" i="12" s="1"/>
  <c r="J830" i="12"/>
  <c r="I831" i="12"/>
  <c r="K831" i="12" s="1"/>
  <c r="J831" i="12"/>
  <c r="I832" i="12"/>
  <c r="K832" i="12" s="1"/>
  <c r="J832" i="12"/>
  <c r="I833" i="12"/>
  <c r="K833" i="12" s="1"/>
  <c r="J833" i="12"/>
  <c r="I834" i="12"/>
  <c r="K834" i="12" s="1"/>
  <c r="J834" i="12"/>
  <c r="I835" i="12"/>
  <c r="K835" i="12" s="1"/>
  <c r="J835" i="12"/>
  <c r="I836" i="12"/>
  <c r="K836" i="12" s="1"/>
  <c r="J836" i="12"/>
  <c r="I837" i="12"/>
  <c r="K837" i="12" s="1"/>
  <c r="J837" i="12"/>
  <c r="I838" i="12"/>
  <c r="K838" i="12" s="1"/>
  <c r="J838" i="12"/>
  <c r="I839" i="12"/>
  <c r="K839" i="12" s="1"/>
  <c r="J839" i="12"/>
  <c r="I840" i="12"/>
  <c r="K840" i="12" s="1"/>
  <c r="J840" i="12"/>
  <c r="I841" i="12"/>
  <c r="K841" i="12" s="1"/>
  <c r="J841" i="12"/>
  <c r="I842" i="12"/>
  <c r="K842" i="12" s="1"/>
  <c r="J842" i="12"/>
  <c r="I843" i="12"/>
  <c r="K843" i="12" s="1"/>
  <c r="J843" i="12"/>
  <c r="I844" i="12"/>
  <c r="K844" i="12" s="1"/>
  <c r="J844" i="12"/>
  <c r="I845" i="12"/>
  <c r="K845" i="12" s="1"/>
  <c r="J845" i="12"/>
  <c r="I846" i="12"/>
  <c r="K846" i="12" s="1"/>
  <c r="J846" i="12"/>
  <c r="I847" i="12"/>
  <c r="K847" i="12" s="1"/>
  <c r="J847" i="12"/>
  <c r="I848" i="12"/>
  <c r="K848" i="12" s="1"/>
  <c r="J848" i="12"/>
  <c r="I849" i="12"/>
  <c r="K849" i="12" s="1"/>
  <c r="J849" i="12"/>
  <c r="I850" i="12"/>
  <c r="K850" i="12" s="1"/>
  <c r="J850" i="12"/>
  <c r="I851" i="12"/>
  <c r="K851" i="12" s="1"/>
  <c r="J851" i="12"/>
  <c r="I852" i="12"/>
  <c r="K852" i="12" s="1"/>
  <c r="J852" i="12"/>
  <c r="I853" i="12"/>
  <c r="K853" i="12" s="1"/>
  <c r="J853" i="12"/>
  <c r="I854" i="12"/>
  <c r="K854" i="12" s="1"/>
  <c r="J854" i="12"/>
  <c r="I855" i="12"/>
  <c r="K855" i="12" s="1"/>
  <c r="J855" i="12"/>
  <c r="I856" i="12"/>
  <c r="K856" i="12" s="1"/>
  <c r="J856" i="12"/>
  <c r="I857" i="12"/>
  <c r="K857" i="12" s="1"/>
  <c r="J857" i="12"/>
  <c r="I858" i="12"/>
  <c r="K858" i="12" s="1"/>
  <c r="J858" i="12"/>
  <c r="I859" i="12"/>
  <c r="K859" i="12" s="1"/>
  <c r="J859" i="12"/>
  <c r="I860" i="12"/>
  <c r="K860" i="12" s="1"/>
  <c r="J860" i="12"/>
  <c r="I861" i="12"/>
  <c r="K861" i="12" s="1"/>
  <c r="J861" i="12"/>
  <c r="I862" i="12"/>
  <c r="K862" i="12" s="1"/>
  <c r="J862" i="12"/>
  <c r="I863" i="12"/>
  <c r="K863" i="12" s="1"/>
  <c r="J863" i="12"/>
  <c r="I864" i="12"/>
  <c r="K864" i="12" s="1"/>
  <c r="J864" i="12"/>
  <c r="I865" i="12"/>
  <c r="K865" i="12" s="1"/>
  <c r="J865" i="12"/>
  <c r="I866" i="12"/>
  <c r="K866" i="12" s="1"/>
  <c r="J866" i="12"/>
  <c r="I867" i="12"/>
  <c r="K867" i="12" s="1"/>
  <c r="J867" i="12"/>
  <c r="I868" i="12"/>
  <c r="K868" i="12" s="1"/>
  <c r="J868" i="12"/>
  <c r="I869" i="12"/>
  <c r="K869" i="12" s="1"/>
  <c r="J869" i="12"/>
  <c r="I870" i="12"/>
  <c r="K870" i="12" s="1"/>
  <c r="J870" i="12"/>
  <c r="I871" i="12"/>
  <c r="K871" i="12" s="1"/>
  <c r="J871" i="12"/>
  <c r="I872" i="12"/>
  <c r="K872" i="12" s="1"/>
  <c r="J872" i="12"/>
  <c r="I873" i="12"/>
  <c r="K873" i="12" s="1"/>
  <c r="J873" i="12"/>
  <c r="I874" i="12"/>
  <c r="K874" i="12" s="1"/>
  <c r="J874" i="12"/>
  <c r="I875" i="12"/>
  <c r="K875" i="12" s="1"/>
  <c r="J875" i="12"/>
  <c r="I876" i="12"/>
  <c r="K876" i="12" s="1"/>
  <c r="J876" i="12"/>
  <c r="I877" i="12"/>
  <c r="K877" i="12" s="1"/>
  <c r="J877" i="12"/>
  <c r="I878" i="12"/>
  <c r="K878" i="12" s="1"/>
  <c r="J878" i="12"/>
  <c r="I879" i="12"/>
  <c r="K879" i="12" s="1"/>
  <c r="J879" i="12"/>
  <c r="I880" i="12"/>
  <c r="K880" i="12" s="1"/>
  <c r="J880" i="12"/>
  <c r="I881" i="12"/>
  <c r="K881" i="12" s="1"/>
  <c r="J881" i="12"/>
  <c r="I882" i="12"/>
  <c r="K882" i="12" s="1"/>
  <c r="J882" i="12"/>
  <c r="I883" i="12"/>
  <c r="K883" i="12" s="1"/>
  <c r="J883" i="12"/>
  <c r="I884" i="12"/>
  <c r="K884" i="12" s="1"/>
  <c r="J884" i="12"/>
  <c r="I885" i="12"/>
  <c r="K885" i="12" s="1"/>
  <c r="J885" i="12"/>
  <c r="I886" i="12"/>
  <c r="K886" i="12" s="1"/>
  <c r="J886" i="12"/>
  <c r="I887" i="12"/>
  <c r="K887" i="12" s="1"/>
  <c r="J887" i="12"/>
  <c r="I888" i="12"/>
  <c r="K888" i="12" s="1"/>
  <c r="J888" i="12"/>
  <c r="I889" i="12"/>
  <c r="K889" i="12" s="1"/>
  <c r="J889" i="12"/>
  <c r="I890" i="12"/>
  <c r="K890" i="12" s="1"/>
  <c r="J890" i="12"/>
  <c r="I891" i="12"/>
  <c r="K891" i="12" s="1"/>
  <c r="J891" i="12"/>
  <c r="I892" i="12"/>
  <c r="K892" i="12" s="1"/>
  <c r="J892" i="12"/>
  <c r="I893" i="12"/>
  <c r="K893" i="12" s="1"/>
  <c r="J893" i="12"/>
  <c r="I894" i="12"/>
  <c r="K894" i="12" s="1"/>
  <c r="J894" i="12"/>
  <c r="I895" i="12"/>
  <c r="K895" i="12" s="1"/>
  <c r="J895" i="12"/>
  <c r="I896" i="12"/>
  <c r="K896" i="12" s="1"/>
  <c r="J896" i="12"/>
  <c r="I897" i="12"/>
  <c r="K897" i="12" s="1"/>
  <c r="J897" i="12"/>
  <c r="I898" i="12"/>
  <c r="K898" i="12" s="1"/>
  <c r="J898" i="12"/>
  <c r="I899" i="12"/>
  <c r="K899" i="12" s="1"/>
  <c r="J899" i="12"/>
  <c r="I900" i="12"/>
  <c r="K900" i="12" s="1"/>
  <c r="J900" i="12"/>
  <c r="I901" i="12"/>
  <c r="K901" i="12" s="1"/>
  <c r="J901" i="12"/>
  <c r="I902" i="12"/>
  <c r="K902" i="12" s="1"/>
  <c r="J902" i="12"/>
  <c r="I903" i="12"/>
  <c r="K903" i="12" s="1"/>
  <c r="J903" i="12"/>
  <c r="I904" i="12"/>
  <c r="K904" i="12" s="1"/>
  <c r="J904" i="12"/>
  <c r="I905" i="12"/>
  <c r="K905" i="12" s="1"/>
  <c r="J905" i="12"/>
  <c r="I906" i="12"/>
  <c r="K906" i="12" s="1"/>
  <c r="J906" i="12"/>
  <c r="I907" i="12"/>
  <c r="K907" i="12" s="1"/>
  <c r="J907" i="12"/>
  <c r="I908" i="12"/>
  <c r="K908" i="12" s="1"/>
  <c r="J908" i="12"/>
  <c r="I909" i="12"/>
  <c r="K909" i="12" s="1"/>
  <c r="J909" i="12"/>
  <c r="I910" i="12"/>
  <c r="K910" i="12" s="1"/>
  <c r="J910" i="12"/>
  <c r="I911" i="12"/>
  <c r="K911" i="12" s="1"/>
  <c r="J911" i="12"/>
  <c r="I912" i="12"/>
  <c r="K912" i="12" s="1"/>
  <c r="J912" i="12"/>
  <c r="I913" i="12"/>
  <c r="K913" i="12" s="1"/>
  <c r="J913" i="12"/>
  <c r="I914" i="12"/>
  <c r="K914" i="12" s="1"/>
  <c r="J914" i="12"/>
  <c r="I915" i="12"/>
  <c r="K915" i="12" s="1"/>
  <c r="J915" i="12"/>
  <c r="I916" i="12"/>
  <c r="K916" i="12" s="1"/>
  <c r="J916" i="12"/>
  <c r="I917" i="12"/>
  <c r="K917" i="12" s="1"/>
  <c r="J917" i="12"/>
  <c r="I918" i="12"/>
  <c r="K918" i="12" s="1"/>
  <c r="J918" i="12"/>
  <c r="I919" i="12"/>
  <c r="K919" i="12" s="1"/>
  <c r="J919" i="12"/>
  <c r="I920" i="12"/>
  <c r="K920" i="12" s="1"/>
  <c r="J920" i="12"/>
  <c r="I921" i="12"/>
  <c r="K921" i="12" s="1"/>
  <c r="J921" i="12"/>
  <c r="I922" i="12"/>
  <c r="K922" i="12" s="1"/>
  <c r="J922" i="12"/>
  <c r="I923" i="12"/>
  <c r="K923" i="12" s="1"/>
  <c r="J923" i="12"/>
  <c r="I924" i="12"/>
  <c r="K924" i="12" s="1"/>
  <c r="J924" i="12"/>
  <c r="I925" i="12"/>
  <c r="K925" i="12" s="1"/>
  <c r="J925" i="12"/>
  <c r="I926" i="12"/>
  <c r="K926" i="12" s="1"/>
  <c r="J926" i="12"/>
  <c r="I927" i="12"/>
  <c r="K927" i="12" s="1"/>
  <c r="J927" i="12"/>
  <c r="I928" i="12"/>
  <c r="K928" i="12" s="1"/>
  <c r="J928" i="12"/>
  <c r="I929" i="12"/>
  <c r="K929" i="12" s="1"/>
  <c r="J929" i="12"/>
  <c r="I930" i="12"/>
  <c r="K930" i="12" s="1"/>
  <c r="J930" i="12"/>
  <c r="I931" i="12"/>
  <c r="K931" i="12" s="1"/>
  <c r="J931" i="12"/>
  <c r="I932" i="12"/>
  <c r="K932" i="12" s="1"/>
  <c r="J932" i="12"/>
  <c r="I933" i="12"/>
  <c r="K933" i="12" s="1"/>
  <c r="J933" i="12"/>
  <c r="I934" i="12"/>
  <c r="K934" i="12" s="1"/>
  <c r="J934" i="12"/>
  <c r="I935" i="12"/>
  <c r="K935" i="12" s="1"/>
  <c r="J935" i="12"/>
  <c r="I936" i="12"/>
  <c r="K936" i="12" s="1"/>
  <c r="J936" i="12"/>
  <c r="I937" i="12"/>
  <c r="K937" i="12" s="1"/>
  <c r="J937" i="12"/>
  <c r="I938" i="12"/>
  <c r="K938" i="12" s="1"/>
  <c r="J938" i="12"/>
  <c r="I939" i="12"/>
  <c r="K939" i="12" s="1"/>
  <c r="J939" i="12"/>
  <c r="I940" i="12"/>
  <c r="K940" i="12" s="1"/>
  <c r="J940" i="12"/>
  <c r="I941" i="12"/>
  <c r="K941" i="12" s="1"/>
  <c r="J941" i="12"/>
  <c r="I942" i="12"/>
  <c r="K942" i="12" s="1"/>
  <c r="J942" i="12"/>
  <c r="I943" i="12"/>
  <c r="K943" i="12" s="1"/>
  <c r="J943" i="12"/>
  <c r="I944" i="12"/>
  <c r="K944" i="12" s="1"/>
  <c r="J944" i="12"/>
  <c r="I945" i="12"/>
  <c r="K945" i="12" s="1"/>
  <c r="J945" i="12"/>
  <c r="I946" i="12"/>
  <c r="K946" i="12" s="1"/>
  <c r="J946" i="12"/>
  <c r="I947" i="12"/>
  <c r="K947" i="12" s="1"/>
  <c r="J947" i="12"/>
  <c r="I948" i="12"/>
  <c r="K948" i="12" s="1"/>
  <c r="J948" i="12"/>
  <c r="I949" i="12"/>
  <c r="K949" i="12" s="1"/>
  <c r="J949" i="12"/>
  <c r="I950" i="12"/>
  <c r="K950" i="12" s="1"/>
  <c r="J950" i="12"/>
  <c r="I951" i="12"/>
  <c r="K951" i="12" s="1"/>
  <c r="J951" i="12"/>
  <c r="I952" i="12"/>
  <c r="K952" i="12" s="1"/>
  <c r="J952" i="12"/>
  <c r="I953" i="12"/>
  <c r="K953" i="12" s="1"/>
  <c r="J953" i="12"/>
  <c r="I954" i="12"/>
  <c r="K954" i="12" s="1"/>
  <c r="J954" i="12"/>
  <c r="I955" i="12"/>
  <c r="K955" i="12" s="1"/>
  <c r="J955" i="12"/>
  <c r="I956" i="12"/>
  <c r="K956" i="12" s="1"/>
  <c r="J956" i="12"/>
  <c r="I957" i="12"/>
  <c r="K957" i="12" s="1"/>
  <c r="J957" i="12"/>
  <c r="I958" i="12"/>
  <c r="K958" i="12" s="1"/>
  <c r="J958" i="12"/>
  <c r="I959" i="12"/>
  <c r="K959" i="12" s="1"/>
  <c r="J959" i="12"/>
  <c r="I960" i="12"/>
  <c r="K960" i="12" s="1"/>
  <c r="J960" i="12"/>
  <c r="I961" i="12"/>
  <c r="K961" i="12" s="1"/>
  <c r="J961" i="12"/>
  <c r="I962" i="12"/>
  <c r="K962" i="12" s="1"/>
  <c r="J962" i="12"/>
  <c r="I963" i="12"/>
  <c r="K963" i="12" s="1"/>
  <c r="J963" i="12"/>
  <c r="I964" i="12"/>
  <c r="K964" i="12" s="1"/>
  <c r="J964" i="12"/>
  <c r="I965" i="12"/>
  <c r="K965" i="12" s="1"/>
  <c r="J965" i="12"/>
  <c r="I966" i="12"/>
  <c r="K966" i="12" s="1"/>
  <c r="J966" i="12"/>
  <c r="I967" i="12"/>
  <c r="K967" i="12" s="1"/>
  <c r="J967" i="12"/>
  <c r="I968" i="12"/>
  <c r="K968" i="12" s="1"/>
  <c r="J968" i="12"/>
  <c r="I969" i="12"/>
  <c r="K969" i="12" s="1"/>
  <c r="J969" i="12"/>
  <c r="I970" i="12"/>
  <c r="K970" i="12" s="1"/>
  <c r="J970" i="12"/>
  <c r="I971" i="12"/>
  <c r="K971" i="12" s="1"/>
  <c r="J971" i="12"/>
  <c r="I972" i="12"/>
  <c r="K972" i="12" s="1"/>
  <c r="J972" i="12"/>
  <c r="I973" i="12"/>
  <c r="K973" i="12" s="1"/>
  <c r="J973" i="12"/>
  <c r="I974" i="12"/>
  <c r="K974" i="12" s="1"/>
  <c r="J974" i="12"/>
  <c r="I975" i="12"/>
  <c r="K975" i="12" s="1"/>
  <c r="J975" i="12"/>
  <c r="I976" i="12"/>
  <c r="K976" i="12" s="1"/>
  <c r="J976" i="12"/>
  <c r="I977" i="12"/>
  <c r="K977" i="12" s="1"/>
  <c r="J977" i="12"/>
  <c r="I978" i="12"/>
  <c r="K978" i="12" s="1"/>
  <c r="J978" i="12"/>
  <c r="I979" i="12"/>
  <c r="K979" i="12" s="1"/>
  <c r="J979" i="12"/>
  <c r="I980" i="12"/>
  <c r="K980" i="12" s="1"/>
  <c r="J980" i="12"/>
  <c r="I981" i="12"/>
  <c r="K981" i="12" s="1"/>
  <c r="J981" i="12"/>
  <c r="I982" i="12"/>
  <c r="K982" i="12" s="1"/>
  <c r="J982" i="12"/>
  <c r="I983" i="12"/>
  <c r="K983" i="12" s="1"/>
  <c r="J983" i="12"/>
  <c r="I984" i="12"/>
  <c r="K984" i="12" s="1"/>
  <c r="J984" i="12"/>
  <c r="I985" i="12"/>
  <c r="K985" i="12" s="1"/>
  <c r="J985" i="12"/>
  <c r="I986" i="12"/>
  <c r="K986" i="12" s="1"/>
  <c r="J986" i="12"/>
  <c r="I987" i="12"/>
  <c r="K987" i="12" s="1"/>
  <c r="J987" i="12"/>
  <c r="I988" i="12"/>
  <c r="K988" i="12" s="1"/>
  <c r="J988" i="12"/>
  <c r="I989" i="12"/>
  <c r="K989" i="12" s="1"/>
  <c r="J989" i="12"/>
  <c r="I990" i="12"/>
  <c r="K990" i="12" s="1"/>
  <c r="J990" i="12"/>
  <c r="I991" i="12"/>
  <c r="K991" i="12" s="1"/>
  <c r="J991" i="12"/>
  <c r="I992" i="12"/>
  <c r="K992" i="12" s="1"/>
  <c r="J992" i="12"/>
  <c r="I993" i="12"/>
  <c r="K993" i="12" s="1"/>
  <c r="J993" i="12"/>
  <c r="I994" i="12"/>
  <c r="K994" i="12" s="1"/>
  <c r="J994" i="12"/>
  <c r="I995" i="12"/>
  <c r="K995" i="12" s="1"/>
  <c r="J995" i="12"/>
  <c r="I996" i="12"/>
  <c r="K996" i="12" s="1"/>
  <c r="J996" i="12"/>
  <c r="I997" i="12"/>
  <c r="K997" i="12" s="1"/>
  <c r="J997" i="12"/>
  <c r="I998" i="12"/>
  <c r="K998" i="12" s="1"/>
  <c r="J998" i="12"/>
  <c r="I999" i="12"/>
  <c r="K999" i="12" s="1"/>
  <c r="J999" i="12"/>
  <c r="I1000" i="12"/>
  <c r="K1000" i="12" s="1"/>
  <c r="J1000" i="12"/>
  <c r="J4" i="12"/>
  <c r="I4" i="12"/>
  <c r="L5" i="10"/>
  <c r="L6" i="10"/>
  <c r="L7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K289" i="10"/>
  <c r="L289" i="10"/>
  <c r="K290" i="10"/>
  <c r="L290" i="10"/>
  <c r="K291" i="10"/>
  <c r="L291" i="10"/>
  <c r="K292" i="10"/>
  <c r="L292" i="10"/>
  <c r="K293" i="10"/>
  <c r="L293" i="10"/>
  <c r="K294" i="10"/>
  <c r="L294" i="10"/>
  <c r="K295" i="10"/>
  <c r="L295" i="10"/>
  <c r="K296" i="10"/>
  <c r="L296" i="10"/>
  <c r="K297" i="10"/>
  <c r="L297" i="10"/>
  <c r="K298" i="10"/>
  <c r="L298" i="10"/>
  <c r="K299" i="10"/>
  <c r="L299" i="10"/>
  <c r="K300" i="10"/>
  <c r="L300" i="10"/>
  <c r="K301" i="10"/>
  <c r="L301" i="10"/>
  <c r="K302" i="10"/>
  <c r="L302" i="10"/>
  <c r="K303" i="10"/>
  <c r="L303" i="10"/>
  <c r="K304" i="10"/>
  <c r="L304" i="10"/>
  <c r="K305" i="10"/>
  <c r="L305" i="10"/>
  <c r="K306" i="10"/>
  <c r="L306" i="10"/>
  <c r="K307" i="10"/>
  <c r="L307" i="10"/>
  <c r="K308" i="10"/>
  <c r="L308" i="10"/>
  <c r="K309" i="10"/>
  <c r="L309" i="10"/>
  <c r="K310" i="10"/>
  <c r="L310" i="10"/>
  <c r="K311" i="10"/>
  <c r="L311" i="10"/>
  <c r="K312" i="10"/>
  <c r="L312" i="10"/>
  <c r="K313" i="10"/>
  <c r="L313" i="10"/>
  <c r="K314" i="10"/>
  <c r="L314" i="10"/>
  <c r="K315" i="10"/>
  <c r="L315" i="10"/>
  <c r="K316" i="10"/>
  <c r="L316" i="10"/>
  <c r="K317" i="10"/>
  <c r="L317" i="10"/>
  <c r="K318" i="10"/>
  <c r="L318" i="10"/>
  <c r="K319" i="10"/>
  <c r="L319" i="10"/>
  <c r="K320" i="10"/>
  <c r="L320" i="10"/>
  <c r="K321" i="10"/>
  <c r="L321" i="10"/>
  <c r="K322" i="10"/>
  <c r="L322" i="10"/>
  <c r="K323" i="10"/>
  <c r="L323" i="10"/>
  <c r="K324" i="10"/>
  <c r="L324" i="10"/>
  <c r="K325" i="10"/>
  <c r="L325" i="10"/>
  <c r="K326" i="10"/>
  <c r="L326" i="10"/>
  <c r="K327" i="10"/>
  <c r="L327" i="10"/>
  <c r="K328" i="10"/>
  <c r="L328" i="10"/>
  <c r="K329" i="10"/>
  <c r="L329" i="10"/>
  <c r="K330" i="10"/>
  <c r="L330" i="10"/>
  <c r="K331" i="10"/>
  <c r="L331" i="10"/>
  <c r="K332" i="10"/>
  <c r="L332" i="10"/>
  <c r="K333" i="10"/>
  <c r="L333" i="10"/>
  <c r="K334" i="10"/>
  <c r="L334" i="10"/>
  <c r="K335" i="10"/>
  <c r="L335" i="10"/>
  <c r="K336" i="10"/>
  <c r="L336" i="10"/>
  <c r="K337" i="10"/>
  <c r="L337" i="10"/>
  <c r="K338" i="10"/>
  <c r="L338" i="10"/>
  <c r="K339" i="10"/>
  <c r="L339" i="10"/>
  <c r="K340" i="10"/>
  <c r="L340" i="10"/>
  <c r="K341" i="10"/>
  <c r="L341" i="10"/>
  <c r="K342" i="10"/>
  <c r="L342" i="10"/>
  <c r="K343" i="10"/>
  <c r="L343" i="10"/>
  <c r="K344" i="10"/>
  <c r="L344" i="10"/>
  <c r="K345" i="10"/>
  <c r="L345" i="10"/>
  <c r="K346" i="10"/>
  <c r="L346" i="10"/>
  <c r="K347" i="10"/>
  <c r="L347" i="10"/>
  <c r="K348" i="10"/>
  <c r="L348" i="10"/>
  <c r="K349" i="10"/>
  <c r="L349" i="10"/>
  <c r="K350" i="10"/>
  <c r="L350" i="10"/>
  <c r="K351" i="10"/>
  <c r="L351" i="10"/>
  <c r="K352" i="10"/>
  <c r="L352" i="10"/>
  <c r="K353" i="10"/>
  <c r="L353" i="10"/>
  <c r="K354" i="10"/>
  <c r="L354" i="10"/>
  <c r="K355" i="10"/>
  <c r="L355" i="10"/>
  <c r="K356" i="10"/>
  <c r="L356" i="10"/>
  <c r="K357" i="10"/>
  <c r="L357" i="10"/>
  <c r="K358" i="10"/>
  <c r="L358" i="10"/>
  <c r="K359" i="10"/>
  <c r="L359" i="10"/>
  <c r="K360" i="10"/>
  <c r="L360" i="10"/>
  <c r="K361" i="10"/>
  <c r="L361" i="10"/>
  <c r="K362" i="10"/>
  <c r="L362" i="10"/>
  <c r="K363" i="10"/>
  <c r="L363" i="10"/>
  <c r="K364" i="10"/>
  <c r="L364" i="10"/>
  <c r="K365" i="10"/>
  <c r="L365" i="10"/>
  <c r="K366" i="10"/>
  <c r="L366" i="10"/>
  <c r="K367" i="10"/>
  <c r="L367" i="10"/>
  <c r="K368" i="10"/>
  <c r="L368" i="10"/>
  <c r="K369" i="10"/>
  <c r="L369" i="10"/>
  <c r="K370" i="10"/>
  <c r="L370" i="10"/>
  <c r="K371" i="10"/>
  <c r="L371" i="10"/>
  <c r="K372" i="10"/>
  <c r="L372" i="10"/>
  <c r="K373" i="10"/>
  <c r="L373" i="10"/>
  <c r="K374" i="10"/>
  <c r="L374" i="10"/>
  <c r="K375" i="10"/>
  <c r="L375" i="10"/>
  <c r="K376" i="10"/>
  <c r="L376" i="10"/>
  <c r="K377" i="10"/>
  <c r="L377" i="10"/>
  <c r="K378" i="10"/>
  <c r="L378" i="10"/>
  <c r="K379" i="10"/>
  <c r="L379" i="10"/>
  <c r="K380" i="10"/>
  <c r="L380" i="10"/>
  <c r="K381" i="10"/>
  <c r="L381" i="10"/>
  <c r="K382" i="10"/>
  <c r="L382" i="10"/>
  <c r="K383" i="10"/>
  <c r="L383" i="10"/>
  <c r="K384" i="10"/>
  <c r="L384" i="10"/>
  <c r="K385" i="10"/>
  <c r="L385" i="10"/>
  <c r="K386" i="10"/>
  <c r="L386" i="10"/>
  <c r="K387" i="10"/>
  <c r="L387" i="10"/>
  <c r="K388" i="10"/>
  <c r="L388" i="10"/>
  <c r="K389" i="10"/>
  <c r="L389" i="10"/>
  <c r="K390" i="10"/>
  <c r="L390" i="10"/>
  <c r="K391" i="10"/>
  <c r="L391" i="10"/>
  <c r="K392" i="10"/>
  <c r="L392" i="10"/>
  <c r="K393" i="10"/>
  <c r="L393" i="10"/>
  <c r="K394" i="10"/>
  <c r="L394" i="10"/>
  <c r="K395" i="10"/>
  <c r="L395" i="10"/>
  <c r="K396" i="10"/>
  <c r="L396" i="10"/>
  <c r="K397" i="10"/>
  <c r="L397" i="10"/>
  <c r="K398" i="10"/>
  <c r="L398" i="10"/>
  <c r="K399" i="10"/>
  <c r="L399" i="10"/>
  <c r="K400" i="10"/>
  <c r="L400" i="10"/>
  <c r="K401" i="10"/>
  <c r="L401" i="10"/>
  <c r="K402" i="10"/>
  <c r="L402" i="10"/>
  <c r="K403" i="10"/>
  <c r="L403" i="10"/>
  <c r="K404" i="10"/>
  <c r="L404" i="10"/>
  <c r="K405" i="10"/>
  <c r="L405" i="10"/>
  <c r="K406" i="10"/>
  <c r="L406" i="10"/>
  <c r="K407" i="10"/>
  <c r="L407" i="10"/>
  <c r="K408" i="10"/>
  <c r="L408" i="10"/>
  <c r="K409" i="10"/>
  <c r="L409" i="10"/>
  <c r="K410" i="10"/>
  <c r="L410" i="10"/>
  <c r="K411" i="10"/>
  <c r="L411" i="10"/>
  <c r="K412" i="10"/>
  <c r="L412" i="10"/>
  <c r="K413" i="10"/>
  <c r="L413" i="10"/>
  <c r="K414" i="10"/>
  <c r="L414" i="10"/>
  <c r="K415" i="10"/>
  <c r="L415" i="10"/>
  <c r="K416" i="10"/>
  <c r="L416" i="10"/>
  <c r="K417" i="10"/>
  <c r="L417" i="10"/>
  <c r="K418" i="10"/>
  <c r="L418" i="10"/>
  <c r="K419" i="10"/>
  <c r="L419" i="10"/>
  <c r="K420" i="10"/>
  <c r="L420" i="10"/>
  <c r="K421" i="10"/>
  <c r="L421" i="10"/>
  <c r="K422" i="10"/>
  <c r="L422" i="10"/>
  <c r="K423" i="10"/>
  <c r="L423" i="10"/>
  <c r="K424" i="10"/>
  <c r="L424" i="10"/>
  <c r="K425" i="10"/>
  <c r="L425" i="10"/>
  <c r="K426" i="10"/>
  <c r="L426" i="10"/>
  <c r="K427" i="10"/>
  <c r="L427" i="10"/>
  <c r="K428" i="10"/>
  <c r="L428" i="10"/>
  <c r="K429" i="10"/>
  <c r="L429" i="10"/>
  <c r="K430" i="10"/>
  <c r="L430" i="10"/>
  <c r="K431" i="10"/>
  <c r="L431" i="10"/>
  <c r="K432" i="10"/>
  <c r="L432" i="10"/>
  <c r="K433" i="10"/>
  <c r="L433" i="10"/>
  <c r="K434" i="10"/>
  <c r="L434" i="10"/>
  <c r="K435" i="10"/>
  <c r="L435" i="10"/>
  <c r="K436" i="10"/>
  <c r="L436" i="10"/>
  <c r="K437" i="10"/>
  <c r="L437" i="10"/>
  <c r="K438" i="10"/>
  <c r="L438" i="10"/>
  <c r="K439" i="10"/>
  <c r="L439" i="10"/>
  <c r="K440" i="10"/>
  <c r="L440" i="10"/>
  <c r="K441" i="10"/>
  <c r="L441" i="10"/>
  <c r="K442" i="10"/>
  <c r="L442" i="10"/>
  <c r="K443" i="10"/>
  <c r="L443" i="10"/>
  <c r="K444" i="10"/>
  <c r="L444" i="10"/>
  <c r="K445" i="10"/>
  <c r="L445" i="10"/>
  <c r="K446" i="10"/>
  <c r="L446" i="10"/>
  <c r="K447" i="10"/>
  <c r="L447" i="10"/>
  <c r="K448" i="10"/>
  <c r="L448" i="10"/>
  <c r="K449" i="10"/>
  <c r="L449" i="10"/>
  <c r="K450" i="10"/>
  <c r="L450" i="10"/>
  <c r="K451" i="10"/>
  <c r="L451" i="10"/>
  <c r="K452" i="10"/>
  <c r="L452" i="10"/>
  <c r="K453" i="10"/>
  <c r="L453" i="10"/>
  <c r="K454" i="10"/>
  <c r="L454" i="10"/>
  <c r="K455" i="10"/>
  <c r="L455" i="10"/>
  <c r="K456" i="10"/>
  <c r="L456" i="10"/>
  <c r="K457" i="10"/>
  <c r="L457" i="10"/>
  <c r="K458" i="10"/>
  <c r="L458" i="10"/>
  <c r="K459" i="10"/>
  <c r="L459" i="10"/>
  <c r="K460" i="10"/>
  <c r="L460" i="10"/>
  <c r="K461" i="10"/>
  <c r="L461" i="10"/>
  <c r="K462" i="10"/>
  <c r="L462" i="10"/>
  <c r="K463" i="10"/>
  <c r="L463" i="10"/>
  <c r="K464" i="10"/>
  <c r="L464" i="10"/>
  <c r="K465" i="10"/>
  <c r="L465" i="10"/>
  <c r="K466" i="10"/>
  <c r="L466" i="10"/>
  <c r="K467" i="10"/>
  <c r="L467" i="10"/>
  <c r="K468" i="10"/>
  <c r="L468" i="10"/>
  <c r="K469" i="10"/>
  <c r="L469" i="10"/>
  <c r="K470" i="10"/>
  <c r="L470" i="10"/>
  <c r="K471" i="10"/>
  <c r="L471" i="10"/>
  <c r="K472" i="10"/>
  <c r="L472" i="10"/>
  <c r="K473" i="10"/>
  <c r="L473" i="10"/>
  <c r="K474" i="10"/>
  <c r="L474" i="10"/>
  <c r="K475" i="10"/>
  <c r="L475" i="10"/>
  <c r="K476" i="10"/>
  <c r="L476" i="10"/>
  <c r="K477" i="10"/>
  <c r="L477" i="10"/>
  <c r="K478" i="10"/>
  <c r="L478" i="10"/>
  <c r="K479" i="10"/>
  <c r="L479" i="10"/>
  <c r="K480" i="10"/>
  <c r="L480" i="10"/>
  <c r="K481" i="10"/>
  <c r="L481" i="10"/>
  <c r="K482" i="10"/>
  <c r="L482" i="10"/>
  <c r="K483" i="10"/>
  <c r="L483" i="10"/>
  <c r="K484" i="10"/>
  <c r="L484" i="10"/>
  <c r="K485" i="10"/>
  <c r="L485" i="10"/>
  <c r="K486" i="10"/>
  <c r="L486" i="10"/>
  <c r="K487" i="10"/>
  <c r="L487" i="10"/>
  <c r="K488" i="10"/>
  <c r="L488" i="10"/>
  <c r="K489" i="10"/>
  <c r="L489" i="10"/>
  <c r="K490" i="10"/>
  <c r="L490" i="10"/>
  <c r="K491" i="10"/>
  <c r="L491" i="10"/>
  <c r="K492" i="10"/>
  <c r="L492" i="10"/>
  <c r="K493" i="10"/>
  <c r="L493" i="10"/>
  <c r="K494" i="10"/>
  <c r="L494" i="10"/>
  <c r="K495" i="10"/>
  <c r="L495" i="10"/>
  <c r="K496" i="10"/>
  <c r="L496" i="10"/>
  <c r="K497" i="10"/>
  <c r="L497" i="10"/>
  <c r="K498" i="10"/>
  <c r="L498" i="10"/>
  <c r="K499" i="10"/>
  <c r="L499" i="10"/>
  <c r="K500" i="10"/>
  <c r="L500" i="10"/>
  <c r="K501" i="10"/>
  <c r="L501" i="10"/>
  <c r="K502" i="10"/>
  <c r="L502" i="10"/>
  <c r="K503" i="10"/>
  <c r="L503" i="10"/>
  <c r="K504" i="10"/>
  <c r="L504" i="10"/>
  <c r="K505" i="10"/>
  <c r="L505" i="10"/>
  <c r="K506" i="10"/>
  <c r="L506" i="10"/>
  <c r="K507" i="10"/>
  <c r="L507" i="10"/>
  <c r="K508" i="10"/>
  <c r="L508" i="10"/>
  <c r="K509" i="10"/>
  <c r="L509" i="10"/>
  <c r="K510" i="10"/>
  <c r="L510" i="10"/>
  <c r="K511" i="10"/>
  <c r="L511" i="10"/>
  <c r="K512" i="10"/>
  <c r="L512" i="10"/>
  <c r="K513" i="10"/>
  <c r="L513" i="10"/>
  <c r="K514" i="10"/>
  <c r="L514" i="10"/>
  <c r="K515" i="10"/>
  <c r="L515" i="10"/>
  <c r="K516" i="10"/>
  <c r="L516" i="10"/>
  <c r="K517" i="10"/>
  <c r="L517" i="10"/>
  <c r="K518" i="10"/>
  <c r="L518" i="10"/>
  <c r="K519" i="10"/>
  <c r="L519" i="10"/>
  <c r="K520" i="10"/>
  <c r="L520" i="10"/>
  <c r="K521" i="10"/>
  <c r="L521" i="10"/>
  <c r="K522" i="10"/>
  <c r="L522" i="10"/>
  <c r="K523" i="10"/>
  <c r="L523" i="10"/>
  <c r="K524" i="10"/>
  <c r="L524" i="10"/>
  <c r="K525" i="10"/>
  <c r="L525" i="10"/>
  <c r="K526" i="10"/>
  <c r="L526" i="10"/>
  <c r="K527" i="10"/>
  <c r="L527" i="10"/>
  <c r="K528" i="10"/>
  <c r="L528" i="10"/>
  <c r="K529" i="10"/>
  <c r="L529" i="10"/>
  <c r="K530" i="10"/>
  <c r="L530" i="10"/>
  <c r="K531" i="10"/>
  <c r="L531" i="10"/>
  <c r="K532" i="10"/>
  <c r="L532" i="10"/>
  <c r="K533" i="10"/>
  <c r="L533" i="10"/>
  <c r="K534" i="10"/>
  <c r="L534" i="10"/>
  <c r="K535" i="10"/>
  <c r="L535" i="10"/>
  <c r="K536" i="10"/>
  <c r="L536" i="10"/>
  <c r="K537" i="10"/>
  <c r="L537" i="10"/>
  <c r="K538" i="10"/>
  <c r="L538" i="10"/>
  <c r="K539" i="10"/>
  <c r="L539" i="10"/>
  <c r="K540" i="10"/>
  <c r="L540" i="10"/>
  <c r="K541" i="10"/>
  <c r="L541" i="10"/>
  <c r="K542" i="10"/>
  <c r="L542" i="10"/>
  <c r="K543" i="10"/>
  <c r="L543" i="10"/>
  <c r="K544" i="10"/>
  <c r="L544" i="10"/>
  <c r="K545" i="10"/>
  <c r="L545" i="10"/>
  <c r="K546" i="10"/>
  <c r="L546" i="10"/>
  <c r="K547" i="10"/>
  <c r="L547" i="10"/>
  <c r="K548" i="10"/>
  <c r="L548" i="10"/>
  <c r="K549" i="10"/>
  <c r="L549" i="10"/>
  <c r="K550" i="10"/>
  <c r="L550" i="10"/>
  <c r="K551" i="10"/>
  <c r="L551" i="10"/>
  <c r="K552" i="10"/>
  <c r="L552" i="10"/>
  <c r="K553" i="10"/>
  <c r="L553" i="10"/>
  <c r="K554" i="10"/>
  <c r="L554" i="10"/>
  <c r="K555" i="10"/>
  <c r="L555" i="10"/>
  <c r="K556" i="10"/>
  <c r="L556" i="10"/>
  <c r="K557" i="10"/>
  <c r="L557" i="10"/>
  <c r="K558" i="10"/>
  <c r="L558" i="10"/>
  <c r="K559" i="10"/>
  <c r="L559" i="10"/>
  <c r="K560" i="10"/>
  <c r="L560" i="10"/>
  <c r="K561" i="10"/>
  <c r="L561" i="10"/>
  <c r="K562" i="10"/>
  <c r="L562" i="10"/>
  <c r="K563" i="10"/>
  <c r="L563" i="10"/>
  <c r="K564" i="10"/>
  <c r="L564" i="10"/>
  <c r="K565" i="10"/>
  <c r="L565" i="10"/>
  <c r="K566" i="10"/>
  <c r="L566" i="10"/>
  <c r="K567" i="10"/>
  <c r="L567" i="10"/>
  <c r="K568" i="10"/>
  <c r="L568" i="10"/>
  <c r="K569" i="10"/>
  <c r="L569" i="10"/>
  <c r="K570" i="10"/>
  <c r="L570" i="10"/>
  <c r="K571" i="10"/>
  <c r="L571" i="10"/>
  <c r="K572" i="10"/>
  <c r="L572" i="10"/>
  <c r="K573" i="10"/>
  <c r="L573" i="10"/>
  <c r="K574" i="10"/>
  <c r="L574" i="10"/>
  <c r="K575" i="10"/>
  <c r="L575" i="10"/>
  <c r="K576" i="10"/>
  <c r="L576" i="10"/>
  <c r="K577" i="10"/>
  <c r="L577" i="10"/>
  <c r="K578" i="10"/>
  <c r="L578" i="10"/>
  <c r="K579" i="10"/>
  <c r="L579" i="10"/>
  <c r="K580" i="10"/>
  <c r="L580" i="10"/>
  <c r="K581" i="10"/>
  <c r="L581" i="10"/>
  <c r="K582" i="10"/>
  <c r="L582" i="10"/>
  <c r="K583" i="10"/>
  <c r="L583" i="10"/>
  <c r="K584" i="10"/>
  <c r="L584" i="10"/>
  <c r="K585" i="10"/>
  <c r="L585" i="10"/>
  <c r="K586" i="10"/>
  <c r="L586" i="10"/>
  <c r="K587" i="10"/>
  <c r="L587" i="10"/>
  <c r="K588" i="10"/>
  <c r="L588" i="10"/>
  <c r="K589" i="10"/>
  <c r="L589" i="10"/>
  <c r="K590" i="10"/>
  <c r="L590" i="10"/>
  <c r="K591" i="10"/>
  <c r="L591" i="10"/>
  <c r="K592" i="10"/>
  <c r="L592" i="10"/>
  <c r="K593" i="10"/>
  <c r="L593" i="10"/>
  <c r="K594" i="10"/>
  <c r="L594" i="10"/>
  <c r="K595" i="10"/>
  <c r="L595" i="10"/>
  <c r="K596" i="10"/>
  <c r="L596" i="10"/>
  <c r="K597" i="10"/>
  <c r="L597" i="10"/>
  <c r="K598" i="10"/>
  <c r="L598" i="10"/>
  <c r="K599" i="10"/>
  <c r="L599" i="10"/>
  <c r="K600" i="10"/>
  <c r="L600" i="10"/>
  <c r="K601" i="10"/>
  <c r="L601" i="10"/>
  <c r="K602" i="10"/>
  <c r="L602" i="10"/>
  <c r="K603" i="10"/>
  <c r="L603" i="10"/>
  <c r="K604" i="10"/>
  <c r="L604" i="10"/>
  <c r="K605" i="10"/>
  <c r="L605" i="10"/>
  <c r="K606" i="10"/>
  <c r="L606" i="10"/>
  <c r="K607" i="10"/>
  <c r="L607" i="10"/>
  <c r="K608" i="10"/>
  <c r="L608" i="10"/>
  <c r="K609" i="10"/>
  <c r="L609" i="10"/>
  <c r="K610" i="10"/>
  <c r="L610" i="10"/>
  <c r="K611" i="10"/>
  <c r="L611" i="10"/>
  <c r="K612" i="10"/>
  <c r="L612" i="10"/>
  <c r="K613" i="10"/>
  <c r="L613" i="10"/>
  <c r="K614" i="10"/>
  <c r="L614" i="10"/>
  <c r="K615" i="10"/>
  <c r="L615" i="10"/>
  <c r="K616" i="10"/>
  <c r="L616" i="10"/>
  <c r="K617" i="10"/>
  <c r="L617" i="10"/>
  <c r="K618" i="10"/>
  <c r="L618" i="10"/>
  <c r="K619" i="10"/>
  <c r="L619" i="10"/>
  <c r="K620" i="10"/>
  <c r="L620" i="10"/>
  <c r="K621" i="10"/>
  <c r="L621" i="10"/>
  <c r="K622" i="10"/>
  <c r="L622" i="10"/>
  <c r="K623" i="10"/>
  <c r="L623" i="10"/>
  <c r="K624" i="10"/>
  <c r="L624" i="10"/>
  <c r="K625" i="10"/>
  <c r="L625" i="10"/>
  <c r="K626" i="10"/>
  <c r="L626" i="10"/>
  <c r="K627" i="10"/>
  <c r="L627" i="10"/>
  <c r="K628" i="10"/>
  <c r="L628" i="10"/>
  <c r="K629" i="10"/>
  <c r="L629" i="10"/>
  <c r="K630" i="10"/>
  <c r="L630" i="10"/>
  <c r="K631" i="10"/>
  <c r="L631" i="10"/>
  <c r="K632" i="10"/>
  <c r="L632" i="10"/>
  <c r="K633" i="10"/>
  <c r="L633" i="10"/>
  <c r="K634" i="10"/>
  <c r="L634" i="10"/>
  <c r="K635" i="10"/>
  <c r="L635" i="10"/>
  <c r="K636" i="10"/>
  <c r="L636" i="10"/>
  <c r="K637" i="10"/>
  <c r="L637" i="10"/>
  <c r="K638" i="10"/>
  <c r="L638" i="10"/>
  <c r="K639" i="10"/>
  <c r="L639" i="10"/>
  <c r="K640" i="10"/>
  <c r="L640" i="10"/>
  <c r="K641" i="10"/>
  <c r="L641" i="10"/>
  <c r="K642" i="10"/>
  <c r="L642" i="10"/>
  <c r="K643" i="10"/>
  <c r="L643" i="10"/>
  <c r="K644" i="10"/>
  <c r="L644" i="10"/>
  <c r="K645" i="10"/>
  <c r="L645" i="10"/>
  <c r="K646" i="10"/>
  <c r="L646" i="10"/>
  <c r="K647" i="10"/>
  <c r="L647" i="10"/>
  <c r="K648" i="10"/>
  <c r="L648" i="10"/>
  <c r="K649" i="10"/>
  <c r="L649" i="10"/>
  <c r="K650" i="10"/>
  <c r="L650" i="10"/>
  <c r="K651" i="10"/>
  <c r="L651" i="10"/>
  <c r="K652" i="10"/>
  <c r="L652" i="10"/>
  <c r="K653" i="10"/>
  <c r="L653" i="10"/>
  <c r="K654" i="10"/>
  <c r="L654" i="10"/>
  <c r="K655" i="10"/>
  <c r="L655" i="10"/>
  <c r="K656" i="10"/>
  <c r="L656" i="10"/>
  <c r="K657" i="10"/>
  <c r="L657" i="10"/>
  <c r="K658" i="10"/>
  <c r="L658" i="10"/>
  <c r="K659" i="10"/>
  <c r="L659" i="10"/>
  <c r="K660" i="10"/>
  <c r="L660" i="10"/>
  <c r="K661" i="10"/>
  <c r="L661" i="10"/>
  <c r="K662" i="10"/>
  <c r="L662" i="10"/>
  <c r="K663" i="10"/>
  <c r="L663" i="10"/>
  <c r="K664" i="10"/>
  <c r="L664" i="10"/>
  <c r="K665" i="10"/>
  <c r="L665" i="10"/>
  <c r="K666" i="10"/>
  <c r="L666" i="10"/>
  <c r="K667" i="10"/>
  <c r="L667" i="10"/>
  <c r="K668" i="10"/>
  <c r="L668" i="10"/>
  <c r="K669" i="10"/>
  <c r="L669" i="10"/>
  <c r="K670" i="10"/>
  <c r="L670" i="10"/>
  <c r="K671" i="10"/>
  <c r="L671" i="10"/>
  <c r="K672" i="10"/>
  <c r="L672" i="10"/>
  <c r="K673" i="10"/>
  <c r="L673" i="10"/>
  <c r="K674" i="10"/>
  <c r="L674" i="10"/>
  <c r="K675" i="10"/>
  <c r="L675" i="10"/>
  <c r="K676" i="10"/>
  <c r="L676" i="10"/>
  <c r="K677" i="10"/>
  <c r="L677" i="10"/>
  <c r="K678" i="10"/>
  <c r="L678" i="10"/>
  <c r="K679" i="10"/>
  <c r="L679" i="10"/>
  <c r="K680" i="10"/>
  <c r="L680" i="10"/>
  <c r="K681" i="10"/>
  <c r="L681" i="10"/>
  <c r="K682" i="10"/>
  <c r="L682" i="10"/>
  <c r="K683" i="10"/>
  <c r="L683" i="10"/>
  <c r="K684" i="10"/>
  <c r="L684" i="10"/>
  <c r="K685" i="10"/>
  <c r="L685" i="10"/>
  <c r="K686" i="10"/>
  <c r="L686" i="10"/>
  <c r="K687" i="10"/>
  <c r="L687" i="10"/>
  <c r="K688" i="10"/>
  <c r="L688" i="10"/>
  <c r="K689" i="10"/>
  <c r="L689" i="10"/>
  <c r="K690" i="10"/>
  <c r="L690" i="10"/>
  <c r="K691" i="10"/>
  <c r="L691" i="10"/>
  <c r="K692" i="10"/>
  <c r="L692" i="10"/>
  <c r="K693" i="10"/>
  <c r="L693" i="10"/>
  <c r="K694" i="10"/>
  <c r="L694" i="10"/>
  <c r="K695" i="10"/>
  <c r="L695" i="10"/>
  <c r="K696" i="10"/>
  <c r="L696" i="10"/>
  <c r="K697" i="10"/>
  <c r="L697" i="10"/>
  <c r="K698" i="10"/>
  <c r="L698" i="10"/>
  <c r="K699" i="10"/>
  <c r="L699" i="10"/>
  <c r="K700" i="10"/>
  <c r="L700" i="10"/>
  <c r="K701" i="10"/>
  <c r="L701" i="10"/>
  <c r="K702" i="10"/>
  <c r="L702" i="10"/>
  <c r="K703" i="10"/>
  <c r="L703" i="10"/>
  <c r="K704" i="10"/>
  <c r="L704" i="10"/>
  <c r="K705" i="10"/>
  <c r="L705" i="10"/>
  <c r="K706" i="10"/>
  <c r="L706" i="10"/>
  <c r="K707" i="10"/>
  <c r="L707" i="10"/>
  <c r="K708" i="10"/>
  <c r="L708" i="10"/>
  <c r="K709" i="10"/>
  <c r="L709" i="10"/>
  <c r="K710" i="10"/>
  <c r="L710" i="10"/>
  <c r="K711" i="10"/>
  <c r="L711" i="10"/>
  <c r="K712" i="10"/>
  <c r="L712" i="10"/>
  <c r="K713" i="10"/>
  <c r="L713" i="10"/>
  <c r="K714" i="10"/>
  <c r="L714" i="10"/>
  <c r="K715" i="10"/>
  <c r="L715" i="10"/>
  <c r="K716" i="10"/>
  <c r="L716" i="10"/>
  <c r="K717" i="10"/>
  <c r="L717" i="10"/>
  <c r="K718" i="10"/>
  <c r="L718" i="10"/>
  <c r="K719" i="10"/>
  <c r="L719" i="10"/>
  <c r="K720" i="10"/>
  <c r="L720" i="10"/>
  <c r="K721" i="10"/>
  <c r="L721" i="10"/>
  <c r="K722" i="10"/>
  <c r="L722" i="10"/>
  <c r="K723" i="10"/>
  <c r="L723" i="10"/>
  <c r="K724" i="10"/>
  <c r="L724" i="10"/>
  <c r="K725" i="10"/>
  <c r="L725" i="10"/>
  <c r="K726" i="10"/>
  <c r="L726" i="10"/>
  <c r="K727" i="10"/>
  <c r="L727" i="10"/>
  <c r="K728" i="10"/>
  <c r="L728" i="10"/>
  <c r="K729" i="10"/>
  <c r="L729" i="10"/>
  <c r="K730" i="10"/>
  <c r="L730" i="10"/>
  <c r="K731" i="10"/>
  <c r="L731" i="10"/>
  <c r="K732" i="10"/>
  <c r="L732" i="10"/>
  <c r="K733" i="10"/>
  <c r="L733" i="10"/>
  <c r="K734" i="10"/>
  <c r="L734" i="10"/>
  <c r="K735" i="10"/>
  <c r="L735" i="10"/>
  <c r="K736" i="10"/>
  <c r="L736" i="10"/>
  <c r="K737" i="10"/>
  <c r="L737" i="10"/>
  <c r="K738" i="10"/>
  <c r="L738" i="10"/>
  <c r="K739" i="10"/>
  <c r="L739" i="10"/>
  <c r="K740" i="10"/>
  <c r="L740" i="10"/>
  <c r="K741" i="10"/>
  <c r="L741" i="10"/>
  <c r="K742" i="10"/>
  <c r="L742" i="10"/>
  <c r="K743" i="10"/>
  <c r="L743" i="10"/>
  <c r="K744" i="10"/>
  <c r="L744" i="10"/>
  <c r="K745" i="10"/>
  <c r="L745" i="10"/>
  <c r="K746" i="10"/>
  <c r="L746" i="10"/>
  <c r="K747" i="10"/>
  <c r="L747" i="10"/>
  <c r="K748" i="10"/>
  <c r="L748" i="10"/>
  <c r="K749" i="10"/>
  <c r="L749" i="10"/>
  <c r="K750" i="10"/>
  <c r="L750" i="10"/>
  <c r="K751" i="10"/>
  <c r="L751" i="10"/>
  <c r="K752" i="10"/>
  <c r="L752" i="10"/>
  <c r="K753" i="10"/>
  <c r="L753" i="10"/>
  <c r="K754" i="10"/>
  <c r="L754" i="10"/>
  <c r="K755" i="10"/>
  <c r="L755" i="10"/>
  <c r="K756" i="10"/>
  <c r="L756" i="10"/>
  <c r="K757" i="10"/>
  <c r="L757" i="10"/>
  <c r="K758" i="10"/>
  <c r="L758" i="10"/>
  <c r="K759" i="10"/>
  <c r="L759" i="10"/>
  <c r="K760" i="10"/>
  <c r="L760" i="10"/>
  <c r="K761" i="10"/>
  <c r="L761" i="10"/>
  <c r="K762" i="10"/>
  <c r="L762" i="10"/>
  <c r="K763" i="10"/>
  <c r="L763" i="10"/>
  <c r="K764" i="10"/>
  <c r="L764" i="10"/>
  <c r="K765" i="10"/>
  <c r="L765" i="10"/>
  <c r="K766" i="10"/>
  <c r="L766" i="10"/>
  <c r="K767" i="10"/>
  <c r="L767" i="10"/>
  <c r="K768" i="10"/>
  <c r="L768" i="10"/>
  <c r="K769" i="10"/>
  <c r="L769" i="10"/>
  <c r="K770" i="10"/>
  <c r="L770" i="10"/>
  <c r="K771" i="10"/>
  <c r="L771" i="10"/>
  <c r="K772" i="10"/>
  <c r="L772" i="10"/>
  <c r="K773" i="10"/>
  <c r="L773" i="10"/>
  <c r="K774" i="10"/>
  <c r="L774" i="10"/>
  <c r="K775" i="10"/>
  <c r="L775" i="10"/>
  <c r="K776" i="10"/>
  <c r="L776" i="10"/>
  <c r="K777" i="10"/>
  <c r="L777" i="10"/>
  <c r="K778" i="10"/>
  <c r="L778" i="10"/>
  <c r="K779" i="10"/>
  <c r="L779" i="10"/>
  <c r="K780" i="10"/>
  <c r="L780" i="10"/>
  <c r="K781" i="10"/>
  <c r="L781" i="10"/>
  <c r="K782" i="10"/>
  <c r="L782" i="10"/>
  <c r="K783" i="10"/>
  <c r="L783" i="10"/>
  <c r="K784" i="10"/>
  <c r="L784" i="10"/>
  <c r="K785" i="10"/>
  <c r="L785" i="10"/>
  <c r="K786" i="10"/>
  <c r="L786" i="10"/>
  <c r="K787" i="10"/>
  <c r="L787" i="10"/>
  <c r="K788" i="10"/>
  <c r="L788" i="10"/>
  <c r="K789" i="10"/>
  <c r="L789" i="10"/>
  <c r="K790" i="10"/>
  <c r="L790" i="10"/>
  <c r="K791" i="10"/>
  <c r="L791" i="10"/>
  <c r="K792" i="10"/>
  <c r="L792" i="10"/>
  <c r="K793" i="10"/>
  <c r="L793" i="10"/>
  <c r="K794" i="10"/>
  <c r="L794" i="10"/>
  <c r="K795" i="10"/>
  <c r="L795" i="10"/>
  <c r="K796" i="10"/>
  <c r="L796" i="10"/>
  <c r="K797" i="10"/>
  <c r="L797" i="10"/>
  <c r="K798" i="10"/>
  <c r="L798" i="10"/>
  <c r="K799" i="10"/>
  <c r="L799" i="10"/>
  <c r="K800" i="10"/>
  <c r="L800" i="10"/>
  <c r="K801" i="10"/>
  <c r="L801" i="10"/>
  <c r="K802" i="10"/>
  <c r="L802" i="10"/>
  <c r="K803" i="10"/>
  <c r="L803" i="10"/>
  <c r="K804" i="10"/>
  <c r="L804" i="10"/>
  <c r="K805" i="10"/>
  <c r="L805" i="10"/>
  <c r="K806" i="10"/>
  <c r="L806" i="10"/>
  <c r="K807" i="10"/>
  <c r="L807" i="10"/>
  <c r="K808" i="10"/>
  <c r="L808" i="10"/>
  <c r="K809" i="10"/>
  <c r="L809" i="10"/>
  <c r="K810" i="10"/>
  <c r="L810" i="10"/>
  <c r="K811" i="10"/>
  <c r="L811" i="10"/>
  <c r="K812" i="10"/>
  <c r="L812" i="10"/>
  <c r="K813" i="10"/>
  <c r="L813" i="10"/>
  <c r="K814" i="10"/>
  <c r="L814" i="10"/>
  <c r="K815" i="10"/>
  <c r="L815" i="10"/>
  <c r="K816" i="10"/>
  <c r="L816" i="10"/>
  <c r="K817" i="10"/>
  <c r="L817" i="10"/>
  <c r="K818" i="10"/>
  <c r="L818" i="10"/>
  <c r="K819" i="10"/>
  <c r="L819" i="10"/>
  <c r="K820" i="10"/>
  <c r="L820" i="10"/>
  <c r="K821" i="10"/>
  <c r="L821" i="10"/>
  <c r="K822" i="10"/>
  <c r="L822" i="10"/>
  <c r="K823" i="10"/>
  <c r="L823" i="10"/>
  <c r="K824" i="10"/>
  <c r="L824" i="10"/>
  <c r="K825" i="10"/>
  <c r="L825" i="10"/>
  <c r="K826" i="10"/>
  <c r="L826" i="10"/>
  <c r="K827" i="10"/>
  <c r="L827" i="10"/>
  <c r="K828" i="10"/>
  <c r="L828" i="10"/>
  <c r="K829" i="10"/>
  <c r="L829" i="10"/>
  <c r="K830" i="10"/>
  <c r="L830" i="10"/>
  <c r="K831" i="10"/>
  <c r="L831" i="10"/>
  <c r="K832" i="10"/>
  <c r="L832" i="10"/>
  <c r="K833" i="10"/>
  <c r="L833" i="10"/>
  <c r="K834" i="10"/>
  <c r="L834" i="10"/>
  <c r="K835" i="10"/>
  <c r="L835" i="10"/>
  <c r="K836" i="10"/>
  <c r="L836" i="10"/>
  <c r="K837" i="10"/>
  <c r="L837" i="10"/>
  <c r="K838" i="10"/>
  <c r="L838" i="10"/>
  <c r="K839" i="10"/>
  <c r="L839" i="10"/>
  <c r="K840" i="10"/>
  <c r="L840" i="10"/>
  <c r="K841" i="10"/>
  <c r="L841" i="10"/>
  <c r="K842" i="10"/>
  <c r="L842" i="10"/>
  <c r="K843" i="10"/>
  <c r="L843" i="10"/>
  <c r="K844" i="10"/>
  <c r="L844" i="10"/>
  <c r="K845" i="10"/>
  <c r="L845" i="10"/>
  <c r="K846" i="10"/>
  <c r="L846" i="10"/>
  <c r="K847" i="10"/>
  <c r="L847" i="10"/>
  <c r="K848" i="10"/>
  <c r="L848" i="10"/>
  <c r="K849" i="10"/>
  <c r="L849" i="10"/>
  <c r="K850" i="10"/>
  <c r="L850" i="10"/>
  <c r="K851" i="10"/>
  <c r="L851" i="10"/>
  <c r="K852" i="10"/>
  <c r="L852" i="10"/>
  <c r="K853" i="10"/>
  <c r="L853" i="10"/>
  <c r="K854" i="10"/>
  <c r="L854" i="10"/>
  <c r="K855" i="10"/>
  <c r="L855" i="10"/>
  <c r="K856" i="10"/>
  <c r="L856" i="10"/>
  <c r="K857" i="10"/>
  <c r="L857" i="10"/>
  <c r="K858" i="10"/>
  <c r="L858" i="10"/>
  <c r="K859" i="10"/>
  <c r="L859" i="10"/>
  <c r="K860" i="10"/>
  <c r="L860" i="10"/>
  <c r="K861" i="10"/>
  <c r="L861" i="10"/>
  <c r="K862" i="10"/>
  <c r="L862" i="10"/>
  <c r="K863" i="10"/>
  <c r="L863" i="10"/>
  <c r="K864" i="10"/>
  <c r="L864" i="10"/>
  <c r="K865" i="10"/>
  <c r="L865" i="10"/>
  <c r="K866" i="10"/>
  <c r="L866" i="10"/>
  <c r="K867" i="10"/>
  <c r="L867" i="10"/>
  <c r="K868" i="10"/>
  <c r="L868" i="10"/>
  <c r="K869" i="10"/>
  <c r="L869" i="10"/>
  <c r="K870" i="10"/>
  <c r="L870" i="10"/>
  <c r="K871" i="10"/>
  <c r="L871" i="10"/>
  <c r="K872" i="10"/>
  <c r="L872" i="10"/>
  <c r="K873" i="10"/>
  <c r="L873" i="10"/>
  <c r="K874" i="10"/>
  <c r="L874" i="10"/>
  <c r="K875" i="10"/>
  <c r="L875" i="10"/>
  <c r="K876" i="10"/>
  <c r="L876" i="10"/>
  <c r="K877" i="10"/>
  <c r="L877" i="10"/>
  <c r="K878" i="10"/>
  <c r="L878" i="10"/>
  <c r="K879" i="10"/>
  <c r="L879" i="10"/>
  <c r="K880" i="10"/>
  <c r="L880" i="10"/>
  <c r="K881" i="10"/>
  <c r="L881" i="10"/>
  <c r="K882" i="10"/>
  <c r="L882" i="10"/>
  <c r="K883" i="10"/>
  <c r="L883" i="10"/>
  <c r="K884" i="10"/>
  <c r="L884" i="10"/>
  <c r="K885" i="10"/>
  <c r="L885" i="10"/>
  <c r="K886" i="10"/>
  <c r="L886" i="10"/>
  <c r="K887" i="10"/>
  <c r="L887" i="10"/>
  <c r="K888" i="10"/>
  <c r="L888" i="10"/>
  <c r="K889" i="10"/>
  <c r="L889" i="10"/>
  <c r="K890" i="10"/>
  <c r="L890" i="10"/>
  <c r="K891" i="10"/>
  <c r="L891" i="10"/>
  <c r="K892" i="10"/>
  <c r="L892" i="10"/>
  <c r="K893" i="10"/>
  <c r="L893" i="10"/>
  <c r="K894" i="10"/>
  <c r="L894" i="10"/>
  <c r="K895" i="10"/>
  <c r="L895" i="10"/>
  <c r="K896" i="10"/>
  <c r="L896" i="10"/>
  <c r="K897" i="10"/>
  <c r="L897" i="10"/>
  <c r="K898" i="10"/>
  <c r="L898" i="10"/>
  <c r="K899" i="10"/>
  <c r="L899" i="10"/>
  <c r="K900" i="10"/>
  <c r="L900" i="10"/>
  <c r="K901" i="10"/>
  <c r="L901" i="10"/>
  <c r="K902" i="10"/>
  <c r="L902" i="10"/>
  <c r="K903" i="10"/>
  <c r="L903" i="10"/>
  <c r="K904" i="10"/>
  <c r="L904" i="10"/>
  <c r="K905" i="10"/>
  <c r="L905" i="10"/>
  <c r="K906" i="10"/>
  <c r="L906" i="10"/>
  <c r="K907" i="10"/>
  <c r="L907" i="10"/>
  <c r="K908" i="10"/>
  <c r="L908" i="10"/>
  <c r="K909" i="10"/>
  <c r="L909" i="10"/>
  <c r="K910" i="10"/>
  <c r="L910" i="10"/>
  <c r="K911" i="10"/>
  <c r="L911" i="10"/>
  <c r="K912" i="10"/>
  <c r="L912" i="10"/>
  <c r="K913" i="10"/>
  <c r="L913" i="10"/>
  <c r="K914" i="10"/>
  <c r="L914" i="10"/>
  <c r="K915" i="10"/>
  <c r="L915" i="10"/>
  <c r="K916" i="10"/>
  <c r="L916" i="10"/>
  <c r="K917" i="10"/>
  <c r="L917" i="10"/>
  <c r="K918" i="10"/>
  <c r="L918" i="10"/>
  <c r="K919" i="10"/>
  <c r="L919" i="10"/>
  <c r="K920" i="10"/>
  <c r="L920" i="10"/>
  <c r="K921" i="10"/>
  <c r="L921" i="10"/>
  <c r="K922" i="10"/>
  <c r="L922" i="10"/>
  <c r="K923" i="10"/>
  <c r="L923" i="10"/>
  <c r="K924" i="10"/>
  <c r="L924" i="10"/>
  <c r="K925" i="10"/>
  <c r="L925" i="10"/>
  <c r="K926" i="10"/>
  <c r="L926" i="10"/>
  <c r="K927" i="10"/>
  <c r="L927" i="10"/>
  <c r="K928" i="10"/>
  <c r="L928" i="10"/>
  <c r="K929" i="10"/>
  <c r="L929" i="10"/>
  <c r="K930" i="10"/>
  <c r="L930" i="10"/>
  <c r="K931" i="10"/>
  <c r="L931" i="10"/>
  <c r="K932" i="10"/>
  <c r="L932" i="10"/>
  <c r="K933" i="10"/>
  <c r="L933" i="10"/>
  <c r="K934" i="10"/>
  <c r="L934" i="10"/>
  <c r="K935" i="10"/>
  <c r="L935" i="10"/>
  <c r="K936" i="10"/>
  <c r="L936" i="10"/>
  <c r="K937" i="10"/>
  <c r="L937" i="10"/>
  <c r="K938" i="10"/>
  <c r="L938" i="10"/>
  <c r="K939" i="10"/>
  <c r="L939" i="10"/>
  <c r="K940" i="10"/>
  <c r="L940" i="10"/>
  <c r="K941" i="10"/>
  <c r="L941" i="10"/>
  <c r="K942" i="10"/>
  <c r="L942" i="10"/>
  <c r="K943" i="10"/>
  <c r="L943" i="10"/>
  <c r="K944" i="10"/>
  <c r="L944" i="10"/>
  <c r="K945" i="10"/>
  <c r="L945" i="10"/>
  <c r="K946" i="10"/>
  <c r="L946" i="10"/>
  <c r="K947" i="10"/>
  <c r="L947" i="10"/>
  <c r="K948" i="10"/>
  <c r="L948" i="10"/>
  <c r="K949" i="10"/>
  <c r="L949" i="10"/>
  <c r="K950" i="10"/>
  <c r="L950" i="10"/>
  <c r="K951" i="10"/>
  <c r="L951" i="10"/>
  <c r="K952" i="10"/>
  <c r="L952" i="10"/>
  <c r="K953" i="10"/>
  <c r="L953" i="10"/>
  <c r="K954" i="10"/>
  <c r="L954" i="10"/>
  <c r="K955" i="10"/>
  <c r="L955" i="10"/>
  <c r="K956" i="10"/>
  <c r="L956" i="10"/>
  <c r="K957" i="10"/>
  <c r="L957" i="10"/>
  <c r="K958" i="10"/>
  <c r="L958" i="10"/>
  <c r="K959" i="10"/>
  <c r="L959" i="10"/>
  <c r="K960" i="10"/>
  <c r="L960" i="10"/>
  <c r="K961" i="10"/>
  <c r="L961" i="10"/>
  <c r="K962" i="10"/>
  <c r="L962" i="10"/>
  <c r="K963" i="10"/>
  <c r="L963" i="10"/>
  <c r="K964" i="10"/>
  <c r="L964" i="10"/>
  <c r="K965" i="10"/>
  <c r="L965" i="10"/>
  <c r="K966" i="10"/>
  <c r="L966" i="10"/>
  <c r="K967" i="10"/>
  <c r="L967" i="10"/>
  <c r="K968" i="10"/>
  <c r="L968" i="10"/>
  <c r="K969" i="10"/>
  <c r="L969" i="10"/>
  <c r="K970" i="10"/>
  <c r="L970" i="10"/>
  <c r="K971" i="10"/>
  <c r="L971" i="10"/>
  <c r="K972" i="10"/>
  <c r="L972" i="10"/>
  <c r="K973" i="10"/>
  <c r="L973" i="10"/>
  <c r="K974" i="10"/>
  <c r="L974" i="10"/>
  <c r="K975" i="10"/>
  <c r="L975" i="10"/>
  <c r="K976" i="10"/>
  <c r="L976" i="10"/>
  <c r="K977" i="10"/>
  <c r="L977" i="10"/>
  <c r="K978" i="10"/>
  <c r="L978" i="10"/>
  <c r="K979" i="10"/>
  <c r="L979" i="10"/>
  <c r="K980" i="10"/>
  <c r="L980" i="10"/>
  <c r="K981" i="10"/>
  <c r="L981" i="10"/>
  <c r="K982" i="10"/>
  <c r="L982" i="10"/>
  <c r="K983" i="10"/>
  <c r="L983" i="10"/>
  <c r="K984" i="10"/>
  <c r="L984" i="10"/>
  <c r="K985" i="10"/>
  <c r="L985" i="10"/>
  <c r="K986" i="10"/>
  <c r="L986" i="10"/>
  <c r="K987" i="10"/>
  <c r="L987" i="10"/>
  <c r="K988" i="10"/>
  <c r="L988" i="10"/>
  <c r="K989" i="10"/>
  <c r="L989" i="10"/>
  <c r="K990" i="10"/>
  <c r="L990" i="10"/>
  <c r="K991" i="10"/>
  <c r="L991" i="10"/>
  <c r="K992" i="10"/>
  <c r="L992" i="10"/>
  <c r="K993" i="10"/>
  <c r="L993" i="10"/>
  <c r="K994" i="10"/>
  <c r="L994" i="10"/>
  <c r="K995" i="10"/>
  <c r="L995" i="10"/>
  <c r="K996" i="10"/>
  <c r="L996" i="10"/>
  <c r="K997" i="10"/>
  <c r="L997" i="10"/>
  <c r="K998" i="10"/>
  <c r="L998" i="10"/>
  <c r="K999" i="10"/>
  <c r="L999" i="10"/>
  <c r="K1000" i="10"/>
  <c r="L1000" i="10"/>
  <c r="L4" i="10"/>
  <c r="F6" i="3"/>
  <c r="A44" i="3"/>
  <c r="I3" i="12"/>
  <c r="A28" i="3"/>
  <c r="F28" i="3" s="1"/>
  <c r="B54" i="3"/>
  <c r="A54" i="3"/>
  <c r="F54" i="3" s="1"/>
  <c r="B53" i="3"/>
  <c r="A53" i="3"/>
  <c r="F53" i="3" s="1"/>
  <c r="B52" i="3"/>
  <c r="A52" i="3"/>
  <c r="F52" i="3" s="1"/>
  <c r="B51" i="3"/>
  <c r="A51" i="3"/>
  <c r="F51" i="3" s="1"/>
  <c r="B47" i="3"/>
  <c r="A47" i="3"/>
  <c r="B46" i="3"/>
  <c r="A46" i="3"/>
  <c r="B45" i="3"/>
  <c r="A45" i="3"/>
  <c r="B44" i="3"/>
  <c r="B43" i="3"/>
  <c r="A43" i="3"/>
  <c r="F48" i="3" s="1"/>
  <c r="B40" i="3"/>
  <c r="A40" i="3"/>
  <c r="B39" i="3"/>
  <c r="A39" i="3"/>
  <c r="B38" i="3"/>
  <c r="A36" i="3"/>
  <c r="B37" i="3"/>
  <c r="A37" i="3"/>
  <c r="B36" i="3"/>
  <c r="B35" i="3"/>
  <c r="A35" i="3"/>
  <c r="B34" i="3"/>
  <c r="A34" i="3"/>
  <c r="B33" i="3"/>
  <c r="A33" i="3"/>
  <c r="B32" i="3"/>
  <c r="B31" i="3"/>
  <c r="A31" i="3"/>
  <c r="Q20" i="12" l="1"/>
  <c r="P20" i="12"/>
  <c r="Q4" i="12"/>
  <c r="P4" i="12"/>
  <c r="P19" i="12"/>
  <c r="Q19" i="12"/>
  <c r="P7" i="12"/>
  <c r="Q7" i="12"/>
  <c r="Q18" i="12"/>
  <c r="P18" i="12"/>
  <c r="C52" i="3"/>
  <c r="D52" i="3"/>
  <c r="F49" i="3"/>
  <c r="F43" i="3"/>
  <c r="L717" i="12"/>
  <c r="P17" i="5"/>
  <c r="N17" i="5"/>
  <c r="O17" i="5"/>
  <c r="L194" i="12"/>
  <c r="K477" i="12"/>
  <c r="L813" i="12"/>
  <c r="L589" i="12"/>
  <c r="L736" i="12"/>
  <c r="K480" i="12"/>
  <c r="L215" i="12"/>
  <c r="L56" i="12"/>
  <c r="L781" i="12"/>
  <c r="L653" i="12"/>
  <c r="K525" i="12"/>
  <c r="L134" i="12"/>
  <c r="L61" i="12"/>
  <c r="L800" i="12"/>
  <c r="L672" i="12"/>
  <c r="L544" i="12"/>
  <c r="L155" i="12"/>
  <c r="L76" i="12"/>
  <c r="K16" i="12"/>
  <c r="K14" i="12"/>
  <c r="K12" i="12"/>
  <c r="K8" i="12"/>
  <c r="K18" i="12"/>
  <c r="P10" i="5"/>
  <c r="N10" i="5"/>
  <c r="O10" i="5"/>
  <c r="M10" i="5"/>
  <c r="K20" i="12"/>
  <c r="K23" i="12"/>
  <c r="K21" i="12"/>
  <c r="K19" i="12"/>
  <c r="K36" i="12"/>
  <c r="K35" i="12"/>
  <c r="K31" i="12"/>
  <c r="K29" i="12"/>
  <c r="K27" i="12"/>
  <c r="K25" i="12"/>
  <c r="P76" i="5"/>
  <c r="N76" i="5"/>
  <c r="O76" i="5"/>
  <c r="M76" i="5"/>
  <c r="P75" i="5"/>
  <c r="N75" i="5"/>
  <c r="O75" i="5"/>
  <c r="M75" i="5"/>
  <c r="N108" i="5"/>
  <c r="P108" i="5"/>
  <c r="T9" i="5"/>
  <c r="T11" i="5"/>
  <c r="T12" i="5"/>
  <c r="T13" i="5"/>
  <c r="T14" i="5"/>
  <c r="T15" i="5"/>
  <c r="T16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U9" i="5"/>
  <c r="U11" i="5"/>
  <c r="U12" i="5"/>
  <c r="U13" i="5"/>
  <c r="U14" i="5"/>
  <c r="U15" i="5"/>
  <c r="U16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R9" i="5"/>
  <c r="R11" i="5"/>
  <c r="R12" i="5"/>
  <c r="R13" i="5"/>
  <c r="R14" i="5"/>
  <c r="R15" i="5"/>
  <c r="R16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S14" i="5"/>
  <c r="S18" i="5"/>
  <c r="S22" i="5"/>
  <c r="S26" i="5"/>
  <c r="S30" i="5"/>
  <c r="S34" i="5"/>
  <c r="S38" i="5"/>
  <c r="S42" i="5"/>
  <c r="S46" i="5"/>
  <c r="S50" i="5"/>
  <c r="S54" i="5"/>
  <c r="S58" i="5"/>
  <c r="S62" i="5"/>
  <c r="S66" i="5"/>
  <c r="S70" i="5"/>
  <c r="S74" i="5"/>
  <c r="S78" i="5"/>
  <c r="S82" i="5"/>
  <c r="S86" i="5"/>
  <c r="S90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9" i="5"/>
  <c r="S11" i="5"/>
  <c r="S15" i="5"/>
  <c r="S19" i="5"/>
  <c r="S23" i="5"/>
  <c r="S27" i="5"/>
  <c r="S31" i="5"/>
  <c r="S35" i="5"/>
  <c r="S39" i="5"/>
  <c r="S43" i="5"/>
  <c r="S47" i="5"/>
  <c r="S51" i="5"/>
  <c r="S55" i="5"/>
  <c r="S59" i="5"/>
  <c r="S63" i="5"/>
  <c r="S67" i="5"/>
  <c r="S71" i="5"/>
  <c r="S79" i="5"/>
  <c r="S83" i="5"/>
  <c r="S87" i="5"/>
  <c r="S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9" i="5"/>
  <c r="S12" i="5"/>
  <c r="S16" i="5"/>
  <c r="S20" i="5"/>
  <c r="S24" i="5"/>
  <c r="S28" i="5"/>
  <c r="S32" i="5"/>
  <c r="S36" i="5"/>
  <c r="S40" i="5"/>
  <c r="S44" i="5"/>
  <c r="S48" i="5"/>
  <c r="S52" i="5"/>
  <c r="S56" i="5"/>
  <c r="S60" i="5"/>
  <c r="S64" i="5"/>
  <c r="S68" i="5"/>
  <c r="S72" i="5"/>
  <c r="S80" i="5"/>
  <c r="S84" i="5"/>
  <c r="S88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9" i="5"/>
  <c r="U7" i="5"/>
  <c r="S9" i="5"/>
  <c r="S13" i="5"/>
  <c r="S21" i="5"/>
  <c r="S25" i="5"/>
  <c r="S29" i="5"/>
  <c r="S33" i="5"/>
  <c r="S37" i="5"/>
  <c r="S41" i="5"/>
  <c r="S45" i="5"/>
  <c r="S49" i="5"/>
  <c r="S53" i="5"/>
  <c r="S57" i="5"/>
  <c r="S61" i="5"/>
  <c r="S65" i="5"/>
  <c r="S69" i="5"/>
  <c r="S73" i="5"/>
  <c r="S77" i="5"/>
  <c r="S81" i="5"/>
  <c r="S85" i="5"/>
  <c r="S89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O108" i="5"/>
  <c r="M108" i="5"/>
  <c r="P7" i="5"/>
  <c r="N7" i="5"/>
  <c r="O7" i="5"/>
  <c r="M7" i="5"/>
  <c r="E7" i="5" s="1"/>
  <c r="E9" i="5" s="1"/>
  <c r="K17" i="12"/>
  <c r="L16" i="12"/>
  <c r="K15" i="12"/>
  <c r="K13" i="12"/>
  <c r="L8" i="12"/>
  <c r="K7" i="12"/>
  <c r="K5" i="12"/>
  <c r="L4" i="12"/>
  <c r="U108" i="5"/>
  <c r="U75" i="5"/>
  <c r="F42" i="3"/>
  <c r="L768" i="12"/>
  <c r="L704" i="12"/>
  <c r="L640" i="12"/>
  <c r="L576" i="12"/>
  <c r="K512" i="12"/>
  <c r="L187" i="12"/>
  <c r="L123" i="12"/>
  <c r="L102" i="12"/>
  <c r="L60" i="12"/>
  <c r="L55" i="12"/>
  <c r="L28" i="12"/>
  <c r="L9" i="12"/>
  <c r="L816" i="12"/>
  <c r="L805" i="12"/>
  <c r="L749" i="12"/>
  <c r="L685" i="12"/>
  <c r="L621" i="12"/>
  <c r="L557" i="12"/>
  <c r="K509" i="12"/>
  <c r="L162" i="12"/>
  <c r="L118" i="12"/>
  <c r="L91" i="12"/>
  <c r="K10" i="12"/>
  <c r="K11" i="12"/>
  <c r="L832" i="12"/>
  <c r="L797" i="12"/>
  <c r="L733" i="12"/>
  <c r="L701" i="12"/>
  <c r="L669" i="12"/>
  <c r="L637" i="12"/>
  <c r="L605" i="12"/>
  <c r="L573" i="12"/>
  <c r="L541" i="12"/>
  <c r="L210" i="12"/>
  <c r="L178" i="12"/>
  <c r="L150" i="12"/>
  <c r="L88" i="12"/>
  <c r="K493" i="12"/>
  <c r="L24" i="12"/>
  <c r="L17" i="12"/>
  <c r="L12" i="12"/>
  <c r="L5" i="12"/>
  <c r="L829" i="12"/>
  <c r="L784" i="12"/>
  <c r="L773" i="12"/>
  <c r="L752" i="12"/>
  <c r="L720" i="12"/>
  <c r="L688" i="12"/>
  <c r="L656" i="12"/>
  <c r="L624" i="12"/>
  <c r="L592" i="12"/>
  <c r="L560" i="12"/>
  <c r="K528" i="12"/>
  <c r="K496" i="12"/>
  <c r="L199" i="12"/>
  <c r="L171" i="12"/>
  <c r="L139" i="12"/>
  <c r="L107" i="12"/>
  <c r="L79" i="12"/>
  <c r="L25" i="12"/>
  <c r="L20" i="12"/>
  <c r="L765" i="12"/>
  <c r="L207" i="12"/>
  <c r="L186" i="12"/>
  <c r="L170" i="12"/>
  <c r="L154" i="12"/>
  <c r="L149" i="12"/>
  <c r="L138" i="12"/>
  <c r="L133" i="12"/>
  <c r="L122" i="12"/>
  <c r="L117" i="12"/>
  <c r="L106" i="12"/>
  <c r="L101" i="12"/>
  <c r="L90" i="12"/>
  <c r="L87" i="12"/>
  <c r="L6" i="12"/>
  <c r="K4" i="12"/>
  <c r="L837" i="12"/>
  <c r="L821" i="12"/>
  <c r="L789" i="12"/>
  <c r="L757" i="12"/>
  <c r="L741" i="12"/>
  <c r="L725" i="12"/>
  <c r="L709" i="12"/>
  <c r="L693" i="12"/>
  <c r="L677" i="12"/>
  <c r="L661" i="12"/>
  <c r="L645" i="12"/>
  <c r="L629" i="12"/>
  <c r="L613" i="12"/>
  <c r="L597" i="12"/>
  <c r="L581" i="12"/>
  <c r="L565" i="12"/>
  <c r="L549" i="12"/>
  <c r="L533" i="12"/>
  <c r="K517" i="12"/>
  <c r="K501" i="12"/>
  <c r="K485" i="12"/>
  <c r="L47" i="12"/>
  <c r="L44" i="12"/>
  <c r="L824" i="12"/>
  <c r="L808" i="12"/>
  <c r="L792" i="12"/>
  <c r="L776" i="12"/>
  <c r="L760" i="12"/>
  <c r="L744" i="12"/>
  <c r="L728" i="12"/>
  <c r="L712" i="12"/>
  <c r="L696" i="12"/>
  <c r="L680" i="12"/>
  <c r="L664" i="12"/>
  <c r="L648" i="12"/>
  <c r="L632" i="12"/>
  <c r="L616" i="12"/>
  <c r="L600" i="12"/>
  <c r="L584" i="12"/>
  <c r="L568" i="12"/>
  <c r="L552" i="12"/>
  <c r="L536" i="12"/>
  <c r="K520" i="12"/>
  <c r="K504" i="12"/>
  <c r="K488" i="12"/>
  <c r="L218" i="12"/>
  <c r="L202" i="12"/>
  <c r="L195" i="12"/>
  <c r="L179" i="12"/>
  <c r="L163" i="12"/>
  <c r="L80" i="12"/>
  <c r="L77" i="12"/>
  <c r="L48" i="12"/>
  <c r="L45" i="12"/>
  <c r="L32" i="12"/>
  <c r="L29" i="12"/>
  <c r="L21" i="12"/>
  <c r="L13" i="12"/>
  <c r="L191" i="12"/>
  <c r="L183" i="12"/>
  <c r="L175" i="12"/>
  <c r="L167" i="12"/>
  <c r="L159" i="12"/>
  <c r="L146" i="12"/>
  <c r="L143" i="12"/>
  <c r="L130" i="12"/>
  <c r="L127" i="12"/>
  <c r="L114" i="12"/>
  <c r="L111" i="12"/>
  <c r="L98" i="12"/>
  <c r="L95" i="12"/>
  <c r="L84" i="12"/>
  <c r="L73" i="12"/>
  <c r="L68" i="12"/>
  <c r="L65" i="12"/>
  <c r="L52" i="12"/>
  <c r="L41" i="12"/>
  <c r="L36" i="12"/>
  <c r="L27" i="12"/>
  <c r="L23" i="12"/>
  <c r="L19" i="12"/>
  <c r="L15" i="12"/>
  <c r="L11" i="12"/>
  <c r="K9" i="12"/>
  <c r="L7" i="12"/>
  <c r="L833" i="12"/>
  <c r="L825" i="12"/>
  <c r="L817" i="12"/>
  <c r="L809" i="12"/>
  <c r="L801" i="12"/>
  <c r="L793" i="12"/>
  <c r="L785" i="12"/>
  <c r="L777" i="12"/>
  <c r="L769" i="12"/>
  <c r="L761" i="12"/>
  <c r="L753" i="12"/>
  <c r="L745" i="12"/>
  <c r="L737" i="12"/>
  <c r="L729" i="12"/>
  <c r="L721" i="12"/>
  <c r="L713" i="12"/>
  <c r="L705" i="12"/>
  <c r="L697" i="12"/>
  <c r="L689" i="12"/>
  <c r="L681" i="12"/>
  <c r="L673" i="12"/>
  <c r="L665" i="12"/>
  <c r="L657" i="12"/>
  <c r="L649" i="12"/>
  <c r="L641" i="12"/>
  <c r="L633" i="12"/>
  <c r="L625" i="12"/>
  <c r="L617" i="12"/>
  <c r="L609" i="12"/>
  <c r="L601" i="12"/>
  <c r="L593" i="12"/>
  <c r="L585" i="12"/>
  <c r="L577" i="12"/>
  <c r="L569" i="12"/>
  <c r="L561" i="12"/>
  <c r="L553" i="12"/>
  <c r="L545" i="12"/>
  <c r="L537" i="12"/>
  <c r="K529" i="12"/>
  <c r="K521" i="12"/>
  <c r="K513" i="12"/>
  <c r="K505" i="12"/>
  <c r="K497" i="12"/>
  <c r="K489" i="12"/>
  <c r="K481" i="12"/>
  <c r="L219" i="12"/>
  <c r="L211" i="12"/>
  <c r="L203" i="12"/>
  <c r="L836" i="12"/>
  <c r="L828" i="12"/>
  <c r="L820" i="12"/>
  <c r="L812" i="12"/>
  <c r="L804" i="12"/>
  <c r="L796" i="12"/>
  <c r="L788" i="12"/>
  <c r="L780" i="12"/>
  <c r="L772" i="12"/>
  <c r="L764" i="12"/>
  <c r="L756" i="12"/>
  <c r="L748" i="12"/>
  <c r="L740" i="12"/>
  <c r="L732" i="12"/>
  <c r="L724" i="12"/>
  <c r="L716" i="12"/>
  <c r="L708" i="12"/>
  <c r="L700" i="12"/>
  <c r="L692" i="12"/>
  <c r="L684" i="12"/>
  <c r="L676" i="12"/>
  <c r="L668" i="12"/>
  <c r="L660" i="12"/>
  <c r="L652" i="12"/>
  <c r="L644" i="12"/>
  <c r="L636" i="12"/>
  <c r="L628" i="12"/>
  <c r="L620" i="12"/>
  <c r="L612" i="12"/>
  <c r="L604" i="12"/>
  <c r="L596" i="12"/>
  <c r="L588" i="12"/>
  <c r="L580" i="12"/>
  <c r="L572" i="12"/>
  <c r="L564" i="12"/>
  <c r="L556" i="12"/>
  <c r="L548" i="12"/>
  <c r="L540" i="12"/>
  <c r="L532" i="12"/>
  <c r="K524" i="12"/>
  <c r="K516" i="12"/>
  <c r="K508" i="12"/>
  <c r="K500" i="12"/>
  <c r="K492" i="12"/>
  <c r="K484" i="12"/>
  <c r="K476" i="12"/>
  <c r="L214" i="12"/>
  <c r="L206" i="12"/>
  <c r="L198" i="12"/>
  <c r="L190" i="12"/>
  <c r="L182" i="12"/>
  <c r="L174" i="12"/>
  <c r="L166" i="12"/>
  <c r="L158" i="12"/>
  <c r="L145" i="12"/>
  <c r="L142" i="12"/>
  <c r="L129" i="12"/>
  <c r="L126" i="12"/>
  <c r="L113" i="12"/>
  <c r="L110" i="12"/>
  <c r="L97" i="12"/>
  <c r="L94" i="12"/>
  <c r="L83" i="12"/>
  <c r="L72" i="12"/>
  <c r="L67" i="12"/>
  <c r="L64" i="12"/>
  <c r="L51" i="12"/>
  <c r="L40" i="12"/>
  <c r="L35" i="12"/>
  <c r="L26" i="12"/>
  <c r="L22" i="12"/>
  <c r="L18" i="12"/>
  <c r="L14" i="12"/>
  <c r="L10" i="12"/>
  <c r="K6" i="12"/>
  <c r="L498" i="12"/>
  <c r="K498" i="12"/>
  <c r="L479" i="12"/>
  <c r="K479" i="12"/>
  <c r="K472" i="12"/>
  <c r="L472" i="12"/>
  <c r="K464" i="12"/>
  <c r="L464" i="12"/>
  <c r="K458" i="12"/>
  <c r="L458" i="12"/>
  <c r="K456" i="12"/>
  <c r="L456" i="12"/>
  <c r="K450" i="12"/>
  <c r="L450" i="12"/>
  <c r="K444" i="12"/>
  <c r="L444" i="12"/>
  <c r="K438" i="12"/>
  <c r="L438" i="12"/>
  <c r="K430" i="12"/>
  <c r="L430" i="12"/>
  <c r="K424" i="12"/>
  <c r="L424" i="12"/>
  <c r="K420" i="12"/>
  <c r="L420" i="12"/>
  <c r="K414" i="12"/>
  <c r="L414" i="12"/>
  <c r="K408" i="12"/>
  <c r="L408" i="12"/>
  <c r="K400" i="12"/>
  <c r="L400" i="12"/>
  <c r="K396" i="12"/>
  <c r="L396" i="12"/>
  <c r="K390" i="12"/>
  <c r="L390" i="12"/>
  <c r="K384" i="12"/>
  <c r="L384" i="12"/>
  <c r="K378" i="12"/>
  <c r="L378" i="12"/>
  <c r="K374" i="12"/>
  <c r="L374" i="12"/>
  <c r="K368" i="12"/>
  <c r="L368" i="12"/>
  <c r="K362" i="12"/>
  <c r="L362" i="12"/>
  <c r="K356" i="12"/>
  <c r="L356" i="12"/>
  <c r="K352" i="12"/>
  <c r="L352" i="12"/>
  <c r="K346" i="12"/>
  <c r="L346" i="12"/>
  <c r="K340" i="12"/>
  <c r="L340" i="12"/>
  <c r="K334" i="12"/>
  <c r="L334" i="12"/>
  <c r="K330" i="12"/>
  <c r="L330" i="12"/>
  <c r="K324" i="12"/>
  <c r="L324" i="12"/>
  <c r="K320" i="12"/>
  <c r="L320" i="12"/>
  <c r="K314" i="12"/>
  <c r="L314" i="12"/>
  <c r="K308" i="12"/>
  <c r="L308" i="12"/>
  <c r="K302" i="12"/>
  <c r="L302" i="12"/>
  <c r="K296" i="12"/>
  <c r="L296" i="12"/>
  <c r="K290" i="12"/>
  <c r="L290" i="12"/>
  <c r="K286" i="12"/>
  <c r="L286" i="12"/>
  <c r="K282" i="12"/>
  <c r="L282" i="12"/>
  <c r="K276" i="12"/>
  <c r="L276" i="12"/>
  <c r="K268" i="12"/>
  <c r="L268" i="12"/>
  <c r="K260" i="12"/>
  <c r="L260" i="12"/>
  <c r="K254" i="12"/>
  <c r="L254" i="12"/>
  <c r="K248" i="12"/>
  <c r="L248" i="12"/>
  <c r="K242" i="12"/>
  <c r="L242" i="12"/>
  <c r="K238" i="12"/>
  <c r="L238" i="12"/>
  <c r="K232" i="12"/>
  <c r="L232" i="12"/>
  <c r="K228" i="12"/>
  <c r="L228" i="12"/>
  <c r="K222" i="12"/>
  <c r="L222" i="12"/>
  <c r="K196" i="12"/>
  <c r="L196" i="12"/>
  <c r="K188" i="12"/>
  <c r="L188" i="12"/>
  <c r="K180" i="12"/>
  <c r="L180" i="12"/>
  <c r="K172" i="12"/>
  <c r="L172" i="12"/>
  <c r="K164" i="12"/>
  <c r="L164" i="12"/>
  <c r="K153" i="12"/>
  <c r="L153" i="12"/>
  <c r="K105" i="12"/>
  <c r="L105" i="12"/>
  <c r="K49" i="12"/>
  <c r="L49" i="12"/>
  <c r="K33" i="12"/>
  <c r="L33" i="12"/>
  <c r="K30" i="12"/>
  <c r="L30" i="12"/>
  <c r="L1000" i="12"/>
  <c r="L999" i="12"/>
  <c r="L998" i="12"/>
  <c r="L997" i="12"/>
  <c r="L996" i="12"/>
  <c r="L995" i="12"/>
  <c r="L994" i="12"/>
  <c r="L993" i="12"/>
  <c r="L992" i="12"/>
  <c r="L991" i="12"/>
  <c r="L990" i="12"/>
  <c r="L989" i="12"/>
  <c r="L988" i="12"/>
  <c r="L987" i="12"/>
  <c r="L986" i="12"/>
  <c r="L985" i="12"/>
  <c r="L984" i="12"/>
  <c r="L983" i="12"/>
  <c r="L982" i="12"/>
  <c r="L981" i="12"/>
  <c r="L980" i="12"/>
  <c r="L979" i="12"/>
  <c r="L978" i="12"/>
  <c r="L977" i="12"/>
  <c r="L975" i="12"/>
  <c r="L974" i="12"/>
  <c r="L973" i="12"/>
  <c r="L972" i="12"/>
  <c r="L971" i="12"/>
  <c r="L970" i="12"/>
  <c r="L969" i="12"/>
  <c r="L968" i="12"/>
  <c r="L967" i="12"/>
  <c r="L966" i="12"/>
  <c r="L965" i="12"/>
  <c r="L964" i="12"/>
  <c r="L963" i="12"/>
  <c r="L962" i="12"/>
  <c r="L961" i="12"/>
  <c r="L960" i="12"/>
  <c r="L959" i="12"/>
  <c r="L958" i="12"/>
  <c r="L957" i="12"/>
  <c r="L956" i="12"/>
  <c r="L955" i="12"/>
  <c r="L954" i="12"/>
  <c r="L953" i="12"/>
  <c r="L952" i="12"/>
  <c r="L951" i="12"/>
  <c r="L950" i="12"/>
  <c r="L949" i="12"/>
  <c r="L948" i="12"/>
  <c r="L947" i="12"/>
  <c r="L946" i="12"/>
  <c r="L945" i="12"/>
  <c r="L944" i="12"/>
  <c r="L943" i="12"/>
  <c r="L942" i="12"/>
  <c r="L941" i="12"/>
  <c r="L940" i="12"/>
  <c r="L939" i="12"/>
  <c r="L938" i="12"/>
  <c r="L937" i="12"/>
  <c r="L936" i="12"/>
  <c r="L935" i="12"/>
  <c r="L934" i="12"/>
  <c r="L933" i="12"/>
  <c r="L932" i="12"/>
  <c r="L931" i="12"/>
  <c r="L930" i="12"/>
  <c r="L929" i="12"/>
  <c r="L928" i="12"/>
  <c r="L927" i="12"/>
  <c r="L926" i="12"/>
  <c r="L925" i="12"/>
  <c r="L924" i="12"/>
  <c r="L923" i="12"/>
  <c r="L922" i="12"/>
  <c r="L921" i="12"/>
  <c r="L920" i="12"/>
  <c r="L919" i="12"/>
  <c r="L918" i="12"/>
  <c r="L917" i="12"/>
  <c r="L916" i="12"/>
  <c r="L915" i="12"/>
  <c r="L914" i="12"/>
  <c r="L913" i="12"/>
  <c r="L912" i="12"/>
  <c r="L911" i="12"/>
  <c r="L910" i="12"/>
  <c r="L909" i="12"/>
  <c r="L908" i="12"/>
  <c r="L907" i="12"/>
  <c r="L906" i="12"/>
  <c r="L905" i="12"/>
  <c r="L904" i="12"/>
  <c r="L903" i="12"/>
  <c r="L902" i="12"/>
  <c r="L901" i="12"/>
  <c r="L900" i="12"/>
  <c r="L899" i="12"/>
  <c r="L898" i="12"/>
  <c r="L897" i="12"/>
  <c r="L896" i="12"/>
  <c r="L895" i="12"/>
  <c r="L894" i="12"/>
  <c r="L893" i="12"/>
  <c r="L892" i="12"/>
  <c r="L891" i="12"/>
  <c r="L890" i="12"/>
  <c r="L889" i="12"/>
  <c r="L888" i="12"/>
  <c r="L887" i="12"/>
  <c r="L886" i="12"/>
  <c r="L885" i="12"/>
  <c r="L884" i="12"/>
  <c r="L883" i="12"/>
  <c r="L882" i="12"/>
  <c r="L881" i="12"/>
  <c r="L880" i="12"/>
  <c r="L879" i="12"/>
  <c r="L878" i="12"/>
  <c r="L877" i="12"/>
  <c r="L876" i="12"/>
  <c r="L875" i="12"/>
  <c r="L874" i="12"/>
  <c r="L873" i="12"/>
  <c r="L872" i="12"/>
  <c r="L871" i="12"/>
  <c r="L870" i="12"/>
  <c r="L869" i="12"/>
  <c r="L868" i="12"/>
  <c r="L867" i="12"/>
  <c r="L866" i="12"/>
  <c r="L865" i="12"/>
  <c r="L864" i="12"/>
  <c r="L863" i="12"/>
  <c r="L862" i="12"/>
  <c r="L861" i="12"/>
  <c r="L860" i="12"/>
  <c r="L859" i="12"/>
  <c r="L858" i="12"/>
  <c r="L857" i="12"/>
  <c r="L856" i="12"/>
  <c r="L855" i="12"/>
  <c r="L854" i="12"/>
  <c r="L853" i="12"/>
  <c r="L852" i="12"/>
  <c r="L851" i="12"/>
  <c r="L850" i="12"/>
  <c r="L849" i="12"/>
  <c r="L848" i="12"/>
  <c r="L847" i="12"/>
  <c r="L846" i="12"/>
  <c r="L845" i="12"/>
  <c r="L844" i="12"/>
  <c r="L843" i="12"/>
  <c r="L842" i="12"/>
  <c r="L841" i="12"/>
  <c r="L840" i="12"/>
  <c r="L839" i="12"/>
  <c r="L838" i="12"/>
  <c r="L522" i="12"/>
  <c r="K522" i="12"/>
  <c r="L519" i="12"/>
  <c r="K519" i="12"/>
  <c r="L511" i="12"/>
  <c r="K511" i="12"/>
  <c r="L503" i="12"/>
  <c r="K503" i="12"/>
  <c r="L495" i="12"/>
  <c r="K495" i="12"/>
  <c r="L490" i="12"/>
  <c r="K490" i="12"/>
  <c r="L482" i="12"/>
  <c r="K482" i="12"/>
  <c r="L474" i="12"/>
  <c r="K474" i="12"/>
  <c r="K468" i="12"/>
  <c r="L468" i="12"/>
  <c r="K466" i="12"/>
  <c r="L466" i="12"/>
  <c r="K462" i="12"/>
  <c r="L462" i="12"/>
  <c r="K454" i="12"/>
  <c r="L454" i="12"/>
  <c r="K448" i="12"/>
  <c r="L448" i="12"/>
  <c r="K442" i="12"/>
  <c r="L442" i="12"/>
  <c r="K436" i="12"/>
  <c r="L436" i="12"/>
  <c r="K432" i="12"/>
  <c r="L432" i="12"/>
  <c r="K428" i="12"/>
  <c r="L428" i="12"/>
  <c r="K422" i="12"/>
  <c r="L422" i="12"/>
  <c r="K416" i="12"/>
  <c r="L416" i="12"/>
  <c r="K412" i="12"/>
  <c r="L412" i="12"/>
  <c r="K406" i="12"/>
  <c r="L406" i="12"/>
  <c r="K402" i="12"/>
  <c r="L402" i="12"/>
  <c r="K394" i="12"/>
  <c r="L394" i="12"/>
  <c r="K388" i="12"/>
  <c r="L388" i="12"/>
  <c r="K382" i="12"/>
  <c r="L382" i="12"/>
  <c r="K376" i="12"/>
  <c r="L376" i="12"/>
  <c r="K370" i="12"/>
  <c r="L370" i="12"/>
  <c r="K364" i="12"/>
  <c r="L364" i="12"/>
  <c r="K360" i="12"/>
  <c r="L360" i="12"/>
  <c r="K354" i="12"/>
  <c r="L354" i="12"/>
  <c r="K348" i="12"/>
  <c r="L348" i="12"/>
  <c r="K342" i="12"/>
  <c r="L342" i="12"/>
  <c r="K336" i="12"/>
  <c r="L336" i="12"/>
  <c r="K328" i="12"/>
  <c r="L328" i="12"/>
  <c r="K322" i="12"/>
  <c r="L322" i="12"/>
  <c r="K316" i="12"/>
  <c r="L316" i="12"/>
  <c r="K310" i="12"/>
  <c r="L310" i="12"/>
  <c r="K304" i="12"/>
  <c r="L304" i="12"/>
  <c r="K298" i="12"/>
  <c r="L298" i="12"/>
  <c r="K292" i="12"/>
  <c r="L292" i="12"/>
  <c r="K284" i="12"/>
  <c r="L284" i="12"/>
  <c r="K278" i="12"/>
  <c r="L278" i="12"/>
  <c r="K272" i="12"/>
  <c r="L272" i="12"/>
  <c r="K266" i="12"/>
  <c r="L266" i="12"/>
  <c r="K264" i="12"/>
  <c r="L264" i="12"/>
  <c r="K258" i="12"/>
  <c r="L258" i="12"/>
  <c r="K250" i="12"/>
  <c r="L250" i="12"/>
  <c r="K246" i="12"/>
  <c r="L246" i="12"/>
  <c r="K240" i="12"/>
  <c r="L240" i="12"/>
  <c r="K234" i="12"/>
  <c r="L234" i="12"/>
  <c r="K230" i="12"/>
  <c r="L230" i="12"/>
  <c r="K224" i="12"/>
  <c r="L224" i="12"/>
  <c r="K220" i="12"/>
  <c r="L220" i="12"/>
  <c r="K212" i="12"/>
  <c r="L212" i="12"/>
  <c r="K204" i="12"/>
  <c r="L204" i="12"/>
  <c r="K137" i="12"/>
  <c r="L137" i="12"/>
  <c r="K121" i="12"/>
  <c r="L121" i="12"/>
  <c r="K89" i="12"/>
  <c r="L89" i="12"/>
  <c r="K86" i="12"/>
  <c r="L86" i="12"/>
  <c r="K57" i="12"/>
  <c r="L57" i="12"/>
  <c r="K54" i="12"/>
  <c r="L54" i="12"/>
  <c r="K46" i="12"/>
  <c r="L46" i="12"/>
  <c r="K43" i="12"/>
  <c r="L43" i="12"/>
  <c r="L976" i="12"/>
  <c r="L834" i="12"/>
  <c r="L830" i="12"/>
  <c r="L826" i="12"/>
  <c r="L822" i="12"/>
  <c r="L818" i="12"/>
  <c r="L814" i="12"/>
  <c r="L810" i="12"/>
  <c r="L806" i="12"/>
  <c r="L802" i="12"/>
  <c r="L798" i="12"/>
  <c r="L794" i="12"/>
  <c r="L790" i="12"/>
  <c r="L786" i="12"/>
  <c r="L782" i="12"/>
  <c r="L778" i="12"/>
  <c r="L774" i="12"/>
  <c r="L770" i="12"/>
  <c r="L766" i="12"/>
  <c r="L762" i="12"/>
  <c r="L758" i="12"/>
  <c r="L754" i="12"/>
  <c r="L750" i="12"/>
  <c r="L746" i="12"/>
  <c r="L742" i="12"/>
  <c r="L738" i="12"/>
  <c r="L734" i="12"/>
  <c r="L730" i="12"/>
  <c r="L726" i="12"/>
  <c r="L722" i="12"/>
  <c r="L718" i="12"/>
  <c r="L714" i="12"/>
  <c r="L710" i="12"/>
  <c r="L706" i="12"/>
  <c r="L702" i="12"/>
  <c r="L698" i="12"/>
  <c r="L694" i="12"/>
  <c r="L690" i="12"/>
  <c r="L686" i="12"/>
  <c r="L682" i="12"/>
  <c r="L678" i="12"/>
  <c r="L674" i="12"/>
  <c r="L670" i="12"/>
  <c r="L666" i="12"/>
  <c r="L662" i="12"/>
  <c r="L658" i="12"/>
  <c r="L654" i="12"/>
  <c r="L650" i="12"/>
  <c r="L646" i="12"/>
  <c r="L642" i="12"/>
  <c r="L638" i="12"/>
  <c r="L634" i="12"/>
  <c r="L630" i="12"/>
  <c r="L626" i="12"/>
  <c r="L622" i="12"/>
  <c r="L618" i="12"/>
  <c r="L614" i="12"/>
  <c r="L610" i="12"/>
  <c r="L606" i="12"/>
  <c r="L602" i="12"/>
  <c r="L598" i="12"/>
  <c r="L594" i="12"/>
  <c r="L590" i="12"/>
  <c r="L586" i="12"/>
  <c r="L582" i="12"/>
  <c r="L578" i="12"/>
  <c r="L574" i="12"/>
  <c r="L570" i="12"/>
  <c r="L566" i="12"/>
  <c r="L562" i="12"/>
  <c r="L558" i="12"/>
  <c r="L554" i="12"/>
  <c r="L550" i="12"/>
  <c r="L546" i="12"/>
  <c r="L542" i="12"/>
  <c r="L538" i="12"/>
  <c r="L534" i="12"/>
  <c r="L530" i="12"/>
  <c r="L526" i="12"/>
  <c r="K526" i="12"/>
  <c r="L523" i="12"/>
  <c r="K523" i="12"/>
  <c r="L518" i="12"/>
  <c r="K518" i="12"/>
  <c r="L515" i="12"/>
  <c r="K515" i="12"/>
  <c r="L510" i="12"/>
  <c r="K510" i="12"/>
  <c r="L507" i="12"/>
  <c r="K507" i="12"/>
  <c r="L502" i="12"/>
  <c r="K502" i="12"/>
  <c r="L499" i="12"/>
  <c r="K499" i="12"/>
  <c r="L494" i="12"/>
  <c r="K494" i="12"/>
  <c r="L491" i="12"/>
  <c r="K491" i="12"/>
  <c r="L486" i="12"/>
  <c r="K486" i="12"/>
  <c r="L483" i="12"/>
  <c r="K483" i="12"/>
  <c r="L478" i="12"/>
  <c r="K478" i="12"/>
  <c r="L475" i="12"/>
  <c r="K475" i="12"/>
  <c r="L527" i="12"/>
  <c r="K527" i="12"/>
  <c r="L514" i="12"/>
  <c r="K514" i="12"/>
  <c r="L506" i="12"/>
  <c r="K506" i="12"/>
  <c r="L487" i="12"/>
  <c r="K487" i="12"/>
  <c r="K470" i="12"/>
  <c r="L470" i="12"/>
  <c r="K460" i="12"/>
  <c r="L460" i="12"/>
  <c r="K452" i="12"/>
  <c r="L452" i="12"/>
  <c r="K446" i="12"/>
  <c r="L446" i="12"/>
  <c r="K440" i="12"/>
  <c r="L440" i="12"/>
  <c r="K434" i="12"/>
  <c r="L434" i="12"/>
  <c r="K426" i="12"/>
  <c r="L426" i="12"/>
  <c r="K418" i="12"/>
  <c r="L418" i="12"/>
  <c r="K410" i="12"/>
  <c r="L410" i="12"/>
  <c r="K404" i="12"/>
  <c r="L404" i="12"/>
  <c r="K398" i="12"/>
  <c r="L398" i="12"/>
  <c r="K392" i="12"/>
  <c r="L392" i="12"/>
  <c r="K386" i="12"/>
  <c r="L386" i="12"/>
  <c r="K380" i="12"/>
  <c r="L380" i="12"/>
  <c r="K372" i="12"/>
  <c r="L372" i="12"/>
  <c r="K366" i="12"/>
  <c r="L366" i="12"/>
  <c r="K358" i="12"/>
  <c r="L358" i="12"/>
  <c r="K350" i="12"/>
  <c r="L350" i="12"/>
  <c r="K344" i="12"/>
  <c r="L344" i="12"/>
  <c r="K338" i="12"/>
  <c r="L338" i="12"/>
  <c r="K332" i="12"/>
  <c r="L332" i="12"/>
  <c r="K326" i="12"/>
  <c r="L326" i="12"/>
  <c r="K318" i="12"/>
  <c r="L318" i="12"/>
  <c r="K312" i="12"/>
  <c r="L312" i="12"/>
  <c r="K306" i="12"/>
  <c r="L306" i="12"/>
  <c r="K300" i="12"/>
  <c r="L300" i="12"/>
  <c r="K294" i="12"/>
  <c r="L294" i="12"/>
  <c r="K288" i="12"/>
  <c r="L288" i="12"/>
  <c r="K280" i="12"/>
  <c r="L280" i="12"/>
  <c r="K274" i="12"/>
  <c r="L274" i="12"/>
  <c r="K270" i="12"/>
  <c r="L270" i="12"/>
  <c r="K262" i="12"/>
  <c r="L262" i="12"/>
  <c r="K256" i="12"/>
  <c r="L256" i="12"/>
  <c r="K252" i="12"/>
  <c r="L252" i="12"/>
  <c r="K244" i="12"/>
  <c r="L244" i="12"/>
  <c r="K236" i="12"/>
  <c r="L236" i="12"/>
  <c r="K226" i="12"/>
  <c r="L226" i="12"/>
  <c r="L835" i="12"/>
  <c r="L831" i="12"/>
  <c r="L827" i="12"/>
  <c r="L823" i="12"/>
  <c r="L819" i="12"/>
  <c r="L815" i="12"/>
  <c r="L811" i="12"/>
  <c r="L807" i="12"/>
  <c r="L803" i="12"/>
  <c r="L799" i="12"/>
  <c r="L795" i="12"/>
  <c r="L791" i="12"/>
  <c r="L787" i="12"/>
  <c r="L783" i="12"/>
  <c r="L779" i="12"/>
  <c r="L775" i="12"/>
  <c r="L771" i="12"/>
  <c r="L767" i="12"/>
  <c r="L763" i="12"/>
  <c r="L759" i="12"/>
  <c r="L755" i="12"/>
  <c r="L751" i="12"/>
  <c r="L747" i="12"/>
  <c r="L743" i="12"/>
  <c r="L739" i="12"/>
  <c r="L735" i="12"/>
  <c r="L731" i="12"/>
  <c r="L727" i="12"/>
  <c r="L723" i="12"/>
  <c r="L719" i="12"/>
  <c r="L715" i="12"/>
  <c r="L711" i="12"/>
  <c r="L707" i="12"/>
  <c r="L703" i="12"/>
  <c r="L699" i="12"/>
  <c r="L695" i="12"/>
  <c r="L691" i="12"/>
  <c r="L687" i="12"/>
  <c r="L683" i="12"/>
  <c r="L679" i="12"/>
  <c r="L675" i="12"/>
  <c r="L671" i="12"/>
  <c r="L667" i="12"/>
  <c r="L663" i="12"/>
  <c r="L659" i="12"/>
  <c r="L655" i="12"/>
  <c r="L651" i="12"/>
  <c r="L647" i="12"/>
  <c r="L643" i="12"/>
  <c r="L639" i="12"/>
  <c r="L635" i="12"/>
  <c r="L631" i="12"/>
  <c r="L627" i="12"/>
  <c r="L623" i="12"/>
  <c r="L619" i="12"/>
  <c r="L615" i="12"/>
  <c r="L611" i="12"/>
  <c r="L607" i="12"/>
  <c r="L603" i="12"/>
  <c r="L599" i="12"/>
  <c r="L595" i="12"/>
  <c r="L591" i="12"/>
  <c r="L587" i="12"/>
  <c r="L583" i="12"/>
  <c r="L579" i="12"/>
  <c r="L575" i="12"/>
  <c r="L571" i="12"/>
  <c r="L567" i="12"/>
  <c r="L563" i="12"/>
  <c r="L559" i="12"/>
  <c r="L555" i="12"/>
  <c r="L551" i="12"/>
  <c r="L547" i="12"/>
  <c r="L543" i="12"/>
  <c r="L539" i="12"/>
  <c r="L535" i="12"/>
  <c r="L531" i="12"/>
  <c r="K473" i="12"/>
  <c r="L473" i="12"/>
  <c r="K471" i="12"/>
  <c r="L471" i="12"/>
  <c r="K469" i="12"/>
  <c r="L469" i="12"/>
  <c r="K467" i="12"/>
  <c r="L467" i="12"/>
  <c r="K465" i="12"/>
  <c r="L465" i="12"/>
  <c r="K463" i="12"/>
  <c r="L463" i="12"/>
  <c r="K461" i="12"/>
  <c r="L461" i="12"/>
  <c r="K459" i="12"/>
  <c r="L459" i="12"/>
  <c r="K457" i="12"/>
  <c r="L457" i="12"/>
  <c r="K455" i="12"/>
  <c r="L455" i="12"/>
  <c r="K453" i="12"/>
  <c r="L453" i="12"/>
  <c r="K451" i="12"/>
  <c r="L451" i="12"/>
  <c r="K449" i="12"/>
  <c r="L449" i="12"/>
  <c r="K447" i="12"/>
  <c r="L447" i="12"/>
  <c r="K445" i="12"/>
  <c r="L445" i="12"/>
  <c r="K443" i="12"/>
  <c r="L443" i="12"/>
  <c r="K441" i="12"/>
  <c r="L441" i="12"/>
  <c r="K439" i="12"/>
  <c r="L439" i="12"/>
  <c r="K437" i="12"/>
  <c r="L437" i="12"/>
  <c r="K435" i="12"/>
  <c r="L435" i="12"/>
  <c r="K433" i="12"/>
  <c r="L433" i="12"/>
  <c r="K431" i="12"/>
  <c r="L431" i="12"/>
  <c r="K429" i="12"/>
  <c r="L429" i="12"/>
  <c r="K427" i="12"/>
  <c r="L427" i="12"/>
  <c r="K425" i="12"/>
  <c r="L425" i="12"/>
  <c r="K423" i="12"/>
  <c r="L423" i="12"/>
  <c r="K421" i="12"/>
  <c r="L421" i="12"/>
  <c r="K419" i="12"/>
  <c r="L419" i="12"/>
  <c r="K417" i="12"/>
  <c r="L417" i="12"/>
  <c r="K415" i="12"/>
  <c r="L415" i="12"/>
  <c r="K413" i="12"/>
  <c r="L413" i="12"/>
  <c r="K411" i="12"/>
  <c r="L411" i="12"/>
  <c r="K409" i="12"/>
  <c r="L409" i="12"/>
  <c r="K407" i="12"/>
  <c r="L407" i="12"/>
  <c r="K405" i="12"/>
  <c r="L405" i="12"/>
  <c r="K403" i="12"/>
  <c r="L403" i="12"/>
  <c r="K401" i="12"/>
  <c r="L401" i="12"/>
  <c r="K399" i="12"/>
  <c r="L399" i="12"/>
  <c r="K397" i="12"/>
  <c r="L397" i="12"/>
  <c r="K395" i="12"/>
  <c r="L395" i="12"/>
  <c r="K393" i="12"/>
  <c r="L393" i="12"/>
  <c r="K391" i="12"/>
  <c r="L391" i="12"/>
  <c r="K389" i="12"/>
  <c r="L389" i="12"/>
  <c r="K387" i="12"/>
  <c r="L387" i="12"/>
  <c r="K385" i="12"/>
  <c r="L385" i="12"/>
  <c r="K383" i="12"/>
  <c r="L383" i="12"/>
  <c r="K381" i="12"/>
  <c r="L381" i="12"/>
  <c r="K379" i="12"/>
  <c r="L379" i="12"/>
  <c r="K377" i="12"/>
  <c r="L377" i="12"/>
  <c r="K375" i="12"/>
  <c r="L375" i="12"/>
  <c r="K373" i="12"/>
  <c r="L373" i="12"/>
  <c r="K371" i="12"/>
  <c r="L371" i="12"/>
  <c r="K369" i="12"/>
  <c r="L369" i="12"/>
  <c r="K367" i="12"/>
  <c r="L367" i="12"/>
  <c r="K365" i="12"/>
  <c r="L365" i="12"/>
  <c r="K363" i="12"/>
  <c r="L363" i="12"/>
  <c r="K361" i="12"/>
  <c r="L361" i="12"/>
  <c r="K359" i="12"/>
  <c r="L359" i="12"/>
  <c r="K357" i="12"/>
  <c r="L357" i="12"/>
  <c r="K355" i="12"/>
  <c r="L355" i="12"/>
  <c r="K353" i="12"/>
  <c r="L353" i="12"/>
  <c r="K351" i="12"/>
  <c r="L351" i="12"/>
  <c r="K349" i="12"/>
  <c r="L349" i="12"/>
  <c r="K347" i="12"/>
  <c r="L347" i="12"/>
  <c r="K345" i="12"/>
  <c r="L345" i="12"/>
  <c r="K343" i="12"/>
  <c r="L343" i="12"/>
  <c r="K341" i="12"/>
  <c r="L341" i="12"/>
  <c r="K339" i="12"/>
  <c r="L339" i="12"/>
  <c r="K337" i="12"/>
  <c r="L337" i="12"/>
  <c r="K335" i="12"/>
  <c r="L335" i="12"/>
  <c r="K333" i="12"/>
  <c r="L333" i="12"/>
  <c r="K331" i="12"/>
  <c r="L331" i="12"/>
  <c r="K329" i="12"/>
  <c r="L329" i="12"/>
  <c r="K327" i="12"/>
  <c r="L327" i="12"/>
  <c r="K325" i="12"/>
  <c r="L325" i="12"/>
  <c r="K323" i="12"/>
  <c r="L323" i="12"/>
  <c r="K321" i="12"/>
  <c r="L321" i="12"/>
  <c r="K319" i="12"/>
  <c r="L319" i="12"/>
  <c r="K317" i="12"/>
  <c r="L317" i="12"/>
  <c r="K315" i="12"/>
  <c r="L315" i="12"/>
  <c r="K313" i="12"/>
  <c r="L313" i="12"/>
  <c r="K311" i="12"/>
  <c r="L311" i="12"/>
  <c r="K309" i="12"/>
  <c r="L309" i="12"/>
  <c r="K307" i="12"/>
  <c r="L307" i="12"/>
  <c r="K305" i="12"/>
  <c r="L305" i="12"/>
  <c r="K303" i="12"/>
  <c r="L303" i="12"/>
  <c r="K301" i="12"/>
  <c r="L301" i="12"/>
  <c r="K299" i="12"/>
  <c r="L299" i="12"/>
  <c r="K297" i="12"/>
  <c r="L297" i="12"/>
  <c r="K295" i="12"/>
  <c r="L295" i="12"/>
  <c r="K293" i="12"/>
  <c r="L293" i="12"/>
  <c r="K291" i="12"/>
  <c r="L291" i="12"/>
  <c r="K289" i="12"/>
  <c r="L289" i="12"/>
  <c r="K287" i="12"/>
  <c r="L287" i="12"/>
  <c r="K285" i="12"/>
  <c r="L285" i="12"/>
  <c r="K283" i="12"/>
  <c r="L283" i="12"/>
  <c r="K281" i="12"/>
  <c r="L281" i="12"/>
  <c r="K279" i="12"/>
  <c r="L279" i="12"/>
  <c r="K277" i="12"/>
  <c r="L277" i="12"/>
  <c r="K275" i="12"/>
  <c r="L275" i="12"/>
  <c r="K273" i="12"/>
  <c r="L273" i="12"/>
  <c r="K271" i="12"/>
  <c r="L271" i="12"/>
  <c r="K269" i="12"/>
  <c r="L269" i="12"/>
  <c r="K267" i="12"/>
  <c r="L267" i="12"/>
  <c r="K265" i="12"/>
  <c r="L265" i="12"/>
  <c r="K263" i="12"/>
  <c r="L263" i="12"/>
  <c r="K261" i="12"/>
  <c r="L261" i="12"/>
  <c r="K259" i="12"/>
  <c r="L259" i="12"/>
  <c r="K257" i="12"/>
  <c r="L257" i="12"/>
  <c r="K255" i="12"/>
  <c r="L255" i="12"/>
  <c r="K253" i="12"/>
  <c r="L253" i="12"/>
  <c r="K251" i="12"/>
  <c r="L251" i="12"/>
  <c r="K249" i="12"/>
  <c r="L249" i="12"/>
  <c r="K247" i="12"/>
  <c r="L247" i="12"/>
  <c r="K245" i="12"/>
  <c r="L245" i="12"/>
  <c r="K243" i="12"/>
  <c r="L243" i="12"/>
  <c r="K241" i="12"/>
  <c r="L241" i="12"/>
  <c r="K239" i="12"/>
  <c r="L239" i="12"/>
  <c r="K237" i="12"/>
  <c r="L237" i="12"/>
  <c r="K235" i="12"/>
  <c r="L235" i="12"/>
  <c r="K233" i="12"/>
  <c r="L233" i="12"/>
  <c r="K231" i="12"/>
  <c r="L231" i="12"/>
  <c r="K229" i="12"/>
  <c r="L229" i="12"/>
  <c r="K227" i="12"/>
  <c r="L227" i="12"/>
  <c r="K225" i="12"/>
  <c r="L225" i="12"/>
  <c r="K223" i="12"/>
  <c r="L223" i="12"/>
  <c r="K221" i="12"/>
  <c r="L221" i="12"/>
  <c r="K216" i="12"/>
  <c r="L216" i="12"/>
  <c r="K208" i="12"/>
  <c r="L208" i="12"/>
  <c r="K200" i="12"/>
  <c r="L200" i="12"/>
  <c r="K192" i="12"/>
  <c r="L192" i="12"/>
  <c r="K184" i="12"/>
  <c r="L184" i="12"/>
  <c r="K176" i="12"/>
  <c r="L176" i="12"/>
  <c r="K168" i="12"/>
  <c r="L168" i="12"/>
  <c r="K160" i="12"/>
  <c r="L160" i="12"/>
  <c r="K147" i="12"/>
  <c r="L147" i="12"/>
  <c r="K144" i="12"/>
  <c r="L144" i="12"/>
  <c r="K131" i="12"/>
  <c r="L131" i="12"/>
  <c r="K128" i="12"/>
  <c r="L128" i="12"/>
  <c r="K115" i="12"/>
  <c r="L115" i="12"/>
  <c r="K112" i="12"/>
  <c r="L112" i="12"/>
  <c r="K99" i="12"/>
  <c r="L99" i="12"/>
  <c r="K96" i="12"/>
  <c r="L96" i="12"/>
  <c r="K71" i="12"/>
  <c r="L71" i="12"/>
  <c r="K69" i="12"/>
  <c r="L69" i="12"/>
  <c r="K66" i="12"/>
  <c r="L66" i="12"/>
  <c r="K148" i="12"/>
  <c r="L148" i="12"/>
  <c r="K132" i="12"/>
  <c r="L132" i="12"/>
  <c r="K116" i="12"/>
  <c r="L116" i="12"/>
  <c r="K100" i="12"/>
  <c r="L100" i="12"/>
  <c r="K78" i="12"/>
  <c r="L78" i="12"/>
  <c r="K75" i="12"/>
  <c r="L75" i="12"/>
  <c r="K152" i="12"/>
  <c r="L152" i="12"/>
  <c r="K136" i="12"/>
  <c r="L136" i="12"/>
  <c r="K120" i="12"/>
  <c r="L120" i="12"/>
  <c r="K104" i="12"/>
  <c r="L104" i="12"/>
  <c r="K85" i="12"/>
  <c r="L85" i="12"/>
  <c r="K82" i="12"/>
  <c r="L82" i="12"/>
  <c r="K70" i="12"/>
  <c r="L70" i="12"/>
  <c r="K53" i="12"/>
  <c r="L53" i="12"/>
  <c r="K50" i="12"/>
  <c r="L50" i="12"/>
  <c r="K39" i="12"/>
  <c r="L39" i="12"/>
  <c r="K37" i="12"/>
  <c r="L37" i="12"/>
  <c r="K34" i="12"/>
  <c r="L34" i="12"/>
  <c r="L217" i="12"/>
  <c r="L213" i="12"/>
  <c r="L209" i="12"/>
  <c r="L205" i="12"/>
  <c r="L201" i="12"/>
  <c r="L197" i="12"/>
  <c r="L193" i="12"/>
  <c r="L189" i="12"/>
  <c r="L185" i="12"/>
  <c r="L181" i="12"/>
  <c r="L177" i="12"/>
  <c r="L173" i="12"/>
  <c r="L169" i="12"/>
  <c r="L165" i="12"/>
  <c r="L161" i="12"/>
  <c r="L157" i="12"/>
  <c r="K156" i="12"/>
  <c r="L156" i="12"/>
  <c r="L151" i="12"/>
  <c r="L141" i="12"/>
  <c r="K140" i="12"/>
  <c r="L140" i="12"/>
  <c r="L135" i="12"/>
  <c r="L125" i="12"/>
  <c r="K124" i="12"/>
  <c r="L124" i="12"/>
  <c r="L119" i="12"/>
  <c r="L109" i="12"/>
  <c r="K108" i="12"/>
  <c r="L108" i="12"/>
  <c r="L103" i="12"/>
  <c r="L93" i="12"/>
  <c r="K92" i="12"/>
  <c r="L92" i="12"/>
  <c r="L81" i="12"/>
  <c r="L63" i="12"/>
  <c r="K62" i="12"/>
  <c r="L62" i="12"/>
  <c r="K59" i="12"/>
  <c r="L59" i="12"/>
  <c r="K38" i="12"/>
  <c r="L38" i="12"/>
  <c r="K74" i="12"/>
  <c r="L74" i="12"/>
  <c r="K58" i="12"/>
  <c r="L58" i="12"/>
  <c r="K42" i="12"/>
  <c r="L42" i="12"/>
  <c r="F50" i="3"/>
  <c r="F47" i="3"/>
  <c r="F46" i="3"/>
  <c r="F44" i="3"/>
  <c r="F45" i="3"/>
  <c r="F9" i="3"/>
  <c r="C9" i="3" s="1"/>
  <c r="F8" i="3"/>
  <c r="C8" i="3" s="1"/>
  <c r="F7" i="3"/>
  <c r="C7" i="3" s="1"/>
  <c r="S7" i="5" l="1"/>
  <c r="T7" i="5"/>
  <c r="R7" i="5"/>
  <c r="C44" i="3"/>
  <c r="D44" i="3"/>
  <c r="C47" i="3"/>
  <c r="D47" i="3"/>
  <c r="D9" i="3"/>
  <c r="C46" i="3"/>
  <c r="D46" i="3"/>
  <c r="D8" i="3"/>
  <c r="C45" i="3"/>
  <c r="D45" i="3"/>
  <c r="C48" i="3"/>
  <c r="D48" i="3"/>
  <c r="D7" i="3"/>
  <c r="S8" i="5"/>
  <c r="R8" i="5"/>
  <c r="U8" i="5"/>
  <c r="T8" i="5"/>
  <c r="R17" i="5"/>
  <c r="U17" i="5"/>
  <c r="T17" i="5"/>
  <c r="S17" i="5"/>
  <c r="S10" i="5"/>
  <c r="R10" i="5"/>
  <c r="T10" i="5"/>
  <c r="U10" i="5"/>
  <c r="R76" i="5"/>
  <c r="S76" i="5"/>
  <c r="T76" i="5"/>
  <c r="U76" i="5"/>
  <c r="S75" i="5"/>
  <c r="R75" i="5"/>
  <c r="T75" i="5"/>
  <c r="R108" i="5"/>
  <c r="T108" i="5"/>
  <c r="B30" i="3"/>
  <c r="B29" i="3"/>
  <c r="B28" i="3"/>
  <c r="A30" i="3"/>
  <c r="A29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B19" i="3"/>
  <c r="B10" i="3"/>
  <c r="A38" i="3"/>
  <c r="A32" i="3"/>
  <c r="A21" i="3"/>
  <c r="B20" i="3"/>
  <c r="A20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A10" i="3"/>
  <c r="F10" i="3" s="1"/>
  <c r="B9" i="3"/>
  <c r="I3" i="10"/>
  <c r="G1" i="2"/>
  <c r="A1" i="2"/>
  <c r="A1" i="3"/>
  <c r="F5" i="12"/>
  <c r="F6" i="12"/>
  <c r="E18" i="12"/>
  <c r="H18" i="12" s="1"/>
  <c r="F18" i="12"/>
  <c r="E19" i="12"/>
  <c r="H19" i="12" s="1"/>
  <c r="F19" i="12"/>
  <c r="E20" i="12"/>
  <c r="H20" i="12" s="1"/>
  <c r="F20" i="12"/>
  <c r="E21" i="12"/>
  <c r="F21" i="12"/>
  <c r="E22" i="12"/>
  <c r="H22" i="12" s="1"/>
  <c r="F22" i="12"/>
  <c r="E23" i="12"/>
  <c r="H23" i="12" s="1"/>
  <c r="F23" i="12"/>
  <c r="E24" i="12"/>
  <c r="H24" i="12" s="1"/>
  <c r="F24" i="12"/>
  <c r="E25" i="12"/>
  <c r="F25" i="12"/>
  <c r="E26" i="12"/>
  <c r="H26" i="12" s="1"/>
  <c r="F26" i="12"/>
  <c r="E27" i="12"/>
  <c r="F27" i="12"/>
  <c r="E28" i="12"/>
  <c r="H28" i="12" s="1"/>
  <c r="F28" i="12"/>
  <c r="E29" i="12"/>
  <c r="F29" i="12"/>
  <c r="E30" i="12"/>
  <c r="H30" i="12" s="1"/>
  <c r="F30" i="12"/>
  <c r="E31" i="12"/>
  <c r="H31" i="12" s="1"/>
  <c r="F31" i="12"/>
  <c r="E32" i="12"/>
  <c r="F32" i="12"/>
  <c r="E33" i="12"/>
  <c r="F33" i="12"/>
  <c r="E34" i="12"/>
  <c r="H34" i="12" s="1"/>
  <c r="F34" i="12"/>
  <c r="E35" i="12"/>
  <c r="H35" i="12" s="1"/>
  <c r="F35" i="12"/>
  <c r="E36" i="12"/>
  <c r="H36" i="12" s="1"/>
  <c r="F36" i="12"/>
  <c r="E37" i="12"/>
  <c r="F37" i="12"/>
  <c r="E38" i="12"/>
  <c r="H38" i="12" s="1"/>
  <c r="F38" i="12"/>
  <c r="E39" i="12"/>
  <c r="H39" i="12" s="1"/>
  <c r="F39" i="12"/>
  <c r="E40" i="12"/>
  <c r="H40" i="12" s="1"/>
  <c r="F40" i="12"/>
  <c r="E41" i="12"/>
  <c r="F41" i="12"/>
  <c r="E42" i="12"/>
  <c r="H42" i="12" s="1"/>
  <c r="F42" i="12"/>
  <c r="E43" i="12"/>
  <c r="F43" i="12"/>
  <c r="E44" i="12"/>
  <c r="H44" i="12" s="1"/>
  <c r="F44" i="12"/>
  <c r="E45" i="12"/>
  <c r="F45" i="12"/>
  <c r="E46" i="12"/>
  <c r="H46" i="12" s="1"/>
  <c r="F46" i="12"/>
  <c r="E47" i="12"/>
  <c r="H47" i="12" s="1"/>
  <c r="F47" i="12"/>
  <c r="E48" i="12"/>
  <c r="F48" i="12"/>
  <c r="E49" i="12"/>
  <c r="F49" i="12"/>
  <c r="E50" i="12"/>
  <c r="H50" i="12" s="1"/>
  <c r="F50" i="12"/>
  <c r="E51" i="12"/>
  <c r="H51" i="12" s="1"/>
  <c r="F51" i="12"/>
  <c r="E52" i="12"/>
  <c r="H52" i="12" s="1"/>
  <c r="F52" i="12"/>
  <c r="E53" i="12"/>
  <c r="F53" i="12"/>
  <c r="E54" i="12"/>
  <c r="H54" i="12" s="1"/>
  <c r="F54" i="12"/>
  <c r="E55" i="12"/>
  <c r="H55" i="12" s="1"/>
  <c r="F55" i="12"/>
  <c r="E56" i="12"/>
  <c r="H56" i="12" s="1"/>
  <c r="F56" i="12"/>
  <c r="E57" i="12"/>
  <c r="F57" i="12"/>
  <c r="E58" i="12"/>
  <c r="H58" i="12" s="1"/>
  <c r="F58" i="12"/>
  <c r="E59" i="12"/>
  <c r="F59" i="12"/>
  <c r="E60" i="12"/>
  <c r="H60" i="12" s="1"/>
  <c r="F60" i="12"/>
  <c r="E61" i="12"/>
  <c r="F61" i="12"/>
  <c r="E62" i="12"/>
  <c r="H62" i="12" s="1"/>
  <c r="F62" i="12"/>
  <c r="E63" i="12"/>
  <c r="H63" i="12" s="1"/>
  <c r="F63" i="12"/>
  <c r="E64" i="12"/>
  <c r="F64" i="12"/>
  <c r="E65" i="12"/>
  <c r="F65" i="12"/>
  <c r="E66" i="12"/>
  <c r="H66" i="12" s="1"/>
  <c r="F66" i="12"/>
  <c r="E67" i="12"/>
  <c r="H67" i="12" s="1"/>
  <c r="F67" i="12"/>
  <c r="E68" i="12"/>
  <c r="H68" i="12" s="1"/>
  <c r="F68" i="12"/>
  <c r="E69" i="12"/>
  <c r="F69" i="12"/>
  <c r="E70" i="12"/>
  <c r="H70" i="12" s="1"/>
  <c r="F70" i="12"/>
  <c r="E71" i="12"/>
  <c r="H71" i="12" s="1"/>
  <c r="F71" i="12"/>
  <c r="E72" i="12"/>
  <c r="H72" i="12" s="1"/>
  <c r="F72" i="12"/>
  <c r="E73" i="12"/>
  <c r="F73" i="12"/>
  <c r="E74" i="12"/>
  <c r="H74" i="12" s="1"/>
  <c r="F74" i="12"/>
  <c r="G74" i="12"/>
  <c r="E75" i="12"/>
  <c r="F75" i="12"/>
  <c r="E76" i="12"/>
  <c r="H76" i="12" s="1"/>
  <c r="F76" i="12"/>
  <c r="E77" i="12"/>
  <c r="F77" i="12"/>
  <c r="E78" i="12"/>
  <c r="H78" i="12" s="1"/>
  <c r="F78" i="12"/>
  <c r="E79" i="12"/>
  <c r="H79" i="12" s="1"/>
  <c r="F79" i="12"/>
  <c r="E80" i="12"/>
  <c r="F80" i="12"/>
  <c r="E81" i="12"/>
  <c r="F81" i="12"/>
  <c r="E82" i="12"/>
  <c r="H82" i="12" s="1"/>
  <c r="F82" i="12"/>
  <c r="E83" i="12"/>
  <c r="H83" i="12" s="1"/>
  <c r="F83" i="12"/>
  <c r="E84" i="12"/>
  <c r="H84" i="12" s="1"/>
  <c r="F84" i="12"/>
  <c r="E85" i="12"/>
  <c r="F85" i="12"/>
  <c r="E86" i="12"/>
  <c r="H86" i="12" s="1"/>
  <c r="F86" i="12"/>
  <c r="E87" i="12"/>
  <c r="H87" i="12" s="1"/>
  <c r="F87" i="12"/>
  <c r="E88" i="12"/>
  <c r="H88" i="12" s="1"/>
  <c r="F88" i="12"/>
  <c r="E89" i="12"/>
  <c r="F89" i="12"/>
  <c r="E90" i="12"/>
  <c r="H90" i="12" s="1"/>
  <c r="F90" i="12"/>
  <c r="E91" i="12"/>
  <c r="F91" i="12"/>
  <c r="E92" i="12"/>
  <c r="H92" i="12" s="1"/>
  <c r="F92" i="12"/>
  <c r="E93" i="12"/>
  <c r="F93" i="12"/>
  <c r="E94" i="12"/>
  <c r="H94" i="12" s="1"/>
  <c r="F94" i="12"/>
  <c r="E95" i="12"/>
  <c r="H95" i="12" s="1"/>
  <c r="F95" i="12"/>
  <c r="E96" i="12"/>
  <c r="F96" i="12"/>
  <c r="E97" i="12"/>
  <c r="F97" i="12"/>
  <c r="E98" i="12"/>
  <c r="H98" i="12" s="1"/>
  <c r="F98" i="12"/>
  <c r="E99" i="12"/>
  <c r="H99" i="12" s="1"/>
  <c r="F99" i="12"/>
  <c r="E100" i="12"/>
  <c r="H100" i="12" s="1"/>
  <c r="F100" i="12"/>
  <c r="E101" i="12"/>
  <c r="H101" i="12" s="1"/>
  <c r="F101" i="12"/>
  <c r="E102" i="12"/>
  <c r="H102" i="12" s="1"/>
  <c r="F102" i="12"/>
  <c r="E103" i="12"/>
  <c r="H103" i="12" s="1"/>
  <c r="F103" i="12"/>
  <c r="E104" i="12"/>
  <c r="H104" i="12" s="1"/>
  <c r="F104" i="12"/>
  <c r="E105" i="12"/>
  <c r="H105" i="12" s="1"/>
  <c r="F105" i="12"/>
  <c r="E106" i="12"/>
  <c r="H106" i="12" s="1"/>
  <c r="F106" i="12"/>
  <c r="E107" i="12"/>
  <c r="H107" i="12" s="1"/>
  <c r="F107" i="12"/>
  <c r="E108" i="12"/>
  <c r="H108" i="12" s="1"/>
  <c r="F108" i="12"/>
  <c r="E109" i="12"/>
  <c r="H109" i="12" s="1"/>
  <c r="F109" i="12"/>
  <c r="E110" i="12"/>
  <c r="H110" i="12" s="1"/>
  <c r="F110" i="12"/>
  <c r="E111" i="12"/>
  <c r="H111" i="12" s="1"/>
  <c r="F111" i="12"/>
  <c r="E112" i="12"/>
  <c r="H112" i="12" s="1"/>
  <c r="F112" i="12"/>
  <c r="E113" i="12"/>
  <c r="H113" i="12" s="1"/>
  <c r="F113" i="12"/>
  <c r="E114" i="12"/>
  <c r="H114" i="12" s="1"/>
  <c r="F114" i="12"/>
  <c r="E115" i="12"/>
  <c r="H115" i="12" s="1"/>
  <c r="F115" i="12"/>
  <c r="E116" i="12"/>
  <c r="H116" i="12" s="1"/>
  <c r="F116" i="12"/>
  <c r="E117" i="12"/>
  <c r="H117" i="12" s="1"/>
  <c r="F117" i="12"/>
  <c r="E118" i="12"/>
  <c r="H118" i="12" s="1"/>
  <c r="F118" i="12"/>
  <c r="E119" i="12"/>
  <c r="H119" i="12" s="1"/>
  <c r="F119" i="12"/>
  <c r="E120" i="12"/>
  <c r="H120" i="12" s="1"/>
  <c r="F120" i="12"/>
  <c r="E121" i="12"/>
  <c r="H121" i="12" s="1"/>
  <c r="F121" i="12"/>
  <c r="E122" i="12"/>
  <c r="H122" i="12" s="1"/>
  <c r="F122" i="12"/>
  <c r="E123" i="12"/>
  <c r="H123" i="12" s="1"/>
  <c r="F123" i="12"/>
  <c r="E124" i="12"/>
  <c r="H124" i="12" s="1"/>
  <c r="F124" i="12"/>
  <c r="E125" i="12"/>
  <c r="H125" i="12" s="1"/>
  <c r="F125" i="12"/>
  <c r="E126" i="12"/>
  <c r="H126" i="12" s="1"/>
  <c r="F126" i="12"/>
  <c r="E127" i="12"/>
  <c r="F127" i="12"/>
  <c r="E128" i="12"/>
  <c r="H128" i="12" s="1"/>
  <c r="F128" i="12"/>
  <c r="E129" i="12"/>
  <c r="H129" i="12" s="1"/>
  <c r="F129" i="12"/>
  <c r="E130" i="12"/>
  <c r="H130" i="12" s="1"/>
  <c r="F130" i="12"/>
  <c r="E131" i="12"/>
  <c r="H131" i="12" s="1"/>
  <c r="F131" i="12"/>
  <c r="E132" i="12"/>
  <c r="H132" i="12" s="1"/>
  <c r="F132" i="12"/>
  <c r="E133" i="12"/>
  <c r="H133" i="12" s="1"/>
  <c r="F133" i="12"/>
  <c r="E134" i="12"/>
  <c r="H134" i="12" s="1"/>
  <c r="F134" i="12"/>
  <c r="E135" i="12"/>
  <c r="H135" i="12" s="1"/>
  <c r="F135" i="12"/>
  <c r="E136" i="12"/>
  <c r="H136" i="12" s="1"/>
  <c r="F136" i="12"/>
  <c r="E137" i="12"/>
  <c r="H137" i="12" s="1"/>
  <c r="F137" i="12"/>
  <c r="E138" i="12"/>
  <c r="H138" i="12" s="1"/>
  <c r="F138" i="12"/>
  <c r="E139" i="12"/>
  <c r="H139" i="12" s="1"/>
  <c r="F139" i="12"/>
  <c r="E140" i="12"/>
  <c r="H140" i="12" s="1"/>
  <c r="F140" i="12"/>
  <c r="E141" i="12"/>
  <c r="H141" i="12" s="1"/>
  <c r="F141" i="12"/>
  <c r="E142" i="12"/>
  <c r="H142" i="12" s="1"/>
  <c r="F142" i="12"/>
  <c r="E143" i="12"/>
  <c r="H143" i="12" s="1"/>
  <c r="F143" i="12"/>
  <c r="E144" i="12"/>
  <c r="H144" i="12" s="1"/>
  <c r="F144" i="12"/>
  <c r="E145" i="12"/>
  <c r="H145" i="12" s="1"/>
  <c r="F145" i="12"/>
  <c r="E146" i="12"/>
  <c r="H146" i="12" s="1"/>
  <c r="F146" i="12"/>
  <c r="E147" i="12"/>
  <c r="H147" i="12" s="1"/>
  <c r="F147" i="12"/>
  <c r="E148" i="12"/>
  <c r="H148" i="12" s="1"/>
  <c r="F148" i="12"/>
  <c r="E149" i="12"/>
  <c r="H149" i="12" s="1"/>
  <c r="F149" i="12"/>
  <c r="E150" i="12"/>
  <c r="H150" i="12" s="1"/>
  <c r="F150" i="12"/>
  <c r="E151" i="12"/>
  <c r="H151" i="12" s="1"/>
  <c r="F151" i="12"/>
  <c r="E152" i="12"/>
  <c r="H152" i="12" s="1"/>
  <c r="F152" i="12"/>
  <c r="E153" i="12"/>
  <c r="H153" i="12" s="1"/>
  <c r="F153" i="12"/>
  <c r="E154" i="12"/>
  <c r="H154" i="12" s="1"/>
  <c r="F154" i="12"/>
  <c r="E155" i="12"/>
  <c r="H155" i="12" s="1"/>
  <c r="F155" i="12"/>
  <c r="E156" i="12"/>
  <c r="H156" i="12" s="1"/>
  <c r="F156" i="12"/>
  <c r="E157" i="12"/>
  <c r="H157" i="12" s="1"/>
  <c r="F157" i="12"/>
  <c r="E158" i="12"/>
  <c r="H158" i="12" s="1"/>
  <c r="F158" i="12"/>
  <c r="E159" i="12"/>
  <c r="H159" i="12" s="1"/>
  <c r="F159" i="12"/>
  <c r="E160" i="12"/>
  <c r="F160" i="12"/>
  <c r="E161" i="12"/>
  <c r="F161" i="12"/>
  <c r="E162" i="12"/>
  <c r="F162" i="12"/>
  <c r="E163" i="12"/>
  <c r="F163" i="12"/>
  <c r="E164" i="12"/>
  <c r="F164" i="12"/>
  <c r="E165" i="12"/>
  <c r="F165" i="12"/>
  <c r="E166" i="12"/>
  <c r="F166" i="12"/>
  <c r="E167" i="12"/>
  <c r="F167" i="12"/>
  <c r="E168" i="12"/>
  <c r="F168" i="12"/>
  <c r="E169" i="12"/>
  <c r="F169" i="12"/>
  <c r="E170" i="12"/>
  <c r="F170" i="12"/>
  <c r="E171" i="12"/>
  <c r="F171" i="12"/>
  <c r="E172" i="12"/>
  <c r="F172" i="12"/>
  <c r="E173" i="12"/>
  <c r="F173" i="12"/>
  <c r="E174" i="12"/>
  <c r="F174" i="12"/>
  <c r="E175" i="12"/>
  <c r="F175" i="12"/>
  <c r="E176" i="12"/>
  <c r="F176" i="12"/>
  <c r="E177" i="12"/>
  <c r="F177" i="12"/>
  <c r="E178" i="12"/>
  <c r="F178" i="12"/>
  <c r="E179" i="12"/>
  <c r="F179" i="12"/>
  <c r="E180" i="12"/>
  <c r="F180" i="12"/>
  <c r="E181" i="12"/>
  <c r="F181" i="12"/>
  <c r="E182" i="12"/>
  <c r="F182" i="12"/>
  <c r="E183" i="12"/>
  <c r="F183" i="12"/>
  <c r="E184" i="12"/>
  <c r="F184" i="12"/>
  <c r="E185" i="12"/>
  <c r="F185" i="12"/>
  <c r="E186" i="12"/>
  <c r="F186" i="12"/>
  <c r="E187" i="12"/>
  <c r="F187" i="12"/>
  <c r="E188" i="12"/>
  <c r="F188" i="12"/>
  <c r="E189" i="12"/>
  <c r="F189" i="12"/>
  <c r="E190" i="12"/>
  <c r="F190" i="12"/>
  <c r="E191" i="12"/>
  <c r="F191" i="12"/>
  <c r="E192" i="12"/>
  <c r="F192" i="12"/>
  <c r="E193" i="12"/>
  <c r="F193" i="12"/>
  <c r="E194" i="12"/>
  <c r="F194" i="12"/>
  <c r="E195" i="12"/>
  <c r="F195" i="12"/>
  <c r="E196" i="12"/>
  <c r="F196" i="12"/>
  <c r="E197" i="12"/>
  <c r="F197" i="12"/>
  <c r="E198" i="12"/>
  <c r="F198" i="12"/>
  <c r="E199" i="12"/>
  <c r="F199" i="12"/>
  <c r="E200" i="12"/>
  <c r="F200" i="12"/>
  <c r="E201" i="12"/>
  <c r="F201" i="12"/>
  <c r="E202" i="12"/>
  <c r="F202" i="12"/>
  <c r="E203" i="12"/>
  <c r="F203" i="12"/>
  <c r="E204" i="12"/>
  <c r="F204" i="12"/>
  <c r="E205" i="12"/>
  <c r="F205" i="12"/>
  <c r="E206" i="12"/>
  <c r="F206" i="12"/>
  <c r="E207" i="12"/>
  <c r="F207" i="12"/>
  <c r="E208" i="12"/>
  <c r="F208" i="12"/>
  <c r="E209" i="12"/>
  <c r="F209" i="12"/>
  <c r="E210" i="12"/>
  <c r="F210" i="12"/>
  <c r="E211" i="12"/>
  <c r="F211" i="12"/>
  <c r="E212" i="12"/>
  <c r="F212" i="12"/>
  <c r="E213" i="12"/>
  <c r="F213" i="12"/>
  <c r="E214" i="12"/>
  <c r="F214" i="12"/>
  <c r="E215" i="12"/>
  <c r="F215" i="12"/>
  <c r="E216" i="12"/>
  <c r="F216" i="12"/>
  <c r="E217" i="12"/>
  <c r="F217" i="12"/>
  <c r="E218" i="12"/>
  <c r="F218" i="12"/>
  <c r="E219" i="12"/>
  <c r="F219" i="12"/>
  <c r="E220" i="12"/>
  <c r="F220" i="12"/>
  <c r="E221" i="12"/>
  <c r="F221" i="12"/>
  <c r="E222" i="12"/>
  <c r="F222" i="12"/>
  <c r="E223" i="12"/>
  <c r="F223" i="12"/>
  <c r="E224" i="12"/>
  <c r="F224" i="12"/>
  <c r="E225" i="12"/>
  <c r="F225" i="12"/>
  <c r="E226" i="12"/>
  <c r="F226" i="12"/>
  <c r="E227" i="12"/>
  <c r="F227" i="12"/>
  <c r="E228" i="12"/>
  <c r="F228" i="12"/>
  <c r="E229" i="12"/>
  <c r="F229" i="12"/>
  <c r="E230" i="12"/>
  <c r="F230" i="12"/>
  <c r="E231" i="12"/>
  <c r="F231" i="12"/>
  <c r="E232" i="12"/>
  <c r="F232" i="12"/>
  <c r="E233" i="12"/>
  <c r="F233" i="12"/>
  <c r="E234" i="12"/>
  <c r="F234" i="12"/>
  <c r="E235" i="12"/>
  <c r="F235" i="12"/>
  <c r="E236" i="12"/>
  <c r="F236" i="12"/>
  <c r="E237" i="12"/>
  <c r="F237" i="12"/>
  <c r="E238" i="12"/>
  <c r="F238" i="12"/>
  <c r="E239" i="12"/>
  <c r="F239" i="12"/>
  <c r="E240" i="12"/>
  <c r="F240" i="12"/>
  <c r="E241" i="12"/>
  <c r="F241" i="12"/>
  <c r="E242" i="12"/>
  <c r="F242" i="12"/>
  <c r="E243" i="12"/>
  <c r="F243" i="12"/>
  <c r="E244" i="12"/>
  <c r="F244" i="12"/>
  <c r="E245" i="12"/>
  <c r="F245" i="12"/>
  <c r="E246" i="12"/>
  <c r="F246" i="12"/>
  <c r="E247" i="12"/>
  <c r="F247" i="12"/>
  <c r="E248" i="12"/>
  <c r="F248" i="12"/>
  <c r="E249" i="12"/>
  <c r="F249" i="12"/>
  <c r="E250" i="12"/>
  <c r="F250" i="12"/>
  <c r="E251" i="12"/>
  <c r="F251" i="12"/>
  <c r="E252" i="12"/>
  <c r="F252" i="12"/>
  <c r="E253" i="12"/>
  <c r="F253" i="12"/>
  <c r="E254" i="12"/>
  <c r="F254" i="12"/>
  <c r="E255" i="12"/>
  <c r="F255" i="12"/>
  <c r="E256" i="12"/>
  <c r="F256" i="12"/>
  <c r="E257" i="12"/>
  <c r="F257" i="12"/>
  <c r="E258" i="12"/>
  <c r="F258" i="12"/>
  <c r="E259" i="12"/>
  <c r="F259" i="12"/>
  <c r="E260" i="12"/>
  <c r="F260" i="12"/>
  <c r="E261" i="12"/>
  <c r="F261" i="12"/>
  <c r="E262" i="12"/>
  <c r="F262" i="12"/>
  <c r="E263" i="12"/>
  <c r="F263" i="12"/>
  <c r="E264" i="12"/>
  <c r="F264" i="12"/>
  <c r="E265" i="12"/>
  <c r="F265" i="12"/>
  <c r="E266" i="12"/>
  <c r="F266" i="12"/>
  <c r="E267" i="12"/>
  <c r="F267" i="12"/>
  <c r="E268" i="12"/>
  <c r="F268" i="12"/>
  <c r="E269" i="12"/>
  <c r="F269" i="12"/>
  <c r="E270" i="12"/>
  <c r="F270" i="12"/>
  <c r="E271" i="12"/>
  <c r="F271" i="12"/>
  <c r="E272" i="12"/>
  <c r="F272" i="12"/>
  <c r="E273" i="12"/>
  <c r="F273" i="12"/>
  <c r="E274" i="12"/>
  <c r="F274" i="12"/>
  <c r="E275" i="12"/>
  <c r="F275" i="12"/>
  <c r="E276" i="12"/>
  <c r="F276" i="12"/>
  <c r="E277" i="12"/>
  <c r="F277" i="12"/>
  <c r="E278" i="12"/>
  <c r="F278" i="12"/>
  <c r="E279" i="12"/>
  <c r="F279" i="12"/>
  <c r="E280" i="12"/>
  <c r="F280" i="12"/>
  <c r="E281" i="12"/>
  <c r="F281" i="12"/>
  <c r="E282" i="12"/>
  <c r="F282" i="12"/>
  <c r="E283" i="12"/>
  <c r="F283" i="12"/>
  <c r="E284" i="12"/>
  <c r="F284" i="12"/>
  <c r="E285" i="12"/>
  <c r="F285" i="12"/>
  <c r="E286" i="12"/>
  <c r="F286" i="12"/>
  <c r="E287" i="12"/>
  <c r="F287" i="12"/>
  <c r="E288" i="12"/>
  <c r="F288" i="12"/>
  <c r="E289" i="12"/>
  <c r="F289" i="12"/>
  <c r="E290" i="12"/>
  <c r="F290" i="12"/>
  <c r="E291" i="12"/>
  <c r="F291" i="12"/>
  <c r="E292" i="12"/>
  <c r="F292" i="12"/>
  <c r="E293" i="12"/>
  <c r="F293" i="12"/>
  <c r="E294" i="12"/>
  <c r="F294" i="12"/>
  <c r="E295" i="12"/>
  <c r="F295" i="12"/>
  <c r="E296" i="12"/>
  <c r="F296" i="12"/>
  <c r="E297" i="12"/>
  <c r="F297" i="12"/>
  <c r="E298" i="12"/>
  <c r="F298" i="12"/>
  <c r="E299" i="12"/>
  <c r="F299" i="12"/>
  <c r="E300" i="12"/>
  <c r="F300" i="12"/>
  <c r="E301" i="12"/>
  <c r="F301" i="12"/>
  <c r="E302" i="12"/>
  <c r="F302" i="12"/>
  <c r="E303" i="12"/>
  <c r="F303" i="12"/>
  <c r="E304" i="12"/>
  <c r="F304" i="12"/>
  <c r="E305" i="12"/>
  <c r="F305" i="12"/>
  <c r="E306" i="12"/>
  <c r="F306" i="12"/>
  <c r="E307" i="12"/>
  <c r="F307" i="12"/>
  <c r="E308" i="12"/>
  <c r="F308" i="12"/>
  <c r="E309" i="12"/>
  <c r="F309" i="12"/>
  <c r="E310" i="12"/>
  <c r="F310" i="12"/>
  <c r="E311" i="12"/>
  <c r="F311" i="12"/>
  <c r="E312" i="12"/>
  <c r="F312" i="12"/>
  <c r="E313" i="12"/>
  <c r="F313" i="12"/>
  <c r="E314" i="12"/>
  <c r="F314" i="12"/>
  <c r="E315" i="12"/>
  <c r="F315" i="12"/>
  <c r="E316" i="12"/>
  <c r="F316" i="12"/>
  <c r="E317" i="12"/>
  <c r="F317" i="12"/>
  <c r="E318" i="12"/>
  <c r="F318" i="12"/>
  <c r="E319" i="12"/>
  <c r="F319" i="12"/>
  <c r="E320" i="12"/>
  <c r="F320" i="12"/>
  <c r="E321" i="12"/>
  <c r="F321" i="12"/>
  <c r="E322" i="12"/>
  <c r="F322" i="12"/>
  <c r="E323" i="12"/>
  <c r="F323" i="12"/>
  <c r="E324" i="12"/>
  <c r="F324" i="12"/>
  <c r="E325" i="12"/>
  <c r="F325" i="12"/>
  <c r="E326" i="12"/>
  <c r="F326" i="12"/>
  <c r="E327" i="12"/>
  <c r="F327" i="12"/>
  <c r="E328" i="12"/>
  <c r="F328" i="12"/>
  <c r="E329" i="12"/>
  <c r="F329" i="12"/>
  <c r="E330" i="12"/>
  <c r="F330" i="12"/>
  <c r="E331" i="12"/>
  <c r="F331" i="12"/>
  <c r="E332" i="12"/>
  <c r="F332" i="12"/>
  <c r="E333" i="12"/>
  <c r="F333" i="12"/>
  <c r="E334" i="12"/>
  <c r="F334" i="12"/>
  <c r="E335" i="12"/>
  <c r="F335" i="12"/>
  <c r="E336" i="12"/>
  <c r="F336" i="12"/>
  <c r="E337" i="12"/>
  <c r="F337" i="12"/>
  <c r="E338" i="12"/>
  <c r="F338" i="12"/>
  <c r="E339" i="12"/>
  <c r="F339" i="12"/>
  <c r="E340" i="12"/>
  <c r="F340" i="12"/>
  <c r="E341" i="12"/>
  <c r="F341" i="12"/>
  <c r="E342" i="12"/>
  <c r="F342" i="12"/>
  <c r="E343" i="12"/>
  <c r="F343" i="12"/>
  <c r="E344" i="12"/>
  <c r="F344" i="12"/>
  <c r="E345" i="12"/>
  <c r="F345" i="12"/>
  <c r="E346" i="12"/>
  <c r="F346" i="12"/>
  <c r="E347" i="12"/>
  <c r="F347" i="12"/>
  <c r="E348" i="12"/>
  <c r="F348" i="12"/>
  <c r="E349" i="12"/>
  <c r="F349" i="12"/>
  <c r="E350" i="12"/>
  <c r="F350" i="12"/>
  <c r="E351" i="12"/>
  <c r="F351" i="12"/>
  <c r="E352" i="12"/>
  <c r="F352" i="12"/>
  <c r="E353" i="12"/>
  <c r="F353" i="12"/>
  <c r="E354" i="12"/>
  <c r="F354" i="12"/>
  <c r="E355" i="12"/>
  <c r="F355" i="12"/>
  <c r="E356" i="12"/>
  <c r="F356" i="12"/>
  <c r="E357" i="12"/>
  <c r="F357" i="12"/>
  <c r="E358" i="12"/>
  <c r="F358" i="12"/>
  <c r="E359" i="12"/>
  <c r="F359" i="12"/>
  <c r="E360" i="12"/>
  <c r="F360" i="12"/>
  <c r="E361" i="12"/>
  <c r="F361" i="12"/>
  <c r="E362" i="12"/>
  <c r="F362" i="12"/>
  <c r="E363" i="12"/>
  <c r="F363" i="12"/>
  <c r="E364" i="12"/>
  <c r="F364" i="12"/>
  <c r="E365" i="12"/>
  <c r="F365" i="12"/>
  <c r="E366" i="12"/>
  <c r="F366" i="12"/>
  <c r="E367" i="12"/>
  <c r="F367" i="12"/>
  <c r="E368" i="12"/>
  <c r="F368" i="12"/>
  <c r="E369" i="12"/>
  <c r="F369" i="12"/>
  <c r="E370" i="12"/>
  <c r="F370" i="12"/>
  <c r="E371" i="12"/>
  <c r="F371" i="12"/>
  <c r="E372" i="12"/>
  <c r="F372" i="12"/>
  <c r="E373" i="12"/>
  <c r="F373" i="12"/>
  <c r="E374" i="12"/>
  <c r="F374" i="12"/>
  <c r="E375" i="12"/>
  <c r="F375" i="12"/>
  <c r="E376" i="12"/>
  <c r="F376" i="12"/>
  <c r="E377" i="12"/>
  <c r="F377" i="12"/>
  <c r="E378" i="12"/>
  <c r="F378" i="12"/>
  <c r="E379" i="12"/>
  <c r="F379" i="12"/>
  <c r="E380" i="12"/>
  <c r="F380" i="12"/>
  <c r="E381" i="12"/>
  <c r="F381" i="12"/>
  <c r="E382" i="12"/>
  <c r="F382" i="12"/>
  <c r="E383" i="12"/>
  <c r="F383" i="12"/>
  <c r="E384" i="12"/>
  <c r="F384" i="12"/>
  <c r="E385" i="12"/>
  <c r="F385" i="12"/>
  <c r="E386" i="12"/>
  <c r="F386" i="12"/>
  <c r="E387" i="12"/>
  <c r="F387" i="12"/>
  <c r="E388" i="12"/>
  <c r="F388" i="12"/>
  <c r="E389" i="12"/>
  <c r="F389" i="12"/>
  <c r="E390" i="12"/>
  <c r="F390" i="12"/>
  <c r="E391" i="12"/>
  <c r="F391" i="12"/>
  <c r="E392" i="12"/>
  <c r="F392" i="12"/>
  <c r="E393" i="12"/>
  <c r="F393" i="12"/>
  <c r="E394" i="12"/>
  <c r="F394" i="12"/>
  <c r="E395" i="12"/>
  <c r="F395" i="12"/>
  <c r="E396" i="12"/>
  <c r="F396" i="12"/>
  <c r="E397" i="12"/>
  <c r="F397" i="12"/>
  <c r="E398" i="12"/>
  <c r="F398" i="12"/>
  <c r="E399" i="12"/>
  <c r="F399" i="12"/>
  <c r="E400" i="12"/>
  <c r="F400" i="12"/>
  <c r="E401" i="12"/>
  <c r="F401" i="12"/>
  <c r="E402" i="12"/>
  <c r="F402" i="12"/>
  <c r="E403" i="12"/>
  <c r="F403" i="12"/>
  <c r="E404" i="12"/>
  <c r="F404" i="12"/>
  <c r="E405" i="12"/>
  <c r="F405" i="12"/>
  <c r="E406" i="12"/>
  <c r="F406" i="12"/>
  <c r="E407" i="12"/>
  <c r="F407" i="12"/>
  <c r="E408" i="12"/>
  <c r="F408" i="12"/>
  <c r="E409" i="12"/>
  <c r="F409" i="12"/>
  <c r="E410" i="12"/>
  <c r="F410" i="12"/>
  <c r="E411" i="12"/>
  <c r="F411" i="12"/>
  <c r="E412" i="12"/>
  <c r="F412" i="12"/>
  <c r="E413" i="12"/>
  <c r="F413" i="12"/>
  <c r="E414" i="12"/>
  <c r="F414" i="12"/>
  <c r="E415" i="12"/>
  <c r="F415" i="12"/>
  <c r="E416" i="12"/>
  <c r="F416" i="12"/>
  <c r="E417" i="12"/>
  <c r="F417" i="12"/>
  <c r="E418" i="12"/>
  <c r="F418" i="12"/>
  <c r="E419" i="12"/>
  <c r="F419" i="12"/>
  <c r="E420" i="12"/>
  <c r="F420" i="12"/>
  <c r="E421" i="12"/>
  <c r="F421" i="12"/>
  <c r="E422" i="12"/>
  <c r="F422" i="12"/>
  <c r="E423" i="12"/>
  <c r="F423" i="12"/>
  <c r="E424" i="12"/>
  <c r="F424" i="12"/>
  <c r="E425" i="12"/>
  <c r="F425" i="12"/>
  <c r="E426" i="12"/>
  <c r="F426" i="12"/>
  <c r="E427" i="12"/>
  <c r="F427" i="12"/>
  <c r="E428" i="12"/>
  <c r="F428" i="12"/>
  <c r="E429" i="12"/>
  <c r="F429" i="12"/>
  <c r="E430" i="12"/>
  <c r="F430" i="12"/>
  <c r="E431" i="12"/>
  <c r="F431" i="12"/>
  <c r="E432" i="12"/>
  <c r="F432" i="12"/>
  <c r="E433" i="12"/>
  <c r="F433" i="12"/>
  <c r="E434" i="12"/>
  <c r="F434" i="12"/>
  <c r="E435" i="12"/>
  <c r="F435" i="12"/>
  <c r="E436" i="12"/>
  <c r="F436" i="12"/>
  <c r="E437" i="12"/>
  <c r="F437" i="12"/>
  <c r="E438" i="12"/>
  <c r="F438" i="12"/>
  <c r="E439" i="12"/>
  <c r="F439" i="12"/>
  <c r="E440" i="12"/>
  <c r="F440" i="12"/>
  <c r="E441" i="12"/>
  <c r="F441" i="12"/>
  <c r="E442" i="12"/>
  <c r="F442" i="12"/>
  <c r="E443" i="12"/>
  <c r="F443" i="12"/>
  <c r="E444" i="12"/>
  <c r="F444" i="12"/>
  <c r="E445" i="12"/>
  <c r="F445" i="12"/>
  <c r="E446" i="12"/>
  <c r="F446" i="12"/>
  <c r="E447" i="12"/>
  <c r="F447" i="12"/>
  <c r="E448" i="12"/>
  <c r="F448" i="12"/>
  <c r="E449" i="12"/>
  <c r="F449" i="12"/>
  <c r="E450" i="12"/>
  <c r="F450" i="12"/>
  <c r="E451" i="12"/>
  <c r="F451" i="12"/>
  <c r="E452" i="12"/>
  <c r="F452" i="12"/>
  <c r="E453" i="12"/>
  <c r="F453" i="12"/>
  <c r="E454" i="12"/>
  <c r="F454" i="12"/>
  <c r="E455" i="12"/>
  <c r="F455" i="12"/>
  <c r="E456" i="12"/>
  <c r="F456" i="12"/>
  <c r="E457" i="12"/>
  <c r="F457" i="12"/>
  <c r="E458" i="12"/>
  <c r="F458" i="12"/>
  <c r="E459" i="12"/>
  <c r="F459" i="12"/>
  <c r="E460" i="12"/>
  <c r="F460" i="12"/>
  <c r="E461" i="12"/>
  <c r="F461" i="12"/>
  <c r="E462" i="12"/>
  <c r="F462" i="12"/>
  <c r="E463" i="12"/>
  <c r="F463" i="12"/>
  <c r="E464" i="12"/>
  <c r="F464" i="12"/>
  <c r="E465" i="12"/>
  <c r="F465" i="12"/>
  <c r="E466" i="12"/>
  <c r="F466" i="12"/>
  <c r="E467" i="12"/>
  <c r="F467" i="12"/>
  <c r="E468" i="12"/>
  <c r="F468" i="12"/>
  <c r="E469" i="12"/>
  <c r="F469" i="12"/>
  <c r="E470" i="12"/>
  <c r="F470" i="12"/>
  <c r="E471" i="12"/>
  <c r="F471" i="12"/>
  <c r="E472" i="12"/>
  <c r="F472" i="12"/>
  <c r="E473" i="12"/>
  <c r="F473" i="12"/>
  <c r="E474" i="12"/>
  <c r="F474" i="12"/>
  <c r="E475" i="12"/>
  <c r="F475" i="12"/>
  <c r="E476" i="12"/>
  <c r="F476" i="12"/>
  <c r="E477" i="12"/>
  <c r="F477" i="12"/>
  <c r="E478" i="12"/>
  <c r="F478" i="12"/>
  <c r="E479" i="12"/>
  <c r="F479" i="12"/>
  <c r="E480" i="12"/>
  <c r="F480" i="12"/>
  <c r="E481" i="12"/>
  <c r="F481" i="12"/>
  <c r="E482" i="12"/>
  <c r="F482" i="12"/>
  <c r="E483" i="12"/>
  <c r="F483" i="12"/>
  <c r="E484" i="12"/>
  <c r="F484" i="12"/>
  <c r="E485" i="12"/>
  <c r="F485" i="12"/>
  <c r="E486" i="12"/>
  <c r="F486" i="12"/>
  <c r="E487" i="12"/>
  <c r="F487" i="12"/>
  <c r="E488" i="12"/>
  <c r="F488" i="12"/>
  <c r="E489" i="12"/>
  <c r="F489" i="12"/>
  <c r="E490" i="12"/>
  <c r="F490" i="12"/>
  <c r="E491" i="12"/>
  <c r="G491" i="12" s="1"/>
  <c r="F491" i="12"/>
  <c r="E492" i="12"/>
  <c r="G492" i="12" s="1"/>
  <c r="F492" i="12"/>
  <c r="E493" i="12"/>
  <c r="G493" i="12" s="1"/>
  <c r="F493" i="12"/>
  <c r="E494" i="12"/>
  <c r="G494" i="12" s="1"/>
  <c r="F494" i="12"/>
  <c r="E495" i="12"/>
  <c r="G495" i="12" s="1"/>
  <c r="F495" i="12"/>
  <c r="E496" i="12"/>
  <c r="G496" i="12" s="1"/>
  <c r="F496" i="12"/>
  <c r="E497" i="12"/>
  <c r="G497" i="12" s="1"/>
  <c r="F497" i="12"/>
  <c r="E498" i="12"/>
  <c r="G498" i="12" s="1"/>
  <c r="F498" i="12"/>
  <c r="E499" i="12"/>
  <c r="G499" i="12" s="1"/>
  <c r="F499" i="12"/>
  <c r="E500" i="12"/>
  <c r="G500" i="12" s="1"/>
  <c r="F500" i="12"/>
  <c r="E501" i="12"/>
  <c r="G501" i="12" s="1"/>
  <c r="F501" i="12"/>
  <c r="E502" i="12"/>
  <c r="G502" i="12" s="1"/>
  <c r="F502" i="12"/>
  <c r="E503" i="12"/>
  <c r="G503" i="12" s="1"/>
  <c r="F503" i="12"/>
  <c r="E504" i="12"/>
  <c r="G504" i="12" s="1"/>
  <c r="F504" i="12"/>
  <c r="E505" i="12"/>
  <c r="G505" i="12" s="1"/>
  <c r="F505" i="12"/>
  <c r="E506" i="12"/>
  <c r="G506" i="12" s="1"/>
  <c r="F506" i="12"/>
  <c r="E507" i="12"/>
  <c r="G507" i="12" s="1"/>
  <c r="F507" i="12"/>
  <c r="E508" i="12"/>
  <c r="G508" i="12" s="1"/>
  <c r="F508" i="12"/>
  <c r="E509" i="12"/>
  <c r="G509" i="12" s="1"/>
  <c r="F509" i="12"/>
  <c r="E510" i="12"/>
  <c r="G510" i="12" s="1"/>
  <c r="F510" i="12"/>
  <c r="E511" i="12"/>
  <c r="G511" i="12" s="1"/>
  <c r="F511" i="12"/>
  <c r="E512" i="12"/>
  <c r="G512" i="12" s="1"/>
  <c r="F512" i="12"/>
  <c r="E513" i="12"/>
  <c r="G513" i="12" s="1"/>
  <c r="F513" i="12"/>
  <c r="E514" i="12"/>
  <c r="G514" i="12" s="1"/>
  <c r="F514" i="12"/>
  <c r="E515" i="12"/>
  <c r="G515" i="12" s="1"/>
  <c r="F515" i="12"/>
  <c r="E516" i="12"/>
  <c r="G516" i="12" s="1"/>
  <c r="F516" i="12"/>
  <c r="E517" i="12"/>
  <c r="G517" i="12" s="1"/>
  <c r="F517" i="12"/>
  <c r="E518" i="12"/>
  <c r="G518" i="12" s="1"/>
  <c r="F518" i="12"/>
  <c r="E519" i="12"/>
  <c r="G519" i="12" s="1"/>
  <c r="F519" i="12"/>
  <c r="E520" i="12"/>
  <c r="G520" i="12" s="1"/>
  <c r="F520" i="12"/>
  <c r="E521" i="12"/>
  <c r="G521" i="12" s="1"/>
  <c r="F521" i="12"/>
  <c r="E522" i="12"/>
  <c r="G522" i="12" s="1"/>
  <c r="F522" i="12"/>
  <c r="E523" i="12"/>
  <c r="G523" i="12" s="1"/>
  <c r="F523" i="12"/>
  <c r="E524" i="12"/>
  <c r="G524" i="12" s="1"/>
  <c r="F524" i="12"/>
  <c r="E525" i="12"/>
  <c r="F525" i="12"/>
  <c r="E526" i="12"/>
  <c r="F526" i="12"/>
  <c r="E527" i="12"/>
  <c r="F527" i="12"/>
  <c r="E528" i="12"/>
  <c r="F528" i="12"/>
  <c r="E529" i="12"/>
  <c r="F529" i="12"/>
  <c r="E530" i="12"/>
  <c r="F530" i="12"/>
  <c r="E531" i="12"/>
  <c r="F531" i="12"/>
  <c r="E532" i="12"/>
  <c r="F532" i="12"/>
  <c r="E533" i="12"/>
  <c r="F533" i="12"/>
  <c r="E534" i="12"/>
  <c r="F534" i="12"/>
  <c r="E535" i="12"/>
  <c r="F535" i="12"/>
  <c r="E536" i="12"/>
  <c r="F536" i="12"/>
  <c r="E537" i="12"/>
  <c r="F537" i="12"/>
  <c r="E538" i="12"/>
  <c r="F538" i="12"/>
  <c r="E539" i="12"/>
  <c r="F539" i="12"/>
  <c r="E540" i="12"/>
  <c r="F540" i="12"/>
  <c r="E541" i="12"/>
  <c r="F541" i="12"/>
  <c r="E542" i="12"/>
  <c r="F542" i="12"/>
  <c r="E543" i="12"/>
  <c r="F543" i="12"/>
  <c r="E544" i="12"/>
  <c r="F544" i="12"/>
  <c r="E545" i="12"/>
  <c r="F545" i="12"/>
  <c r="E546" i="12"/>
  <c r="F546" i="12"/>
  <c r="E547" i="12"/>
  <c r="F547" i="12"/>
  <c r="E548" i="12"/>
  <c r="F548" i="12"/>
  <c r="E549" i="12"/>
  <c r="F549" i="12"/>
  <c r="E550" i="12"/>
  <c r="F550" i="12"/>
  <c r="E551" i="12"/>
  <c r="F551" i="12"/>
  <c r="E552" i="12"/>
  <c r="F552" i="12"/>
  <c r="E553" i="12"/>
  <c r="F553" i="12"/>
  <c r="E554" i="12"/>
  <c r="F554" i="12"/>
  <c r="E555" i="12"/>
  <c r="F555" i="12"/>
  <c r="E556" i="12"/>
  <c r="F556" i="12"/>
  <c r="E557" i="12"/>
  <c r="F557" i="12"/>
  <c r="E558" i="12"/>
  <c r="F558" i="12"/>
  <c r="E559" i="12"/>
  <c r="F559" i="12"/>
  <c r="E560" i="12"/>
  <c r="F560" i="12"/>
  <c r="E561" i="12"/>
  <c r="F561" i="12"/>
  <c r="E562" i="12"/>
  <c r="F562" i="12"/>
  <c r="E563" i="12"/>
  <c r="F563" i="12"/>
  <c r="E564" i="12"/>
  <c r="F564" i="12"/>
  <c r="E565" i="12"/>
  <c r="F565" i="12"/>
  <c r="E566" i="12"/>
  <c r="F566" i="12"/>
  <c r="E567" i="12"/>
  <c r="F567" i="12"/>
  <c r="E568" i="12"/>
  <c r="F568" i="12"/>
  <c r="E569" i="12"/>
  <c r="F569" i="12"/>
  <c r="E570" i="12"/>
  <c r="F570" i="12"/>
  <c r="E571" i="12"/>
  <c r="F571" i="12"/>
  <c r="E572" i="12"/>
  <c r="F572" i="12"/>
  <c r="E573" i="12"/>
  <c r="F573" i="12"/>
  <c r="E574" i="12"/>
  <c r="G574" i="12" s="1"/>
  <c r="F574" i="12"/>
  <c r="E575" i="12"/>
  <c r="H575" i="12" s="1"/>
  <c r="F575" i="12"/>
  <c r="E576" i="12"/>
  <c r="H576" i="12" s="1"/>
  <c r="F576" i="12"/>
  <c r="E577" i="12"/>
  <c r="H577" i="12" s="1"/>
  <c r="F577" i="12"/>
  <c r="E578" i="12"/>
  <c r="H578" i="12" s="1"/>
  <c r="F578" i="12"/>
  <c r="E579" i="12"/>
  <c r="H579" i="12" s="1"/>
  <c r="F579" i="12"/>
  <c r="E580" i="12"/>
  <c r="H580" i="12" s="1"/>
  <c r="F580" i="12"/>
  <c r="E581" i="12"/>
  <c r="G581" i="12" s="1"/>
  <c r="F581" i="12"/>
  <c r="E582" i="12"/>
  <c r="G582" i="12" s="1"/>
  <c r="F582" i="12"/>
  <c r="E583" i="12"/>
  <c r="G583" i="12" s="1"/>
  <c r="F583" i="12"/>
  <c r="E584" i="12"/>
  <c r="G584" i="12" s="1"/>
  <c r="F584" i="12"/>
  <c r="E585" i="12"/>
  <c r="G585" i="12" s="1"/>
  <c r="F585" i="12"/>
  <c r="E586" i="12"/>
  <c r="G586" i="12" s="1"/>
  <c r="F586" i="12"/>
  <c r="E587" i="12"/>
  <c r="G587" i="12" s="1"/>
  <c r="F587" i="12"/>
  <c r="E588" i="12"/>
  <c r="G588" i="12" s="1"/>
  <c r="F588" i="12"/>
  <c r="E589" i="12"/>
  <c r="G589" i="12" s="1"/>
  <c r="F589" i="12"/>
  <c r="E590" i="12"/>
  <c r="G590" i="12" s="1"/>
  <c r="F590" i="12"/>
  <c r="E591" i="12"/>
  <c r="G591" i="12" s="1"/>
  <c r="F591" i="12"/>
  <c r="E592" i="12"/>
  <c r="G592" i="12" s="1"/>
  <c r="F592" i="12"/>
  <c r="E593" i="12"/>
  <c r="G593" i="12" s="1"/>
  <c r="F593" i="12"/>
  <c r="E594" i="12"/>
  <c r="G594" i="12" s="1"/>
  <c r="F594" i="12"/>
  <c r="E595" i="12"/>
  <c r="G595" i="12" s="1"/>
  <c r="F595" i="12"/>
  <c r="E596" i="12"/>
  <c r="G596" i="12" s="1"/>
  <c r="F596" i="12"/>
  <c r="E597" i="12"/>
  <c r="G597" i="12" s="1"/>
  <c r="F597" i="12"/>
  <c r="E598" i="12"/>
  <c r="G598" i="12" s="1"/>
  <c r="F598" i="12"/>
  <c r="E599" i="12"/>
  <c r="G599" i="12" s="1"/>
  <c r="F599" i="12"/>
  <c r="E600" i="12"/>
  <c r="G600" i="12" s="1"/>
  <c r="F600" i="12"/>
  <c r="E601" i="12"/>
  <c r="G601" i="12" s="1"/>
  <c r="F601" i="12"/>
  <c r="E602" i="12"/>
  <c r="G602" i="12" s="1"/>
  <c r="F602" i="12"/>
  <c r="E603" i="12"/>
  <c r="G603" i="12" s="1"/>
  <c r="F603" i="12"/>
  <c r="E604" i="12"/>
  <c r="G604" i="12" s="1"/>
  <c r="F604" i="12"/>
  <c r="E605" i="12"/>
  <c r="G605" i="12" s="1"/>
  <c r="F605" i="12"/>
  <c r="E606" i="12"/>
  <c r="G606" i="12" s="1"/>
  <c r="F606" i="12"/>
  <c r="E607" i="12"/>
  <c r="G607" i="12" s="1"/>
  <c r="F607" i="12"/>
  <c r="E608" i="12"/>
  <c r="G608" i="12" s="1"/>
  <c r="F608" i="12"/>
  <c r="E609" i="12"/>
  <c r="G609" i="12" s="1"/>
  <c r="F609" i="12"/>
  <c r="E610" i="12"/>
  <c r="G610" i="12" s="1"/>
  <c r="F610" i="12"/>
  <c r="E611" i="12"/>
  <c r="G611" i="12" s="1"/>
  <c r="F611" i="12"/>
  <c r="E612" i="12"/>
  <c r="G612" i="12" s="1"/>
  <c r="F612" i="12"/>
  <c r="E613" i="12"/>
  <c r="G613" i="12" s="1"/>
  <c r="F613" i="12"/>
  <c r="E614" i="12"/>
  <c r="G614" i="12" s="1"/>
  <c r="F614" i="12"/>
  <c r="E615" i="12"/>
  <c r="G615" i="12" s="1"/>
  <c r="F615" i="12"/>
  <c r="E616" i="12"/>
  <c r="G616" i="12" s="1"/>
  <c r="F616" i="12"/>
  <c r="E617" i="12"/>
  <c r="G617" i="12" s="1"/>
  <c r="F617" i="12"/>
  <c r="E618" i="12"/>
  <c r="G618" i="12" s="1"/>
  <c r="F618" i="12"/>
  <c r="E619" i="12"/>
  <c r="G619" i="12" s="1"/>
  <c r="F619" i="12"/>
  <c r="E620" i="12"/>
  <c r="G620" i="12" s="1"/>
  <c r="F620" i="12"/>
  <c r="E621" i="12"/>
  <c r="G621" i="12" s="1"/>
  <c r="F621" i="12"/>
  <c r="E622" i="12"/>
  <c r="G622" i="12" s="1"/>
  <c r="F622" i="12"/>
  <c r="E623" i="12"/>
  <c r="G623" i="12" s="1"/>
  <c r="F623" i="12"/>
  <c r="E624" i="12"/>
  <c r="G624" i="12" s="1"/>
  <c r="F624" i="12"/>
  <c r="E625" i="12"/>
  <c r="G625" i="12" s="1"/>
  <c r="F625" i="12"/>
  <c r="E626" i="12"/>
  <c r="G626" i="12" s="1"/>
  <c r="F626" i="12"/>
  <c r="E627" i="12"/>
  <c r="G627" i="12" s="1"/>
  <c r="F627" i="12"/>
  <c r="E628" i="12"/>
  <c r="G628" i="12" s="1"/>
  <c r="F628" i="12"/>
  <c r="E629" i="12"/>
  <c r="G629" i="12" s="1"/>
  <c r="F629" i="12"/>
  <c r="E630" i="12"/>
  <c r="G630" i="12" s="1"/>
  <c r="F630" i="12"/>
  <c r="E631" i="12"/>
  <c r="G631" i="12" s="1"/>
  <c r="F631" i="12"/>
  <c r="E632" i="12"/>
  <c r="G632" i="12" s="1"/>
  <c r="F632" i="12"/>
  <c r="E633" i="12"/>
  <c r="G633" i="12" s="1"/>
  <c r="F633" i="12"/>
  <c r="E634" i="12"/>
  <c r="G634" i="12" s="1"/>
  <c r="F634" i="12"/>
  <c r="E635" i="12"/>
  <c r="G635" i="12" s="1"/>
  <c r="F635" i="12"/>
  <c r="E636" i="12"/>
  <c r="G636" i="12" s="1"/>
  <c r="F636" i="12"/>
  <c r="E637" i="12"/>
  <c r="G637" i="12" s="1"/>
  <c r="F637" i="12"/>
  <c r="E638" i="12"/>
  <c r="G638" i="12" s="1"/>
  <c r="F638" i="12"/>
  <c r="E639" i="12"/>
  <c r="G639" i="12" s="1"/>
  <c r="F639" i="12"/>
  <c r="E640" i="12"/>
  <c r="G640" i="12" s="1"/>
  <c r="F640" i="12"/>
  <c r="E641" i="12"/>
  <c r="G641" i="12" s="1"/>
  <c r="F641" i="12"/>
  <c r="E642" i="12"/>
  <c r="G642" i="12" s="1"/>
  <c r="F642" i="12"/>
  <c r="E643" i="12"/>
  <c r="G643" i="12" s="1"/>
  <c r="F643" i="12"/>
  <c r="E644" i="12"/>
  <c r="G644" i="12" s="1"/>
  <c r="F644" i="12"/>
  <c r="E645" i="12"/>
  <c r="G645" i="12" s="1"/>
  <c r="F645" i="12"/>
  <c r="E646" i="12"/>
  <c r="G646" i="12" s="1"/>
  <c r="F646" i="12"/>
  <c r="E647" i="12"/>
  <c r="G647" i="12" s="1"/>
  <c r="F647" i="12"/>
  <c r="E648" i="12"/>
  <c r="G648" i="12" s="1"/>
  <c r="F648" i="12"/>
  <c r="E649" i="12"/>
  <c r="H649" i="12" s="1"/>
  <c r="F649" i="12"/>
  <c r="E650" i="12"/>
  <c r="H650" i="12" s="1"/>
  <c r="F650" i="12"/>
  <c r="E651" i="12"/>
  <c r="H651" i="12" s="1"/>
  <c r="F651" i="12"/>
  <c r="E652" i="12"/>
  <c r="H652" i="12" s="1"/>
  <c r="F652" i="12"/>
  <c r="E653" i="12"/>
  <c r="H653" i="12" s="1"/>
  <c r="F653" i="12"/>
  <c r="E654" i="12"/>
  <c r="H654" i="12" s="1"/>
  <c r="F654" i="12"/>
  <c r="E655" i="12"/>
  <c r="H655" i="12" s="1"/>
  <c r="F655" i="12"/>
  <c r="E656" i="12"/>
  <c r="H656" i="12" s="1"/>
  <c r="F656" i="12"/>
  <c r="E657" i="12"/>
  <c r="H657" i="12" s="1"/>
  <c r="F657" i="12"/>
  <c r="E658" i="12"/>
  <c r="H658" i="12" s="1"/>
  <c r="F658" i="12"/>
  <c r="E659" i="12"/>
  <c r="H659" i="12" s="1"/>
  <c r="F659" i="12"/>
  <c r="E660" i="12"/>
  <c r="H660" i="12" s="1"/>
  <c r="F660" i="12"/>
  <c r="E661" i="12"/>
  <c r="H661" i="12" s="1"/>
  <c r="F661" i="12"/>
  <c r="E662" i="12"/>
  <c r="H662" i="12" s="1"/>
  <c r="F662" i="12"/>
  <c r="E663" i="12"/>
  <c r="H663" i="12" s="1"/>
  <c r="F663" i="12"/>
  <c r="E664" i="12"/>
  <c r="H664" i="12" s="1"/>
  <c r="F664" i="12"/>
  <c r="E665" i="12"/>
  <c r="H665" i="12" s="1"/>
  <c r="F665" i="12"/>
  <c r="E666" i="12"/>
  <c r="H666" i="12" s="1"/>
  <c r="F666" i="12"/>
  <c r="E667" i="12"/>
  <c r="H667" i="12" s="1"/>
  <c r="F667" i="12"/>
  <c r="E668" i="12"/>
  <c r="H668" i="12" s="1"/>
  <c r="F668" i="12"/>
  <c r="E669" i="12"/>
  <c r="H669" i="12" s="1"/>
  <c r="F669" i="12"/>
  <c r="E670" i="12"/>
  <c r="H670" i="12" s="1"/>
  <c r="F670" i="12"/>
  <c r="E671" i="12"/>
  <c r="H671" i="12" s="1"/>
  <c r="F671" i="12"/>
  <c r="E672" i="12"/>
  <c r="H672" i="12" s="1"/>
  <c r="F672" i="12"/>
  <c r="E673" i="12"/>
  <c r="H673" i="12" s="1"/>
  <c r="F673" i="12"/>
  <c r="E674" i="12"/>
  <c r="H674" i="12" s="1"/>
  <c r="F674" i="12"/>
  <c r="E675" i="12"/>
  <c r="H675" i="12" s="1"/>
  <c r="F675" i="12"/>
  <c r="E676" i="12"/>
  <c r="H676" i="12" s="1"/>
  <c r="F676" i="12"/>
  <c r="E677" i="12"/>
  <c r="H677" i="12" s="1"/>
  <c r="F677" i="12"/>
  <c r="E678" i="12"/>
  <c r="H678" i="12" s="1"/>
  <c r="F678" i="12"/>
  <c r="E679" i="12"/>
  <c r="H679" i="12" s="1"/>
  <c r="F679" i="12"/>
  <c r="E680" i="12"/>
  <c r="H680" i="12" s="1"/>
  <c r="F680" i="12"/>
  <c r="E681" i="12"/>
  <c r="H681" i="12" s="1"/>
  <c r="F681" i="12"/>
  <c r="E682" i="12"/>
  <c r="H682" i="12" s="1"/>
  <c r="F682" i="12"/>
  <c r="E683" i="12"/>
  <c r="H683" i="12" s="1"/>
  <c r="F683" i="12"/>
  <c r="E684" i="12"/>
  <c r="H684" i="12" s="1"/>
  <c r="F684" i="12"/>
  <c r="E685" i="12"/>
  <c r="H685" i="12" s="1"/>
  <c r="F685" i="12"/>
  <c r="E686" i="12"/>
  <c r="H686" i="12" s="1"/>
  <c r="F686" i="12"/>
  <c r="E687" i="12"/>
  <c r="H687" i="12" s="1"/>
  <c r="F687" i="12"/>
  <c r="E688" i="12"/>
  <c r="H688" i="12" s="1"/>
  <c r="F688" i="12"/>
  <c r="E689" i="12"/>
  <c r="H689" i="12" s="1"/>
  <c r="F689" i="12"/>
  <c r="E690" i="12"/>
  <c r="H690" i="12" s="1"/>
  <c r="F690" i="12"/>
  <c r="E691" i="12"/>
  <c r="H691" i="12" s="1"/>
  <c r="F691" i="12"/>
  <c r="E692" i="12"/>
  <c r="H692" i="12" s="1"/>
  <c r="F692" i="12"/>
  <c r="E693" i="12"/>
  <c r="H693" i="12" s="1"/>
  <c r="F693" i="12"/>
  <c r="E694" i="12"/>
  <c r="H694" i="12" s="1"/>
  <c r="F694" i="12"/>
  <c r="E695" i="12"/>
  <c r="H695" i="12" s="1"/>
  <c r="F695" i="12"/>
  <c r="E696" i="12"/>
  <c r="H696" i="12" s="1"/>
  <c r="F696" i="12"/>
  <c r="E697" i="12"/>
  <c r="H697" i="12" s="1"/>
  <c r="F697" i="12"/>
  <c r="E698" i="12"/>
  <c r="H698" i="12" s="1"/>
  <c r="F698" i="12"/>
  <c r="E699" i="12"/>
  <c r="H699" i="12" s="1"/>
  <c r="F699" i="12"/>
  <c r="E700" i="12"/>
  <c r="H700" i="12" s="1"/>
  <c r="F700" i="12"/>
  <c r="E701" i="12"/>
  <c r="H701" i="12" s="1"/>
  <c r="F701" i="12"/>
  <c r="E702" i="12"/>
  <c r="H702" i="12" s="1"/>
  <c r="F702" i="12"/>
  <c r="E703" i="12"/>
  <c r="H703" i="12" s="1"/>
  <c r="F703" i="12"/>
  <c r="E704" i="12"/>
  <c r="H704" i="12" s="1"/>
  <c r="F704" i="12"/>
  <c r="E705" i="12"/>
  <c r="H705" i="12" s="1"/>
  <c r="F705" i="12"/>
  <c r="E706" i="12"/>
  <c r="H706" i="12" s="1"/>
  <c r="F706" i="12"/>
  <c r="E707" i="12"/>
  <c r="H707" i="12" s="1"/>
  <c r="F707" i="12"/>
  <c r="E708" i="12"/>
  <c r="H708" i="12" s="1"/>
  <c r="F708" i="12"/>
  <c r="E709" i="12"/>
  <c r="H709" i="12" s="1"/>
  <c r="F709" i="12"/>
  <c r="E710" i="12"/>
  <c r="H710" i="12" s="1"/>
  <c r="F710" i="12"/>
  <c r="E711" i="12"/>
  <c r="H711" i="12" s="1"/>
  <c r="F711" i="12"/>
  <c r="E712" i="12"/>
  <c r="H712" i="12" s="1"/>
  <c r="F712" i="12"/>
  <c r="E713" i="12"/>
  <c r="H713" i="12" s="1"/>
  <c r="F713" i="12"/>
  <c r="E714" i="12"/>
  <c r="H714" i="12" s="1"/>
  <c r="F714" i="12"/>
  <c r="E715" i="12"/>
  <c r="H715" i="12" s="1"/>
  <c r="F715" i="12"/>
  <c r="E716" i="12"/>
  <c r="H716" i="12" s="1"/>
  <c r="F716" i="12"/>
  <c r="E717" i="12"/>
  <c r="H717" i="12" s="1"/>
  <c r="F717" i="12"/>
  <c r="E718" i="12"/>
  <c r="H718" i="12" s="1"/>
  <c r="F718" i="12"/>
  <c r="E719" i="12"/>
  <c r="H719" i="12" s="1"/>
  <c r="F719" i="12"/>
  <c r="E720" i="12"/>
  <c r="H720" i="12" s="1"/>
  <c r="F720" i="12"/>
  <c r="E721" i="12"/>
  <c r="H721" i="12" s="1"/>
  <c r="F721" i="12"/>
  <c r="E722" i="12"/>
  <c r="H722" i="12" s="1"/>
  <c r="F722" i="12"/>
  <c r="E723" i="12"/>
  <c r="H723" i="12" s="1"/>
  <c r="F723" i="12"/>
  <c r="E724" i="12"/>
  <c r="H724" i="12" s="1"/>
  <c r="F724" i="12"/>
  <c r="E725" i="12"/>
  <c r="H725" i="12" s="1"/>
  <c r="F725" i="12"/>
  <c r="E726" i="12"/>
  <c r="H726" i="12" s="1"/>
  <c r="F726" i="12"/>
  <c r="E727" i="12"/>
  <c r="H727" i="12" s="1"/>
  <c r="F727" i="12"/>
  <c r="E728" i="12"/>
  <c r="H728" i="12" s="1"/>
  <c r="F728" i="12"/>
  <c r="E729" i="12"/>
  <c r="H729" i="12" s="1"/>
  <c r="F729" i="12"/>
  <c r="E730" i="12"/>
  <c r="H730" i="12" s="1"/>
  <c r="F730" i="12"/>
  <c r="E731" i="12"/>
  <c r="H731" i="12" s="1"/>
  <c r="F731" i="12"/>
  <c r="E732" i="12"/>
  <c r="H732" i="12" s="1"/>
  <c r="F732" i="12"/>
  <c r="E733" i="12"/>
  <c r="H733" i="12" s="1"/>
  <c r="F733" i="12"/>
  <c r="E734" i="12"/>
  <c r="G734" i="12" s="1"/>
  <c r="F734" i="12"/>
  <c r="E735" i="12"/>
  <c r="G735" i="12" s="1"/>
  <c r="F735" i="12"/>
  <c r="E736" i="12"/>
  <c r="G736" i="12" s="1"/>
  <c r="F736" i="12"/>
  <c r="E737" i="12"/>
  <c r="G737" i="12" s="1"/>
  <c r="F737" i="12"/>
  <c r="E738" i="12"/>
  <c r="G738" i="12" s="1"/>
  <c r="F738" i="12"/>
  <c r="E739" i="12"/>
  <c r="G739" i="12" s="1"/>
  <c r="F739" i="12"/>
  <c r="E740" i="12"/>
  <c r="G740" i="12" s="1"/>
  <c r="F740" i="12"/>
  <c r="E741" i="12"/>
  <c r="G741" i="12" s="1"/>
  <c r="F741" i="12"/>
  <c r="E742" i="12"/>
  <c r="G742" i="12" s="1"/>
  <c r="F742" i="12"/>
  <c r="E743" i="12"/>
  <c r="G743" i="12" s="1"/>
  <c r="F743" i="12"/>
  <c r="E744" i="12"/>
  <c r="G744" i="12" s="1"/>
  <c r="F744" i="12"/>
  <c r="E745" i="12"/>
  <c r="G745" i="12" s="1"/>
  <c r="F745" i="12"/>
  <c r="E746" i="12"/>
  <c r="G746" i="12" s="1"/>
  <c r="F746" i="12"/>
  <c r="E747" i="12"/>
  <c r="G747" i="12" s="1"/>
  <c r="F747" i="12"/>
  <c r="E748" i="12"/>
  <c r="G748" i="12" s="1"/>
  <c r="F748" i="12"/>
  <c r="E749" i="12"/>
  <c r="G749" i="12" s="1"/>
  <c r="F749" i="12"/>
  <c r="E750" i="12"/>
  <c r="G750" i="12" s="1"/>
  <c r="F750" i="12"/>
  <c r="E751" i="12"/>
  <c r="G751" i="12" s="1"/>
  <c r="F751" i="12"/>
  <c r="E752" i="12"/>
  <c r="G752" i="12" s="1"/>
  <c r="F752" i="12"/>
  <c r="E753" i="12"/>
  <c r="G753" i="12" s="1"/>
  <c r="F753" i="12"/>
  <c r="E754" i="12"/>
  <c r="G754" i="12" s="1"/>
  <c r="F754" i="12"/>
  <c r="E755" i="12"/>
  <c r="G755" i="12" s="1"/>
  <c r="F755" i="12"/>
  <c r="E756" i="12"/>
  <c r="G756" i="12" s="1"/>
  <c r="F756" i="12"/>
  <c r="E757" i="12"/>
  <c r="G757" i="12" s="1"/>
  <c r="F757" i="12"/>
  <c r="E758" i="12"/>
  <c r="G758" i="12" s="1"/>
  <c r="F758" i="12"/>
  <c r="E759" i="12"/>
  <c r="G759" i="12" s="1"/>
  <c r="F759" i="12"/>
  <c r="E760" i="12"/>
  <c r="G760" i="12" s="1"/>
  <c r="F760" i="12"/>
  <c r="E761" i="12"/>
  <c r="G761" i="12" s="1"/>
  <c r="F761" i="12"/>
  <c r="E762" i="12"/>
  <c r="G762" i="12" s="1"/>
  <c r="F762" i="12"/>
  <c r="E763" i="12"/>
  <c r="G763" i="12" s="1"/>
  <c r="F763" i="12"/>
  <c r="E764" i="12"/>
  <c r="G764" i="12" s="1"/>
  <c r="F764" i="12"/>
  <c r="E765" i="12"/>
  <c r="G765" i="12" s="1"/>
  <c r="F765" i="12"/>
  <c r="E766" i="12"/>
  <c r="G766" i="12" s="1"/>
  <c r="F766" i="12"/>
  <c r="E767" i="12"/>
  <c r="G767" i="12" s="1"/>
  <c r="F767" i="12"/>
  <c r="E768" i="12"/>
  <c r="G768" i="12" s="1"/>
  <c r="F768" i="12"/>
  <c r="E769" i="12"/>
  <c r="G769" i="12" s="1"/>
  <c r="F769" i="12"/>
  <c r="E770" i="12"/>
  <c r="G770" i="12" s="1"/>
  <c r="F770" i="12"/>
  <c r="E771" i="12"/>
  <c r="G771" i="12" s="1"/>
  <c r="F771" i="12"/>
  <c r="E772" i="12"/>
  <c r="G772" i="12" s="1"/>
  <c r="F772" i="12"/>
  <c r="E773" i="12"/>
  <c r="G773" i="12" s="1"/>
  <c r="F773" i="12"/>
  <c r="E774" i="12"/>
  <c r="G774" i="12" s="1"/>
  <c r="F774" i="12"/>
  <c r="E775" i="12"/>
  <c r="G775" i="12" s="1"/>
  <c r="F775" i="12"/>
  <c r="E776" i="12"/>
  <c r="G776" i="12" s="1"/>
  <c r="F776" i="12"/>
  <c r="E777" i="12"/>
  <c r="G777" i="12" s="1"/>
  <c r="F777" i="12"/>
  <c r="E778" i="12"/>
  <c r="H778" i="12" s="1"/>
  <c r="F778" i="12"/>
  <c r="E779" i="12"/>
  <c r="H779" i="12" s="1"/>
  <c r="F779" i="12"/>
  <c r="E780" i="12"/>
  <c r="H780" i="12" s="1"/>
  <c r="F780" i="12"/>
  <c r="E781" i="12"/>
  <c r="H781" i="12" s="1"/>
  <c r="F781" i="12"/>
  <c r="E782" i="12"/>
  <c r="H782" i="12" s="1"/>
  <c r="F782" i="12"/>
  <c r="E783" i="12"/>
  <c r="H783" i="12" s="1"/>
  <c r="F783" i="12"/>
  <c r="E784" i="12"/>
  <c r="H784" i="12" s="1"/>
  <c r="F784" i="12"/>
  <c r="E785" i="12"/>
  <c r="H785" i="12" s="1"/>
  <c r="F785" i="12"/>
  <c r="E786" i="12"/>
  <c r="H786" i="12" s="1"/>
  <c r="F786" i="12"/>
  <c r="E787" i="12"/>
  <c r="H787" i="12" s="1"/>
  <c r="F787" i="12"/>
  <c r="E788" i="12"/>
  <c r="H788" i="12" s="1"/>
  <c r="F788" i="12"/>
  <c r="E789" i="12"/>
  <c r="H789" i="12" s="1"/>
  <c r="F789" i="12"/>
  <c r="E790" i="12"/>
  <c r="H790" i="12" s="1"/>
  <c r="F790" i="12"/>
  <c r="E791" i="12"/>
  <c r="H791" i="12" s="1"/>
  <c r="F791" i="12"/>
  <c r="E792" i="12"/>
  <c r="H792" i="12" s="1"/>
  <c r="F792" i="12"/>
  <c r="E793" i="12"/>
  <c r="H793" i="12" s="1"/>
  <c r="F793" i="12"/>
  <c r="E794" i="12"/>
  <c r="H794" i="12" s="1"/>
  <c r="F794" i="12"/>
  <c r="E795" i="12"/>
  <c r="H795" i="12" s="1"/>
  <c r="F795" i="12"/>
  <c r="E796" i="12"/>
  <c r="H796" i="12" s="1"/>
  <c r="F796" i="12"/>
  <c r="E797" i="12"/>
  <c r="H797" i="12" s="1"/>
  <c r="F797" i="12"/>
  <c r="E798" i="12"/>
  <c r="H798" i="12" s="1"/>
  <c r="F798" i="12"/>
  <c r="E799" i="12"/>
  <c r="H799" i="12" s="1"/>
  <c r="F799" i="12"/>
  <c r="E800" i="12"/>
  <c r="H800" i="12" s="1"/>
  <c r="F800" i="12"/>
  <c r="E801" i="12"/>
  <c r="H801" i="12" s="1"/>
  <c r="F801" i="12"/>
  <c r="E802" i="12"/>
  <c r="H802" i="12" s="1"/>
  <c r="F802" i="12"/>
  <c r="E803" i="12"/>
  <c r="H803" i="12" s="1"/>
  <c r="F803" i="12"/>
  <c r="E804" i="12"/>
  <c r="H804" i="12" s="1"/>
  <c r="F804" i="12"/>
  <c r="E805" i="12"/>
  <c r="H805" i="12" s="1"/>
  <c r="F805" i="12"/>
  <c r="E806" i="12"/>
  <c r="H806" i="12" s="1"/>
  <c r="F806" i="12"/>
  <c r="E807" i="12"/>
  <c r="H807" i="12" s="1"/>
  <c r="F807" i="12"/>
  <c r="E808" i="12"/>
  <c r="H808" i="12" s="1"/>
  <c r="F808" i="12"/>
  <c r="E809" i="12"/>
  <c r="F809" i="12"/>
  <c r="E810" i="12"/>
  <c r="H810" i="12" s="1"/>
  <c r="F810" i="12"/>
  <c r="E811" i="12"/>
  <c r="H811" i="12" s="1"/>
  <c r="F811" i="12"/>
  <c r="E812" i="12"/>
  <c r="H812" i="12" s="1"/>
  <c r="F812" i="12"/>
  <c r="E813" i="12"/>
  <c r="F813" i="12"/>
  <c r="E814" i="12"/>
  <c r="H814" i="12" s="1"/>
  <c r="F814" i="12"/>
  <c r="E815" i="12"/>
  <c r="H815" i="12" s="1"/>
  <c r="F815" i="12"/>
  <c r="E816" i="12"/>
  <c r="H816" i="12" s="1"/>
  <c r="F816" i="12"/>
  <c r="E817" i="12"/>
  <c r="F817" i="12"/>
  <c r="E818" i="12"/>
  <c r="H818" i="12" s="1"/>
  <c r="F818" i="12"/>
  <c r="E819" i="12"/>
  <c r="H819" i="12" s="1"/>
  <c r="F819" i="12"/>
  <c r="E820" i="12"/>
  <c r="H820" i="12" s="1"/>
  <c r="F820" i="12"/>
  <c r="E821" i="12"/>
  <c r="F821" i="12"/>
  <c r="E822" i="12"/>
  <c r="H822" i="12" s="1"/>
  <c r="F822" i="12"/>
  <c r="E823" i="12"/>
  <c r="H823" i="12" s="1"/>
  <c r="F823" i="12"/>
  <c r="E824" i="12"/>
  <c r="H824" i="12" s="1"/>
  <c r="F824" i="12"/>
  <c r="E825" i="12"/>
  <c r="F825" i="12"/>
  <c r="E826" i="12"/>
  <c r="H826" i="12" s="1"/>
  <c r="F826" i="12"/>
  <c r="E827" i="12"/>
  <c r="H827" i="12" s="1"/>
  <c r="F827" i="12"/>
  <c r="E828" i="12"/>
  <c r="H828" i="12" s="1"/>
  <c r="F828" i="12"/>
  <c r="E829" i="12"/>
  <c r="F829" i="12"/>
  <c r="E830" i="12"/>
  <c r="H830" i="12" s="1"/>
  <c r="F830" i="12"/>
  <c r="E831" i="12"/>
  <c r="H831" i="12" s="1"/>
  <c r="F831" i="12"/>
  <c r="E832" i="12"/>
  <c r="H832" i="12" s="1"/>
  <c r="F832" i="12"/>
  <c r="E833" i="12"/>
  <c r="F833" i="12"/>
  <c r="E834" i="12"/>
  <c r="H834" i="12" s="1"/>
  <c r="F834" i="12"/>
  <c r="E835" i="12"/>
  <c r="H835" i="12" s="1"/>
  <c r="F835" i="12"/>
  <c r="E836" i="12"/>
  <c r="H836" i="12" s="1"/>
  <c r="F836" i="12"/>
  <c r="E837" i="12"/>
  <c r="F837" i="12"/>
  <c r="E838" i="12"/>
  <c r="H838" i="12" s="1"/>
  <c r="F838" i="12"/>
  <c r="E839" i="12"/>
  <c r="H839" i="12" s="1"/>
  <c r="F839" i="12"/>
  <c r="E840" i="12"/>
  <c r="H840" i="12" s="1"/>
  <c r="F840" i="12"/>
  <c r="E841" i="12"/>
  <c r="F841" i="12"/>
  <c r="E842" i="12"/>
  <c r="H842" i="12" s="1"/>
  <c r="F842" i="12"/>
  <c r="E843" i="12"/>
  <c r="H843" i="12" s="1"/>
  <c r="F843" i="12"/>
  <c r="E844" i="12"/>
  <c r="H844" i="12" s="1"/>
  <c r="F844" i="12"/>
  <c r="E845" i="12"/>
  <c r="F845" i="12"/>
  <c r="E846" i="12"/>
  <c r="H846" i="12" s="1"/>
  <c r="F846" i="12"/>
  <c r="E847" i="12"/>
  <c r="H847" i="12" s="1"/>
  <c r="F847" i="12"/>
  <c r="E848" i="12"/>
  <c r="H848" i="12" s="1"/>
  <c r="F848" i="12"/>
  <c r="E849" i="12"/>
  <c r="F849" i="12"/>
  <c r="E850" i="12"/>
  <c r="H850" i="12" s="1"/>
  <c r="F850" i="12"/>
  <c r="E851" i="12"/>
  <c r="H851" i="12" s="1"/>
  <c r="F851" i="12"/>
  <c r="E852" i="12"/>
  <c r="H852" i="12" s="1"/>
  <c r="F852" i="12"/>
  <c r="E853" i="12"/>
  <c r="F853" i="12"/>
  <c r="E854" i="12"/>
  <c r="H854" i="12" s="1"/>
  <c r="F854" i="12"/>
  <c r="E855" i="12"/>
  <c r="H855" i="12" s="1"/>
  <c r="F855" i="12"/>
  <c r="E856" i="12"/>
  <c r="H856" i="12" s="1"/>
  <c r="F856" i="12"/>
  <c r="E857" i="12"/>
  <c r="F857" i="12"/>
  <c r="E858" i="12"/>
  <c r="H858" i="12" s="1"/>
  <c r="F858" i="12"/>
  <c r="E859" i="12"/>
  <c r="H859" i="12" s="1"/>
  <c r="F859" i="12"/>
  <c r="E860" i="12"/>
  <c r="H860" i="12" s="1"/>
  <c r="F860" i="12"/>
  <c r="E861" i="12"/>
  <c r="F861" i="12"/>
  <c r="E862" i="12"/>
  <c r="F862" i="12"/>
  <c r="E863" i="12"/>
  <c r="H863" i="12" s="1"/>
  <c r="F863" i="12"/>
  <c r="E864" i="12"/>
  <c r="H864" i="12" s="1"/>
  <c r="F864" i="12"/>
  <c r="E865" i="12"/>
  <c r="H865" i="12" s="1"/>
  <c r="F865" i="12"/>
  <c r="E866" i="12"/>
  <c r="H866" i="12" s="1"/>
  <c r="F866" i="12"/>
  <c r="E867" i="12"/>
  <c r="H867" i="12" s="1"/>
  <c r="F867" i="12"/>
  <c r="E868" i="12"/>
  <c r="H868" i="12" s="1"/>
  <c r="F868" i="12"/>
  <c r="E869" i="12"/>
  <c r="H869" i="12" s="1"/>
  <c r="F869" i="12"/>
  <c r="E870" i="12"/>
  <c r="H870" i="12" s="1"/>
  <c r="F870" i="12"/>
  <c r="E871" i="12"/>
  <c r="H871" i="12" s="1"/>
  <c r="F871" i="12"/>
  <c r="E872" i="12"/>
  <c r="H872" i="12" s="1"/>
  <c r="F872" i="12"/>
  <c r="E873" i="12"/>
  <c r="H873" i="12" s="1"/>
  <c r="F873" i="12"/>
  <c r="E874" i="12"/>
  <c r="H874" i="12" s="1"/>
  <c r="F874" i="12"/>
  <c r="E875" i="12"/>
  <c r="H875" i="12" s="1"/>
  <c r="F875" i="12"/>
  <c r="E876" i="12"/>
  <c r="H876" i="12" s="1"/>
  <c r="F876" i="12"/>
  <c r="E877" i="12"/>
  <c r="H877" i="12" s="1"/>
  <c r="F877" i="12"/>
  <c r="E878" i="12"/>
  <c r="H878" i="12" s="1"/>
  <c r="F878" i="12"/>
  <c r="E879" i="12"/>
  <c r="H879" i="12" s="1"/>
  <c r="F879" i="12"/>
  <c r="E880" i="12"/>
  <c r="H880" i="12" s="1"/>
  <c r="F880" i="12"/>
  <c r="E881" i="12"/>
  <c r="H881" i="12" s="1"/>
  <c r="F881" i="12"/>
  <c r="E882" i="12"/>
  <c r="H882" i="12" s="1"/>
  <c r="F882" i="12"/>
  <c r="E883" i="12"/>
  <c r="H883" i="12" s="1"/>
  <c r="F883" i="12"/>
  <c r="E884" i="12"/>
  <c r="H884" i="12" s="1"/>
  <c r="F884" i="12"/>
  <c r="E885" i="12"/>
  <c r="H885" i="12" s="1"/>
  <c r="F885" i="12"/>
  <c r="E886" i="12"/>
  <c r="H886" i="12" s="1"/>
  <c r="F886" i="12"/>
  <c r="E887" i="12"/>
  <c r="H887" i="12" s="1"/>
  <c r="F887" i="12"/>
  <c r="E888" i="12"/>
  <c r="H888" i="12" s="1"/>
  <c r="F888" i="12"/>
  <c r="E889" i="12"/>
  <c r="H889" i="12" s="1"/>
  <c r="F889" i="12"/>
  <c r="E890" i="12"/>
  <c r="H890" i="12" s="1"/>
  <c r="F890" i="12"/>
  <c r="E891" i="12"/>
  <c r="H891" i="12" s="1"/>
  <c r="F891" i="12"/>
  <c r="E892" i="12"/>
  <c r="H892" i="12" s="1"/>
  <c r="F892" i="12"/>
  <c r="E893" i="12"/>
  <c r="H893" i="12" s="1"/>
  <c r="F893" i="12"/>
  <c r="E894" i="12"/>
  <c r="H894" i="12" s="1"/>
  <c r="F894" i="12"/>
  <c r="E895" i="12"/>
  <c r="H895" i="12" s="1"/>
  <c r="F895" i="12"/>
  <c r="E896" i="12"/>
  <c r="H896" i="12" s="1"/>
  <c r="F896" i="12"/>
  <c r="E897" i="12"/>
  <c r="H897" i="12" s="1"/>
  <c r="F897" i="12"/>
  <c r="E898" i="12"/>
  <c r="H898" i="12" s="1"/>
  <c r="F898" i="12"/>
  <c r="E899" i="12"/>
  <c r="H899" i="12" s="1"/>
  <c r="F899" i="12"/>
  <c r="E900" i="12"/>
  <c r="H900" i="12" s="1"/>
  <c r="F900" i="12"/>
  <c r="E901" i="12"/>
  <c r="H901" i="12" s="1"/>
  <c r="F901" i="12"/>
  <c r="E902" i="12"/>
  <c r="H902" i="12" s="1"/>
  <c r="F902" i="12"/>
  <c r="E903" i="12"/>
  <c r="H903" i="12" s="1"/>
  <c r="F903" i="12"/>
  <c r="E904" i="12"/>
  <c r="H904" i="12" s="1"/>
  <c r="F904" i="12"/>
  <c r="E905" i="12"/>
  <c r="H905" i="12" s="1"/>
  <c r="F905" i="12"/>
  <c r="E906" i="12"/>
  <c r="H906" i="12" s="1"/>
  <c r="F906" i="12"/>
  <c r="E907" i="12"/>
  <c r="H907" i="12" s="1"/>
  <c r="F907" i="12"/>
  <c r="E908" i="12"/>
  <c r="H908" i="12" s="1"/>
  <c r="F908" i="12"/>
  <c r="E909" i="12"/>
  <c r="H909" i="12" s="1"/>
  <c r="F909" i="12"/>
  <c r="E910" i="12"/>
  <c r="H910" i="12" s="1"/>
  <c r="F910" i="12"/>
  <c r="E911" i="12"/>
  <c r="H911" i="12" s="1"/>
  <c r="F911" i="12"/>
  <c r="E912" i="12"/>
  <c r="H912" i="12" s="1"/>
  <c r="F912" i="12"/>
  <c r="E913" i="12"/>
  <c r="H913" i="12" s="1"/>
  <c r="F913" i="12"/>
  <c r="E914" i="12"/>
  <c r="H914" i="12" s="1"/>
  <c r="F914" i="12"/>
  <c r="E915" i="12"/>
  <c r="H915" i="12" s="1"/>
  <c r="F915" i="12"/>
  <c r="E916" i="12"/>
  <c r="H916" i="12" s="1"/>
  <c r="F916" i="12"/>
  <c r="E917" i="12"/>
  <c r="H917" i="12" s="1"/>
  <c r="F917" i="12"/>
  <c r="E918" i="12"/>
  <c r="H918" i="12" s="1"/>
  <c r="F918" i="12"/>
  <c r="E919" i="12"/>
  <c r="H919" i="12" s="1"/>
  <c r="F919" i="12"/>
  <c r="E920" i="12"/>
  <c r="H920" i="12" s="1"/>
  <c r="F920" i="12"/>
  <c r="E921" i="12"/>
  <c r="H921" i="12" s="1"/>
  <c r="F921" i="12"/>
  <c r="E922" i="12"/>
  <c r="H922" i="12" s="1"/>
  <c r="F922" i="12"/>
  <c r="E923" i="12"/>
  <c r="H923" i="12" s="1"/>
  <c r="F923" i="12"/>
  <c r="E924" i="12"/>
  <c r="H924" i="12" s="1"/>
  <c r="F924" i="12"/>
  <c r="E925" i="12"/>
  <c r="H925" i="12" s="1"/>
  <c r="F925" i="12"/>
  <c r="E926" i="12"/>
  <c r="H926" i="12" s="1"/>
  <c r="F926" i="12"/>
  <c r="E927" i="12"/>
  <c r="H927" i="12" s="1"/>
  <c r="F927" i="12"/>
  <c r="E928" i="12"/>
  <c r="H928" i="12" s="1"/>
  <c r="F928" i="12"/>
  <c r="E929" i="12"/>
  <c r="H929" i="12" s="1"/>
  <c r="F929" i="12"/>
  <c r="E930" i="12"/>
  <c r="H930" i="12" s="1"/>
  <c r="F930" i="12"/>
  <c r="E931" i="12"/>
  <c r="H931" i="12" s="1"/>
  <c r="F931" i="12"/>
  <c r="E932" i="12"/>
  <c r="H932" i="12" s="1"/>
  <c r="F932" i="12"/>
  <c r="E933" i="12"/>
  <c r="H933" i="12" s="1"/>
  <c r="F933" i="12"/>
  <c r="E934" i="12"/>
  <c r="H934" i="12" s="1"/>
  <c r="F934" i="12"/>
  <c r="E935" i="12"/>
  <c r="F935" i="12"/>
  <c r="E936" i="12"/>
  <c r="H936" i="12" s="1"/>
  <c r="F936" i="12"/>
  <c r="E937" i="12"/>
  <c r="H937" i="12" s="1"/>
  <c r="F937" i="12"/>
  <c r="E938" i="12"/>
  <c r="H938" i="12" s="1"/>
  <c r="F938" i="12"/>
  <c r="E939" i="12"/>
  <c r="H939" i="12" s="1"/>
  <c r="F939" i="12"/>
  <c r="E940" i="12"/>
  <c r="H940" i="12" s="1"/>
  <c r="F940" i="12"/>
  <c r="E941" i="12"/>
  <c r="H941" i="12" s="1"/>
  <c r="F941" i="12"/>
  <c r="E942" i="12"/>
  <c r="H942" i="12" s="1"/>
  <c r="F942" i="12"/>
  <c r="E943" i="12"/>
  <c r="H943" i="12" s="1"/>
  <c r="F943" i="12"/>
  <c r="E944" i="12"/>
  <c r="H944" i="12" s="1"/>
  <c r="F944" i="12"/>
  <c r="E945" i="12"/>
  <c r="H945" i="12" s="1"/>
  <c r="F945" i="12"/>
  <c r="G945" i="12"/>
  <c r="E946" i="12"/>
  <c r="H946" i="12" s="1"/>
  <c r="F946" i="12"/>
  <c r="E947" i="12"/>
  <c r="H947" i="12" s="1"/>
  <c r="F947" i="12"/>
  <c r="E948" i="12"/>
  <c r="H948" i="12" s="1"/>
  <c r="F948" i="12"/>
  <c r="E949" i="12"/>
  <c r="H949" i="12" s="1"/>
  <c r="F949" i="12"/>
  <c r="E950" i="12"/>
  <c r="H950" i="12" s="1"/>
  <c r="F950" i="12"/>
  <c r="E951" i="12"/>
  <c r="H951" i="12" s="1"/>
  <c r="F951" i="12"/>
  <c r="E952" i="12"/>
  <c r="H952" i="12" s="1"/>
  <c r="F952" i="12"/>
  <c r="E953" i="12"/>
  <c r="H953" i="12" s="1"/>
  <c r="F953" i="12"/>
  <c r="E954" i="12"/>
  <c r="H954" i="12" s="1"/>
  <c r="F954" i="12"/>
  <c r="E955" i="12"/>
  <c r="H955" i="12" s="1"/>
  <c r="F955" i="12"/>
  <c r="E956" i="12"/>
  <c r="H956" i="12" s="1"/>
  <c r="F956" i="12"/>
  <c r="E957" i="12"/>
  <c r="H957" i="12" s="1"/>
  <c r="F957" i="12"/>
  <c r="E958" i="12"/>
  <c r="H958" i="12" s="1"/>
  <c r="F958" i="12"/>
  <c r="E959" i="12"/>
  <c r="H959" i="12" s="1"/>
  <c r="F959" i="12"/>
  <c r="E960" i="12"/>
  <c r="H960" i="12" s="1"/>
  <c r="F960" i="12"/>
  <c r="E961" i="12"/>
  <c r="G961" i="12" s="1"/>
  <c r="F961" i="12"/>
  <c r="E962" i="12"/>
  <c r="F962" i="12"/>
  <c r="E963" i="12"/>
  <c r="G963" i="12" s="1"/>
  <c r="F963" i="12"/>
  <c r="E964" i="12"/>
  <c r="G964" i="12" s="1"/>
  <c r="F964" i="12"/>
  <c r="E965" i="12"/>
  <c r="G965" i="12" s="1"/>
  <c r="F965" i="12"/>
  <c r="E966" i="12"/>
  <c r="F966" i="12"/>
  <c r="E967" i="12"/>
  <c r="G967" i="12" s="1"/>
  <c r="F967" i="12"/>
  <c r="E968" i="12"/>
  <c r="G968" i="12" s="1"/>
  <c r="F968" i="12"/>
  <c r="E969" i="12"/>
  <c r="G969" i="12" s="1"/>
  <c r="F969" i="12"/>
  <c r="E970" i="12"/>
  <c r="F970" i="12"/>
  <c r="E971" i="12"/>
  <c r="G971" i="12" s="1"/>
  <c r="F971" i="12"/>
  <c r="E972" i="12"/>
  <c r="G972" i="12" s="1"/>
  <c r="F972" i="12"/>
  <c r="E973" i="12"/>
  <c r="G973" i="12" s="1"/>
  <c r="F973" i="12"/>
  <c r="E974" i="12"/>
  <c r="F974" i="12"/>
  <c r="E975" i="12"/>
  <c r="G975" i="12" s="1"/>
  <c r="F975" i="12"/>
  <c r="E976" i="12"/>
  <c r="G976" i="12" s="1"/>
  <c r="F976" i="12"/>
  <c r="E977" i="12"/>
  <c r="G977" i="12" s="1"/>
  <c r="F977" i="12"/>
  <c r="E978" i="12"/>
  <c r="F978" i="12"/>
  <c r="E979" i="12"/>
  <c r="G979" i="12" s="1"/>
  <c r="F979" i="12"/>
  <c r="E980" i="12"/>
  <c r="G980" i="12" s="1"/>
  <c r="F980" i="12"/>
  <c r="E981" i="12"/>
  <c r="G981" i="12" s="1"/>
  <c r="F981" i="12"/>
  <c r="E982" i="12"/>
  <c r="F982" i="12"/>
  <c r="E983" i="12"/>
  <c r="G983" i="12" s="1"/>
  <c r="F983" i="12"/>
  <c r="E984" i="12"/>
  <c r="G984" i="12" s="1"/>
  <c r="F984" i="12"/>
  <c r="E985" i="12"/>
  <c r="G985" i="12" s="1"/>
  <c r="F985" i="12"/>
  <c r="E986" i="12"/>
  <c r="F986" i="12"/>
  <c r="E987" i="12"/>
  <c r="G987" i="12" s="1"/>
  <c r="F987" i="12"/>
  <c r="E988" i="12"/>
  <c r="G988" i="12" s="1"/>
  <c r="F988" i="12"/>
  <c r="E989" i="12"/>
  <c r="G989" i="12" s="1"/>
  <c r="F989" i="12"/>
  <c r="E990" i="12"/>
  <c r="F990" i="12"/>
  <c r="E991" i="12"/>
  <c r="G991" i="12" s="1"/>
  <c r="F991" i="12"/>
  <c r="E992" i="12"/>
  <c r="G992" i="12" s="1"/>
  <c r="F992" i="12"/>
  <c r="E993" i="12"/>
  <c r="G993" i="12" s="1"/>
  <c r="F993" i="12"/>
  <c r="E994" i="12"/>
  <c r="F994" i="12"/>
  <c r="E995" i="12"/>
  <c r="G995" i="12" s="1"/>
  <c r="F995" i="12"/>
  <c r="E996" i="12"/>
  <c r="G996" i="12" s="1"/>
  <c r="F996" i="12"/>
  <c r="E997" i="12"/>
  <c r="G997" i="12" s="1"/>
  <c r="F997" i="12"/>
  <c r="E998" i="12"/>
  <c r="F998" i="12"/>
  <c r="E999" i="12"/>
  <c r="G999" i="12" s="1"/>
  <c r="F999" i="12"/>
  <c r="E1000" i="12"/>
  <c r="G1000" i="12" s="1"/>
  <c r="F1000" i="12"/>
  <c r="E5" i="12"/>
  <c r="E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F4" i="12"/>
  <c r="E4" i="12"/>
  <c r="G5" i="10"/>
  <c r="H5" i="10"/>
  <c r="G6" i="10"/>
  <c r="H6" i="10"/>
  <c r="G7" i="10"/>
  <c r="H7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F147" i="2" s="1"/>
  <c r="G15" i="10"/>
  <c r="H15" i="10"/>
  <c r="F149" i="2" s="1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G35" i="10"/>
  <c r="H35" i="10"/>
  <c r="G36" i="10"/>
  <c r="H36" i="10"/>
  <c r="G37" i="10"/>
  <c r="H37" i="10"/>
  <c r="G38" i="10"/>
  <c r="H38" i="10"/>
  <c r="G39" i="10"/>
  <c r="H39" i="10"/>
  <c r="G40" i="10"/>
  <c r="H40" i="10"/>
  <c r="G41" i="10"/>
  <c r="H41" i="10"/>
  <c r="G42" i="10"/>
  <c r="H42" i="10"/>
  <c r="G43" i="10"/>
  <c r="H43" i="10"/>
  <c r="G44" i="10"/>
  <c r="H44" i="10"/>
  <c r="G45" i="10"/>
  <c r="H45" i="10"/>
  <c r="G46" i="10"/>
  <c r="H46" i="10"/>
  <c r="G47" i="10"/>
  <c r="H47" i="10"/>
  <c r="G48" i="10"/>
  <c r="H48" i="10"/>
  <c r="G49" i="10"/>
  <c r="H49" i="10"/>
  <c r="G50" i="10"/>
  <c r="H50" i="10"/>
  <c r="G51" i="10"/>
  <c r="H51" i="10"/>
  <c r="G52" i="10"/>
  <c r="H52" i="10"/>
  <c r="G53" i="10"/>
  <c r="H53" i="10"/>
  <c r="G54" i="10"/>
  <c r="H54" i="10"/>
  <c r="G55" i="10"/>
  <c r="H55" i="10"/>
  <c r="G56" i="10"/>
  <c r="H56" i="10"/>
  <c r="G57" i="10"/>
  <c r="H57" i="10"/>
  <c r="G58" i="10"/>
  <c r="H58" i="10"/>
  <c r="G59" i="10"/>
  <c r="H59" i="10"/>
  <c r="G60" i="10"/>
  <c r="H60" i="10"/>
  <c r="G61" i="10"/>
  <c r="H61" i="10"/>
  <c r="G62" i="10"/>
  <c r="H62" i="10"/>
  <c r="G63" i="10"/>
  <c r="H63" i="10"/>
  <c r="G64" i="10"/>
  <c r="H64" i="10"/>
  <c r="G65" i="10"/>
  <c r="H65" i="10"/>
  <c r="G66" i="10"/>
  <c r="H66" i="10"/>
  <c r="G67" i="10"/>
  <c r="H67" i="10"/>
  <c r="G68" i="10"/>
  <c r="H68" i="10"/>
  <c r="G69" i="10"/>
  <c r="H69" i="10"/>
  <c r="G70" i="10"/>
  <c r="H70" i="10"/>
  <c r="G71" i="10"/>
  <c r="H71" i="10"/>
  <c r="G72" i="10"/>
  <c r="H72" i="10"/>
  <c r="G73" i="10"/>
  <c r="H73" i="10"/>
  <c r="G74" i="10"/>
  <c r="H74" i="10"/>
  <c r="G75" i="10"/>
  <c r="H75" i="10"/>
  <c r="G76" i="10"/>
  <c r="H76" i="10"/>
  <c r="G77" i="10"/>
  <c r="H77" i="10"/>
  <c r="G78" i="10"/>
  <c r="H78" i="10"/>
  <c r="G79" i="10"/>
  <c r="H79" i="10"/>
  <c r="G80" i="10"/>
  <c r="H80" i="10"/>
  <c r="G81" i="10"/>
  <c r="H81" i="10"/>
  <c r="G82" i="10"/>
  <c r="H82" i="10"/>
  <c r="G83" i="10"/>
  <c r="H83" i="10"/>
  <c r="G84" i="10"/>
  <c r="H84" i="10"/>
  <c r="G85" i="10"/>
  <c r="H85" i="10"/>
  <c r="G86" i="10"/>
  <c r="H86" i="10"/>
  <c r="G87" i="10"/>
  <c r="H87" i="10"/>
  <c r="G88" i="10"/>
  <c r="H88" i="10"/>
  <c r="G89" i="10"/>
  <c r="H89" i="10"/>
  <c r="G90" i="10"/>
  <c r="H90" i="10"/>
  <c r="G91" i="10"/>
  <c r="H91" i="10"/>
  <c r="G92" i="10"/>
  <c r="H92" i="10"/>
  <c r="G93" i="10"/>
  <c r="H93" i="10"/>
  <c r="G94" i="10"/>
  <c r="H94" i="10"/>
  <c r="G95" i="10"/>
  <c r="H95" i="10"/>
  <c r="G96" i="10"/>
  <c r="H96" i="10"/>
  <c r="G97" i="10"/>
  <c r="H97" i="10"/>
  <c r="G98" i="10"/>
  <c r="H98" i="10"/>
  <c r="G99" i="10"/>
  <c r="H99" i="10"/>
  <c r="G100" i="10"/>
  <c r="H100" i="10"/>
  <c r="G101" i="10"/>
  <c r="H101" i="10"/>
  <c r="G102" i="10"/>
  <c r="H102" i="10"/>
  <c r="G103" i="10"/>
  <c r="H103" i="10"/>
  <c r="G104" i="10"/>
  <c r="H104" i="10"/>
  <c r="G105" i="10"/>
  <c r="H105" i="10"/>
  <c r="G106" i="10"/>
  <c r="H106" i="10"/>
  <c r="G107" i="10"/>
  <c r="H107" i="10"/>
  <c r="G108" i="10"/>
  <c r="H108" i="10"/>
  <c r="G109" i="10"/>
  <c r="H109" i="10"/>
  <c r="G110" i="10"/>
  <c r="H110" i="10"/>
  <c r="G111" i="10"/>
  <c r="H111" i="10"/>
  <c r="G112" i="10"/>
  <c r="H112" i="10"/>
  <c r="G113" i="10"/>
  <c r="H113" i="10"/>
  <c r="G114" i="10"/>
  <c r="H114" i="10"/>
  <c r="G115" i="10"/>
  <c r="H115" i="10"/>
  <c r="G116" i="10"/>
  <c r="H116" i="10"/>
  <c r="G117" i="10"/>
  <c r="H117" i="10"/>
  <c r="G118" i="10"/>
  <c r="H118" i="10"/>
  <c r="G119" i="10"/>
  <c r="H119" i="10"/>
  <c r="G120" i="10"/>
  <c r="H120" i="10"/>
  <c r="G121" i="10"/>
  <c r="H121" i="10"/>
  <c r="G122" i="10"/>
  <c r="H122" i="10"/>
  <c r="G123" i="10"/>
  <c r="H123" i="10"/>
  <c r="G124" i="10"/>
  <c r="H124" i="10"/>
  <c r="G125" i="10"/>
  <c r="H125" i="10"/>
  <c r="G126" i="10"/>
  <c r="H126" i="10"/>
  <c r="G127" i="10"/>
  <c r="H127" i="10"/>
  <c r="G128" i="10"/>
  <c r="H128" i="10"/>
  <c r="G129" i="10"/>
  <c r="H129" i="10"/>
  <c r="G130" i="10"/>
  <c r="H130" i="10"/>
  <c r="G131" i="10"/>
  <c r="H131" i="10"/>
  <c r="G132" i="10"/>
  <c r="H132" i="10"/>
  <c r="G133" i="10"/>
  <c r="H133" i="10"/>
  <c r="G134" i="10"/>
  <c r="H134" i="10"/>
  <c r="G135" i="10"/>
  <c r="H135" i="10"/>
  <c r="G136" i="10"/>
  <c r="H136" i="10"/>
  <c r="G137" i="10"/>
  <c r="H137" i="10"/>
  <c r="G138" i="10"/>
  <c r="H138" i="10"/>
  <c r="G139" i="10"/>
  <c r="H139" i="10"/>
  <c r="G140" i="10"/>
  <c r="H140" i="10"/>
  <c r="G141" i="10"/>
  <c r="H141" i="10"/>
  <c r="G142" i="10"/>
  <c r="H142" i="10"/>
  <c r="G143" i="10"/>
  <c r="H143" i="10"/>
  <c r="G144" i="10"/>
  <c r="H144" i="10"/>
  <c r="G145" i="10"/>
  <c r="H145" i="10"/>
  <c r="G146" i="10"/>
  <c r="H146" i="10"/>
  <c r="G147" i="10"/>
  <c r="H147" i="10"/>
  <c r="G148" i="10"/>
  <c r="H148" i="10"/>
  <c r="G149" i="10"/>
  <c r="H149" i="10"/>
  <c r="G150" i="10"/>
  <c r="H150" i="10"/>
  <c r="G151" i="10"/>
  <c r="H151" i="10"/>
  <c r="G152" i="10"/>
  <c r="H152" i="10"/>
  <c r="G153" i="10"/>
  <c r="H153" i="10"/>
  <c r="G154" i="10"/>
  <c r="H154" i="10"/>
  <c r="G155" i="10"/>
  <c r="H155" i="10"/>
  <c r="G156" i="10"/>
  <c r="H156" i="10"/>
  <c r="G157" i="10"/>
  <c r="H157" i="10"/>
  <c r="G158" i="10"/>
  <c r="H158" i="10"/>
  <c r="G159" i="10"/>
  <c r="H159" i="10"/>
  <c r="G160" i="10"/>
  <c r="H160" i="10"/>
  <c r="G161" i="10"/>
  <c r="H161" i="10"/>
  <c r="G162" i="10"/>
  <c r="H162" i="10"/>
  <c r="G163" i="10"/>
  <c r="H163" i="10"/>
  <c r="G164" i="10"/>
  <c r="H164" i="10"/>
  <c r="G165" i="10"/>
  <c r="H165" i="10"/>
  <c r="G166" i="10"/>
  <c r="H166" i="10"/>
  <c r="G167" i="10"/>
  <c r="H167" i="10"/>
  <c r="G168" i="10"/>
  <c r="H168" i="10"/>
  <c r="G169" i="10"/>
  <c r="H169" i="10"/>
  <c r="G170" i="10"/>
  <c r="H170" i="10"/>
  <c r="G171" i="10"/>
  <c r="H171" i="10"/>
  <c r="G172" i="10"/>
  <c r="H172" i="10"/>
  <c r="G173" i="10"/>
  <c r="H173" i="10"/>
  <c r="G174" i="10"/>
  <c r="H174" i="10"/>
  <c r="G175" i="10"/>
  <c r="H175" i="10"/>
  <c r="G176" i="10"/>
  <c r="H176" i="10"/>
  <c r="G177" i="10"/>
  <c r="H177" i="10"/>
  <c r="G178" i="10"/>
  <c r="H178" i="10"/>
  <c r="G179" i="10"/>
  <c r="H179" i="10"/>
  <c r="G180" i="10"/>
  <c r="H180" i="10"/>
  <c r="G181" i="10"/>
  <c r="H181" i="10"/>
  <c r="G182" i="10"/>
  <c r="H182" i="10"/>
  <c r="G183" i="10"/>
  <c r="H183" i="10"/>
  <c r="G184" i="10"/>
  <c r="H184" i="10"/>
  <c r="G185" i="10"/>
  <c r="H185" i="10"/>
  <c r="G186" i="10"/>
  <c r="H186" i="10"/>
  <c r="G187" i="10"/>
  <c r="H187" i="10"/>
  <c r="G188" i="10"/>
  <c r="H188" i="10"/>
  <c r="G189" i="10"/>
  <c r="H189" i="10"/>
  <c r="G190" i="10"/>
  <c r="H190" i="10"/>
  <c r="G191" i="10"/>
  <c r="H191" i="10"/>
  <c r="G192" i="10"/>
  <c r="H192" i="10"/>
  <c r="G193" i="10"/>
  <c r="H193" i="10"/>
  <c r="G194" i="10"/>
  <c r="H194" i="10"/>
  <c r="G195" i="10"/>
  <c r="H195" i="10"/>
  <c r="G196" i="10"/>
  <c r="H196" i="10"/>
  <c r="G197" i="10"/>
  <c r="H197" i="10"/>
  <c r="G198" i="10"/>
  <c r="H198" i="10"/>
  <c r="G199" i="10"/>
  <c r="H199" i="10"/>
  <c r="G200" i="10"/>
  <c r="H200" i="10"/>
  <c r="G201" i="10"/>
  <c r="H201" i="10"/>
  <c r="G202" i="10"/>
  <c r="H202" i="10"/>
  <c r="G203" i="10"/>
  <c r="H203" i="10"/>
  <c r="G204" i="10"/>
  <c r="H204" i="10"/>
  <c r="G205" i="10"/>
  <c r="H205" i="10"/>
  <c r="G206" i="10"/>
  <c r="H206" i="10"/>
  <c r="G207" i="10"/>
  <c r="H207" i="10"/>
  <c r="G208" i="10"/>
  <c r="H208" i="10"/>
  <c r="G209" i="10"/>
  <c r="H209" i="10"/>
  <c r="G210" i="10"/>
  <c r="H210" i="10"/>
  <c r="G211" i="10"/>
  <c r="H211" i="10"/>
  <c r="G212" i="10"/>
  <c r="H212" i="10"/>
  <c r="G213" i="10"/>
  <c r="H213" i="10"/>
  <c r="G214" i="10"/>
  <c r="H214" i="10"/>
  <c r="G215" i="10"/>
  <c r="H215" i="10"/>
  <c r="G216" i="10"/>
  <c r="H216" i="10"/>
  <c r="G217" i="10"/>
  <c r="H217" i="10"/>
  <c r="G218" i="10"/>
  <c r="H218" i="10"/>
  <c r="G219" i="10"/>
  <c r="H219" i="10"/>
  <c r="G220" i="10"/>
  <c r="H220" i="10"/>
  <c r="G221" i="10"/>
  <c r="H221" i="10"/>
  <c r="G222" i="10"/>
  <c r="H222" i="10"/>
  <c r="G223" i="10"/>
  <c r="H223" i="10"/>
  <c r="G224" i="10"/>
  <c r="H224" i="10"/>
  <c r="G225" i="10"/>
  <c r="H225" i="10"/>
  <c r="G226" i="10"/>
  <c r="H226" i="10"/>
  <c r="G227" i="10"/>
  <c r="H227" i="10"/>
  <c r="G228" i="10"/>
  <c r="H228" i="10"/>
  <c r="G229" i="10"/>
  <c r="H229" i="10"/>
  <c r="G230" i="10"/>
  <c r="H230" i="10"/>
  <c r="G231" i="10"/>
  <c r="H231" i="10"/>
  <c r="G232" i="10"/>
  <c r="H232" i="10"/>
  <c r="G233" i="10"/>
  <c r="H233" i="10"/>
  <c r="G234" i="10"/>
  <c r="H234" i="10"/>
  <c r="G235" i="10"/>
  <c r="H235" i="10"/>
  <c r="G236" i="10"/>
  <c r="H236" i="10"/>
  <c r="G237" i="10"/>
  <c r="H237" i="10"/>
  <c r="G238" i="10"/>
  <c r="H238" i="10"/>
  <c r="G239" i="10"/>
  <c r="H239" i="10"/>
  <c r="G240" i="10"/>
  <c r="H240" i="10"/>
  <c r="G241" i="10"/>
  <c r="H241" i="10"/>
  <c r="G242" i="10"/>
  <c r="H242" i="10"/>
  <c r="G243" i="10"/>
  <c r="H243" i="10"/>
  <c r="G244" i="10"/>
  <c r="H244" i="10"/>
  <c r="G245" i="10"/>
  <c r="H245" i="10"/>
  <c r="G246" i="10"/>
  <c r="H246" i="10"/>
  <c r="G247" i="10"/>
  <c r="H247" i="10"/>
  <c r="G248" i="10"/>
  <c r="H248" i="10"/>
  <c r="G249" i="10"/>
  <c r="H249" i="10"/>
  <c r="G250" i="10"/>
  <c r="H250" i="10"/>
  <c r="G251" i="10"/>
  <c r="H251" i="10"/>
  <c r="G252" i="10"/>
  <c r="H252" i="10"/>
  <c r="G253" i="10"/>
  <c r="H253" i="10"/>
  <c r="G254" i="10"/>
  <c r="H254" i="10"/>
  <c r="G255" i="10"/>
  <c r="H255" i="10"/>
  <c r="G256" i="10"/>
  <c r="H256" i="10"/>
  <c r="G257" i="10"/>
  <c r="H257" i="10"/>
  <c r="G258" i="10"/>
  <c r="H258" i="10"/>
  <c r="G259" i="10"/>
  <c r="H259" i="10"/>
  <c r="G260" i="10"/>
  <c r="H260" i="10"/>
  <c r="G261" i="10"/>
  <c r="H261" i="10"/>
  <c r="G262" i="10"/>
  <c r="H262" i="10"/>
  <c r="G263" i="10"/>
  <c r="H263" i="10"/>
  <c r="G264" i="10"/>
  <c r="H264" i="10"/>
  <c r="G265" i="10"/>
  <c r="H265" i="10"/>
  <c r="G266" i="10"/>
  <c r="H266" i="10"/>
  <c r="G267" i="10"/>
  <c r="H267" i="10"/>
  <c r="G268" i="10"/>
  <c r="H268" i="10"/>
  <c r="G269" i="10"/>
  <c r="H269" i="10"/>
  <c r="G270" i="10"/>
  <c r="H270" i="10"/>
  <c r="G271" i="10"/>
  <c r="H271" i="10"/>
  <c r="G272" i="10"/>
  <c r="H272" i="10"/>
  <c r="G273" i="10"/>
  <c r="H273" i="10"/>
  <c r="G274" i="10"/>
  <c r="H274" i="10"/>
  <c r="G275" i="10"/>
  <c r="H275" i="10"/>
  <c r="G276" i="10"/>
  <c r="H276" i="10"/>
  <c r="G277" i="10"/>
  <c r="H277" i="10"/>
  <c r="G278" i="10"/>
  <c r="H278" i="10"/>
  <c r="G279" i="10"/>
  <c r="H279" i="10"/>
  <c r="G280" i="10"/>
  <c r="H280" i="10"/>
  <c r="G281" i="10"/>
  <c r="H281" i="10"/>
  <c r="G282" i="10"/>
  <c r="H282" i="10"/>
  <c r="G283" i="10"/>
  <c r="H283" i="10"/>
  <c r="G284" i="10"/>
  <c r="H284" i="10"/>
  <c r="G285" i="10"/>
  <c r="H285" i="10"/>
  <c r="G286" i="10"/>
  <c r="H286" i="10"/>
  <c r="G287" i="10"/>
  <c r="H287" i="10"/>
  <c r="G288" i="10"/>
  <c r="H288" i="10"/>
  <c r="G289" i="10"/>
  <c r="H289" i="10"/>
  <c r="G290" i="10"/>
  <c r="H290" i="10"/>
  <c r="G291" i="10"/>
  <c r="H291" i="10"/>
  <c r="G292" i="10"/>
  <c r="H292" i="10"/>
  <c r="G293" i="10"/>
  <c r="H293" i="10"/>
  <c r="G294" i="10"/>
  <c r="H294" i="10"/>
  <c r="G295" i="10"/>
  <c r="H295" i="10"/>
  <c r="G296" i="10"/>
  <c r="H296" i="10"/>
  <c r="G297" i="10"/>
  <c r="H297" i="10"/>
  <c r="G298" i="10"/>
  <c r="H298" i="10"/>
  <c r="G299" i="10"/>
  <c r="H299" i="10"/>
  <c r="G300" i="10"/>
  <c r="H300" i="10"/>
  <c r="G301" i="10"/>
  <c r="H301" i="10"/>
  <c r="G302" i="10"/>
  <c r="H302" i="10"/>
  <c r="G303" i="10"/>
  <c r="H303" i="10"/>
  <c r="G304" i="10"/>
  <c r="H304" i="10"/>
  <c r="G305" i="10"/>
  <c r="H305" i="10"/>
  <c r="G306" i="10"/>
  <c r="H306" i="10"/>
  <c r="G307" i="10"/>
  <c r="H307" i="10"/>
  <c r="G308" i="10"/>
  <c r="H308" i="10"/>
  <c r="G309" i="10"/>
  <c r="H309" i="10"/>
  <c r="G310" i="10"/>
  <c r="H310" i="10"/>
  <c r="G311" i="10"/>
  <c r="H311" i="10"/>
  <c r="G312" i="10"/>
  <c r="H312" i="10"/>
  <c r="G313" i="10"/>
  <c r="H313" i="10"/>
  <c r="G314" i="10"/>
  <c r="H314" i="10"/>
  <c r="G315" i="10"/>
  <c r="H315" i="10"/>
  <c r="G316" i="10"/>
  <c r="H316" i="10"/>
  <c r="G317" i="10"/>
  <c r="H317" i="10"/>
  <c r="G318" i="10"/>
  <c r="H318" i="10"/>
  <c r="G319" i="10"/>
  <c r="H319" i="10"/>
  <c r="G320" i="10"/>
  <c r="H320" i="10"/>
  <c r="G321" i="10"/>
  <c r="H321" i="10"/>
  <c r="G322" i="10"/>
  <c r="H322" i="10"/>
  <c r="G323" i="10"/>
  <c r="H323" i="10"/>
  <c r="G324" i="10"/>
  <c r="H324" i="10"/>
  <c r="G325" i="10"/>
  <c r="H325" i="10"/>
  <c r="G326" i="10"/>
  <c r="H326" i="10"/>
  <c r="G327" i="10"/>
  <c r="H327" i="10"/>
  <c r="G328" i="10"/>
  <c r="H328" i="10"/>
  <c r="G329" i="10"/>
  <c r="H329" i="10"/>
  <c r="G330" i="10"/>
  <c r="H330" i="10"/>
  <c r="G331" i="10"/>
  <c r="H331" i="10"/>
  <c r="G332" i="10"/>
  <c r="H332" i="10"/>
  <c r="G333" i="10"/>
  <c r="H333" i="10"/>
  <c r="G334" i="10"/>
  <c r="H334" i="10"/>
  <c r="G335" i="10"/>
  <c r="H335" i="10"/>
  <c r="G336" i="10"/>
  <c r="H336" i="10"/>
  <c r="G337" i="10"/>
  <c r="H337" i="10"/>
  <c r="G338" i="10"/>
  <c r="H338" i="10"/>
  <c r="G339" i="10"/>
  <c r="H339" i="10"/>
  <c r="G340" i="10"/>
  <c r="H340" i="10"/>
  <c r="G341" i="10"/>
  <c r="H341" i="10"/>
  <c r="G342" i="10"/>
  <c r="H342" i="10"/>
  <c r="G343" i="10"/>
  <c r="H343" i="10"/>
  <c r="G344" i="10"/>
  <c r="H344" i="10"/>
  <c r="G345" i="10"/>
  <c r="H345" i="10"/>
  <c r="G346" i="10"/>
  <c r="H346" i="10"/>
  <c r="G347" i="10"/>
  <c r="H347" i="10"/>
  <c r="G348" i="10"/>
  <c r="H348" i="10"/>
  <c r="G349" i="10"/>
  <c r="H349" i="10"/>
  <c r="G350" i="10"/>
  <c r="H350" i="10"/>
  <c r="G351" i="10"/>
  <c r="H351" i="10"/>
  <c r="G352" i="10"/>
  <c r="H352" i="10"/>
  <c r="G353" i="10"/>
  <c r="H353" i="10"/>
  <c r="G354" i="10"/>
  <c r="H354" i="10"/>
  <c r="G355" i="10"/>
  <c r="H355" i="10"/>
  <c r="G356" i="10"/>
  <c r="H356" i="10"/>
  <c r="G357" i="10"/>
  <c r="H357" i="10"/>
  <c r="G358" i="10"/>
  <c r="H358" i="10"/>
  <c r="G359" i="10"/>
  <c r="H359" i="10"/>
  <c r="G360" i="10"/>
  <c r="H360" i="10"/>
  <c r="G361" i="10"/>
  <c r="H361" i="10"/>
  <c r="G362" i="10"/>
  <c r="H362" i="10"/>
  <c r="G363" i="10"/>
  <c r="H363" i="10"/>
  <c r="G364" i="10"/>
  <c r="H364" i="10"/>
  <c r="G365" i="10"/>
  <c r="H365" i="10"/>
  <c r="G366" i="10"/>
  <c r="H366" i="10"/>
  <c r="G367" i="10"/>
  <c r="H367" i="10"/>
  <c r="G368" i="10"/>
  <c r="H368" i="10"/>
  <c r="G369" i="10"/>
  <c r="H369" i="10"/>
  <c r="G370" i="10"/>
  <c r="H370" i="10"/>
  <c r="G371" i="10"/>
  <c r="H371" i="10"/>
  <c r="G372" i="10"/>
  <c r="H372" i="10"/>
  <c r="G373" i="10"/>
  <c r="H373" i="10"/>
  <c r="G374" i="10"/>
  <c r="H374" i="10"/>
  <c r="G375" i="10"/>
  <c r="H375" i="10"/>
  <c r="G376" i="10"/>
  <c r="H376" i="10"/>
  <c r="G377" i="10"/>
  <c r="H377" i="10"/>
  <c r="G378" i="10"/>
  <c r="H378" i="10"/>
  <c r="G379" i="10"/>
  <c r="H379" i="10"/>
  <c r="G380" i="10"/>
  <c r="H380" i="10"/>
  <c r="G381" i="10"/>
  <c r="H381" i="10"/>
  <c r="G382" i="10"/>
  <c r="H382" i="10"/>
  <c r="G383" i="10"/>
  <c r="H383" i="10"/>
  <c r="G384" i="10"/>
  <c r="H384" i="10"/>
  <c r="G385" i="10"/>
  <c r="H385" i="10"/>
  <c r="G386" i="10"/>
  <c r="H386" i="10"/>
  <c r="G387" i="10"/>
  <c r="H387" i="10"/>
  <c r="G388" i="10"/>
  <c r="H388" i="10"/>
  <c r="G389" i="10"/>
  <c r="H389" i="10"/>
  <c r="G390" i="10"/>
  <c r="H390" i="10"/>
  <c r="G391" i="10"/>
  <c r="H391" i="10"/>
  <c r="G392" i="10"/>
  <c r="H392" i="10"/>
  <c r="G393" i="10"/>
  <c r="H393" i="10"/>
  <c r="G394" i="10"/>
  <c r="H394" i="10"/>
  <c r="G395" i="10"/>
  <c r="H395" i="10"/>
  <c r="G396" i="10"/>
  <c r="H396" i="10"/>
  <c r="G397" i="10"/>
  <c r="H397" i="10"/>
  <c r="G398" i="10"/>
  <c r="H398" i="10"/>
  <c r="G399" i="10"/>
  <c r="H399" i="10"/>
  <c r="G400" i="10"/>
  <c r="H400" i="10"/>
  <c r="G401" i="10"/>
  <c r="H401" i="10"/>
  <c r="G402" i="10"/>
  <c r="H402" i="10"/>
  <c r="G403" i="10"/>
  <c r="H403" i="10"/>
  <c r="G404" i="10"/>
  <c r="H404" i="10"/>
  <c r="G405" i="10"/>
  <c r="H405" i="10"/>
  <c r="G406" i="10"/>
  <c r="H406" i="10"/>
  <c r="G407" i="10"/>
  <c r="H407" i="10"/>
  <c r="G408" i="10"/>
  <c r="H408" i="10"/>
  <c r="G409" i="10"/>
  <c r="H409" i="10"/>
  <c r="G410" i="10"/>
  <c r="H410" i="10"/>
  <c r="G411" i="10"/>
  <c r="H411" i="10"/>
  <c r="G412" i="10"/>
  <c r="H412" i="10"/>
  <c r="G413" i="10"/>
  <c r="H413" i="10"/>
  <c r="G414" i="10"/>
  <c r="H414" i="10"/>
  <c r="G415" i="10"/>
  <c r="H415" i="10"/>
  <c r="G416" i="10"/>
  <c r="H416" i="10"/>
  <c r="G417" i="10"/>
  <c r="H417" i="10"/>
  <c r="G418" i="10"/>
  <c r="H418" i="10"/>
  <c r="G419" i="10"/>
  <c r="H419" i="10"/>
  <c r="G420" i="10"/>
  <c r="H420" i="10"/>
  <c r="G421" i="10"/>
  <c r="H421" i="10"/>
  <c r="G422" i="10"/>
  <c r="H422" i="10"/>
  <c r="G423" i="10"/>
  <c r="H423" i="10"/>
  <c r="G424" i="10"/>
  <c r="H424" i="10"/>
  <c r="G425" i="10"/>
  <c r="H425" i="10"/>
  <c r="G426" i="10"/>
  <c r="H426" i="10"/>
  <c r="G427" i="10"/>
  <c r="H427" i="10"/>
  <c r="G428" i="10"/>
  <c r="H428" i="10"/>
  <c r="G429" i="10"/>
  <c r="H429" i="10"/>
  <c r="G430" i="10"/>
  <c r="H430" i="10"/>
  <c r="G431" i="10"/>
  <c r="H431" i="10"/>
  <c r="G432" i="10"/>
  <c r="H432" i="10"/>
  <c r="G433" i="10"/>
  <c r="H433" i="10"/>
  <c r="G434" i="10"/>
  <c r="H434" i="10"/>
  <c r="G435" i="10"/>
  <c r="H435" i="10"/>
  <c r="G436" i="10"/>
  <c r="H436" i="10"/>
  <c r="G437" i="10"/>
  <c r="H437" i="10"/>
  <c r="G438" i="10"/>
  <c r="H438" i="10"/>
  <c r="G439" i="10"/>
  <c r="H439" i="10"/>
  <c r="G440" i="10"/>
  <c r="H440" i="10"/>
  <c r="G441" i="10"/>
  <c r="H441" i="10"/>
  <c r="G442" i="10"/>
  <c r="H442" i="10"/>
  <c r="G443" i="10"/>
  <c r="H443" i="10"/>
  <c r="G444" i="10"/>
  <c r="H444" i="10"/>
  <c r="G445" i="10"/>
  <c r="H445" i="10"/>
  <c r="G446" i="10"/>
  <c r="H446" i="10"/>
  <c r="G447" i="10"/>
  <c r="H447" i="10"/>
  <c r="G448" i="10"/>
  <c r="H448" i="10"/>
  <c r="G449" i="10"/>
  <c r="H449" i="10"/>
  <c r="G450" i="10"/>
  <c r="H450" i="10"/>
  <c r="G451" i="10"/>
  <c r="H451" i="10"/>
  <c r="G452" i="10"/>
  <c r="H452" i="10"/>
  <c r="G453" i="10"/>
  <c r="H453" i="10"/>
  <c r="G454" i="10"/>
  <c r="H454" i="10"/>
  <c r="G455" i="10"/>
  <c r="H455" i="10"/>
  <c r="G456" i="10"/>
  <c r="H456" i="10"/>
  <c r="G457" i="10"/>
  <c r="H457" i="10"/>
  <c r="G458" i="10"/>
  <c r="H458" i="10"/>
  <c r="G459" i="10"/>
  <c r="H459" i="10"/>
  <c r="G460" i="10"/>
  <c r="H460" i="10"/>
  <c r="G461" i="10"/>
  <c r="H461" i="10"/>
  <c r="G462" i="10"/>
  <c r="H462" i="10"/>
  <c r="G463" i="10"/>
  <c r="H463" i="10"/>
  <c r="G464" i="10"/>
  <c r="H464" i="10"/>
  <c r="G465" i="10"/>
  <c r="H465" i="10"/>
  <c r="G466" i="10"/>
  <c r="H466" i="10"/>
  <c r="G467" i="10"/>
  <c r="H467" i="10"/>
  <c r="G468" i="10"/>
  <c r="H468" i="10"/>
  <c r="G469" i="10"/>
  <c r="H469" i="10"/>
  <c r="G470" i="10"/>
  <c r="H470" i="10"/>
  <c r="G471" i="10"/>
  <c r="H471" i="10"/>
  <c r="G472" i="10"/>
  <c r="H472" i="10"/>
  <c r="G473" i="10"/>
  <c r="H473" i="10"/>
  <c r="G474" i="10"/>
  <c r="H474" i="10"/>
  <c r="G475" i="10"/>
  <c r="H475" i="10"/>
  <c r="G476" i="10"/>
  <c r="H476" i="10"/>
  <c r="G477" i="10"/>
  <c r="H477" i="10"/>
  <c r="G478" i="10"/>
  <c r="H478" i="10"/>
  <c r="G479" i="10"/>
  <c r="H479" i="10"/>
  <c r="G480" i="10"/>
  <c r="H480" i="10"/>
  <c r="G481" i="10"/>
  <c r="H481" i="10"/>
  <c r="G482" i="10"/>
  <c r="H482" i="10"/>
  <c r="G483" i="10"/>
  <c r="H483" i="10"/>
  <c r="G484" i="10"/>
  <c r="H484" i="10"/>
  <c r="G485" i="10"/>
  <c r="H485" i="10"/>
  <c r="G486" i="10"/>
  <c r="H486" i="10"/>
  <c r="G487" i="10"/>
  <c r="H487" i="10"/>
  <c r="G488" i="10"/>
  <c r="H488" i="10"/>
  <c r="G489" i="10"/>
  <c r="H489" i="10"/>
  <c r="G490" i="10"/>
  <c r="H490" i="10"/>
  <c r="G491" i="10"/>
  <c r="H491" i="10"/>
  <c r="G492" i="10"/>
  <c r="H492" i="10"/>
  <c r="G493" i="10"/>
  <c r="H493" i="10"/>
  <c r="G494" i="10"/>
  <c r="H494" i="10"/>
  <c r="G495" i="10"/>
  <c r="H495" i="10"/>
  <c r="G496" i="10"/>
  <c r="H496" i="10"/>
  <c r="G497" i="10"/>
  <c r="H497" i="10"/>
  <c r="G498" i="10"/>
  <c r="H498" i="10"/>
  <c r="G499" i="10"/>
  <c r="H499" i="10"/>
  <c r="G500" i="10"/>
  <c r="H500" i="10"/>
  <c r="G501" i="10"/>
  <c r="H501" i="10"/>
  <c r="G502" i="10"/>
  <c r="H502" i="10"/>
  <c r="G503" i="10"/>
  <c r="H503" i="10"/>
  <c r="G504" i="10"/>
  <c r="H504" i="10"/>
  <c r="G505" i="10"/>
  <c r="H505" i="10"/>
  <c r="G506" i="10"/>
  <c r="H506" i="10"/>
  <c r="G507" i="10"/>
  <c r="H507" i="10"/>
  <c r="G508" i="10"/>
  <c r="H508" i="10"/>
  <c r="G509" i="10"/>
  <c r="H509" i="10"/>
  <c r="G510" i="10"/>
  <c r="H510" i="10"/>
  <c r="G511" i="10"/>
  <c r="H511" i="10"/>
  <c r="G512" i="10"/>
  <c r="H512" i="10"/>
  <c r="G513" i="10"/>
  <c r="H513" i="10"/>
  <c r="G514" i="10"/>
  <c r="H514" i="10"/>
  <c r="G515" i="10"/>
  <c r="H515" i="10"/>
  <c r="G516" i="10"/>
  <c r="H516" i="10"/>
  <c r="G517" i="10"/>
  <c r="H517" i="10"/>
  <c r="G518" i="10"/>
  <c r="H518" i="10"/>
  <c r="G519" i="10"/>
  <c r="H519" i="10"/>
  <c r="G520" i="10"/>
  <c r="H520" i="10"/>
  <c r="G521" i="10"/>
  <c r="H521" i="10"/>
  <c r="G522" i="10"/>
  <c r="H522" i="10"/>
  <c r="G523" i="10"/>
  <c r="H523" i="10"/>
  <c r="G524" i="10"/>
  <c r="H524" i="10"/>
  <c r="G525" i="10"/>
  <c r="H525" i="10"/>
  <c r="G526" i="10"/>
  <c r="H526" i="10"/>
  <c r="G527" i="10"/>
  <c r="H527" i="10"/>
  <c r="G528" i="10"/>
  <c r="H528" i="10"/>
  <c r="G529" i="10"/>
  <c r="H529" i="10"/>
  <c r="G530" i="10"/>
  <c r="H530" i="10"/>
  <c r="G531" i="10"/>
  <c r="H531" i="10"/>
  <c r="G532" i="10"/>
  <c r="H532" i="10"/>
  <c r="G533" i="10"/>
  <c r="H533" i="10"/>
  <c r="G534" i="10"/>
  <c r="H534" i="10"/>
  <c r="G535" i="10"/>
  <c r="H535" i="10"/>
  <c r="G536" i="10"/>
  <c r="H536" i="10"/>
  <c r="G537" i="10"/>
  <c r="H537" i="10"/>
  <c r="G538" i="10"/>
  <c r="H538" i="10"/>
  <c r="G539" i="10"/>
  <c r="H539" i="10"/>
  <c r="G540" i="10"/>
  <c r="H540" i="10"/>
  <c r="G541" i="10"/>
  <c r="H541" i="10"/>
  <c r="G542" i="10"/>
  <c r="H542" i="10"/>
  <c r="G543" i="10"/>
  <c r="H543" i="10"/>
  <c r="G544" i="10"/>
  <c r="H544" i="10"/>
  <c r="G545" i="10"/>
  <c r="H545" i="10"/>
  <c r="G546" i="10"/>
  <c r="H546" i="10"/>
  <c r="G547" i="10"/>
  <c r="H547" i="10"/>
  <c r="G548" i="10"/>
  <c r="H548" i="10"/>
  <c r="G549" i="10"/>
  <c r="H549" i="10"/>
  <c r="G550" i="10"/>
  <c r="H550" i="10"/>
  <c r="G551" i="10"/>
  <c r="H551" i="10"/>
  <c r="G552" i="10"/>
  <c r="H552" i="10"/>
  <c r="G553" i="10"/>
  <c r="H553" i="10"/>
  <c r="G554" i="10"/>
  <c r="H554" i="10"/>
  <c r="G555" i="10"/>
  <c r="H555" i="10"/>
  <c r="G556" i="10"/>
  <c r="H556" i="10"/>
  <c r="G557" i="10"/>
  <c r="H557" i="10"/>
  <c r="G558" i="10"/>
  <c r="H558" i="10"/>
  <c r="G559" i="10"/>
  <c r="H559" i="10"/>
  <c r="G560" i="10"/>
  <c r="H560" i="10"/>
  <c r="G561" i="10"/>
  <c r="H561" i="10"/>
  <c r="G562" i="10"/>
  <c r="H562" i="10"/>
  <c r="G563" i="10"/>
  <c r="H563" i="10"/>
  <c r="G564" i="10"/>
  <c r="H564" i="10"/>
  <c r="G565" i="10"/>
  <c r="H565" i="10"/>
  <c r="G566" i="10"/>
  <c r="H566" i="10"/>
  <c r="G567" i="10"/>
  <c r="H567" i="10"/>
  <c r="G568" i="10"/>
  <c r="H568" i="10"/>
  <c r="G569" i="10"/>
  <c r="H569" i="10"/>
  <c r="G570" i="10"/>
  <c r="H570" i="10"/>
  <c r="G571" i="10"/>
  <c r="H571" i="10"/>
  <c r="G572" i="10"/>
  <c r="H572" i="10"/>
  <c r="G573" i="10"/>
  <c r="H573" i="10"/>
  <c r="G574" i="10"/>
  <c r="H574" i="10"/>
  <c r="G575" i="10"/>
  <c r="H575" i="10"/>
  <c r="G576" i="10"/>
  <c r="H576" i="10"/>
  <c r="G577" i="10"/>
  <c r="H577" i="10"/>
  <c r="G578" i="10"/>
  <c r="H578" i="10"/>
  <c r="G579" i="10"/>
  <c r="H579" i="10"/>
  <c r="G580" i="10"/>
  <c r="H580" i="10"/>
  <c r="G581" i="10"/>
  <c r="H581" i="10"/>
  <c r="G582" i="10"/>
  <c r="H582" i="10"/>
  <c r="G583" i="10"/>
  <c r="H583" i="10"/>
  <c r="G584" i="10"/>
  <c r="H584" i="10"/>
  <c r="G585" i="10"/>
  <c r="H585" i="10"/>
  <c r="G586" i="10"/>
  <c r="H586" i="10"/>
  <c r="G587" i="10"/>
  <c r="H587" i="10"/>
  <c r="G588" i="10"/>
  <c r="H588" i="10"/>
  <c r="G589" i="10"/>
  <c r="H589" i="10"/>
  <c r="G590" i="10"/>
  <c r="H590" i="10"/>
  <c r="G591" i="10"/>
  <c r="H591" i="10"/>
  <c r="G592" i="10"/>
  <c r="H592" i="10"/>
  <c r="G593" i="10"/>
  <c r="H593" i="10"/>
  <c r="G594" i="10"/>
  <c r="H594" i="10"/>
  <c r="G595" i="10"/>
  <c r="H595" i="10"/>
  <c r="G596" i="10"/>
  <c r="H596" i="10"/>
  <c r="G597" i="10"/>
  <c r="H597" i="10"/>
  <c r="G598" i="10"/>
  <c r="H598" i="10"/>
  <c r="G599" i="10"/>
  <c r="H599" i="10"/>
  <c r="G600" i="10"/>
  <c r="H600" i="10"/>
  <c r="G601" i="10"/>
  <c r="H601" i="10"/>
  <c r="G602" i="10"/>
  <c r="H602" i="10"/>
  <c r="G603" i="10"/>
  <c r="H603" i="10"/>
  <c r="G604" i="10"/>
  <c r="H604" i="10"/>
  <c r="G605" i="10"/>
  <c r="H605" i="10"/>
  <c r="G606" i="10"/>
  <c r="H606" i="10"/>
  <c r="G607" i="10"/>
  <c r="H607" i="10"/>
  <c r="G608" i="10"/>
  <c r="H608" i="10"/>
  <c r="G609" i="10"/>
  <c r="H609" i="10"/>
  <c r="G610" i="10"/>
  <c r="H610" i="10"/>
  <c r="G611" i="10"/>
  <c r="H611" i="10"/>
  <c r="G612" i="10"/>
  <c r="H612" i="10"/>
  <c r="G613" i="10"/>
  <c r="H613" i="10"/>
  <c r="G614" i="10"/>
  <c r="H614" i="10"/>
  <c r="G615" i="10"/>
  <c r="H615" i="10"/>
  <c r="G616" i="10"/>
  <c r="H616" i="10"/>
  <c r="G617" i="10"/>
  <c r="H617" i="10"/>
  <c r="G618" i="10"/>
  <c r="H618" i="10"/>
  <c r="G619" i="10"/>
  <c r="H619" i="10"/>
  <c r="G620" i="10"/>
  <c r="H620" i="10"/>
  <c r="G621" i="10"/>
  <c r="H621" i="10"/>
  <c r="G622" i="10"/>
  <c r="H622" i="10"/>
  <c r="G623" i="10"/>
  <c r="H623" i="10"/>
  <c r="G624" i="10"/>
  <c r="H624" i="10"/>
  <c r="G625" i="10"/>
  <c r="H625" i="10"/>
  <c r="G626" i="10"/>
  <c r="H626" i="10"/>
  <c r="G627" i="10"/>
  <c r="H627" i="10"/>
  <c r="G628" i="10"/>
  <c r="H628" i="10"/>
  <c r="G629" i="10"/>
  <c r="H629" i="10"/>
  <c r="G630" i="10"/>
  <c r="H630" i="10"/>
  <c r="G631" i="10"/>
  <c r="H631" i="10"/>
  <c r="G632" i="10"/>
  <c r="H632" i="10"/>
  <c r="G633" i="10"/>
  <c r="H633" i="10"/>
  <c r="G634" i="10"/>
  <c r="H634" i="10"/>
  <c r="G635" i="10"/>
  <c r="H635" i="10"/>
  <c r="G636" i="10"/>
  <c r="H636" i="10"/>
  <c r="G637" i="10"/>
  <c r="H637" i="10"/>
  <c r="G638" i="10"/>
  <c r="H638" i="10"/>
  <c r="G639" i="10"/>
  <c r="H639" i="10"/>
  <c r="G640" i="10"/>
  <c r="H640" i="10"/>
  <c r="G641" i="10"/>
  <c r="H641" i="10"/>
  <c r="G642" i="10"/>
  <c r="H642" i="10"/>
  <c r="G643" i="10"/>
  <c r="H643" i="10"/>
  <c r="G644" i="10"/>
  <c r="H644" i="10"/>
  <c r="G645" i="10"/>
  <c r="H645" i="10"/>
  <c r="G646" i="10"/>
  <c r="H646" i="10"/>
  <c r="G647" i="10"/>
  <c r="H647" i="10"/>
  <c r="G648" i="10"/>
  <c r="H648" i="10"/>
  <c r="G649" i="10"/>
  <c r="H649" i="10"/>
  <c r="G650" i="10"/>
  <c r="H650" i="10"/>
  <c r="G651" i="10"/>
  <c r="H651" i="10"/>
  <c r="G652" i="10"/>
  <c r="H652" i="10"/>
  <c r="G653" i="10"/>
  <c r="H653" i="10"/>
  <c r="G654" i="10"/>
  <c r="H654" i="10"/>
  <c r="G655" i="10"/>
  <c r="H655" i="10"/>
  <c r="G656" i="10"/>
  <c r="H656" i="10"/>
  <c r="G657" i="10"/>
  <c r="H657" i="10"/>
  <c r="G658" i="10"/>
  <c r="H658" i="10"/>
  <c r="G659" i="10"/>
  <c r="H659" i="10"/>
  <c r="G660" i="10"/>
  <c r="H660" i="10"/>
  <c r="G661" i="10"/>
  <c r="H661" i="10"/>
  <c r="G662" i="10"/>
  <c r="H662" i="10"/>
  <c r="G663" i="10"/>
  <c r="H663" i="10"/>
  <c r="G664" i="10"/>
  <c r="H664" i="10"/>
  <c r="G665" i="10"/>
  <c r="H665" i="10"/>
  <c r="G666" i="10"/>
  <c r="H666" i="10"/>
  <c r="G667" i="10"/>
  <c r="H667" i="10"/>
  <c r="G668" i="10"/>
  <c r="H668" i="10"/>
  <c r="G669" i="10"/>
  <c r="H669" i="10"/>
  <c r="G670" i="10"/>
  <c r="H670" i="10"/>
  <c r="G671" i="10"/>
  <c r="H671" i="10"/>
  <c r="G672" i="10"/>
  <c r="H672" i="10"/>
  <c r="G673" i="10"/>
  <c r="H673" i="10"/>
  <c r="G674" i="10"/>
  <c r="H674" i="10"/>
  <c r="G675" i="10"/>
  <c r="H675" i="10"/>
  <c r="G676" i="10"/>
  <c r="H676" i="10"/>
  <c r="G677" i="10"/>
  <c r="H677" i="10"/>
  <c r="G678" i="10"/>
  <c r="H678" i="10"/>
  <c r="G679" i="10"/>
  <c r="H679" i="10"/>
  <c r="G680" i="10"/>
  <c r="H680" i="10"/>
  <c r="G681" i="10"/>
  <c r="H681" i="10"/>
  <c r="G682" i="10"/>
  <c r="H682" i="10"/>
  <c r="G683" i="10"/>
  <c r="H683" i="10"/>
  <c r="G684" i="10"/>
  <c r="H684" i="10"/>
  <c r="G685" i="10"/>
  <c r="H685" i="10"/>
  <c r="G686" i="10"/>
  <c r="H686" i="10"/>
  <c r="G687" i="10"/>
  <c r="H687" i="10"/>
  <c r="G688" i="10"/>
  <c r="H688" i="10"/>
  <c r="G689" i="10"/>
  <c r="H689" i="10"/>
  <c r="G690" i="10"/>
  <c r="H690" i="10"/>
  <c r="G691" i="10"/>
  <c r="H691" i="10"/>
  <c r="G692" i="10"/>
  <c r="H692" i="10"/>
  <c r="G693" i="10"/>
  <c r="H693" i="10"/>
  <c r="G694" i="10"/>
  <c r="H694" i="10"/>
  <c r="G695" i="10"/>
  <c r="H695" i="10"/>
  <c r="G696" i="10"/>
  <c r="H696" i="10"/>
  <c r="G697" i="10"/>
  <c r="H697" i="10"/>
  <c r="G698" i="10"/>
  <c r="H698" i="10"/>
  <c r="G699" i="10"/>
  <c r="H699" i="10"/>
  <c r="G700" i="10"/>
  <c r="H700" i="10"/>
  <c r="G701" i="10"/>
  <c r="H701" i="10"/>
  <c r="G702" i="10"/>
  <c r="H702" i="10"/>
  <c r="G703" i="10"/>
  <c r="H703" i="10"/>
  <c r="G704" i="10"/>
  <c r="H704" i="10"/>
  <c r="G705" i="10"/>
  <c r="H705" i="10"/>
  <c r="G706" i="10"/>
  <c r="H706" i="10"/>
  <c r="G707" i="10"/>
  <c r="H707" i="10"/>
  <c r="G708" i="10"/>
  <c r="H708" i="10"/>
  <c r="G709" i="10"/>
  <c r="H709" i="10"/>
  <c r="G710" i="10"/>
  <c r="H710" i="10"/>
  <c r="G711" i="10"/>
  <c r="H711" i="10"/>
  <c r="G712" i="10"/>
  <c r="H712" i="10"/>
  <c r="G713" i="10"/>
  <c r="H713" i="10"/>
  <c r="G714" i="10"/>
  <c r="H714" i="10"/>
  <c r="G715" i="10"/>
  <c r="H715" i="10"/>
  <c r="G716" i="10"/>
  <c r="H716" i="10"/>
  <c r="G717" i="10"/>
  <c r="H717" i="10"/>
  <c r="G718" i="10"/>
  <c r="H718" i="10"/>
  <c r="G719" i="10"/>
  <c r="H719" i="10"/>
  <c r="G720" i="10"/>
  <c r="H720" i="10"/>
  <c r="G721" i="10"/>
  <c r="H721" i="10"/>
  <c r="G722" i="10"/>
  <c r="H722" i="10"/>
  <c r="G723" i="10"/>
  <c r="H723" i="10"/>
  <c r="G724" i="10"/>
  <c r="H724" i="10"/>
  <c r="G725" i="10"/>
  <c r="H725" i="10"/>
  <c r="G726" i="10"/>
  <c r="H726" i="10"/>
  <c r="G727" i="10"/>
  <c r="H727" i="10"/>
  <c r="G728" i="10"/>
  <c r="H728" i="10"/>
  <c r="G729" i="10"/>
  <c r="H729" i="10"/>
  <c r="G730" i="10"/>
  <c r="H730" i="10"/>
  <c r="G731" i="10"/>
  <c r="H731" i="10"/>
  <c r="G732" i="10"/>
  <c r="H732" i="10"/>
  <c r="G733" i="10"/>
  <c r="H733" i="10"/>
  <c r="G734" i="10"/>
  <c r="H734" i="10"/>
  <c r="G735" i="10"/>
  <c r="H735" i="10"/>
  <c r="G736" i="10"/>
  <c r="H736" i="10"/>
  <c r="G737" i="10"/>
  <c r="H737" i="10"/>
  <c r="G738" i="10"/>
  <c r="H738" i="10"/>
  <c r="G739" i="10"/>
  <c r="H739" i="10"/>
  <c r="G740" i="10"/>
  <c r="H740" i="10"/>
  <c r="G741" i="10"/>
  <c r="H741" i="10"/>
  <c r="G742" i="10"/>
  <c r="H742" i="10"/>
  <c r="G743" i="10"/>
  <c r="H743" i="10"/>
  <c r="G744" i="10"/>
  <c r="H744" i="10"/>
  <c r="G745" i="10"/>
  <c r="H745" i="10"/>
  <c r="G746" i="10"/>
  <c r="H746" i="10"/>
  <c r="G747" i="10"/>
  <c r="H747" i="10"/>
  <c r="G748" i="10"/>
  <c r="H748" i="10"/>
  <c r="G749" i="10"/>
  <c r="H749" i="10"/>
  <c r="G750" i="10"/>
  <c r="H750" i="10"/>
  <c r="G751" i="10"/>
  <c r="H751" i="10"/>
  <c r="G752" i="10"/>
  <c r="H752" i="10"/>
  <c r="G753" i="10"/>
  <c r="H753" i="10"/>
  <c r="G754" i="10"/>
  <c r="H754" i="10"/>
  <c r="G755" i="10"/>
  <c r="H755" i="10"/>
  <c r="G756" i="10"/>
  <c r="H756" i="10"/>
  <c r="G757" i="10"/>
  <c r="H757" i="10"/>
  <c r="G758" i="10"/>
  <c r="H758" i="10"/>
  <c r="G759" i="10"/>
  <c r="H759" i="10"/>
  <c r="G760" i="10"/>
  <c r="H760" i="10"/>
  <c r="G761" i="10"/>
  <c r="H761" i="10"/>
  <c r="G762" i="10"/>
  <c r="H762" i="10"/>
  <c r="G763" i="10"/>
  <c r="H763" i="10"/>
  <c r="G764" i="10"/>
  <c r="H764" i="10"/>
  <c r="G765" i="10"/>
  <c r="H765" i="10"/>
  <c r="G766" i="10"/>
  <c r="H766" i="10"/>
  <c r="G767" i="10"/>
  <c r="H767" i="10"/>
  <c r="G768" i="10"/>
  <c r="H768" i="10"/>
  <c r="G769" i="10"/>
  <c r="H769" i="10"/>
  <c r="G770" i="10"/>
  <c r="H770" i="10"/>
  <c r="G771" i="10"/>
  <c r="H771" i="10"/>
  <c r="G772" i="10"/>
  <c r="H772" i="10"/>
  <c r="G773" i="10"/>
  <c r="H773" i="10"/>
  <c r="G774" i="10"/>
  <c r="H774" i="10"/>
  <c r="G775" i="10"/>
  <c r="H775" i="10"/>
  <c r="G776" i="10"/>
  <c r="H776" i="10"/>
  <c r="G777" i="10"/>
  <c r="H777" i="10"/>
  <c r="G778" i="10"/>
  <c r="H778" i="10"/>
  <c r="G779" i="10"/>
  <c r="H779" i="10"/>
  <c r="G780" i="10"/>
  <c r="H780" i="10"/>
  <c r="G781" i="10"/>
  <c r="H781" i="10"/>
  <c r="G782" i="10"/>
  <c r="H782" i="10"/>
  <c r="G783" i="10"/>
  <c r="H783" i="10"/>
  <c r="G784" i="10"/>
  <c r="H784" i="10"/>
  <c r="G785" i="10"/>
  <c r="H785" i="10"/>
  <c r="G786" i="10"/>
  <c r="H786" i="10"/>
  <c r="G787" i="10"/>
  <c r="H787" i="10"/>
  <c r="G788" i="10"/>
  <c r="H788" i="10"/>
  <c r="G789" i="10"/>
  <c r="H789" i="10"/>
  <c r="G790" i="10"/>
  <c r="H790" i="10"/>
  <c r="G791" i="10"/>
  <c r="H791" i="10"/>
  <c r="G792" i="10"/>
  <c r="H792" i="10"/>
  <c r="G793" i="10"/>
  <c r="H793" i="10"/>
  <c r="G794" i="10"/>
  <c r="H794" i="10"/>
  <c r="G795" i="10"/>
  <c r="H795" i="10"/>
  <c r="G796" i="10"/>
  <c r="H796" i="10"/>
  <c r="G797" i="10"/>
  <c r="H797" i="10"/>
  <c r="G798" i="10"/>
  <c r="H798" i="10"/>
  <c r="G799" i="10"/>
  <c r="H799" i="10"/>
  <c r="G800" i="10"/>
  <c r="H800" i="10"/>
  <c r="G801" i="10"/>
  <c r="H801" i="10"/>
  <c r="G802" i="10"/>
  <c r="H802" i="10"/>
  <c r="G803" i="10"/>
  <c r="H803" i="10"/>
  <c r="G804" i="10"/>
  <c r="H804" i="10"/>
  <c r="G805" i="10"/>
  <c r="H805" i="10"/>
  <c r="G806" i="10"/>
  <c r="H806" i="10"/>
  <c r="G807" i="10"/>
  <c r="H807" i="10"/>
  <c r="G808" i="10"/>
  <c r="H808" i="10"/>
  <c r="G809" i="10"/>
  <c r="H809" i="10"/>
  <c r="G810" i="10"/>
  <c r="H810" i="10"/>
  <c r="G811" i="10"/>
  <c r="H811" i="10"/>
  <c r="G812" i="10"/>
  <c r="H812" i="10"/>
  <c r="G813" i="10"/>
  <c r="H813" i="10"/>
  <c r="G814" i="10"/>
  <c r="H814" i="10"/>
  <c r="G815" i="10"/>
  <c r="H815" i="10"/>
  <c r="G816" i="10"/>
  <c r="H816" i="10"/>
  <c r="G817" i="10"/>
  <c r="H817" i="10"/>
  <c r="G818" i="10"/>
  <c r="H818" i="10"/>
  <c r="G819" i="10"/>
  <c r="H819" i="10"/>
  <c r="G820" i="10"/>
  <c r="H820" i="10"/>
  <c r="G821" i="10"/>
  <c r="H821" i="10"/>
  <c r="G822" i="10"/>
  <c r="H822" i="10"/>
  <c r="G823" i="10"/>
  <c r="H823" i="10"/>
  <c r="G824" i="10"/>
  <c r="H824" i="10"/>
  <c r="G825" i="10"/>
  <c r="H825" i="10"/>
  <c r="G826" i="10"/>
  <c r="H826" i="10"/>
  <c r="G827" i="10"/>
  <c r="H827" i="10"/>
  <c r="G828" i="10"/>
  <c r="H828" i="10"/>
  <c r="G829" i="10"/>
  <c r="H829" i="10"/>
  <c r="G830" i="10"/>
  <c r="H830" i="10"/>
  <c r="G831" i="10"/>
  <c r="H831" i="10"/>
  <c r="G832" i="10"/>
  <c r="H832" i="10"/>
  <c r="G833" i="10"/>
  <c r="H833" i="10"/>
  <c r="G834" i="10"/>
  <c r="H834" i="10"/>
  <c r="G835" i="10"/>
  <c r="H835" i="10"/>
  <c r="G836" i="10"/>
  <c r="H836" i="10"/>
  <c r="G837" i="10"/>
  <c r="H837" i="10"/>
  <c r="G838" i="10"/>
  <c r="H838" i="10"/>
  <c r="G839" i="10"/>
  <c r="H839" i="10"/>
  <c r="G840" i="10"/>
  <c r="H840" i="10"/>
  <c r="G841" i="10"/>
  <c r="H841" i="10"/>
  <c r="G842" i="10"/>
  <c r="H842" i="10"/>
  <c r="G843" i="10"/>
  <c r="H843" i="10"/>
  <c r="G844" i="10"/>
  <c r="H844" i="10"/>
  <c r="G845" i="10"/>
  <c r="H845" i="10"/>
  <c r="G846" i="10"/>
  <c r="H846" i="10"/>
  <c r="G847" i="10"/>
  <c r="H847" i="10"/>
  <c r="G848" i="10"/>
  <c r="H848" i="10"/>
  <c r="G849" i="10"/>
  <c r="H849" i="10"/>
  <c r="G850" i="10"/>
  <c r="H850" i="10"/>
  <c r="G851" i="10"/>
  <c r="H851" i="10"/>
  <c r="G852" i="10"/>
  <c r="H852" i="10"/>
  <c r="G853" i="10"/>
  <c r="H853" i="10"/>
  <c r="G854" i="10"/>
  <c r="H854" i="10"/>
  <c r="G855" i="10"/>
  <c r="H855" i="10"/>
  <c r="G856" i="10"/>
  <c r="H856" i="10"/>
  <c r="G857" i="10"/>
  <c r="H857" i="10"/>
  <c r="G858" i="10"/>
  <c r="H858" i="10"/>
  <c r="G859" i="10"/>
  <c r="H859" i="10"/>
  <c r="G860" i="10"/>
  <c r="H860" i="10"/>
  <c r="G861" i="10"/>
  <c r="H861" i="10"/>
  <c r="G862" i="10"/>
  <c r="H862" i="10"/>
  <c r="G863" i="10"/>
  <c r="H863" i="10"/>
  <c r="G864" i="10"/>
  <c r="H864" i="10"/>
  <c r="G865" i="10"/>
  <c r="H865" i="10"/>
  <c r="G866" i="10"/>
  <c r="H866" i="10"/>
  <c r="G867" i="10"/>
  <c r="H867" i="10"/>
  <c r="G868" i="10"/>
  <c r="H868" i="10"/>
  <c r="G869" i="10"/>
  <c r="H869" i="10"/>
  <c r="G870" i="10"/>
  <c r="H870" i="10"/>
  <c r="G871" i="10"/>
  <c r="H871" i="10"/>
  <c r="G872" i="10"/>
  <c r="H872" i="10"/>
  <c r="G873" i="10"/>
  <c r="H873" i="10"/>
  <c r="G874" i="10"/>
  <c r="H874" i="10"/>
  <c r="G875" i="10"/>
  <c r="H875" i="10"/>
  <c r="G876" i="10"/>
  <c r="H876" i="10"/>
  <c r="G877" i="10"/>
  <c r="H877" i="10"/>
  <c r="G878" i="10"/>
  <c r="H878" i="10"/>
  <c r="G879" i="10"/>
  <c r="H879" i="10"/>
  <c r="G880" i="10"/>
  <c r="H880" i="10"/>
  <c r="G881" i="10"/>
  <c r="H881" i="10"/>
  <c r="G882" i="10"/>
  <c r="H882" i="10"/>
  <c r="G883" i="10"/>
  <c r="H883" i="10"/>
  <c r="G884" i="10"/>
  <c r="H884" i="10"/>
  <c r="G885" i="10"/>
  <c r="H885" i="10"/>
  <c r="G886" i="10"/>
  <c r="H886" i="10"/>
  <c r="G887" i="10"/>
  <c r="H887" i="10"/>
  <c r="G888" i="10"/>
  <c r="H888" i="10"/>
  <c r="G889" i="10"/>
  <c r="H889" i="10"/>
  <c r="G890" i="10"/>
  <c r="H890" i="10"/>
  <c r="G891" i="10"/>
  <c r="H891" i="10"/>
  <c r="G892" i="10"/>
  <c r="H892" i="10"/>
  <c r="G893" i="10"/>
  <c r="H893" i="10"/>
  <c r="G894" i="10"/>
  <c r="H894" i="10"/>
  <c r="G895" i="10"/>
  <c r="H895" i="10"/>
  <c r="G896" i="10"/>
  <c r="H896" i="10"/>
  <c r="G897" i="10"/>
  <c r="H897" i="10"/>
  <c r="G898" i="10"/>
  <c r="H898" i="10"/>
  <c r="G899" i="10"/>
  <c r="H899" i="10"/>
  <c r="G900" i="10"/>
  <c r="H900" i="10"/>
  <c r="G901" i="10"/>
  <c r="H901" i="10"/>
  <c r="G902" i="10"/>
  <c r="H902" i="10"/>
  <c r="G903" i="10"/>
  <c r="H903" i="10"/>
  <c r="G904" i="10"/>
  <c r="H904" i="10"/>
  <c r="G905" i="10"/>
  <c r="H905" i="10"/>
  <c r="G906" i="10"/>
  <c r="H906" i="10"/>
  <c r="G907" i="10"/>
  <c r="H907" i="10"/>
  <c r="G908" i="10"/>
  <c r="H908" i="10"/>
  <c r="G909" i="10"/>
  <c r="H909" i="10"/>
  <c r="G910" i="10"/>
  <c r="H910" i="10"/>
  <c r="G911" i="10"/>
  <c r="H911" i="10"/>
  <c r="G912" i="10"/>
  <c r="H912" i="10"/>
  <c r="G913" i="10"/>
  <c r="H913" i="10"/>
  <c r="G914" i="10"/>
  <c r="H914" i="10"/>
  <c r="G915" i="10"/>
  <c r="H915" i="10"/>
  <c r="G916" i="10"/>
  <c r="H916" i="10"/>
  <c r="G917" i="10"/>
  <c r="H917" i="10"/>
  <c r="G918" i="10"/>
  <c r="H918" i="10"/>
  <c r="G919" i="10"/>
  <c r="H919" i="10"/>
  <c r="G920" i="10"/>
  <c r="H920" i="10"/>
  <c r="G921" i="10"/>
  <c r="H921" i="10"/>
  <c r="G922" i="10"/>
  <c r="H922" i="10"/>
  <c r="G923" i="10"/>
  <c r="H923" i="10"/>
  <c r="G924" i="10"/>
  <c r="H924" i="10"/>
  <c r="G925" i="10"/>
  <c r="H925" i="10"/>
  <c r="G926" i="10"/>
  <c r="H926" i="10"/>
  <c r="G927" i="10"/>
  <c r="H927" i="10"/>
  <c r="G928" i="10"/>
  <c r="H928" i="10"/>
  <c r="G929" i="10"/>
  <c r="H929" i="10"/>
  <c r="G930" i="10"/>
  <c r="H930" i="10"/>
  <c r="G931" i="10"/>
  <c r="H931" i="10"/>
  <c r="G932" i="10"/>
  <c r="H932" i="10"/>
  <c r="G933" i="10"/>
  <c r="H933" i="10"/>
  <c r="G934" i="10"/>
  <c r="H934" i="10"/>
  <c r="G935" i="10"/>
  <c r="H935" i="10"/>
  <c r="G936" i="10"/>
  <c r="H936" i="10"/>
  <c r="G937" i="10"/>
  <c r="H937" i="10"/>
  <c r="G938" i="10"/>
  <c r="H938" i="10"/>
  <c r="G939" i="10"/>
  <c r="H939" i="10"/>
  <c r="G940" i="10"/>
  <c r="H940" i="10"/>
  <c r="G941" i="10"/>
  <c r="H941" i="10"/>
  <c r="G942" i="10"/>
  <c r="H942" i="10"/>
  <c r="G943" i="10"/>
  <c r="H943" i="10"/>
  <c r="G944" i="10"/>
  <c r="H944" i="10"/>
  <c r="G945" i="10"/>
  <c r="H945" i="10"/>
  <c r="G946" i="10"/>
  <c r="H946" i="10"/>
  <c r="G947" i="10"/>
  <c r="H947" i="10"/>
  <c r="G948" i="10"/>
  <c r="H948" i="10"/>
  <c r="G949" i="10"/>
  <c r="H949" i="10"/>
  <c r="G950" i="10"/>
  <c r="H950" i="10"/>
  <c r="G951" i="10"/>
  <c r="H951" i="10"/>
  <c r="G952" i="10"/>
  <c r="H952" i="10"/>
  <c r="G953" i="10"/>
  <c r="H953" i="10"/>
  <c r="G954" i="10"/>
  <c r="H954" i="10"/>
  <c r="G955" i="10"/>
  <c r="H955" i="10"/>
  <c r="G956" i="10"/>
  <c r="H956" i="10"/>
  <c r="G957" i="10"/>
  <c r="H957" i="10"/>
  <c r="G958" i="10"/>
  <c r="H958" i="10"/>
  <c r="G959" i="10"/>
  <c r="H959" i="10"/>
  <c r="G960" i="10"/>
  <c r="H960" i="10"/>
  <c r="G961" i="10"/>
  <c r="H961" i="10"/>
  <c r="G962" i="10"/>
  <c r="H962" i="10"/>
  <c r="G963" i="10"/>
  <c r="H963" i="10"/>
  <c r="G964" i="10"/>
  <c r="H964" i="10"/>
  <c r="G965" i="10"/>
  <c r="H965" i="10"/>
  <c r="G966" i="10"/>
  <c r="H966" i="10"/>
  <c r="G967" i="10"/>
  <c r="H967" i="10"/>
  <c r="G968" i="10"/>
  <c r="H968" i="10"/>
  <c r="G969" i="10"/>
  <c r="H969" i="10"/>
  <c r="G970" i="10"/>
  <c r="H970" i="10"/>
  <c r="G971" i="10"/>
  <c r="H971" i="10"/>
  <c r="G972" i="10"/>
  <c r="H972" i="10"/>
  <c r="G973" i="10"/>
  <c r="H973" i="10"/>
  <c r="G974" i="10"/>
  <c r="H974" i="10"/>
  <c r="G975" i="10"/>
  <c r="H975" i="10"/>
  <c r="G976" i="10"/>
  <c r="H976" i="10"/>
  <c r="G977" i="10"/>
  <c r="H977" i="10"/>
  <c r="G978" i="10"/>
  <c r="H978" i="10"/>
  <c r="G979" i="10"/>
  <c r="H979" i="10"/>
  <c r="G980" i="10"/>
  <c r="H980" i="10"/>
  <c r="G981" i="10"/>
  <c r="H981" i="10"/>
  <c r="G982" i="10"/>
  <c r="H982" i="10"/>
  <c r="G983" i="10"/>
  <c r="H983" i="10"/>
  <c r="G984" i="10"/>
  <c r="H984" i="10"/>
  <c r="G985" i="10"/>
  <c r="H985" i="10"/>
  <c r="G986" i="10"/>
  <c r="H986" i="10"/>
  <c r="G987" i="10"/>
  <c r="H987" i="10"/>
  <c r="G988" i="10"/>
  <c r="H988" i="10"/>
  <c r="G989" i="10"/>
  <c r="H989" i="10"/>
  <c r="G990" i="10"/>
  <c r="H990" i="10"/>
  <c r="G991" i="10"/>
  <c r="H991" i="10"/>
  <c r="G992" i="10"/>
  <c r="H992" i="10"/>
  <c r="G993" i="10"/>
  <c r="H993" i="10"/>
  <c r="G994" i="10"/>
  <c r="H994" i="10"/>
  <c r="G995" i="10"/>
  <c r="H995" i="10"/>
  <c r="G996" i="10"/>
  <c r="H996" i="10"/>
  <c r="G997" i="10"/>
  <c r="H997" i="10"/>
  <c r="G998" i="10"/>
  <c r="H998" i="10"/>
  <c r="G999" i="10"/>
  <c r="H999" i="10"/>
  <c r="G1000" i="10"/>
  <c r="H1000" i="10"/>
  <c r="H4" i="10"/>
  <c r="G4" i="10"/>
  <c r="I153" i="2"/>
  <c r="I152" i="2"/>
  <c r="I150" i="2"/>
  <c r="I149" i="2"/>
  <c r="I148" i="2"/>
  <c r="I147" i="2"/>
  <c r="I146" i="2"/>
  <c r="I145" i="2"/>
  <c r="I144" i="2"/>
  <c r="I143" i="2"/>
  <c r="I141" i="2"/>
  <c r="I140" i="2"/>
  <c r="I139" i="2"/>
  <c r="I137" i="2"/>
  <c r="I136" i="2"/>
  <c r="I135" i="2"/>
  <c r="I132" i="2"/>
  <c r="I131" i="2"/>
  <c r="I130" i="2"/>
  <c r="I126" i="2"/>
  <c r="I125" i="2"/>
  <c r="I124" i="2"/>
  <c r="I123" i="2"/>
  <c r="I122" i="2"/>
  <c r="I120" i="2"/>
  <c r="I119" i="2"/>
  <c r="I117" i="2"/>
  <c r="I116" i="2"/>
  <c r="I114" i="2"/>
  <c r="I113" i="2"/>
  <c r="I111" i="2"/>
  <c r="I108" i="2"/>
  <c r="I107" i="2"/>
  <c r="I106" i="2"/>
  <c r="I105" i="2"/>
  <c r="I104" i="2"/>
  <c r="I103" i="2"/>
  <c r="I102" i="2"/>
  <c r="I101" i="2"/>
  <c r="I100" i="2"/>
  <c r="I99" i="2"/>
  <c r="I98" i="2"/>
  <c r="D5" i="3"/>
  <c r="C5" i="3"/>
  <c r="B3" i="3" s="1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C34" i="12" s="1"/>
  <c r="A35" i="12"/>
  <c r="D35" i="12" s="1"/>
  <c r="A36" i="12"/>
  <c r="C36" i="12" s="1"/>
  <c r="A37" i="12"/>
  <c r="A38" i="12"/>
  <c r="D38" i="12" s="1"/>
  <c r="A39" i="12"/>
  <c r="A40" i="12"/>
  <c r="A41" i="12"/>
  <c r="A42" i="12"/>
  <c r="C42" i="12" s="1"/>
  <c r="A43" i="12"/>
  <c r="D43" i="12" s="1"/>
  <c r="A44" i="12"/>
  <c r="C44" i="12" s="1"/>
  <c r="A45" i="12"/>
  <c r="A46" i="12"/>
  <c r="D46" i="12" s="1"/>
  <c r="A47" i="12"/>
  <c r="A48" i="12"/>
  <c r="A49" i="12"/>
  <c r="A50" i="12"/>
  <c r="C50" i="12" s="1"/>
  <c r="A51" i="12"/>
  <c r="D51" i="12" s="1"/>
  <c r="A52" i="12"/>
  <c r="C52" i="12" s="1"/>
  <c r="A53" i="12"/>
  <c r="A54" i="12"/>
  <c r="D54" i="12" s="1"/>
  <c r="A55" i="12"/>
  <c r="A56" i="12"/>
  <c r="A57" i="12"/>
  <c r="A58" i="12"/>
  <c r="D58" i="12" s="1"/>
  <c r="A59" i="12"/>
  <c r="A60" i="12"/>
  <c r="C60" i="12" s="1"/>
  <c r="A61" i="12"/>
  <c r="A62" i="12"/>
  <c r="C62" i="12" s="1"/>
  <c r="A63" i="12"/>
  <c r="A64" i="12"/>
  <c r="A65" i="12"/>
  <c r="A66" i="12"/>
  <c r="C66" i="12" s="1"/>
  <c r="A67" i="12"/>
  <c r="D67" i="12" s="1"/>
  <c r="A68" i="12"/>
  <c r="C68" i="12" s="1"/>
  <c r="A69" i="12"/>
  <c r="A70" i="12"/>
  <c r="C70" i="12" s="1"/>
  <c r="A71" i="12"/>
  <c r="A72" i="12"/>
  <c r="A73" i="12"/>
  <c r="A74" i="12"/>
  <c r="D74" i="12" s="1"/>
  <c r="A75" i="12"/>
  <c r="D75" i="12" s="1"/>
  <c r="A76" i="12"/>
  <c r="C76" i="12" s="1"/>
  <c r="A77" i="12"/>
  <c r="A78" i="12"/>
  <c r="C78" i="12" s="1"/>
  <c r="A79" i="12"/>
  <c r="A80" i="12"/>
  <c r="A81" i="12"/>
  <c r="A82" i="12"/>
  <c r="D82" i="12" s="1"/>
  <c r="A83" i="12"/>
  <c r="D83" i="12" s="1"/>
  <c r="A84" i="12"/>
  <c r="C84" i="12" s="1"/>
  <c r="A85" i="12"/>
  <c r="A86" i="12"/>
  <c r="C86" i="12" s="1"/>
  <c r="A87" i="12"/>
  <c r="A88" i="12"/>
  <c r="D88" i="12" s="1"/>
  <c r="A89" i="12"/>
  <c r="A90" i="12"/>
  <c r="C90" i="12" s="1"/>
  <c r="A91" i="12"/>
  <c r="C91" i="12" s="1"/>
  <c r="A92" i="12"/>
  <c r="A93" i="12"/>
  <c r="A94" i="12"/>
  <c r="D94" i="12" s="1"/>
  <c r="A95" i="12"/>
  <c r="C95" i="12" s="1"/>
  <c r="A96" i="12"/>
  <c r="A97" i="12"/>
  <c r="A98" i="12"/>
  <c r="C98" i="12" s="1"/>
  <c r="A99" i="12"/>
  <c r="A100" i="12"/>
  <c r="C100" i="12" s="1"/>
  <c r="A101" i="12"/>
  <c r="A102" i="12"/>
  <c r="C102" i="12" s="1"/>
  <c r="A103" i="12"/>
  <c r="A104" i="12"/>
  <c r="D104" i="12" s="1"/>
  <c r="A105" i="12"/>
  <c r="A106" i="12"/>
  <c r="C106" i="12" s="1"/>
  <c r="A107" i="12"/>
  <c r="C107" i="12" s="1"/>
  <c r="A108" i="12"/>
  <c r="A109" i="12"/>
  <c r="A110" i="12"/>
  <c r="C110" i="12" s="1"/>
  <c r="A111" i="12"/>
  <c r="C111" i="12" s="1"/>
  <c r="A112" i="12"/>
  <c r="A113" i="12"/>
  <c r="A114" i="12"/>
  <c r="D114" i="12" s="1"/>
  <c r="A115" i="12"/>
  <c r="D115" i="12" s="1"/>
  <c r="A116" i="12"/>
  <c r="C116" i="12" s="1"/>
  <c r="A117" i="12"/>
  <c r="A118" i="12"/>
  <c r="C118" i="12" s="1"/>
  <c r="A119" i="12"/>
  <c r="A120" i="12"/>
  <c r="D120" i="12" s="1"/>
  <c r="A121" i="12"/>
  <c r="A122" i="12"/>
  <c r="C122" i="12" s="1"/>
  <c r="A123" i="12"/>
  <c r="C123" i="12" s="1"/>
  <c r="A124" i="12"/>
  <c r="A125" i="12"/>
  <c r="A126" i="12"/>
  <c r="D126" i="12" s="1"/>
  <c r="A127" i="12"/>
  <c r="C127" i="12" s="1"/>
  <c r="A128" i="12"/>
  <c r="A129" i="12"/>
  <c r="A130" i="12"/>
  <c r="C130" i="12" s="1"/>
  <c r="A131" i="12"/>
  <c r="A132" i="12"/>
  <c r="C132" i="12" s="1"/>
  <c r="A133" i="12"/>
  <c r="A134" i="12"/>
  <c r="C134" i="12" s="1"/>
  <c r="A135" i="12"/>
  <c r="A136" i="12"/>
  <c r="D136" i="12" s="1"/>
  <c r="A137" i="12"/>
  <c r="A138" i="12"/>
  <c r="D138" i="12" s="1"/>
  <c r="A139" i="12"/>
  <c r="C139" i="12" s="1"/>
  <c r="A140" i="12"/>
  <c r="A141" i="12"/>
  <c r="A142" i="12"/>
  <c r="C142" i="12" s="1"/>
  <c r="A143" i="12"/>
  <c r="C143" i="12" s="1"/>
  <c r="A144" i="12"/>
  <c r="A145" i="12"/>
  <c r="A146" i="12"/>
  <c r="D146" i="12" s="1"/>
  <c r="A147" i="12"/>
  <c r="D147" i="12" s="1"/>
  <c r="A148" i="12"/>
  <c r="C148" i="12" s="1"/>
  <c r="A149" i="12"/>
  <c r="A150" i="12"/>
  <c r="C150" i="12" s="1"/>
  <c r="A151" i="12"/>
  <c r="A152" i="12"/>
  <c r="D152" i="12" s="1"/>
  <c r="A153" i="12"/>
  <c r="A154" i="12"/>
  <c r="C154" i="12" s="1"/>
  <c r="A155" i="12"/>
  <c r="C155" i="12" s="1"/>
  <c r="A156" i="12"/>
  <c r="A157" i="12"/>
  <c r="A158" i="12"/>
  <c r="D158" i="12" s="1"/>
  <c r="A159" i="12"/>
  <c r="C159" i="12" s="1"/>
  <c r="A160" i="12"/>
  <c r="A161" i="12"/>
  <c r="A162" i="12"/>
  <c r="D162" i="12" s="1"/>
  <c r="A163" i="12"/>
  <c r="A164" i="12"/>
  <c r="C164" i="12" s="1"/>
  <c r="A165" i="12"/>
  <c r="A166" i="12"/>
  <c r="C166" i="12" s="1"/>
  <c r="A167" i="12"/>
  <c r="A168" i="12"/>
  <c r="D168" i="12" s="1"/>
  <c r="A169" i="12"/>
  <c r="A170" i="12"/>
  <c r="C170" i="12" s="1"/>
  <c r="A171" i="12"/>
  <c r="C171" i="12" s="1"/>
  <c r="A172" i="12"/>
  <c r="A173" i="12"/>
  <c r="A174" i="12"/>
  <c r="C174" i="12" s="1"/>
  <c r="A175" i="12"/>
  <c r="C175" i="12" s="1"/>
  <c r="A176" i="12"/>
  <c r="A177" i="12"/>
  <c r="A178" i="12"/>
  <c r="D178" i="12" s="1"/>
  <c r="A179" i="12"/>
  <c r="D179" i="12" s="1"/>
  <c r="A180" i="12"/>
  <c r="C180" i="12" s="1"/>
  <c r="A181" i="12"/>
  <c r="A182" i="12"/>
  <c r="C182" i="12" s="1"/>
  <c r="A183" i="12"/>
  <c r="A184" i="12"/>
  <c r="D184" i="12" s="1"/>
  <c r="A185" i="12"/>
  <c r="A186" i="12"/>
  <c r="C186" i="12" s="1"/>
  <c r="A187" i="12"/>
  <c r="C187" i="12" s="1"/>
  <c r="A188" i="12"/>
  <c r="A189" i="12"/>
  <c r="A190" i="12"/>
  <c r="D190" i="12" s="1"/>
  <c r="A191" i="12"/>
  <c r="C191" i="12" s="1"/>
  <c r="A192" i="12"/>
  <c r="A193" i="12"/>
  <c r="A194" i="12"/>
  <c r="C194" i="12" s="1"/>
  <c r="A195" i="12"/>
  <c r="A196" i="12"/>
  <c r="C196" i="12" s="1"/>
  <c r="A197" i="12"/>
  <c r="A198" i="12"/>
  <c r="C198" i="12" s="1"/>
  <c r="A199" i="12"/>
  <c r="A200" i="12"/>
  <c r="D200" i="12" s="1"/>
  <c r="A201" i="12"/>
  <c r="A202" i="12"/>
  <c r="D202" i="12" s="1"/>
  <c r="A203" i="12"/>
  <c r="C203" i="12" s="1"/>
  <c r="A204" i="12"/>
  <c r="A205" i="12"/>
  <c r="A206" i="12"/>
  <c r="C206" i="12" s="1"/>
  <c r="A207" i="12"/>
  <c r="C207" i="12" s="1"/>
  <c r="A208" i="12"/>
  <c r="A209" i="12"/>
  <c r="A210" i="12"/>
  <c r="D210" i="12" s="1"/>
  <c r="A211" i="12"/>
  <c r="D211" i="12" s="1"/>
  <c r="A212" i="12"/>
  <c r="C212" i="12" s="1"/>
  <c r="A213" i="12"/>
  <c r="A214" i="12"/>
  <c r="C214" i="12" s="1"/>
  <c r="A215" i="12"/>
  <c r="A216" i="12"/>
  <c r="D216" i="12" s="1"/>
  <c r="A217" i="12"/>
  <c r="A218" i="12"/>
  <c r="C218" i="12" s="1"/>
  <c r="A219" i="12"/>
  <c r="C219" i="12" s="1"/>
  <c r="A220" i="12"/>
  <c r="A221" i="12"/>
  <c r="A222" i="12"/>
  <c r="D222" i="12" s="1"/>
  <c r="A223" i="12"/>
  <c r="C223" i="12" s="1"/>
  <c r="A224" i="12"/>
  <c r="A225" i="12"/>
  <c r="A226" i="12"/>
  <c r="D226" i="12" s="1"/>
  <c r="A227" i="12"/>
  <c r="A228" i="12"/>
  <c r="C228" i="12" s="1"/>
  <c r="A229" i="12"/>
  <c r="A230" i="12"/>
  <c r="C230" i="12" s="1"/>
  <c r="A231" i="12"/>
  <c r="A232" i="12"/>
  <c r="D232" i="12" s="1"/>
  <c r="A233" i="12"/>
  <c r="A234" i="12"/>
  <c r="C234" i="12" s="1"/>
  <c r="A235" i="12"/>
  <c r="C235" i="12" s="1"/>
  <c r="A236" i="12"/>
  <c r="A237" i="12"/>
  <c r="A238" i="12"/>
  <c r="C238" i="12" s="1"/>
  <c r="A239" i="12"/>
  <c r="C239" i="12" s="1"/>
  <c r="A240" i="12"/>
  <c r="A241" i="12"/>
  <c r="A242" i="12"/>
  <c r="D242" i="12" s="1"/>
  <c r="A243" i="12"/>
  <c r="D243" i="12" s="1"/>
  <c r="A244" i="12"/>
  <c r="C244" i="12" s="1"/>
  <c r="A245" i="12"/>
  <c r="A246" i="12"/>
  <c r="C246" i="12" s="1"/>
  <c r="A247" i="12"/>
  <c r="A248" i="12"/>
  <c r="D248" i="12" s="1"/>
  <c r="A249" i="12"/>
  <c r="A250" i="12"/>
  <c r="A251" i="12"/>
  <c r="C251" i="12" s="1"/>
  <c r="A252" i="12"/>
  <c r="C252" i="12" s="1"/>
  <c r="A253" i="12"/>
  <c r="A254" i="12"/>
  <c r="A255" i="12"/>
  <c r="C255" i="12" s="1"/>
  <c r="A256" i="12"/>
  <c r="A257" i="12"/>
  <c r="A258" i="12"/>
  <c r="A259" i="12"/>
  <c r="C259" i="12" s="1"/>
  <c r="A260" i="12"/>
  <c r="C260" i="12" s="1"/>
  <c r="A261" i="12"/>
  <c r="A262" i="12"/>
  <c r="A263" i="12"/>
  <c r="C263" i="12" s="1"/>
  <c r="A264" i="12"/>
  <c r="D264" i="12" s="1"/>
  <c r="A265" i="12"/>
  <c r="A266" i="12"/>
  <c r="A267" i="12"/>
  <c r="C267" i="12" s="1"/>
  <c r="A268" i="12"/>
  <c r="C268" i="12" s="1"/>
  <c r="A269" i="12"/>
  <c r="A270" i="12"/>
  <c r="A271" i="12"/>
  <c r="C271" i="12" s="1"/>
  <c r="A272" i="12"/>
  <c r="A273" i="12"/>
  <c r="A274" i="12"/>
  <c r="A275" i="12"/>
  <c r="C275" i="12" s="1"/>
  <c r="A276" i="12"/>
  <c r="D276" i="12" s="1"/>
  <c r="A277" i="12"/>
  <c r="A278" i="12"/>
  <c r="A279" i="12"/>
  <c r="C279" i="12" s="1"/>
  <c r="A280" i="12"/>
  <c r="A281" i="12"/>
  <c r="A282" i="12"/>
  <c r="A283" i="12"/>
  <c r="C283" i="12" s="1"/>
  <c r="A284" i="12"/>
  <c r="D284" i="12" s="1"/>
  <c r="A285" i="12"/>
  <c r="A286" i="12"/>
  <c r="A287" i="12"/>
  <c r="C287" i="12" s="1"/>
  <c r="A288" i="12"/>
  <c r="C288" i="12" s="1"/>
  <c r="A289" i="12"/>
  <c r="A290" i="12"/>
  <c r="A291" i="12"/>
  <c r="C291" i="12" s="1"/>
  <c r="A292" i="12"/>
  <c r="D292" i="12" s="1"/>
  <c r="A293" i="12"/>
  <c r="A294" i="12"/>
  <c r="A295" i="12"/>
  <c r="C295" i="12" s="1"/>
  <c r="A296" i="12"/>
  <c r="A297" i="12"/>
  <c r="A298" i="12"/>
  <c r="A299" i="12"/>
  <c r="C299" i="12" s="1"/>
  <c r="A300" i="12"/>
  <c r="D300" i="12" s="1"/>
  <c r="A301" i="12"/>
  <c r="A302" i="12"/>
  <c r="A303" i="12"/>
  <c r="C303" i="12" s="1"/>
  <c r="A304" i="12"/>
  <c r="C304" i="12" s="1"/>
  <c r="A305" i="12"/>
  <c r="A306" i="12"/>
  <c r="A307" i="12"/>
  <c r="C307" i="12" s="1"/>
  <c r="A308" i="12"/>
  <c r="C308" i="12" s="1"/>
  <c r="A309" i="12"/>
  <c r="A310" i="12"/>
  <c r="A311" i="12"/>
  <c r="C311" i="12" s="1"/>
  <c r="A312" i="12"/>
  <c r="D312" i="12" s="1"/>
  <c r="A313" i="12"/>
  <c r="A314" i="12"/>
  <c r="A315" i="12"/>
  <c r="C315" i="12" s="1"/>
  <c r="A316" i="12"/>
  <c r="C316" i="12" s="1"/>
  <c r="A317" i="12"/>
  <c r="A318" i="12"/>
  <c r="A319" i="12"/>
  <c r="C319" i="12" s="1"/>
  <c r="A320" i="12"/>
  <c r="A321" i="12"/>
  <c r="A322" i="12"/>
  <c r="A323" i="12"/>
  <c r="C323" i="12" s="1"/>
  <c r="A324" i="12"/>
  <c r="C324" i="12" s="1"/>
  <c r="A325" i="12"/>
  <c r="A326" i="12"/>
  <c r="A327" i="12"/>
  <c r="C327" i="12" s="1"/>
  <c r="A328" i="12"/>
  <c r="D328" i="12" s="1"/>
  <c r="A329" i="12"/>
  <c r="A330" i="12"/>
  <c r="A331" i="12"/>
  <c r="C331" i="12" s="1"/>
  <c r="A332" i="12"/>
  <c r="C332" i="12" s="1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D398" i="12" s="1"/>
  <c r="A399" i="12"/>
  <c r="A400" i="12"/>
  <c r="A401" i="12"/>
  <c r="A402" i="12"/>
  <c r="C402" i="12" s="1"/>
  <c r="A403" i="12"/>
  <c r="A404" i="12"/>
  <c r="A405" i="12"/>
  <c r="A406" i="12"/>
  <c r="D406" i="12" s="1"/>
  <c r="A407" i="12"/>
  <c r="D407" i="12" s="1"/>
  <c r="A408" i="12"/>
  <c r="A409" i="12"/>
  <c r="A410" i="12"/>
  <c r="C410" i="12" s="1"/>
  <c r="A411" i="12"/>
  <c r="D411" i="12" s="1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C495" i="12" s="1"/>
  <c r="A496" i="12"/>
  <c r="D496" i="12" s="1"/>
  <c r="A497" i="12"/>
  <c r="A498" i="12"/>
  <c r="C498" i="12" s="1"/>
  <c r="A499" i="12"/>
  <c r="A500" i="12"/>
  <c r="D500" i="12" s="1"/>
  <c r="A501" i="12"/>
  <c r="A502" i="12"/>
  <c r="D502" i="12" s="1"/>
  <c r="A503" i="12"/>
  <c r="A504" i="12"/>
  <c r="C504" i="12" s="1"/>
  <c r="A505" i="12"/>
  <c r="A506" i="12"/>
  <c r="C506" i="12" s="1"/>
  <c r="A507" i="12"/>
  <c r="D507" i="12" s="1"/>
  <c r="A508" i="12"/>
  <c r="C508" i="12" s="1"/>
  <c r="A509" i="12"/>
  <c r="C509" i="12" s="1"/>
  <c r="A510" i="12"/>
  <c r="D510" i="12" s="1"/>
  <c r="A511" i="12"/>
  <c r="C511" i="12" s="1"/>
  <c r="A512" i="12"/>
  <c r="D512" i="12" s="1"/>
  <c r="A513" i="12"/>
  <c r="A514" i="12"/>
  <c r="C514" i="12" s="1"/>
  <c r="A515" i="12"/>
  <c r="A516" i="12"/>
  <c r="D516" i="12" s="1"/>
  <c r="A517" i="12"/>
  <c r="A518" i="12"/>
  <c r="D518" i="12" s="1"/>
  <c r="A519" i="12"/>
  <c r="A520" i="12"/>
  <c r="C520" i="12" s="1"/>
  <c r="A521" i="12"/>
  <c r="A522" i="12"/>
  <c r="C522" i="12" s="1"/>
  <c r="A523" i="12"/>
  <c r="D523" i="12" s="1"/>
  <c r="A524" i="12"/>
  <c r="C524" i="12" s="1"/>
  <c r="A525" i="12"/>
  <c r="C525" i="12" s="1"/>
  <c r="A526" i="12"/>
  <c r="D526" i="12" s="1"/>
  <c r="A527" i="12"/>
  <c r="C527" i="12" s="1"/>
  <c r="A528" i="12"/>
  <c r="D528" i="12" s="1"/>
  <c r="A529" i="12"/>
  <c r="A530" i="12"/>
  <c r="D530" i="12" s="1"/>
  <c r="A531" i="12"/>
  <c r="A532" i="12"/>
  <c r="D532" i="12" s="1"/>
  <c r="A533" i="12"/>
  <c r="A534" i="12"/>
  <c r="C534" i="12" s="1"/>
  <c r="A535" i="12"/>
  <c r="A536" i="12"/>
  <c r="C536" i="12" s="1"/>
  <c r="A537" i="12"/>
  <c r="A538" i="12"/>
  <c r="D538" i="12" s="1"/>
  <c r="A539" i="12"/>
  <c r="A540" i="12"/>
  <c r="C540" i="12" s="1"/>
  <c r="A541" i="12"/>
  <c r="C541" i="12" s="1"/>
  <c r="A542" i="12"/>
  <c r="D542" i="12" s="1"/>
  <c r="A543" i="12"/>
  <c r="C543" i="12" s="1"/>
  <c r="A544" i="12"/>
  <c r="C544" i="12" s="1"/>
  <c r="A545" i="12"/>
  <c r="A546" i="12"/>
  <c r="C546" i="12" s="1"/>
  <c r="A547" i="12"/>
  <c r="D547" i="12" s="1"/>
  <c r="A548" i="12"/>
  <c r="A549" i="12"/>
  <c r="A550" i="12"/>
  <c r="D550" i="12" s="1"/>
  <c r="A551" i="12"/>
  <c r="D551" i="12" s="1"/>
  <c r="A552" i="12"/>
  <c r="A553" i="12"/>
  <c r="A554" i="12"/>
  <c r="D554" i="12" s="1"/>
  <c r="A555" i="12"/>
  <c r="C555" i="12" s="1"/>
  <c r="A556" i="12"/>
  <c r="D556" i="12" s="1"/>
  <c r="A557" i="12"/>
  <c r="C557" i="12" s="1"/>
  <c r="A558" i="12"/>
  <c r="C558" i="12" s="1"/>
  <c r="A559" i="12"/>
  <c r="C559" i="12" s="1"/>
  <c r="A560" i="12"/>
  <c r="C560" i="12" s="1"/>
  <c r="A561" i="12"/>
  <c r="A562" i="12"/>
  <c r="C562" i="12" s="1"/>
  <c r="A563" i="12"/>
  <c r="D563" i="12" s="1"/>
  <c r="A564" i="12"/>
  <c r="A565" i="12"/>
  <c r="A566" i="12"/>
  <c r="D566" i="12" s="1"/>
  <c r="A567" i="12"/>
  <c r="D567" i="12" s="1"/>
  <c r="A568" i="12"/>
  <c r="A569" i="12"/>
  <c r="A570" i="12"/>
  <c r="C570" i="12" s="1"/>
  <c r="A571" i="12"/>
  <c r="C571" i="12" s="1"/>
  <c r="A572" i="12"/>
  <c r="D572" i="12" s="1"/>
  <c r="A573" i="12"/>
  <c r="A574" i="12"/>
  <c r="D574" i="12" s="1"/>
  <c r="A575" i="12"/>
  <c r="A576" i="12"/>
  <c r="C576" i="12" s="1"/>
  <c r="A577" i="12"/>
  <c r="A578" i="12"/>
  <c r="D578" i="12" s="1"/>
  <c r="A579" i="12"/>
  <c r="D579" i="12" s="1"/>
  <c r="A580" i="12"/>
  <c r="A581" i="12"/>
  <c r="A582" i="12"/>
  <c r="C582" i="12" s="1"/>
  <c r="A583" i="12"/>
  <c r="C583" i="12" s="1"/>
  <c r="A584" i="12"/>
  <c r="A585" i="12"/>
  <c r="A586" i="12"/>
  <c r="C586" i="12" s="1"/>
  <c r="A587" i="12"/>
  <c r="A588" i="12"/>
  <c r="D588" i="12" s="1"/>
  <c r="A589" i="12"/>
  <c r="A590" i="12"/>
  <c r="D590" i="12" s="1"/>
  <c r="A591" i="12"/>
  <c r="C591" i="12" s="1"/>
  <c r="A592" i="12"/>
  <c r="C592" i="12" s="1"/>
  <c r="A593" i="12"/>
  <c r="A594" i="12"/>
  <c r="C594" i="12" s="1"/>
  <c r="A595" i="12"/>
  <c r="D595" i="12" s="1"/>
  <c r="A596" i="12"/>
  <c r="A597" i="12"/>
  <c r="A598" i="12"/>
  <c r="D598" i="12" s="1"/>
  <c r="A599" i="12"/>
  <c r="A600" i="12"/>
  <c r="A601" i="12"/>
  <c r="A602" i="12"/>
  <c r="D602" i="12" s="1"/>
  <c r="A603" i="12"/>
  <c r="C603" i="12" s="1"/>
  <c r="A604" i="12"/>
  <c r="D604" i="12" s="1"/>
  <c r="A605" i="12"/>
  <c r="A606" i="12"/>
  <c r="D606" i="12" s="1"/>
  <c r="A607" i="12"/>
  <c r="A608" i="12"/>
  <c r="D608" i="12" s="1"/>
  <c r="A609" i="12"/>
  <c r="D609" i="12" s="1"/>
  <c r="A610" i="12"/>
  <c r="C610" i="12" s="1"/>
  <c r="A611" i="12"/>
  <c r="A612" i="12"/>
  <c r="D612" i="12" s="1"/>
  <c r="A613" i="12"/>
  <c r="A614" i="12"/>
  <c r="D614" i="12" s="1"/>
  <c r="A615" i="12"/>
  <c r="A616" i="12"/>
  <c r="D616" i="12" s="1"/>
  <c r="A617" i="12"/>
  <c r="C617" i="12" s="1"/>
  <c r="A618" i="12"/>
  <c r="C618" i="12" s="1"/>
  <c r="A619" i="12"/>
  <c r="A620" i="12"/>
  <c r="D620" i="12" s="1"/>
  <c r="A621" i="12"/>
  <c r="A622" i="12"/>
  <c r="D622" i="12" s="1"/>
  <c r="A623" i="12"/>
  <c r="A624" i="12"/>
  <c r="D624" i="12" s="1"/>
  <c r="A625" i="12"/>
  <c r="D625" i="12" s="1"/>
  <c r="A626" i="12"/>
  <c r="D626" i="12" s="1"/>
  <c r="A627" i="12"/>
  <c r="A628" i="12"/>
  <c r="D628" i="12" s="1"/>
  <c r="A629" i="12"/>
  <c r="A630" i="12"/>
  <c r="C630" i="12" s="1"/>
  <c r="A631" i="12"/>
  <c r="A632" i="12"/>
  <c r="D632" i="12" s="1"/>
  <c r="A633" i="12"/>
  <c r="C633" i="12" s="1"/>
  <c r="A634" i="12"/>
  <c r="D634" i="12" s="1"/>
  <c r="A635" i="12"/>
  <c r="A636" i="12"/>
  <c r="D636" i="12" s="1"/>
  <c r="A637" i="12"/>
  <c r="A638" i="12"/>
  <c r="C638" i="12" s="1"/>
  <c r="A639" i="12"/>
  <c r="A640" i="12"/>
  <c r="D640" i="12" s="1"/>
  <c r="A641" i="12"/>
  <c r="D641" i="12" s="1"/>
  <c r="A642" i="12"/>
  <c r="D642" i="12" s="1"/>
  <c r="A643" i="12"/>
  <c r="A644" i="12"/>
  <c r="D644" i="12" s="1"/>
  <c r="A645" i="12"/>
  <c r="A646" i="12"/>
  <c r="D646" i="12" s="1"/>
  <c r="A647" i="12"/>
  <c r="A648" i="12"/>
  <c r="D648" i="12" s="1"/>
  <c r="A649" i="12"/>
  <c r="C649" i="12" s="1"/>
  <c r="A650" i="12"/>
  <c r="D650" i="12" s="1"/>
  <c r="A651" i="12"/>
  <c r="A652" i="12"/>
  <c r="D652" i="12" s="1"/>
  <c r="A653" i="12"/>
  <c r="A654" i="12"/>
  <c r="C654" i="12" s="1"/>
  <c r="A655" i="12"/>
  <c r="A656" i="12"/>
  <c r="D656" i="12" s="1"/>
  <c r="A657" i="12"/>
  <c r="D657" i="12" s="1"/>
  <c r="A658" i="12"/>
  <c r="C658" i="12" s="1"/>
  <c r="A659" i="12"/>
  <c r="A660" i="12"/>
  <c r="D660" i="12" s="1"/>
  <c r="A661" i="12"/>
  <c r="A662" i="12"/>
  <c r="D662" i="12" s="1"/>
  <c r="A663" i="12"/>
  <c r="A664" i="12"/>
  <c r="D664" i="12" s="1"/>
  <c r="A665" i="12"/>
  <c r="A666" i="12"/>
  <c r="D666" i="12" s="1"/>
  <c r="A667" i="12"/>
  <c r="C667" i="12" s="1"/>
  <c r="A668" i="12"/>
  <c r="A669" i="12"/>
  <c r="A670" i="12"/>
  <c r="C670" i="12" s="1"/>
  <c r="A671" i="12"/>
  <c r="D671" i="12" s="1"/>
  <c r="A672" i="12"/>
  <c r="A673" i="12"/>
  <c r="A674" i="12"/>
  <c r="C674" i="12" s="1"/>
  <c r="A675" i="12"/>
  <c r="D675" i="12" s="1"/>
  <c r="A676" i="12"/>
  <c r="C676" i="12" s="1"/>
  <c r="A677" i="12"/>
  <c r="A678" i="12"/>
  <c r="D678" i="12" s="1"/>
  <c r="A679" i="12"/>
  <c r="D679" i="12" s="1"/>
  <c r="A680" i="12"/>
  <c r="D680" i="12" s="1"/>
  <c r="A681" i="12"/>
  <c r="A682" i="12"/>
  <c r="C682" i="12" s="1"/>
  <c r="A683" i="12"/>
  <c r="C683" i="12" s="1"/>
  <c r="A684" i="12"/>
  <c r="A685" i="12"/>
  <c r="A686" i="12"/>
  <c r="D686" i="12" s="1"/>
  <c r="A687" i="12"/>
  <c r="D687" i="12" s="1"/>
  <c r="A688" i="12"/>
  <c r="A689" i="12"/>
  <c r="A690" i="12"/>
  <c r="D690" i="12" s="1"/>
  <c r="A691" i="12"/>
  <c r="D691" i="12" s="1"/>
  <c r="A692" i="12"/>
  <c r="C692" i="12" s="1"/>
  <c r="A693" i="12"/>
  <c r="A694" i="12"/>
  <c r="C694" i="12" s="1"/>
  <c r="A695" i="12"/>
  <c r="D695" i="12" s="1"/>
  <c r="A696" i="12"/>
  <c r="D696" i="12" s="1"/>
  <c r="A697" i="12"/>
  <c r="A698" i="12"/>
  <c r="C698" i="12" s="1"/>
  <c r="A699" i="12"/>
  <c r="C699" i="12" s="1"/>
  <c r="A700" i="12"/>
  <c r="A701" i="12"/>
  <c r="A702" i="12"/>
  <c r="D702" i="12" s="1"/>
  <c r="A703" i="12"/>
  <c r="D703" i="12" s="1"/>
  <c r="A704" i="12"/>
  <c r="A705" i="12"/>
  <c r="A706" i="12"/>
  <c r="C706" i="12" s="1"/>
  <c r="A707" i="12"/>
  <c r="D707" i="12" s="1"/>
  <c r="A708" i="12"/>
  <c r="C708" i="12" s="1"/>
  <c r="A709" i="12"/>
  <c r="A710" i="12"/>
  <c r="C710" i="12" s="1"/>
  <c r="A711" i="12"/>
  <c r="D711" i="12" s="1"/>
  <c r="A712" i="12"/>
  <c r="D712" i="12" s="1"/>
  <c r="A713" i="12"/>
  <c r="A714" i="12"/>
  <c r="C714" i="12" s="1"/>
  <c r="A715" i="12"/>
  <c r="C715" i="12" s="1"/>
  <c r="A716" i="12"/>
  <c r="A717" i="12"/>
  <c r="A718" i="12"/>
  <c r="D718" i="12" s="1"/>
  <c r="A719" i="12"/>
  <c r="D719" i="12" s="1"/>
  <c r="A720" i="12"/>
  <c r="D720" i="12" s="1"/>
  <c r="A721" i="12"/>
  <c r="A722" i="12"/>
  <c r="C722" i="12" s="1"/>
  <c r="A723" i="12"/>
  <c r="C723" i="12" s="1"/>
  <c r="A724" i="12"/>
  <c r="C724" i="12" s="1"/>
  <c r="A725" i="12"/>
  <c r="A726" i="12"/>
  <c r="D726" i="12" s="1"/>
  <c r="A727" i="12"/>
  <c r="C727" i="12" s="1"/>
  <c r="A728" i="12"/>
  <c r="D728" i="12" s="1"/>
  <c r="A729" i="12"/>
  <c r="A730" i="12"/>
  <c r="D730" i="12" s="1"/>
  <c r="A731" i="12"/>
  <c r="D731" i="12" s="1"/>
  <c r="A732" i="12"/>
  <c r="C732" i="12" s="1"/>
  <c r="A733" i="12"/>
  <c r="A734" i="12"/>
  <c r="D734" i="12" s="1"/>
  <c r="A735" i="12"/>
  <c r="D735" i="12" s="1"/>
  <c r="A736" i="12"/>
  <c r="D736" i="12" s="1"/>
  <c r="A737" i="12"/>
  <c r="A738" i="12"/>
  <c r="C738" i="12" s="1"/>
  <c r="A739" i="12"/>
  <c r="C739" i="12" s="1"/>
  <c r="A740" i="12"/>
  <c r="C740" i="12" s="1"/>
  <c r="A741" i="12"/>
  <c r="A742" i="12"/>
  <c r="D742" i="12" s="1"/>
  <c r="A743" i="12"/>
  <c r="C743" i="12" s="1"/>
  <c r="A744" i="12"/>
  <c r="D744" i="12" s="1"/>
  <c r="A745" i="12"/>
  <c r="A746" i="12"/>
  <c r="D746" i="12" s="1"/>
  <c r="A747" i="12"/>
  <c r="D747" i="12" s="1"/>
  <c r="A748" i="12"/>
  <c r="C748" i="12" s="1"/>
  <c r="A749" i="12"/>
  <c r="A750" i="12"/>
  <c r="D750" i="12" s="1"/>
  <c r="A751" i="12"/>
  <c r="D751" i="12" s="1"/>
  <c r="A752" i="12"/>
  <c r="D752" i="12" s="1"/>
  <c r="A753" i="12"/>
  <c r="A754" i="12"/>
  <c r="C754" i="12" s="1"/>
  <c r="A755" i="12"/>
  <c r="C755" i="12" s="1"/>
  <c r="A756" i="12"/>
  <c r="D756" i="12" s="1"/>
  <c r="A757" i="12"/>
  <c r="A758" i="12"/>
  <c r="C758" i="12" s="1"/>
  <c r="A759" i="12"/>
  <c r="D759" i="12" s="1"/>
  <c r="A760" i="12"/>
  <c r="C760" i="12" s="1"/>
  <c r="A761" i="12"/>
  <c r="A762" i="12"/>
  <c r="C762" i="12" s="1"/>
  <c r="A763" i="12"/>
  <c r="C763" i="12" s="1"/>
  <c r="A764" i="12"/>
  <c r="D764" i="12" s="1"/>
  <c r="A765" i="12"/>
  <c r="A766" i="12"/>
  <c r="C766" i="12" s="1"/>
  <c r="A767" i="12"/>
  <c r="D767" i="12" s="1"/>
  <c r="A768" i="12"/>
  <c r="C768" i="12" s="1"/>
  <c r="A769" i="12"/>
  <c r="A770" i="12"/>
  <c r="C770" i="12" s="1"/>
  <c r="A771" i="12"/>
  <c r="C771" i="12" s="1"/>
  <c r="A772" i="12"/>
  <c r="D772" i="12" s="1"/>
  <c r="A773" i="12"/>
  <c r="A774" i="12"/>
  <c r="C774" i="12" s="1"/>
  <c r="A775" i="12"/>
  <c r="D775" i="12" s="1"/>
  <c r="A776" i="12"/>
  <c r="C776" i="12" s="1"/>
  <c r="A777" i="12"/>
  <c r="A778" i="12"/>
  <c r="C778" i="12" s="1"/>
  <c r="A779" i="12"/>
  <c r="C779" i="12" s="1"/>
  <c r="A780" i="12"/>
  <c r="D780" i="12" s="1"/>
  <c r="A781" i="12"/>
  <c r="D781" i="12" s="1"/>
  <c r="A782" i="12"/>
  <c r="C782" i="12" s="1"/>
  <c r="A783" i="12"/>
  <c r="D783" i="12" s="1"/>
  <c r="A784" i="12"/>
  <c r="C784" i="12" s="1"/>
  <c r="A785" i="12"/>
  <c r="D785" i="12" s="1"/>
  <c r="A786" i="12"/>
  <c r="C786" i="12" s="1"/>
  <c r="A787" i="12"/>
  <c r="C787" i="12" s="1"/>
  <c r="A788" i="12"/>
  <c r="C788" i="12" s="1"/>
  <c r="A789" i="12"/>
  <c r="D789" i="12" s="1"/>
  <c r="A790" i="12"/>
  <c r="C790" i="12" s="1"/>
  <c r="A791" i="12"/>
  <c r="D791" i="12" s="1"/>
  <c r="A792" i="12"/>
  <c r="D792" i="12" s="1"/>
  <c r="A793" i="12"/>
  <c r="D793" i="12" s="1"/>
  <c r="A794" i="12"/>
  <c r="C794" i="12" s="1"/>
  <c r="A795" i="12"/>
  <c r="C795" i="12" s="1"/>
  <c r="A796" i="12"/>
  <c r="C796" i="12" s="1"/>
  <c r="A797" i="12"/>
  <c r="D797" i="12" s="1"/>
  <c r="A798" i="12"/>
  <c r="D798" i="12" s="1"/>
  <c r="A799" i="12"/>
  <c r="D799" i="12" s="1"/>
  <c r="A800" i="12"/>
  <c r="D800" i="12" s="1"/>
  <c r="A801" i="12"/>
  <c r="D801" i="12" s="1"/>
  <c r="A802" i="12"/>
  <c r="D802" i="12" s="1"/>
  <c r="A803" i="12"/>
  <c r="D803" i="12" s="1"/>
  <c r="A804" i="12"/>
  <c r="C804" i="12" s="1"/>
  <c r="A805" i="12"/>
  <c r="D805" i="12" s="1"/>
  <c r="A806" i="12"/>
  <c r="D806" i="12" s="1"/>
  <c r="A807" i="12"/>
  <c r="C807" i="12" s="1"/>
  <c r="A808" i="12"/>
  <c r="D808" i="12" s="1"/>
  <c r="A809" i="12"/>
  <c r="D809" i="12" s="1"/>
  <c r="A810" i="12"/>
  <c r="D810" i="12" s="1"/>
  <c r="A811" i="12"/>
  <c r="D811" i="12" s="1"/>
  <c r="A812" i="12"/>
  <c r="C812" i="12" s="1"/>
  <c r="A813" i="12"/>
  <c r="D813" i="12" s="1"/>
  <c r="A814" i="12"/>
  <c r="D814" i="12" s="1"/>
  <c r="A815" i="12"/>
  <c r="C815" i="12" s="1"/>
  <c r="A816" i="12"/>
  <c r="D816" i="12" s="1"/>
  <c r="A817" i="12"/>
  <c r="C817" i="12" s="1"/>
  <c r="A818" i="12"/>
  <c r="C818" i="12" s="1"/>
  <c r="A819" i="12"/>
  <c r="D819" i="12" s="1"/>
  <c r="A820" i="12"/>
  <c r="C820" i="12" s="1"/>
  <c r="A821" i="12"/>
  <c r="C821" i="12" s="1"/>
  <c r="A822" i="12"/>
  <c r="C822" i="12" s="1"/>
  <c r="A823" i="12"/>
  <c r="D823" i="12" s="1"/>
  <c r="A824" i="12"/>
  <c r="D824" i="12" s="1"/>
  <c r="A825" i="12"/>
  <c r="C825" i="12" s="1"/>
  <c r="A826" i="12"/>
  <c r="C826" i="12" s="1"/>
  <c r="A827" i="12"/>
  <c r="C827" i="12" s="1"/>
  <c r="A828" i="12"/>
  <c r="D828" i="12" s="1"/>
  <c r="A829" i="12"/>
  <c r="C829" i="12" s="1"/>
  <c r="A830" i="12"/>
  <c r="C830" i="12" s="1"/>
  <c r="A831" i="12"/>
  <c r="C831" i="12" s="1"/>
  <c r="A832" i="12"/>
  <c r="C832" i="12" s="1"/>
  <c r="A833" i="12"/>
  <c r="C833" i="12" s="1"/>
  <c r="A834" i="12"/>
  <c r="C834" i="12" s="1"/>
  <c r="A835" i="12"/>
  <c r="D835" i="12" s="1"/>
  <c r="A836" i="12"/>
  <c r="C836" i="12" s="1"/>
  <c r="A837" i="12"/>
  <c r="C837" i="12" s="1"/>
  <c r="A838" i="12"/>
  <c r="C838" i="12" s="1"/>
  <c r="A839" i="12"/>
  <c r="D839" i="12" s="1"/>
  <c r="A840" i="12"/>
  <c r="D840" i="12" s="1"/>
  <c r="A841" i="12"/>
  <c r="C841" i="12" s="1"/>
  <c r="A842" i="12"/>
  <c r="C842" i="12" s="1"/>
  <c r="A843" i="12"/>
  <c r="C843" i="12" s="1"/>
  <c r="A844" i="12"/>
  <c r="D844" i="12" s="1"/>
  <c r="A845" i="12"/>
  <c r="C845" i="12" s="1"/>
  <c r="A846" i="12"/>
  <c r="C846" i="12" s="1"/>
  <c r="A847" i="12"/>
  <c r="C847" i="12" s="1"/>
  <c r="A848" i="12"/>
  <c r="C848" i="12" s="1"/>
  <c r="A849" i="12"/>
  <c r="A850" i="12"/>
  <c r="C850" i="12" s="1"/>
  <c r="A851" i="12"/>
  <c r="D851" i="12" s="1"/>
  <c r="A852" i="12"/>
  <c r="D852" i="12" s="1"/>
  <c r="A853" i="12"/>
  <c r="C853" i="12" s="1"/>
  <c r="A854" i="12"/>
  <c r="C854" i="12" s="1"/>
  <c r="A855" i="12"/>
  <c r="C855" i="12" s="1"/>
  <c r="A856" i="12"/>
  <c r="D856" i="12" s="1"/>
  <c r="A857" i="12"/>
  <c r="C857" i="12" s="1"/>
  <c r="A858" i="12"/>
  <c r="C858" i="12" s="1"/>
  <c r="A859" i="12"/>
  <c r="C859" i="12" s="1"/>
  <c r="A860" i="12"/>
  <c r="C860" i="12" s="1"/>
  <c r="A861" i="12"/>
  <c r="C861" i="12" s="1"/>
  <c r="A862" i="12"/>
  <c r="C862" i="12" s="1"/>
  <c r="A863" i="12"/>
  <c r="D863" i="12" s="1"/>
  <c r="A864" i="12"/>
  <c r="C864" i="12" s="1"/>
  <c r="A865" i="12"/>
  <c r="C865" i="12" s="1"/>
  <c r="A866" i="12"/>
  <c r="C866" i="12" s="1"/>
  <c r="A867" i="12"/>
  <c r="D867" i="12" s="1"/>
  <c r="A868" i="12"/>
  <c r="D868" i="12" s="1"/>
  <c r="A869" i="12"/>
  <c r="C869" i="12" s="1"/>
  <c r="A870" i="12"/>
  <c r="C870" i="12" s="1"/>
  <c r="A871" i="12"/>
  <c r="C871" i="12" s="1"/>
  <c r="A872" i="12"/>
  <c r="D872" i="12" s="1"/>
  <c r="A873" i="12"/>
  <c r="C873" i="12" s="1"/>
  <c r="A874" i="12"/>
  <c r="C874" i="12" s="1"/>
  <c r="A875" i="12"/>
  <c r="C875" i="12" s="1"/>
  <c r="A876" i="12"/>
  <c r="C876" i="12" s="1"/>
  <c r="A877" i="12"/>
  <c r="C877" i="12" s="1"/>
  <c r="A878" i="12"/>
  <c r="C878" i="12" s="1"/>
  <c r="A879" i="12"/>
  <c r="D879" i="12" s="1"/>
  <c r="A880" i="12"/>
  <c r="C880" i="12" s="1"/>
  <c r="A881" i="12"/>
  <c r="A882" i="12"/>
  <c r="C882" i="12" s="1"/>
  <c r="A883" i="12"/>
  <c r="C883" i="12" s="1"/>
  <c r="A884" i="12"/>
  <c r="D884" i="12" s="1"/>
  <c r="A885" i="12"/>
  <c r="C885" i="12" s="1"/>
  <c r="A886" i="12"/>
  <c r="C886" i="12" s="1"/>
  <c r="A887" i="12"/>
  <c r="C887" i="12" s="1"/>
  <c r="A888" i="12"/>
  <c r="C888" i="12" s="1"/>
  <c r="A889" i="12"/>
  <c r="C889" i="12" s="1"/>
  <c r="A890" i="12"/>
  <c r="C890" i="12" s="1"/>
  <c r="A891" i="12"/>
  <c r="D891" i="12" s="1"/>
  <c r="A892" i="12"/>
  <c r="C892" i="12" s="1"/>
  <c r="A893" i="12"/>
  <c r="C893" i="12" s="1"/>
  <c r="A894" i="12"/>
  <c r="C894" i="12" s="1"/>
  <c r="A895" i="12"/>
  <c r="D895" i="12" s="1"/>
  <c r="A896" i="12"/>
  <c r="D896" i="12" s="1"/>
  <c r="A897" i="12"/>
  <c r="C897" i="12" s="1"/>
  <c r="A898" i="12"/>
  <c r="C898" i="12" s="1"/>
  <c r="A899" i="12"/>
  <c r="C899" i="12" s="1"/>
  <c r="A900" i="12"/>
  <c r="D900" i="12" s="1"/>
  <c r="A901" i="12"/>
  <c r="C901" i="12" s="1"/>
  <c r="A902" i="12"/>
  <c r="C902" i="12" s="1"/>
  <c r="A903" i="12"/>
  <c r="C903" i="12" s="1"/>
  <c r="A904" i="12"/>
  <c r="C904" i="12" s="1"/>
  <c r="A905" i="12"/>
  <c r="C905" i="12" s="1"/>
  <c r="A906" i="12"/>
  <c r="C906" i="12" s="1"/>
  <c r="A907" i="12"/>
  <c r="D907" i="12" s="1"/>
  <c r="A908" i="12"/>
  <c r="C908" i="12" s="1"/>
  <c r="A909" i="12"/>
  <c r="C909" i="12" s="1"/>
  <c r="A910" i="12"/>
  <c r="C910" i="12" s="1"/>
  <c r="A911" i="12"/>
  <c r="D911" i="12" s="1"/>
  <c r="A912" i="12"/>
  <c r="D912" i="12" s="1"/>
  <c r="A913" i="12"/>
  <c r="A914" i="12"/>
  <c r="C914" i="12" s="1"/>
  <c r="A915" i="12"/>
  <c r="C915" i="12" s="1"/>
  <c r="A916" i="12"/>
  <c r="C916" i="12" s="1"/>
  <c r="A917" i="12"/>
  <c r="C917" i="12" s="1"/>
  <c r="A918" i="12"/>
  <c r="C918" i="12" s="1"/>
  <c r="A919" i="12"/>
  <c r="D919" i="12" s="1"/>
  <c r="A920" i="12"/>
  <c r="C920" i="12" s="1"/>
  <c r="A921" i="12"/>
  <c r="C921" i="12" s="1"/>
  <c r="A922" i="12"/>
  <c r="C922" i="12" s="1"/>
  <c r="A923" i="12"/>
  <c r="D923" i="12" s="1"/>
  <c r="A924" i="12"/>
  <c r="D924" i="12" s="1"/>
  <c r="A925" i="12"/>
  <c r="C925" i="12" s="1"/>
  <c r="A926" i="12"/>
  <c r="C926" i="12" s="1"/>
  <c r="A927" i="12"/>
  <c r="C927" i="12" s="1"/>
  <c r="A928" i="12"/>
  <c r="D928" i="12" s="1"/>
  <c r="A929" i="12"/>
  <c r="C929" i="12" s="1"/>
  <c r="A930" i="12"/>
  <c r="C930" i="12" s="1"/>
  <c r="A931" i="12"/>
  <c r="C931" i="12" s="1"/>
  <c r="A932" i="12"/>
  <c r="C932" i="12" s="1"/>
  <c r="A933" i="12"/>
  <c r="C933" i="12" s="1"/>
  <c r="A934" i="12"/>
  <c r="C934" i="12" s="1"/>
  <c r="A935" i="12"/>
  <c r="D935" i="12" s="1"/>
  <c r="A936" i="12"/>
  <c r="C936" i="12" s="1"/>
  <c r="A937" i="12"/>
  <c r="C937" i="12" s="1"/>
  <c r="A938" i="12"/>
  <c r="C938" i="12" s="1"/>
  <c r="A939" i="12"/>
  <c r="D939" i="12" s="1"/>
  <c r="A940" i="12"/>
  <c r="D940" i="12" s="1"/>
  <c r="A941" i="12"/>
  <c r="C941" i="12" s="1"/>
  <c r="A942" i="12"/>
  <c r="C942" i="12" s="1"/>
  <c r="A943" i="12"/>
  <c r="C943" i="12" s="1"/>
  <c r="A944" i="12"/>
  <c r="D944" i="12" s="1"/>
  <c r="A945" i="12"/>
  <c r="A946" i="12"/>
  <c r="C946" i="12" s="1"/>
  <c r="A947" i="12"/>
  <c r="D947" i="12" s="1"/>
  <c r="A948" i="12"/>
  <c r="C948" i="12" s="1"/>
  <c r="A949" i="12"/>
  <c r="C949" i="12" s="1"/>
  <c r="A950" i="12"/>
  <c r="C950" i="12" s="1"/>
  <c r="A951" i="12"/>
  <c r="D951" i="12" s="1"/>
  <c r="A952" i="12"/>
  <c r="D952" i="12" s="1"/>
  <c r="A953" i="12"/>
  <c r="C953" i="12" s="1"/>
  <c r="A954" i="12"/>
  <c r="C954" i="12" s="1"/>
  <c r="A955" i="12"/>
  <c r="C955" i="12" s="1"/>
  <c r="A956" i="12"/>
  <c r="D956" i="12" s="1"/>
  <c r="A957" i="12"/>
  <c r="C957" i="12" s="1"/>
  <c r="A958" i="12"/>
  <c r="C958" i="12" s="1"/>
  <c r="A959" i="12"/>
  <c r="C959" i="12" s="1"/>
  <c r="A960" i="12"/>
  <c r="C960" i="12" s="1"/>
  <c r="A961" i="12"/>
  <c r="C961" i="12" s="1"/>
  <c r="A962" i="12"/>
  <c r="A963" i="12"/>
  <c r="D963" i="12" s="1"/>
  <c r="A964" i="12"/>
  <c r="C964" i="12" s="1"/>
  <c r="A965" i="12"/>
  <c r="C965" i="12" s="1"/>
  <c r="A966" i="12"/>
  <c r="C966" i="12" s="1"/>
  <c r="A967" i="12"/>
  <c r="D967" i="12" s="1"/>
  <c r="A968" i="12"/>
  <c r="D968" i="12" s="1"/>
  <c r="A969" i="12"/>
  <c r="C969" i="12" s="1"/>
  <c r="A970" i="12"/>
  <c r="C970" i="12" s="1"/>
  <c r="A971" i="12"/>
  <c r="C971" i="12" s="1"/>
  <c r="A972" i="12"/>
  <c r="D972" i="12" s="1"/>
  <c r="A973" i="12"/>
  <c r="C973" i="12" s="1"/>
  <c r="A974" i="12"/>
  <c r="C974" i="12" s="1"/>
  <c r="A975" i="12"/>
  <c r="C975" i="12" s="1"/>
  <c r="A976" i="12"/>
  <c r="C976" i="12" s="1"/>
  <c r="A977" i="12"/>
  <c r="C977" i="12" s="1"/>
  <c r="A978" i="12"/>
  <c r="C978" i="12" s="1"/>
  <c r="A979" i="12"/>
  <c r="D979" i="12" s="1"/>
  <c r="A980" i="12"/>
  <c r="C980" i="12" s="1"/>
  <c r="A981" i="12"/>
  <c r="C981" i="12" s="1"/>
  <c r="A982" i="12"/>
  <c r="C982" i="12" s="1"/>
  <c r="A983" i="12"/>
  <c r="D983" i="12" s="1"/>
  <c r="A984" i="12"/>
  <c r="D984" i="12" s="1"/>
  <c r="A985" i="12"/>
  <c r="C985" i="12" s="1"/>
  <c r="A986" i="12"/>
  <c r="C986" i="12" s="1"/>
  <c r="A987" i="12"/>
  <c r="C987" i="12" s="1"/>
  <c r="A988" i="12"/>
  <c r="D988" i="12" s="1"/>
  <c r="A989" i="12"/>
  <c r="C989" i="12" s="1"/>
  <c r="A990" i="12"/>
  <c r="C990" i="12" s="1"/>
  <c r="A991" i="12"/>
  <c r="C991" i="12" s="1"/>
  <c r="A992" i="12"/>
  <c r="C992" i="12" s="1"/>
  <c r="A993" i="12"/>
  <c r="C993" i="12" s="1"/>
  <c r="A994" i="12"/>
  <c r="D994" i="12" s="1"/>
  <c r="A995" i="12"/>
  <c r="C995" i="12" s="1"/>
  <c r="A996" i="12"/>
  <c r="D996" i="12" s="1"/>
  <c r="A997" i="12"/>
  <c r="C997" i="12" s="1"/>
  <c r="A998" i="12"/>
  <c r="C998" i="12" s="1"/>
  <c r="A999" i="12"/>
  <c r="C999" i="12" s="1"/>
  <c r="A1000" i="12"/>
  <c r="C1000" i="12" s="1"/>
  <c r="A11" i="12"/>
  <c r="A12" i="12"/>
  <c r="A13" i="12"/>
  <c r="A14" i="12"/>
  <c r="A15" i="12"/>
  <c r="A16" i="12"/>
  <c r="A17" i="12"/>
  <c r="A18" i="12"/>
  <c r="A19" i="12"/>
  <c r="A20" i="12"/>
  <c r="A21" i="12"/>
  <c r="A5" i="12"/>
  <c r="A6" i="12"/>
  <c r="A7" i="12"/>
  <c r="A8" i="12"/>
  <c r="A9" i="12"/>
  <c r="A10" i="12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F59" i="2" s="1"/>
  <c r="D15" i="10"/>
  <c r="C16" i="10"/>
  <c r="F63" i="2" s="1"/>
  <c r="D16" i="10"/>
  <c r="C17" i="10"/>
  <c r="D17" i="10"/>
  <c r="C18" i="10"/>
  <c r="D18" i="10"/>
  <c r="C19" i="10"/>
  <c r="D19" i="10"/>
  <c r="C20" i="10"/>
  <c r="F70" i="2" s="1"/>
  <c r="D20" i="10"/>
  <c r="C21" i="10"/>
  <c r="D21" i="10"/>
  <c r="C22" i="10"/>
  <c r="D22" i="10"/>
  <c r="C23" i="10"/>
  <c r="D23" i="10"/>
  <c r="C24" i="10"/>
  <c r="D24" i="10"/>
  <c r="C25" i="10"/>
  <c r="F90" i="2" s="1"/>
  <c r="D25" i="10"/>
  <c r="C26" i="10"/>
  <c r="F69" i="2" s="1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206" i="10"/>
  <c r="D206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C253" i="10"/>
  <c r="D253" i="10"/>
  <c r="C254" i="10"/>
  <c r="D254" i="10"/>
  <c r="C255" i="10"/>
  <c r="D255" i="10"/>
  <c r="C256" i="10"/>
  <c r="D256" i="10"/>
  <c r="C257" i="10"/>
  <c r="D257" i="10"/>
  <c r="C258" i="10"/>
  <c r="D258" i="10"/>
  <c r="C259" i="10"/>
  <c r="D259" i="10"/>
  <c r="C260" i="10"/>
  <c r="D260" i="10"/>
  <c r="C261" i="10"/>
  <c r="D261" i="10"/>
  <c r="C262" i="10"/>
  <c r="D262" i="10"/>
  <c r="C263" i="10"/>
  <c r="D263" i="10"/>
  <c r="C264" i="10"/>
  <c r="D264" i="10"/>
  <c r="C265" i="10"/>
  <c r="D265" i="10"/>
  <c r="C266" i="10"/>
  <c r="D266" i="10"/>
  <c r="C267" i="10"/>
  <c r="D267" i="10"/>
  <c r="C268" i="10"/>
  <c r="D268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C275" i="10"/>
  <c r="D275" i="10"/>
  <c r="C276" i="10"/>
  <c r="D276" i="10"/>
  <c r="C277" i="10"/>
  <c r="D277" i="10"/>
  <c r="C278" i="10"/>
  <c r="D278" i="10"/>
  <c r="C279" i="10"/>
  <c r="D279" i="10"/>
  <c r="C280" i="10"/>
  <c r="D280" i="10"/>
  <c r="C281" i="10"/>
  <c r="D281" i="10"/>
  <c r="C282" i="10"/>
  <c r="D282" i="10"/>
  <c r="C283" i="10"/>
  <c r="D283" i="10"/>
  <c r="C284" i="10"/>
  <c r="D284" i="10"/>
  <c r="C285" i="10"/>
  <c r="D285" i="10"/>
  <c r="C286" i="10"/>
  <c r="D286" i="10"/>
  <c r="C287" i="10"/>
  <c r="D287" i="10"/>
  <c r="C288" i="10"/>
  <c r="D288" i="10"/>
  <c r="C289" i="10"/>
  <c r="D289" i="10"/>
  <c r="C290" i="10"/>
  <c r="D290" i="10"/>
  <c r="C291" i="10"/>
  <c r="D291" i="10"/>
  <c r="C292" i="10"/>
  <c r="D292" i="10"/>
  <c r="C293" i="10"/>
  <c r="D293" i="10"/>
  <c r="C294" i="10"/>
  <c r="D294" i="10"/>
  <c r="C295" i="10"/>
  <c r="D295" i="10"/>
  <c r="C296" i="10"/>
  <c r="D296" i="10"/>
  <c r="C297" i="10"/>
  <c r="D297" i="10"/>
  <c r="C298" i="10"/>
  <c r="D298" i="10"/>
  <c r="C299" i="10"/>
  <c r="D299" i="10"/>
  <c r="C300" i="10"/>
  <c r="D300" i="10"/>
  <c r="C301" i="10"/>
  <c r="D301" i="10"/>
  <c r="C302" i="10"/>
  <c r="D302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C316" i="10"/>
  <c r="D316" i="10"/>
  <c r="C317" i="10"/>
  <c r="D317" i="10"/>
  <c r="C318" i="10"/>
  <c r="D318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C361" i="10"/>
  <c r="D361" i="10"/>
  <c r="C362" i="10"/>
  <c r="D362" i="10"/>
  <c r="C363" i="10"/>
  <c r="D363" i="10"/>
  <c r="C364" i="10"/>
  <c r="D364" i="10"/>
  <c r="C365" i="10"/>
  <c r="D365" i="10"/>
  <c r="C366" i="10"/>
  <c r="D366" i="10"/>
  <c r="C367" i="10"/>
  <c r="D367" i="10"/>
  <c r="C368" i="10"/>
  <c r="D368" i="10"/>
  <c r="C369" i="10"/>
  <c r="D369" i="10"/>
  <c r="C370" i="10"/>
  <c r="D370" i="10"/>
  <c r="C371" i="10"/>
  <c r="D371" i="10"/>
  <c r="C372" i="10"/>
  <c r="D372" i="10"/>
  <c r="C373" i="10"/>
  <c r="D373" i="10"/>
  <c r="C374" i="10"/>
  <c r="D374" i="10"/>
  <c r="C375" i="10"/>
  <c r="D375" i="10"/>
  <c r="C376" i="10"/>
  <c r="D376" i="10"/>
  <c r="C377" i="10"/>
  <c r="D377" i="10"/>
  <c r="C378" i="10"/>
  <c r="D378" i="10"/>
  <c r="C379" i="10"/>
  <c r="D379" i="10"/>
  <c r="C380" i="10"/>
  <c r="D380" i="10"/>
  <c r="C381" i="10"/>
  <c r="D381" i="10"/>
  <c r="C382" i="10"/>
  <c r="D382" i="10"/>
  <c r="C383" i="10"/>
  <c r="D383" i="10"/>
  <c r="C384" i="10"/>
  <c r="D384" i="10"/>
  <c r="C385" i="10"/>
  <c r="D385" i="10"/>
  <c r="C386" i="10"/>
  <c r="D386" i="10"/>
  <c r="C387" i="10"/>
  <c r="D387" i="10"/>
  <c r="C388" i="10"/>
  <c r="D388" i="10"/>
  <c r="C389" i="10"/>
  <c r="D389" i="10"/>
  <c r="C390" i="10"/>
  <c r="D390" i="10"/>
  <c r="C391" i="10"/>
  <c r="D391" i="10"/>
  <c r="C392" i="10"/>
  <c r="D392" i="10"/>
  <c r="C393" i="10"/>
  <c r="D393" i="10"/>
  <c r="C394" i="10"/>
  <c r="D394" i="10"/>
  <c r="C395" i="10"/>
  <c r="D395" i="10"/>
  <c r="C396" i="10"/>
  <c r="D396" i="10"/>
  <c r="C397" i="10"/>
  <c r="D397" i="10"/>
  <c r="C398" i="10"/>
  <c r="D398" i="10"/>
  <c r="C399" i="10"/>
  <c r="D399" i="10"/>
  <c r="C400" i="10"/>
  <c r="D400" i="10"/>
  <c r="C401" i="10"/>
  <c r="D401" i="10"/>
  <c r="C402" i="10"/>
  <c r="D402" i="10"/>
  <c r="C403" i="10"/>
  <c r="D403" i="10"/>
  <c r="C404" i="10"/>
  <c r="D404" i="10"/>
  <c r="C405" i="10"/>
  <c r="D405" i="10"/>
  <c r="C406" i="10"/>
  <c r="D406" i="10"/>
  <c r="C407" i="10"/>
  <c r="D407" i="10"/>
  <c r="C408" i="10"/>
  <c r="D408" i="10"/>
  <c r="C409" i="10"/>
  <c r="D409" i="10"/>
  <c r="C410" i="10"/>
  <c r="D410" i="10"/>
  <c r="C411" i="10"/>
  <c r="D411" i="10"/>
  <c r="C412" i="10"/>
  <c r="D412" i="10"/>
  <c r="C413" i="10"/>
  <c r="D413" i="10"/>
  <c r="C414" i="10"/>
  <c r="D414" i="10"/>
  <c r="C415" i="10"/>
  <c r="D415" i="10"/>
  <c r="C416" i="10"/>
  <c r="D416" i="10"/>
  <c r="C417" i="10"/>
  <c r="D417" i="10"/>
  <c r="C418" i="10"/>
  <c r="D418" i="10"/>
  <c r="C419" i="10"/>
  <c r="D419" i="10"/>
  <c r="C420" i="10"/>
  <c r="D420" i="10"/>
  <c r="C421" i="10"/>
  <c r="D421" i="10"/>
  <c r="C422" i="10"/>
  <c r="D422" i="10"/>
  <c r="C423" i="10"/>
  <c r="D423" i="10"/>
  <c r="C424" i="10"/>
  <c r="D424" i="10"/>
  <c r="C425" i="10"/>
  <c r="D425" i="10"/>
  <c r="C426" i="10"/>
  <c r="D426" i="10"/>
  <c r="C427" i="10"/>
  <c r="D427" i="10"/>
  <c r="C428" i="10"/>
  <c r="D428" i="10"/>
  <c r="C429" i="10"/>
  <c r="D429" i="10"/>
  <c r="C430" i="10"/>
  <c r="D430" i="10"/>
  <c r="C431" i="10"/>
  <c r="D431" i="10"/>
  <c r="C432" i="10"/>
  <c r="D432" i="10"/>
  <c r="C433" i="10"/>
  <c r="D433" i="10"/>
  <c r="C434" i="10"/>
  <c r="D434" i="10"/>
  <c r="C435" i="10"/>
  <c r="D435" i="10"/>
  <c r="C436" i="10"/>
  <c r="D436" i="10"/>
  <c r="C437" i="10"/>
  <c r="D437" i="10"/>
  <c r="C438" i="10"/>
  <c r="D438" i="10"/>
  <c r="C439" i="10"/>
  <c r="D439" i="10"/>
  <c r="C440" i="10"/>
  <c r="D440" i="10"/>
  <c r="C441" i="10"/>
  <c r="D441" i="10"/>
  <c r="C442" i="10"/>
  <c r="D442" i="10"/>
  <c r="C443" i="10"/>
  <c r="D443" i="10"/>
  <c r="C444" i="10"/>
  <c r="D444" i="10"/>
  <c r="C445" i="10"/>
  <c r="D445" i="10"/>
  <c r="C446" i="10"/>
  <c r="D446" i="10"/>
  <c r="C447" i="10"/>
  <c r="D447" i="10"/>
  <c r="C448" i="10"/>
  <c r="D448" i="10"/>
  <c r="C449" i="10"/>
  <c r="D449" i="10"/>
  <c r="C450" i="10"/>
  <c r="D450" i="10"/>
  <c r="C451" i="10"/>
  <c r="D451" i="10"/>
  <c r="C452" i="10"/>
  <c r="D452" i="10"/>
  <c r="C453" i="10"/>
  <c r="D453" i="10"/>
  <c r="C454" i="10"/>
  <c r="D454" i="10"/>
  <c r="C455" i="10"/>
  <c r="D455" i="10"/>
  <c r="C456" i="10"/>
  <c r="D456" i="10"/>
  <c r="C457" i="10"/>
  <c r="D457" i="10"/>
  <c r="C458" i="10"/>
  <c r="D458" i="10"/>
  <c r="C459" i="10"/>
  <c r="D459" i="10"/>
  <c r="C460" i="10"/>
  <c r="D460" i="10"/>
  <c r="C461" i="10"/>
  <c r="D461" i="10"/>
  <c r="C462" i="10"/>
  <c r="D462" i="10"/>
  <c r="C463" i="10"/>
  <c r="D463" i="10"/>
  <c r="C464" i="10"/>
  <c r="D464" i="10"/>
  <c r="C465" i="10"/>
  <c r="D465" i="10"/>
  <c r="C466" i="10"/>
  <c r="D466" i="10"/>
  <c r="C467" i="10"/>
  <c r="D467" i="10"/>
  <c r="C468" i="10"/>
  <c r="D468" i="10"/>
  <c r="C469" i="10"/>
  <c r="D469" i="10"/>
  <c r="C470" i="10"/>
  <c r="D470" i="10"/>
  <c r="C471" i="10"/>
  <c r="D471" i="10"/>
  <c r="C472" i="10"/>
  <c r="D472" i="10"/>
  <c r="C473" i="10"/>
  <c r="D473" i="10"/>
  <c r="C474" i="10"/>
  <c r="D474" i="10"/>
  <c r="C475" i="10"/>
  <c r="D475" i="10"/>
  <c r="C476" i="10"/>
  <c r="D476" i="10"/>
  <c r="C477" i="10"/>
  <c r="D477" i="10"/>
  <c r="C478" i="10"/>
  <c r="D478" i="10"/>
  <c r="C479" i="10"/>
  <c r="D479" i="10"/>
  <c r="C480" i="10"/>
  <c r="D480" i="10"/>
  <c r="C481" i="10"/>
  <c r="D481" i="10"/>
  <c r="C482" i="10"/>
  <c r="D482" i="10"/>
  <c r="C483" i="10"/>
  <c r="D483" i="10"/>
  <c r="C484" i="10"/>
  <c r="D484" i="10"/>
  <c r="C485" i="10"/>
  <c r="D485" i="10"/>
  <c r="C486" i="10"/>
  <c r="D486" i="10"/>
  <c r="C487" i="10"/>
  <c r="D487" i="10"/>
  <c r="C488" i="10"/>
  <c r="D488" i="10"/>
  <c r="C489" i="10"/>
  <c r="D489" i="10"/>
  <c r="C490" i="10"/>
  <c r="D490" i="10"/>
  <c r="C491" i="10"/>
  <c r="D491" i="10"/>
  <c r="C492" i="10"/>
  <c r="D492" i="10"/>
  <c r="C493" i="10"/>
  <c r="D493" i="10"/>
  <c r="C494" i="10"/>
  <c r="D494" i="10"/>
  <c r="C495" i="10"/>
  <c r="D495" i="10"/>
  <c r="C496" i="10"/>
  <c r="D496" i="10"/>
  <c r="C497" i="10"/>
  <c r="D497" i="10"/>
  <c r="C498" i="10"/>
  <c r="D498" i="10"/>
  <c r="C499" i="10"/>
  <c r="D499" i="10"/>
  <c r="C500" i="10"/>
  <c r="D500" i="10"/>
  <c r="C501" i="10"/>
  <c r="D501" i="10"/>
  <c r="C502" i="10"/>
  <c r="D502" i="10"/>
  <c r="C503" i="10"/>
  <c r="D503" i="10"/>
  <c r="C504" i="10"/>
  <c r="D504" i="10"/>
  <c r="C505" i="10"/>
  <c r="D505" i="10"/>
  <c r="C506" i="10"/>
  <c r="D506" i="10"/>
  <c r="C507" i="10"/>
  <c r="D507" i="10"/>
  <c r="C508" i="10"/>
  <c r="D508" i="10"/>
  <c r="C509" i="10"/>
  <c r="D509" i="10"/>
  <c r="C510" i="10"/>
  <c r="D510" i="10"/>
  <c r="C511" i="10"/>
  <c r="D511" i="10"/>
  <c r="C512" i="10"/>
  <c r="D512" i="10"/>
  <c r="C513" i="10"/>
  <c r="D513" i="10"/>
  <c r="C514" i="10"/>
  <c r="D514" i="10"/>
  <c r="C515" i="10"/>
  <c r="D515" i="10"/>
  <c r="C516" i="10"/>
  <c r="D516" i="10"/>
  <c r="C517" i="10"/>
  <c r="D517" i="10"/>
  <c r="C518" i="10"/>
  <c r="D518" i="10"/>
  <c r="C519" i="10"/>
  <c r="D519" i="10"/>
  <c r="C520" i="10"/>
  <c r="D520" i="10"/>
  <c r="C521" i="10"/>
  <c r="D521" i="10"/>
  <c r="C522" i="10"/>
  <c r="D522" i="10"/>
  <c r="C523" i="10"/>
  <c r="D523" i="10"/>
  <c r="C524" i="10"/>
  <c r="D524" i="10"/>
  <c r="C525" i="10"/>
  <c r="D525" i="10"/>
  <c r="C526" i="10"/>
  <c r="D526" i="10"/>
  <c r="C527" i="10"/>
  <c r="D527" i="10"/>
  <c r="C528" i="10"/>
  <c r="D528" i="10"/>
  <c r="C529" i="10"/>
  <c r="D529" i="10"/>
  <c r="C530" i="10"/>
  <c r="D530" i="10"/>
  <c r="C531" i="10"/>
  <c r="D531" i="10"/>
  <c r="C532" i="10"/>
  <c r="D532" i="10"/>
  <c r="C533" i="10"/>
  <c r="D533" i="10"/>
  <c r="C534" i="10"/>
  <c r="D534" i="10"/>
  <c r="C535" i="10"/>
  <c r="D535" i="10"/>
  <c r="C536" i="10"/>
  <c r="D536" i="10"/>
  <c r="C537" i="10"/>
  <c r="D537" i="10"/>
  <c r="C538" i="10"/>
  <c r="D538" i="10"/>
  <c r="C539" i="10"/>
  <c r="D539" i="10"/>
  <c r="C540" i="10"/>
  <c r="D540" i="10"/>
  <c r="C541" i="10"/>
  <c r="D541" i="10"/>
  <c r="C542" i="10"/>
  <c r="D542" i="10"/>
  <c r="C543" i="10"/>
  <c r="D543" i="10"/>
  <c r="C544" i="10"/>
  <c r="D544" i="10"/>
  <c r="C545" i="10"/>
  <c r="D545" i="10"/>
  <c r="C546" i="10"/>
  <c r="D546" i="10"/>
  <c r="C547" i="10"/>
  <c r="D547" i="10"/>
  <c r="C548" i="10"/>
  <c r="D548" i="10"/>
  <c r="C549" i="10"/>
  <c r="D549" i="10"/>
  <c r="C550" i="10"/>
  <c r="D550" i="10"/>
  <c r="C551" i="10"/>
  <c r="D551" i="10"/>
  <c r="C552" i="10"/>
  <c r="D552" i="10"/>
  <c r="C553" i="10"/>
  <c r="D553" i="10"/>
  <c r="C554" i="10"/>
  <c r="D554" i="10"/>
  <c r="C555" i="10"/>
  <c r="D555" i="10"/>
  <c r="C556" i="10"/>
  <c r="D556" i="10"/>
  <c r="C557" i="10"/>
  <c r="D557" i="10"/>
  <c r="C558" i="10"/>
  <c r="D558" i="10"/>
  <c r="C559" i="10"/>
  <c r="D559" i="10"/>
  <c r="C560" i="10"/>
  <c r="D560" i="10"/>
  <c r="C561" i="10"/>
  <c r="D561" i="10"/>
  <c r="C562" i="10"/>
  <c r="D562" i="10"/>
  <c r="C563" i="10"/>
  <c r="D563" i="10"/>
  <c r="C564" i="10"/>
  <c r="D564" i="10"/>
  <c r="C565" i="10"/>
  <c r="D565" i="10"/>
  <c r="C566" i="10"/>
  <c r="D566" i="10"/>
  <c r="C567" i="10"/>
  <c r="D567" i="10"/>
  <c r="C568" i="10"/>
  <c r="D568" i="10"/>
  <c r="C569" i="10"/>
  <c r="D569" i="10"/>
  <c r="C570" i="10"/>
  <c r="D570" i="10"/>
  <c r="C571" i="10"/>
  <c r="D571" i="10"/>
  <c r="C572" i="10"/>
  <c r="D572" i="10"/>
  <c r="C573" i="10"/>
  <c r="D573" i="10"/>
  <c r="C574" i="10"/>
  <c r="D574" i="10"/>
  <c r="C575" i="10"/>
  <c r="D575" i="10"/>
  <c r="C576" i="10"/>
  <c r="D576" i="10"/>
  <c r="C577" i="10"/>
  <c r="D577" i="10"/>
  <c r="C578" i="10"/>
  <c r="D578" i="10"/>
  <c r="C579" i="10"/>
  <c r="D579" i="10"/>
  <c r="C580" i="10"/>
  <c r="D580" i="10"/>
  <c r="C581" i="10"/>
  <c r="D581" i="10"/>
  <c r="C582" i="10"/>
  <c r="D582" i="10"/>
  <c r="C583" i="10"/>
  <c r="D583" i="10"/>
  <c r="C584" i="10"/>
  <c r="D584" i="10"/>
  <c r="C585" i="10"/>
  <c r="D585" i="10"/>
  <c r="C586" i="10"/>
  <c r="D586" i="10"/>
  <c r="C587" i="10"/>
  <c r="D587" i="10"/>
  <c r="C588" i="10"/>
  <c r="D588" i="10"/>
  <c r="C589" i="10"/>
  <c r="D589" i="10"/>
  <c r="C590" i="10"/>
  <c r="D590" i="10"/>
  <c r="C591" i="10"/>
  <c r="D591" i="10"/>
  <c r="C592" i="10"/>
  <c r="D592" i="10"/>
  <c r="C593" i="10"/>
  <c r="D593" i="10"/>
  <c r="C594" i="10"/>
  <c r="D594" i="10"/>
  <c r="C595" i="10"/>
  <c r="D595" i="10"/>
  <c r="C596" i="10"/>
  <c r="D596" i="10"/>
  <c r="C597" i="10"/>
  <c r="D597" i="10"/>
  <c r="C598" i="10"/>
  <c r="D598" i="10"/>
  <c r="C599" i="10"/>
  <c r="D599" i="10"/>
  <c r="C600" i="10"/>
  <c r="D600" i="10"/>
  <c r="C601" i="10"/>
  <c r="D601" i="10"/>
  <c r="C602" i="10"/>
  <c r="D602" i="10"/>
  <c r="C603" i="10"/>
  <c r="D603" i="10"/>
  <c r="C604" i="10"/>
  <c r="D604" i="10"/>
  <c r="C605" i="10"/>
  <c r="D605" i="10"/>
  <c r="C606" i="10"/>
  <c r="D606" i="10"/>
  <c r="C607" i="10"/>
  <c r="D607" i="10"/>
  <c r="C608" i="10"/>
  <c r="D608" i="10"/>
  <c r="C609" i="10"/>
  <c r="D609" i="10"/>
  <c r="C610" i="10"/>
  <c r="D610" i="10"/>
  <c r="C611" i="10"/>
  <c r="D611" i="10"/>
  <c r="C612" i="10"/>
  <c r="D612" i="10"/>
  <c r="C613" i="10"/>
  <c r="D613" i="10"/>
  <c r="C614" i="10"/>
  <c r="D614" i="10"/>
  <c r="C615" i="10"/>
  <c r="D615" i="10"/>
  <c r="C616" i="10"/>
  <c r="D616" i="10"/>
  <c r="C617" i="10"/>
  <c r="D617" i="10"/>
  <c r="C618" i="10"/>
  <c r="D618" i="10"/>
  <c r="C619" i="10"/>
  <c r="D619" i="10"/>
  <c r="C620" i="10"/>
  <c r="D620" i="10"/>
  <c r="C621" i="10"/>
  <c r="D621" i="10"/>
  <c r="C622" i="10"/>
  <c r="D622" i="10"/>
  <c r="C623" i="10"/>
  <c r="D623" i="10"/>
  <c r="C624" i="10"/>
  <c r="D624" i="10"/>
  <c r="C625" i="10"/>
  <c r="D625" i="10"/>
  <c r="C626" i="10"/>
  <c r="D626" i="10"/>
  <c r="C627" i="10"/>
  <c r="D627" i="10"/>
  <c r="C628" i="10"/>
  <c r="D628" i="10"/>
  <c r="C629" i="10"/>
  <c r="D629" i="10"/>
  <c r="C630" i="10"/>
  <c r="D630" i="10"/>
  <c r="C631" i="10"/>
  <c r="D631" i="10"/>
  <c r="C632" i="10"/>
  <c r="D632" i="10"/>
  <c r="C633" i="10"/>
  <c r="D633" i="10"/>
  <c r="C634" i="10"/>
  <c r="D634" i="10"/>
  <c r="C635" i="10"/>
  <c r="D635" i="10"/>
  <c r="C636" i="10"/>
  <c r="D636" i="10"/>
  <c r="C637" i="10"/>
  <c r="D637" i="10"/>
  <c r="C638" i="10"/>
  <c r="D638" i="10"/>
  <c r="C639" i="10"/>
  <c r="D639" i="10"/>
  <c r="C640" i="10"/>
  <c r="D640" i="10"/>
  <c r="C641" i="10"/>
  <c r="D641" i="10"/>
  <c r="C642" i="10"/>
  <c r="D642" i="10"/>
  <c r="C643" i="10"/>
  <c r="D643" i="10"/>
  <c r="C644" i="10"/>
  <c r="D644" i="10"/>
  <c r="C645" i="10"/>
  <c r="D645" i="10"/>
  <c r="C646" i="10"/>
  <c r="D646" i="10"/>
  <c r="C647" i="10"/>
  <c r="D647" i="10"/>
  <c r="C648" i="10"/>
  <c r="D648" i="10"/>
  <c r="C649" i="10"/>
  <c r="D649" i="10"/>
  <c r="C650" i="10"/>
  <c r="D650" i="10"/>
  <c r="C651" i="10"/>
  <c r="D651" i="10"/>
  <c r="C652" i="10"/>
  <c r="D652" i="10"/>
  <c r="C653" i="10"/>
  <c r="D653" i="10"/>
  <c r="C654" i="10"/>
  <c r="D654" i="10"/>
  <c r="C655" i="10"/>
  <c r="D655" i="10"/>
  <c r="C656" i="10"/>
  <c r="D656" i="10"/>
  <c r="C657" i="10"/>
  <c r="D657" i="10"/>
  <c r="C658" i="10"/>
  <c r="D658" i="10"/>
  <c r="C659" i="10"/>
  <c r="D659" i="10"/>
  <c r="C660" i="10"/>
  <c r="D660" i="10"/>
  <c r="C661" i="10"/>
  <c r="D661" i="10"/>
  <c r="C662" i="10"/>
  <c r="D662" i="10"/>
  <c r="C663" i="10"/>
  <c r="D663" i="10"/>
  <c r="C664" i="10"/>
  <c r="D664" i="10"/>
  <c r="C665" i="10"/>
  <c r="D665" i="10"/>
  <c r="C666" i="10"/>
  <c r="D666" i="10"/>
  <c r="C667" i="10"/>
  <c r="D667" i="10"/>
  <c r="C668" i="10"/>
  <c r="D668" i="10"/>
  <c r="C669" i="10"/>
  <c r="D669" i="10"/>
  <c r="C670" i="10"/>
  <c r="D670" i="10"/>
  <c r="C671" i="10"/>
  <c r="D671" i="10"/>
  <c r="C672" i="10"/>
  <c r="D672" i="10"/>
  <c r="C673" i="10"/>
  <c r="D673" i="10"/>
  <c r="C674" i="10"/>
  <c r="D674" i="10"/>
  <c r="C675" i="10"/>
  <c r="D675" i="10"/>
  <c r="C676" i="10"/>
  <c r="D676" i="10"/>
  <c r="C677" i="10"/>
  <c r="D677" i="10"/>
  <c r="C678" i="10"/>
  <c r="D678" i="10"/>
  <c r="C679" i="10"/>
  <c r="D679" i="10"/>
  <c r="C680" i="10"/>
  <c r="D680" i="10"/>
  <c r="C681" i="10"/>
  <c r="D681" i="10"/>
  <c r="C682" i="10"/>
  <c r="D682" i="10"/>
  <c r="C683" i="10"/>
  <c r="D683" i="10"/>
  <c r="C684" i="10"/>
  <c r="D684" i="10"/>
  <c r="C685" i="10"/>
  <c r="D685" i="10"/>
  <c r="C686" i="10"/>
  <c r="D686" i="10"/>
  <c r="C687" i="10"/>
  <c r="D687" i="10"/>
  <c r="C688" i="10"/>
  <c r="D688" i="10"/>
  <c r="C689" i="10"/>
  <c r="D689" i="10"/>
  <c r="C690" i="10"/>
  <c r="D690" i="10"/>
  <c r="C691" i="10"/>
  <c r="D691" i="10"/>
  <c r="C692" i="10"/>
  <c r="D692" i="10"/>
  <c r="C693" i="10"/>
  <c r="D693" i="10"/>
  <c r="C694" i="10"/>
  <c r="D694" i="10"/>
  <c r="C695" i="10"/>
  <c r="D695" i="10"/>
  <c r="C696" i="10"/>
  <c r="D696" i="10"/>
  <c r="C697" i="10"/>
  <c r="D697" i="10"/>
  <c r="C698" i="10"/>
  <c r="D698" i="10"/>
  <c r="C699" i="10"/>
  <c r="D699" i="10"/>
  <c r="C700" i="10"/>
  <c r="D700" i="10"/>
  <c r="C701" i="10"/>
  <c r="D701" i="10"/>
  <c r="C702" i="10"/>
  <c r="D702" i="10"/>
  <c r="C703" i="10"/>
  <c r="D703" i="10"/>
  <c r="C704" i="10"/>
  <c r="D704" i="10"/>
  <c r="C705" i="10"/>
  <c r="D705" i="10"/>
  <c r="C706" i="10"/>
  <c r="D706" i="10"/>
  <c r="C707" i="10"/>
  <c r="D707" i="10"/>
  <c r="C708" i="10"/>
  <c r="D708" i="10"/>
  <c r="C709" i="10"/>
  <c r="D709" i="10"/>
  <c r="C710" i="10"/>
  <c r="D710" i="10"/>
  <c r="C711" i="10"/>
  <c r="D711" i="10"/>
  <c r="C712" i="10"/>
  <c r="D712" i="10"/>
  <c r="C713" i="10"/>
  <c r="D713" i="10"/>
  <c r="C714" i="10"/>
  <c r="D714" i="10"/>
  <c r="C715" i="10"/>
  <c r="D715" i="10"/>
  <c r="C716" i="10"/>
  <c r="D716" i="10"/>
  <c r="C717" i="10"/>
  <c r="D717" i="10"/>
  <c r="C718" i="10"/>
  <c r="D718" i="10"/>
  <c r="C719" i="10"/>
  <c r="D719" i="10"/>
  <c r="C720" i="10"/>
  <c r="D720" i="10"/>
  <c r="C721" i="10"/>
  <c r="D721" i="10"/>
  <c r="C722" i="10"/>
  <c r="D722" i="10"/>
  <c r="C723" i="10"/>
  <c r="D723" i="10"/>
  <c r="C724" i="10"/>
  <c r="D724" i="10"/>
  <c r="C725" i="10"/>
  <c r="D725" i="10"/>
  <c r="C726" i="10"/>
  <c r="D726" i="10"/>
  <c r="C727" i="10"/>
  <c r="D727" i="10"/>
  <c r="C728" i="10"/>
  <c r="D728" i="10"/>
  <c r="C729" i="10"/>
  <c r="D729" i="10"/>
  <c r="C730" i="10"/>
  <c r="D730" i="10"/>
  <c r="C731" i="10"/>
  <c r="D731" i="10"/>
  <c r="C732" i="10"/>
  <c r="D732" i="10"/>
  <c r="C733" i="10"/>
  <c r="D733" i="10"/>
  <c r="C734" i="10"/>
  <c r="D734" i="10"/>
  <c r="C735" i="10"/>
  <c r="D735" i="10"/>
  <c r="C736" i="10"/>
  <c r="D736" i="10"/>
  <c r="C737" i="10"/>
  <c r="D737" i="10"/>
  <c r="C738" i="10"/>
  <c r="D738" i="10"/>
  <c r="C739" i="10"/>
  <c r="D739" i="10"/>
  <c r="C740" i="10"/>
  <c r="D740" i="10"/>
  <c r="C741" i="10"/>
  <c r="D741" i="10"/>
  <c r="C742" i="10"/>
  <c r="D742" i="10"/>
  <c r="C743" i="10"/>
  <c r="D743" i="10"/>
  <c r="C744" i="10"/>
  <c r="D744" i="10"/>
  <c r="C745" i="10"/>
  <c r="D745" i="10"/>
  <c r="C746" i="10"/>
  <c r="D746" i="10"/>
  <c r="C747" i="10"/>
  <c r="D747" i="10"/>
  <c r="C748" i="10"/>
  <c r="D748" i="10"/>
  <c r="C749" i="10"/>
  <c r="D749" i="10"/>
  <c r="C750" i="10"/>
  <c r="D750" i="10"/>
  <c r="C751" i="10"/>
  <c r="D751" i="10"/>
  <c r="C752" i="10"/>
  <c r="D752" i="10"/>
  <c r="C753" i="10"/>
  <c r="D753" i="10"/>
  <c r="C754" i="10"/>
  <c r="D754" i="10"/>
  <c r="C755" i="10"/>
  <c r="D755" i="10"/>
  <c r="C756" i="10"/>
  <c r="D756" i="10"/>
  <c r="C757" i="10"/>
  <c r="D757" i="10"/>
  <c r="C758" i="10"/>
  <c r="D758" i="10"/>
  <c r="C759" i="10"/>
  <c r="D759" i="10"/>
  <c r="C760" i="10"/>
  <c r="D760" i="10"/>
  <c r="C761" i="10"/>
  <c r="D761" i="10"/>
  <c r="C762" i="10"/>
  <c r="D762" i="10"/>
  <c r="C763" i="10"/>
  <c r="D763" i="10"/>
  <c r="C764" i="10"/>
  <c r="D764" i="10"/>
  <c r="C765" i="10"/>
  <c r="D765" i="10"/>
  <c r="C766" i="10"/>
  <c r="D766" i="10"/>
  <c r="C767" i="10"/>
  <c r="D767" i="10"/>
  <c r="C768" i="10"/>
  <c r="D768" i="10"/>
  <c r="C769" i="10"/>
  <c r="D769" i="10"/>
  <c r="C770" i="10"/>
  <c r="D770" i="10"/>
  <c r="C771" i="10"/>
  <c r="D771" i="10"/>
  <c r="C772" i="10"/>
  <c r="D772" i="10"/>
  <c r="C773" i="10"/>
  <c r="D773" i="10"/>
  <c r="C774" i="10"/>
  <c r="D774" i="10"/>
  <c r="C775" i="10"/>
  <c r="D775" i="10"/>
  <c r="C776" i="10"/>
  <c r="D776" i="10"/>
  <c r="C777" i="10"/>
  <c r="D777" i="10"/>
  <c r="C778" i="10"/>
  <c r="D778" i="10"/>
  <c r="C779" i="10"/>
  <c r="D779" i="10"/>
  <c r="C780" i="10"/>
  <c r="D780" i="10"/>
  <c r="C781" i="10"/>
  <c r="D781" i="10"/>
  <c r="C782" i="10"/>
  <c r="D782" i="10"/>
  <c r="C783" i="10"/>
  <c r="D783" i="10"/>
  <c r="C784" i="10"/>
  <c r="D784" i="10"/>
  <c r="C785" i="10"/>
  <c r="D785" i="10"/>
  <c r="C786" i="10"/>
  <c r="D786" i="10"/>
  <c r="C787" i="10"/>
  <c r="D787" i="10"/>
  <c r="C788" i="10"/>
  <c r="D788" i="10"/>
  <c r="C789" i="10"/>
  <c r="D789" i="10"/>
  <c r="C790" i="10"/>
  <c r="D790" i="10"/>
  <c r="C791" i="10"/>
  <c r="D791" i="10"/>
  <c r="C792" i="10"/>
  <c r="D792" i="10"/>
  <c r="C793" i="10"/>
  <c r="D793" i="10"/>
  <c r="C794" i="10"/>
  <c r="D794" i="10"/>
  <c r="C795" i="10"/>
  <c r="D795" i="10"/>
  <c r="C796" i="10"/>
  <c r="D796" i="10"/>
  <c r="C797" i="10"/>
  <c r="D797" i="10"/>
  <c r="C798" i="10"/>
  <c r="D798" i="10"/>
  <c r="C799" i="10"/>
  <c r="D799" i="10"/>
  <c r="C800" i="10"/>
  <c r="D800" i="10"/>
  <c r="C801" i="10"/>
  <c r="D801" i="10"/>
  <c r="C802" i="10"/>
  <c r="D802" i="10"/>
  <c r="C803" i="10"/>
  <c r="D803" i="10"/>
  <c r="C804" i="10"/>
  <c r="D804" i="10"/>
  <c r="C805" i="10"/>
  <c r="D805" i="10"/>
  <c r="C806" i="10"/>
  <c r="D806" i="10"/>
  <c r="C807" i="10"/>
  <c r="D807" i="10"/>
  <c r="C808" i="10"/>
  <c r="D808" i="10"/>
  <c r="C809" i="10"/>
  <c r="D809" i="10"/>
  <c r="C810" i="10"/>
  <c r="D810" i="10"/>
  <c r="C811" i="10"/>
  <c r="D811" i="10"/>
  <c r="C812" i="10"/>
  <c r="D812" i="10"/>
  <c r="C813" i="10"/>
  <c r="D813" i="10"/>
  <c r="C814" i="10"/>
  <c r="D814" i="10"/>
  <c r="C815" i="10"/>
  <c r="D815" i="10"/>
  <c r="C816" i="10"/>
  <c r="D816" i="10"/>
  <c r="C817" i="10"/>
  <c r="D817" i="10"/>
  <c r="C818" i="10"/>
  <c r="D818" i="10"/>
  <c r="C819" i="10"/>
  <c r="D819" i="10"/>
  <c r="C820" i="10"/>
  <c r="D820" i="10"/>
  <c r="C821" i="10"/>
  <c r="D821" i="10"/>
  <c r="C822" i="10"/>
  <c r="D822" i="10"/>
  <c r="C823" i="10"/>
  <c r="D823" i="10"/>
  <c r="C824" i="10"/>
  <c r="D824" i="10"/>
  <c r="C825" i="10"/>
  <c r="D825" i="10"/>
  <c r="C826" i="10"/>
  <c r="D826" i="10"/>
  <c r="C827" i="10"/>
  <c r="D827" i="10"/>
  <c r="C828" i="10"/>
  <c r="D828" i="10"/>
  <c r="C829" i="10"/>
  <c r="D829" i="10"/>
  <c r="C830" i="10"/>
  <c r="D830" i="10"/>
  <c r="C831" i="10"/>
  <c r="D831" i="10"/>
  <c r="C832" i="10"/>
  <c r="D832" i="10"/>
  <c r="C833" i="10"/>
  <c r="D833" i="10"/>
  <c r="C834" i="10"/>
  <c r="D834" i="10"/>
  <c r="C835" i="10"/>
  <c r="D835" i="10"/>
  <c r="C836" i="10"/>
  <c r="D836" i="10"/>
  <c r="C837" i="10"/>
  <c r="D837" i="10"/>
  <c r="C838" i="10"/>
  <c r="D838" i="10"/>
  <c r="C839" i="10"/>
  <c r="D839" i="10"/>
  <c r="C840" i="10"/>
  <c r="D840" i="10"/>
  <c r="C841" i="10"/>
  <c r="D841" i="10"/>
  <c r="C842" i="10"/>
  <c r="D842" i="10"/>
  <c r="C843" i="10"/>
  <c r="D843" i="10"/>
  <c r="C844" i="10"/>
  <c r="D844" i="10"/>
  <c r="C845" i="10"/>
  <c r="D845" i="10"/>
  <c r="C846" i="10"/>
  <c r="D846" i="10"/>
  <c r="C847" i="10"/>
  <c r="D847" i="10"/>
  <c r="C848" i="10"/>
  <c r="D848" i="10"/>
  <c r="C849" i="10"/>
  <c r="D849" i="10"/>
  <c r="C850" i="10"/>
  <c r="D850" i="10"/>
  <c r="C851" i="10"/>
  <c r="D851" i="10"/>
  <c r="C852" i="10"/>
  <c r="D852" i="10"/>
  <c r="C853" i="10"/>
  <c r="D853" i="10"/>
  <c r="C854" i="10"/>
  <c r="D854" i="10"/>
  <c r="C855" i="10"/>
  <c r="D855" i="10"/>
  <c r="C856" i="10"/>
  <c r="D856" i="10"/>
  <c r="C857" i="10"/>
  <c r="D857" i="10"/>
  <c r="C858" i="10"/>
  <c r="D858" i="10"/>
  <c r="C859" i="10"/>
  <c r="D859" i="10"/>
  <c r="C860" i="10"/>
  <c r="D860" i="10"/>
  <c r="C861" i="10"/>
  <c r="D861" i="10"/>
  <c r="C862" i="10"/>
  <c r="D862" i="10"/>
  <c r="C863" i="10"/>
  <c r="D863" i="10"/>
  <c r="C864" i="10"/>
  <c r="D864" i="10"/>
  <c r="C865" i="10"/>
  <c r="D865" i="10"/>
  <c r="C866" i="10"/>
  <c r="D866" i="10"/>
  <c r="C867" i="10"/>
  <c r="D867" i="10"/>
  <c r="C868" i="10"/>
  <c r="D868" i="10"/>
  <c r="C869" i="10"/>
  <c r="D869" i="10"/>
  <c r="C870" i="10"/>
  <c r="D870" i="10"/>
  <c r="C871" i="10"/>
  <c r="D871" i="10"/>
  <c r="C872" i="10"/>
  <c r="D872" i="10"/>
  <c r="C873" i="10"/>
  <c r="D873" i="10"/>
  <c r="C874" i="10"/>
  <c r="D874" i="10"/>
  <c r="C875" i="10"/>
  <c r="D875" i="10"/>
  <c r="C876" i="10"/>
  <c r="D876" i="10"/>
  <c r="C877" i="10"/>
  <c r="D877" i="10"/>
  <c r="C878" i="10"/>
  <c r="D878" i="10"/>
  <c r="C879" i="10"/>
  <c r="D879" i="10"/>
  <c r="C880" i="10"/>
  <c r="D880" i="10"/>
  <c r="C881" i="10"/>
  <c r="D881" i="10"/>
  <c r="C882" i="10"/>
  <c r="D882" i="10"/>
  <c r="C883" i="10"/>
  <c r="D883" i="10"/>
  <c r="C884" i="10"/>
  <c r="D884" i="10"/>
  <c r="C885" i="10"/>
  <c r="D885" i="10"/>
  <c r="C886" i="10"/>
  <c r="D886" i="10"/>
  <c r="C887" i="10"/>
  <c r="D887" i="10"/>
  <c r="C888" i="10"/>
  <c r="D888" i="10"/>
  <c r="C889" i="10"/>
  <c r="D889" i="10"/>
  <c r="C890" i="10"/>
  <c r="D890" i="10"/>
  <c r="C891" i="10"/>
  <c r="D891" i="10"/>
  <c r="C892" i="10"/>
  <c r="D892" i="10"/>
  <c r="C893" i="10"/>
  <c r="D893" i="10"/>
  <c r="C894" i="10"/>
  <c r="D894" i="10"/>
  <c r="C895" i="10"/>
  <c r="D895" i="10"/>
  <c r="C896" i="10"/>
  <c r="D896" i="10"/>
  <c r="C897" i="10"/>
  <c r="D897" i="10"/>
  <c r="C898" i="10"/>
  <c r="D898" i="10"/>
  <c r="C899" i="10"/>
  <c r="D899" i="10"/>
  <c r="C900" i="10"/>
  <c r="D900" i="10"/>
  <c r="C901" i="10"/>
  <c r="D901" i="10"/>
  <c r="C902" i="10"/>
  <c r="D902" i="10"/>
  <c r="C903" i="10"/>
  <c r="D903" i="10"/>
  <c r="C904" i="10"/>
  <c r="D904" i="10"/>
  <c r="C905" i="10"/>
  <c r="D905" i="10"/>
  <c r="C906" i="10"/>
  <c r="D906" i="10"/>
  <c r="C907" i="10"/>
  <c r="D907" i="10"/>
  <c r="C908" i="10"/>
  <c r="D908" i="10"/>
  <c r="C909" i="10"/>
  <c r="D909" i="10"/>
  <c r="C910" i="10"/>
  <c r="D910" i="10"/>
  <c r="C911" i="10"/>
  <c r="D911" i="10"/>
  <c r="C912" i="10"/>
  <c r="D912" i="10"/>
  <c r="C913" i="10"/>
  <c r="D913" i="10"/>
  <c r="C914" i="10"/>
  <c r="D914" i="10"/>
  <c r="C915" i="10"/>
  <c r="D915" i="10"/>
  <c r="C916" i="10"/>
  <c r="D916" i="10"/>
  <c r="C917" i="10"/>
  <c r="D917" i="10"/>
  <c r="C918" i="10"/>
  <c r="D918" i="10"/>
  <c r="C919" i="10"/>
  <c r="D919" i="10"/>
  <c r="C920" i="10"/>
  <c r="D920" i="10"/>
  <c r="C921" i="10"/>
  <c r="D921" i="10"/>
  <c r="C922" i="10"/>
  <c r="D922" i="10"/>
  <c r="C923" i="10"/>
  <c r="D923" i="10"/>
  <c r="C924" i="10"/>
  <c r="D924" i="10"/>
  <c r="C925" i="10"/>
  <c r="D925" i="10"/>
  <c r="C926" i="10"/>
  <c r="D926" i="10"/>
  <c r="C927" i="10"/>
  <c r="D927" i="10"/>
  <c r="C928" i="10"/>
  <c r="D928" i="10"/>
  <c r="C929" i="10"/>
  <c r="D929" i="10"/>
  <c r="C930" i="10"/>
  <c r="D930" i="10"/>
  <c r="C931" i="10"/>
  <c r="D931" i="10"/>
  <c r="C932" i="10"/>
  <c r="D932" i="10"/>
  <c r="C933" i="10"/>
  <c r="D933" i="10"/>
  <c r="C934" i="10"/>
  <c r="D934" i="10"/>
  <c r="C935" i="10"/>
  <c r="D935" i="10"/>
  <c r="C936" i="10"/>
  <c r="D936" i="10"/>
  <c r="C937" i="10"/>
  <c r="D937" i="10"/>
  <c r="C938" i="10"/>
  <c r="D938" i="10"/>
  <c r="C939" i="10"/>
  <c r="D939" i="10"/>
  <c r="C940" i="10"/>
  <c r="D940" i="10"/>
  <c r="C941" i="10"/>
  <c r="D941" i="10"/>
  <c r="C942" i="10"/>
  <c r="D942" i="10"/>
  <c r="C943" i="10"/>
  <c r="D943" i="10"/>
  <c r="C944" i="10"/>
  <c r="D944" i="10"/>
  <c r="C945" i="10"/>
  <c r="D945" i="10"/>
  <c r="C946" i="10"/>
  <c r="D946" i="10"/>
  <c r="C947" i="10"/>
  <c r="D947" i="10"/>
  <c r="C948" i="10"/>
  <c r="D948" i="10"/>
  <c r="C949" i="10"/>
  <c r="D949" i="10"/>
  <c r="C950" i="10"/>
  <c r="D950" i="10"/>
  <c r="C951" i="10"/>
  <c r="D951" i="10"/>
  <c r="C952" i="10"/>
  <c r="D952" i="10"/>
  <c r="C953" i="10"/>
  <c r="D953" i="10"/>
  <c r="C954" i="10"/>
  <c r="D954" i="10"/>
  <c r="C955" i="10"/>
  <c r="D955" i="10"/>
  <c r="C956" i="10"/>
  <c r="D956" i="10"/>
  <c r="C957" i="10"/>
  <c r="D957" i="10"/>
  <c r="C958" i="10"/>
  <c r="D958" i="10"/>
  <c r="C959" i="10"/>
  <c r="D959" i="10"/>
  <c r="C960" i="10"/>
  <c r="D960" i="10"/>
  <c r="C961" i="10"/>
  <c r="D961" i="10"/>
  <c r="C962" i="10"/>
  <c r="D962" i="10"/>
  <c r="C963" i="10"/>
  <c r="D963" i="10"/>
  <c r="C964" i="10"/>
  <c r="D964" i="10"/>
  <c r="C965" i="10"/>
  <c r="D965" i="10"/>
  <c r="C966" i="10"/>
  <c r="D966" i="10"/>
  <c r="C967" i="10"/>
  <c r="D967" i="10"/>
  <c r="C968" i="10"/>
  <c r="D968" i="10"/>
  <c r="C969" i="10"/>
  <c r="D969" i="10"/>
  <c r="C970" i="10"/>
  <c r="D970" i="10"/>
  <c r="C971" i="10"/>
  <c r="D971" i="10"/>
  <c r="C972" i="10"/>
  <c r="D972" i="10"/>
  <c r="C973" i="10"/>
  <c r="D973" i="10"/>
  <c r="C974" i="10"/>
  <c r="D974" i="10"/>
  <c r="C975" i="10"/>
  <c r="D975" i="10"/>
  <c r="C976" i="10"/>
  <c r="D976" i="10"/>
  <c r="C977" i="10"/>
  <c r="D977" i="10"/>
  <c r="C978" i="10"/>
  <c r="D978" i="10"/>
  <c r="C979" i="10"/>
  <c r="D979" i="10"/>
  <c r="C980" i="10"/>
  <c r="D980" i="10"/>
  <c r="C981" i="10"/>
  <c r="D981" i="10"/>
  <c r="C982" i="10"/>
  <c r="D982" i="10"/>
  <c r="C983" i="10"/>
  <c r="D983" i="10"/>
  <c r="C984" i="10"/>
  <c r="D984" i="10"/>
  <c r="C985" i="10"/>
  <c r="D985" i="10"/>
  <c r="C986" i="10"/>
  <c r="D986" i="10"/>
  <c r="C987" i="10"/>
  <c r="D987" i="10"/>
  <c r="C988" i="10"/>
  <c r="D988" i="10"/>
  <c r="C989" i="10"/>
  <c r="D989" i="10"/>
  <c r="C990" i="10"/>
  <c r="D990" i="10"/>
  <c r="C991" i="10"/>
  <c r="D991" i="10"/>
  <c r="C992" i="10"/>
  <c r="D992" i="10"/>
  <c r="C993" i="10"/>
  <c r="D993" i="10"/>
  <c r="C994" i="10"/>
  <c r="D994" i="10"/>
  <c r="C995" i="10"/>
  <c r="D995" i="10"/>
  <c r="C996" i="10"/>
  <c r="D996" i="10"/>
  <c r="C997" i="10"/>
  <c r="D997" i="10"/>
  <c r="C998" i="10"/>
  <c r="D998" i="10"/>
  <c r="C999" i="10"/>
  <c r="D999" i="10"/>
  <c r="C1000" i="10"/>
  <c r="D1000" i="10"/>
  <c r="B18" i="12"/>
  <c r="B19" i="12"/>
  <c r="B20" i="12"/>
  <c r="B21" i="12"/>
  <c r="B22" i="12"/>
  <c r="D22" i="12" s="1"/>
  <c r="B23" i="12"/>
  <c r="B24" i="12"/>
  <c r="B25" i="12"/>
  <c r="B26" i="12"/>
  <c r="C26" i="12" s="1"/>
  <c r="B27" i="12"/>
  <c r="B28" i="12"/>
  <c r="B29" i="12"/>
  <c r="B30" i="12"/>
  <c r="D30" i="12" s="1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D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D511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D617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C671" i="12"/>
  <c r="B671" i="12"/>
  <c r="B672" i="12"/>
  <c r="B673" i="12"/>
  <c r="B674" i="12"/>
  <c r="B675" i="12"/>
  <c r="B676" i="12"/>
  <c r="B677" i="12"/>
  <c r="B678" i="12"/>
  <c r="C679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D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C775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C803" i="12"/>
  <c r="B803" i="12"/>
  <c r="B804" i="12"/>
  <c r="B805" i="12"/>
  <c r="B806" i="12"/>
  <c r="B807" i="12"/>
  <c r="C808" i="12"/>
  <c r="B808" i="12"/>
  <c r="B809" i="12"/>
  <c r="B810" i="12"/>
  <c r="B811" i="12"/>
  <c r="B812" i="12"/>
  <c r="B813" i="12"/>
  <c r="B814" i="12"/>
  <c r="B815" i="12"/>
  <c r="B816" i="12"/>
  <c r="B817" i="12"/>
  <c r="B818" i="12"/>
  <c r="C819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D831" i="12"/>
  <c r="B832" i="12"/>
  <c r="B833" i="12"/>
  <c r="B834" i="12"/>
  <c r="C835" i="12"/>
  <c r="B835" i="12"/>
  <c r="B836" i="12"/>
  <c r="B837" i="12"/>
  <c r="B838" i="12"/>
  <c r="B839" i="12"/>
  <c r="B840" i="12"/>
  <c r="B841" i="12"/>
  <c r="B842" i="12"/>
  <c r="B843" i="12"/>
  <c r="D843" i="12"/>
  <c r="B844" i="12"/>
  <c r="B845" i="12"/>
  <c r="B846" i="12"/>
  <c r="B847" i="12"/>
  <c r="B848" i="12"/>
  <c r="C849" i="12"/>
  <c r="B849" i="12"/>
  <c r="B850" i="12"/>
  <c r="B851" i="12"/>
  <c r="B852" i="12"/>
  <c r="B853" i="12"/>
  <c r="B854" i="12"/>
  <c r="B855" i="12"/>
  <c r="B856" i="12"/>
  <c r="B857" i="12"/>
  <c r="B858" i="12"/>
  <c r="B859" i="12"/>
  <c r="B860" i="12"/>
  <c r="B861" i="12"/>
  <c r="B862" i="12"/>
  <c r="B863" i="12"/>
  <c r="B864" i="12"/>
  <c r="B865" i="12"/>
  <c r="B866" i="12"/>
  <c r="B867" i="12"/>
  <c r="B868" i="12"/>
  <c r="B869" i="12"/>
  <c r="B870" i="12"/>
  <c r="B871" i="12"/>
  <c r="D871" i="12"/>
  <c r="B872" i="12"/>
  <c r="B873" i="12"/>
  <c r="B874" i="12"/>
  <c r="B875" i="12"/>
  <c r="B876" i="12"/>
  <c r="B877" i="12"/>
  <c r="B878" i="12"/>
  <c r="B879" i="12"/>
  <c r="B880" i="12"/>
  <c r="C881" i="12"/>
  <c r="B881" i="12"/>
  <c r="B882" i="12"/>
  <c r="B883" i="12"/>
  <c r="B884" i="12"/>
  <c r="B885" i="12"/>
  <c r="B886" i="12"/>
  <c r="B887" i="12"/>
  <c r="B888" i="12"/>
  <c r="B889" i="12"/>
  <c r="B890" i="12"/>
  <c r="B891" i="12"/>
  <c r="B892" i="12"/>
  <c r="B893" i="12"/>
  <c r="B894" i="12"/>
  <c r="B895" i="12"/>
  <c r="B896" i="12"/>
  <c r="B897" i="12"/>
  <c r="B898" i="12"/>
  <c r="B899" i="12"/>
  <c r="B900" i="12"/>
  <c r="B901" i="12"/>
  <c r="B902" i="12"/>
  <c r="B903" i="12"/>
  <c r="B904" i="12"/>
  <c r="B905" i="12"/>
  <c r="B906" i="12"/>
  <c r="B907" i="12"/>
  <c r="B908" i="12"/>
  <c r="B909" i="12"/>
  <c r="B910" i="12"/>
  <c r="C911" i="12"/>
  <c r="B911" i="12"/>
  <c r="B912" i="12"/>
  <c r="C913" i="12"/>
  <c r="B913" i="12"/>
  <c r="B914" i="12"/>
  <c r="B915" i="12"/>
  <c r="D915" i="12"/>
  <c r="B916" i="12"/>
  <c r="B917" i="12"/>
  <c r="B918" i="12"/>
  <c r="C919" i="12"/>
  <c r="B919" i="12"/>
  <c r="B920" i="12"/>
  <c r="B921" i="12"/>
  <c r="B922" i="12"/>
  <c r="B923" i="12"/>
  <c r="B924" i="12"/>
  <c r="B925" i="12"/>
  <c r="B926" i="12"/>
  <c r="B927" i="12"/>
  <c r="B928" i="12"/>
  <c r="B929" i="12"/>
  <c r="B930" i="12"/>
  <c r="B931" i="12"/>
  <c r="D931" i="12"/>
  <c r="B932" i="12"/>
  <c r="B933" i="12"/>
  <c r="B934" i="12"/>
  <c r="B935" i="12"/>
  <c r="B936" i="12"/>
  <c r="B937" i="12"/>
  <c r="B938" i="12"/>
  <c r="B939" i="12"/>
  <c r="B940" i="12"/>
  <c r="B941" i="12"/>
  <c r="B942" i="12"/>
  <c r="B943" i="12"/>
  <c r="D943" i="12"/>
  <c r="B944" i="12"/>
  <c r="C945" i="12"/>
  <c r="B945" i="12"/>
  <c r="B946" i="12"/>
  <c r="B947" i="12"/>
  <c r="B948" i="12"/>
  <c r="B949" i="12"/>
  <c r="B950" i="12"/>
  <c r="B951" i="12"/>
  <c r="B952" i="12"/>
  <c r="B953" i="12"/>
  <c r="B954" i="12"/>
  <c r="B955" i="12"/>
  <c r="D955" i="12"/>
  <c r="B956" i="12"/>
  <c r="B957" i="12"/>
  <c r="B958" i="12"/>
  <c r="B959" i="12"/>
  <c r="B960" i="12"/>
  <c r="B961" i="12"/>
  <c r="C962" i="12"/>
  <c r="B962" i="12"/>
  <c r="B963" i="12"/>
  <c r="B964" i="12"/>
  <c r="B965" i="12"/>
  <c r="B966" i="12"/>
  <c r="B967" i="12"/>
  <c r="B968" i="12"/>
  <c r="B969" i="12"/>
  <c r="B970" i="12"/>
  <c r="B971" i="12"/>
  <c r="B972" i="12"/>
  <c r="B973" i="12"/>
  <c r="B974" i="12"/>
  <c r="B975" i="12"/>
  <c r="B976" i="12"/>
  <c r="B977" i="12"/>
  <c r="B978" i="12"/>
  <c r="B979" i="12"/>
  <c r="B980" i="12"/>
  <c r="B981" i="12"/>
  <c r="B982" i="12"/>
  <c r="B983" i="12"/>
  <c r="B984" i="12"/>
  <c r="B985" i="12"/>
  <c r="B986" i="12"/>
  <c r="B987" i="12"/>
  <c r="B988" i="12"/>
  <c r="B989" i="12"/>
  <c r="B990" i="12"/>
  <c r="B991" i="12"/>
  <c r="B992" i="12"/>
  <c r="B993" i="12"/>
  <c r="B994" i="12"/>
  <c r="B995" i="12"/>
  <c r="B996" i="12"/>
  <c r="B997" i="12"/>
  <c r="B998" i="12"/>
  <c r="B999" i="12"/>
  <c r="B1000" i="12"/>
  <c r="B5" i="12"/>
  <c r="B6" i="12"/>
  <c r="B7" i="12"/>
  <c r="B8" i="12"/>
  <c r="B9" i="12"/>
  <c r="B10" i="12"/>
  <c r="B11" i="12"/>
  <c r="D11" i="12" s="1"/>
  <c r="B12" i="12"/>
  <c r="B13" i="12"/>
  <c r="C13" i="12" s="1"/>
  <c r="B14" i="12"/>
  <c r="B15" i="12"/>
  <c r="B16" i="12"/>
  <c r="B17" i="12"/>
  <c r="B4" i="12"/>
  <c r="A4" i="12"/>
  <c r="C5" i="10"/>
  <c r="D5" i="10"/>
  <c r="C6" i="10"/>
  <c r="D6" i="10"/>
  <c r="C7" i="10"/>
  <c r="D7" i="10"/>
  <c r="C8" i="10"/>
  <c r="D8" i="10"/>
  <c r="D4" i="10"/>
  <c r="C4" i="10"/>
  <c r="I92" i="2"/>
  <c r="I91" i="2"/>
  <c r="I90" i="2"/>
  <c r="I89" i="2"/>
  <c r="I88" i="2"/>
  <c r="I87" i="2"/>
  <c r="I86" i="2"/>
  <c r="I84" i="2"/>
  <c r="I83" i="2"/>
  <c r="I82" i="2"/>
  <c r="I81" i="2"/>
  <c r="I79" i="2"/>
  <c r="I78" i="2"/>
  <c r="I77" i="2"/>
  <c r="I76" i="2"/>
  <c r="I65" i="2"/>
  <c r="I64" i="2"/>
  <c r="I63" i="2"/>
  <c r="I60" i="2"/>
  <c r="I59" i="2"/>
  <c r="I58" i="2"/>
  <c r="I54" i="2"/>
  <c r="I53" i="2"/>
  <c r="I52" i="2"/>
  <c r="I51" i="2"/>
  <c r="I50" i="2"/>
  <c r="I47" i="2"/>
  <c r="I46" i="2"/>
  <c r="I44" i="2"/>
  <c r="I43" i="2"/>
  <c r="I42" i="2"/>
  <c r="I41" i="2"/>
  <c r="I40" i="2"/>
  <c r="I38" i="2"/>
  <c r="I37" i="2"/>
  <c r="I36" i="2"/>
  <c r="I35" i="2"/>
  <c r="I33" i="2"/>
  <c r="I32" i="2"/>
  <c r="I31" i="2"/>
  <c r="I30" i="2"/>
  <c r="I27" i="2"/>
  <c r="I26" i="2"/>
  <c r="F29" i="3" l="1"/>
  <c r="F41" i="3"/>
  <c r="D41" i="3" s="1"/>
  <c r="F18" i="3"/>
  <c r="D594" i="12"/>
  <c r="D506" i="12"/>
  <c r="C502" i="12"/>
  <c r="D110" i="12"/>
  <c r="D562" i="12"/>
  <c r="C550" i="12"/>
  <c r="C210" i="12"/>
  <c r="C74" i="12"/>
  <c r="D698" i="12"/>
  <c r="C138" i="12"/>
  <c r="G954" i="12"/>
  <c r="C702" i="12"/>
  <c r="D782" i="12"/>
  <c r="D754" i="12"/>
  <c r="D630" i="12"/>
  <c r="D586" i="12"/>
  <c r="C162" i="12"/>
  <c r="C126" i="12"/>
  <c r="D610" i="12"/>
  <c r="D514" i="12"/>
  <c r="D794" i="12"/>
  <c r="C785" i="12"/>
  <c r="C718" i="12"/>
  <c r="D714" i="12"/>
  <c r="C690" i="12"/>
  <c r="C657" i="12"/>
  <c r="D649" i="12"/>
  <c r="C598" i="12"/>
  <c r="D570" i="12"/>
  <c r="C566" i="12"/>
  <c r="C538" i="12"/>
  <c r="C510" i="12"/>
  <c r="D234" i="12"/>
  <c r="C190" i="12"/>
  <c r="D150" i="12"/>
  <c r="D122" i="12"/>
  <c r="D90" i="12"/>
  <c r="C58" i="12"/>
  <c r="G657" i="12"/>
  <c r="D998" i="12"/>
  <c r="C734" i="12"/>
  <c r="D674" i="12"/>
  <c r="D658" i="12"/>
  <c r="C642" i="12"/>
  <c r="C626" i="12"/>
  <c r="C606" i="12"/>
  <c r="D238" i="12"/>
  <c r="D194" i="12"/>
  <c r="D98" i="12"/>
  <c r="D62" i="12"/>
  <c r="C16" i="12"/>
  <c r="C814" i="12"/>
  <c r="C801" i="12"/>
  <c r="D786" i="12"/>
  <c r="D774" i="12"/>
  <c r="C742" i="12"/>
  <c r="D738" i="12"/>
  <c r="C686" i="12"/>
  <c r="D682" i="12"/>
  <c r="D670" i="12"/>
  <c r="D654" i="12"/>
  <c r="C650" i="12"/>
  <c r="D638" i="12"/>
  <c r="C634" i="12"/>
  <c r="D618" i="12"/>
  <c r="D541" i="12"/>
  <c r="C526" i="12"/>
  <c r="D214" i="12"/>
  <c r="D174" i="12"/>
  <c r="C146" i="12"/>
  <c r="C114" i="12"/>
  <c r="D86" i="12"/>
  <c r="D34" i="12"/>
  <c r="G698" i="12"/>
  <c r="D908" i="12"/>
  <c r="C856" i="12"/>
  <c r="D812" i="12"/>
  <c r="D116" i="12"/>
  <c r="C756" i="12"/>
  <c r="D244" i="12"/>
  <c r="D760" i="12"/>
  <c r="H961" i="12"/>
  <c r="G811" i="12"/>
  <c r="G575" i="12"/>
  <c r="G938" i="12"/>
  <c r="G580" i="12"/>
  <c r="D815" i="12"/>
  <c r="D591" i="12"/>
  <c r="C563" i="12"/>
  <c r="D543" i="12"/>
  <c r="D159" i="12"/>
  <c r="G14" i="12"/>
  <c r="D991" i="12"/>
  <c r="C967" i="12"/>
  <c r="D855" i="12"/>
  <c r="C811" i="12"/>
  <c r="C711" i="12"/>
  <c r="C687" i="12"/>
  <c r="D603" i="12"/>
  <c r="C507" i="12"/>
  <c r="D999" i="12"/>
  <c r="C979" i="12"/>
  <c r="C963" i="12"/>
  <c r="C939" i="12"/>
  <c r="C923" i="12"/>
  <c r="C907" i="12"/>
  <c r="D903" i="12"/>
  <c r="C895" i="12"/>
  <c r="C879" i="12"/>
  <c r="D827" i="12"/>
  <c r="D807" i="12"/>
  <c r="C802" i="12"/>
  <c r="C791" i="12"/>
  <c r="D787" i="12"/>
  <c r="C783" i="12"/>
  <c r="D770" i="12"/>
  <c r="C759" i="12"/>
  <c r="C750" i="12"/>
  <c r="C747" i="12"/>
  <c r="D743" i="12"/>
  <c r="C726" i="12"/>
  <c r="D722" i="12"/>
  <c r="D706" i="12"/>
  <c r="D694" i="12"/>
  <c r="C678" i="12"/>
  <c r="C675" i="12"/>
  <c r="C614" i="12"/>
  <c r="C602" i="12"/>
  <c r="D522" i="12"/>
  <c r="C518" i="12"/>
  <c r="D246" i="12"/>
  <c r="C226" i="12"/>
  <c r="D223" i="12"/>
  <c r="C202" i="12"/>
  <c r="D186" i="12"/>
  <c r="D130" i="12"/>
  <c r="D127" i="12"/>
  <c r="D95" i="12"/>
  <c r="C46" i="12"/>
  <c r="C43" i="12"/>
  <c r="H972" i="12"/>
  <c r="G946" i="12"/>
  <c r="G701" i="12"/>
  <c r="G576" i="12"/>
  <c r="D987" i="12"/>
  <c r="D971" i="12"/>
  <c r="D959" i="12"/>
  <c r="C947" i="12"/>
  <c r="D899" i="12"/>
  <c r="D887" i="12"/>
  <c r="D875" i="12"/>
  <c r="C863" i="12"/>
  <c r="C851" i="12"/>
  <c r="C839" i="12"/>
  <c r="C799" i="12"/>
  <c r="D795" i="12"/>
  <c r="C767" i="12"/>
  <c r="C731" i="12"/>
  <c r="D727" i="12"/>
  <c r="C703" i="12"/>
  <c r="C691" i="12"/>
  <c r="D583" i="12"/>
  <c r="D191" i="12"/>
  <c r="G953" i="12"/>
  <c r="G937" i="12"/>
  <c r="G806" i="12"/>
  <c r="G654" i="12"/>
  <c r="G579" i="12"/>
  <c r="G63" i="12"/>
  <c r="F130" i="2"/>
  <c r="F129" i="2" s="1"/>
  <c r="F128" i="2" s="1"/>
  <c r="F106" i="2"/>
  <c r="G958" i="12"/>
  <c r="G950" i="12"/>
  <c r="G942" i="12"/>
  <c r="G934" i="12"/>
  <c r="G869" i="12"/>
  <c r="G733" i="12"/>
  <c r="G673" i="12"/>
  <c r="G578" i="12"/>
  <c r="G128" i="12"/>
  <c r="G42" i="12"/>
  <c r="C7" i="12"/>
  <c r="C806" i="12"/>
  <c r="D778" i="12"/>
  <c r="C662" i="12"/>
  <c r="D582" i="12"/>
  <c r="D546" i="12"/>
  <c r="D206" i="12"/>
  <c r="D182" i="12"/>
  <c r="D142" i="12"/>
  <c r="D66" i="12"/>
  <c r="C54" i="12"/>
  <c r="C746" i="12"/>
  <c r="C730" i="12"/>
  <c r="C666" i="12"/>
  <c r="C578" i="12"/>
  <c r="D498" i="12"/>
  <c r="C222" i="12"/>
  <c r="C158" i="12"/>
  <c r="D118" i="12"/>
  <c r="D106" i="12"/>
  <c r="C82" i="12"/>
  <c r="D42" i="12"/>
  <c r="C10" i="12"/>
  <c r="C994" i="12"/>
  <c r="C810" i="12"/>
  <c r="C798" i="12"/>
  <c r="D790" i="12"/>
  <c r="D766" i="12"/>
  <c r="D758" i="12"/>
  <c r="D710" i="12"/>
  <c r="C646" i="12"/>
  <c r="C625" i="12"/>
  <c r="C574" i="12"/>
  <c r="C542" i="12"/>
  <c r="D534" i="12"/>
  <c r="C530" i="12"/>
  <c r="D402" i="12"/>
  <c r="C398" i="12"/>
  <c r="C242" i="12"/>
  <c r="D218" i="12"/>
  <c r="C178" i="12"/>
  <c r="D154" i="12"/>
  <c r="C94" i="12"/>
  <c r="D78" i="12"/>
  <c r="D50" i="12"/>
  <c r="C38" i="12"/>
  <c r="C20" i="12"/>
  <c r="G70" i="2" s="1"/>
  <c r="F87" i="2"/>
  <c r="H15" i="12"/>
  <c r="G149" i="2" s="1"/>
  <c r="G957" i="12"/>
  <c r="G949" i="12"/>
  <c r="G941" i="12"/>
  <c r="G907" i="12"/>
  <c r="G866" i="12"/>
  <c r="G730" i="12"/>
  <c r="G670" i="12"/>
  <c r="G577" i="12"/>
  <c r="G95" i="12"/>
  <c r="G31" i="12"/>
  <c r="C18" i="12"/>
  <c r="C14" i="12"/>
  <c r="G959" i="12"/>
  <c r="G955" i="12"/>
  <c r="G951" i="12"/>
  <c r="G947" i="12"/>
  <c r="G943" i="12"/>
  <c r="G939" i="12"/>
  <c r="G902" i="12"/>
  <c r="G960" i="12"/>
  <c r="G956" i="12"/>
  <c r="G952" i="12"/>
  <c r="G948" i="12"/>
  <c r="G944" i="12"/>
  <c r="G940" i="12"/>
  <c r="G936" i="12"/>
  <c r="H935" i="12"/>
  <c r="G935" i="12"/>
  <c r="G882" i="12"/>
  <c r="G572" i="12"/>
  <c r="H572" i="12"/>
  <c r="G570" i="12"/>
  <c r="H570" i="12"/>
  <c r="G568" i="12"/>
  <c r="H568" i="12"/>
  <c r="G566" i="12"/>
  <c r="H566" i="12"/>
  <c r="G564" i="12"/>
  <c r="H564" i="12"/>
  <c r="G562" i="12"/>
  <c r="H562" i="12"/>
  <c r="G560" i="12"/>
  <c r="H560" i="12"/>
  <c r="G558" i="12"/>
  <c r="H558" i="12"/>
  <c r="G556" i="12"/>
  <c r="H556" i="12"/>
  <c r="G554" i="12"/>
  <c r="H554" i="12"/>
  <c r="G552" i="12"/>
  <c r="H552" i="12"/>
  <c r="G550" i="12"/>
  <c r="H550" i="12"/>
  <c r="G548" i="12"/>
  <c r="H548" i="12"/>
  <c r="G546" i="12"/>
  <c r="H546" i="12"/>
  <c r="G544" i="12"/>
  <c r="H544" i="12"/>
  <c r="G542" i="12"/>
  <c r="H542" i="12"/>
  <c r="G540" i="12"/>
  <c r="H540" i="12"/>
  <c r="G538" i="12"/>
  <c r="H538" i="12"/>
  <c r="G536" i="12"/>
  <c r="H536" i="12"/>
  <c r="G534" i="12"/>
  <c r="H534" i="12"/>
  <c r="G532" i="12"/>
  <c r="H532" i="12"/>
  <c r="G530" i="12"/>
  <c r="H530" i="12"/>
  <c r="G528" i="12"/>
  <c r="H528" i="12"/>
  <c r="G526" i="12"/>
  <c r="H526" i="12"/>
  <c r="G836" i="12"/>
  <c r="G790" i="12"/>
  <c r="G714" i="12"/>
  <c r="G682" i="12"/>
  <c r="G662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74" i="12"/>
  <c r="G885" i="12"/>
  <c r="G843" i="12"/>
  <c r="G793" i="12"/>
  <c r="G717" i="12"/>
  <c r="G685" i="12"/>
  <c r="G665" i="12"/>
  <c r="G649" i="12"/>
  <c r="G573" i="12"/>
  <c r="H573" i="12"/>
  <c r="G571" i="12"/>
  <c r="H571" i="12"/>
  <c r="G569" i="12"/>
  <c r="H569" i="12"/>
  <c r="G567" i="12"/>
  <c r="H567" i="12"/>
  <c r="G565" i="12"/>
  <c r="H565" i="12"/>
  <c r="G563" i="12"/>
  <c r="H563" i="12"/>
  <c r="G561" i="12"/>
  <c r="H561" i="12"/>
  <c r="G559" i="12"/>
  <c r="H559" i="12"/>
  <c r="G557" i="12"/>
  <c r="H557" i="12"/>
  <c r="G555" i="12"/>
  <c r="H555" i="12"/>
  <c r="G553" i="12"/>
  <c r="H553" i="12"/>
  <c r="G551" i="12"/>
  <c r="H551" i="12"/>
  <c r="G549" i="12"/>
  <c r="H549" i="12"/>
  <c r="G547" i="12"/>
  <c r="H547" i="12"/>
  <c r="G545" i="12"/>
  <c r="H545" i="12"/>
  <c r="G543" i="12"/>
  <c r="H543" i="12"/>
  <c r="G541" i="12"/>
  <c r="H541" i="12"/>
  <c r="G539" i="12"/>
  <c r="H539" i="12"/>
  <c r="G537" i="12"/>
  <c r="H537" i="12"/>
  <c r="G535" i="12"/>
  <c r="H535" i="12"/>
  <c r="G533" i="12"/>
  <c r="H533" i="12"/>
  <c r="G531" i="12"/>
  <c r="H531" i="12"/>
  <c r="G529" i="12"/>
  <c r="H529" i="12"/>
  <c r="G527" i="12"/>
  <c r="H527" i="12"/>
  <c r="G525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G79" i="12"/>
  <c r="G47" i="12"/>
  <c r="G90" i="12"/>
  <c r="G58" i="12"/>
  <c r="G26" i="12"/>
  <c r="F153" i="2"/>
  <c r="F151" i="2" s="1"/>
  <c r="F143" i="2"/>
  <c r="F142" i="2" s="1"/>
  <c r="G152" i="2"/>
  <c r="G132" i="2"/>
  <c r="G124" i="2"/>
  <c r="G120" i="2"/>
  <c r="G114" i="2"/>
  <c r="G99" i="2"/>
  <c r="G103" i="2"/>
  <c r="G150" i="2"/>
  <c r="G146" i="2"/>
  <c r="G141" i="2"/>
  <c r="G137" i="2"/>
  <c r="G131" i="2"/>
  <c r="G125" i="2"/>
  <c r="G119" i="2"/>
  <c r="G113" i="2"/>
  <c r="G100" i="2"/>
  <c r="G104" i="2"/>
  <c r="G145" i="2"/>
  <c r="G140" i="2"/>
  <c r="G136" i="2"/>
  <c r="G126" i="2"/>
  <c r="G117" i="2"/>
  <c r="G111" i="2"/>
  <c r="G101" i="2"/>
  <c r="G105" i="2"/>
  <c r="G148" i="2"/>
  <c r="G144" i="2"/>
  <c r="G139" i="2"/>
  <c r="G135" i="2"/>
  <c r="G123" i="2"/>
  <c r="G116" i="2"/>
  <c r="G108" i="2"/>
  <c r="G102" i="2"/>
  <c r="H96" i="12"/>
  <c r="G96" i="12"/>
  <c r="H64" i="12"/>
  <c r="G64" i="12"/>
  <c r="H32" i="12"/>
  <c r="G32" i="12"/>
  <c r="G490" i="12"/>
  <c r="H490" i="12"/>
  <c r="G486" i="12"/>
  <c r="H486" i="12"/>
  <c r="G482" i="12"/>
  <c r="H482" i="12"/>
  <c r="G478" i="12"/>
  <c r="H478" i="12"/>
  <c r="G474" i="12"/>
  <c r="H474" i="12"/>
  <c r="G470" i="12"/>
  <c r="H470" i="12"/>
  <c r="G466" i="12"/>
  <c r="H466" i="12"/>
  <c r="G462" i="12"/>
  <c r="H462" i="12"/>
  <c r="G458" i="12"/>
  <c r="H458" i="12"/>
  <c r="G454" i="12"/>
  <c r="H454" i="12"/>
  <c r="G452" i="12"/>
  <c r="H452" i="12"/>
  <c r="G448" i="12"/>
  <c r="H448" i="12"/>
  <c r="G442" i="12"/>
  <c r="H442" i="12"/>
  <c r="G438" i="12"/>
  <c r="H438" i="12"/>
  <c r="G434" i="12"/>
  <c r="H434" i="12"/>
  <c r="G430" i="12"/>
  <c r="H430" i="12"/>
  <c r="G426" i="12"/>
  <c r="H426" i="12"/>
  <c r="G422" i="12"/>
  <c r="H422" i="12"/>
  <c r="G418" i="12"/>
  <c r="H418" i="12"/>
  <c r="G414" i="12"/>
  <c r="H414" i="12"/>
  <c r="G410" i="12"/>
  <c r="H410" i="12"/>
  <c r="G406" i="12"/>
  <c r="H406" i="12"/>
  <c r="G402" i="12"/>
  <c r="H402" i="12"/>
  <c r="G398" i="12"/>
  <c r="H398" i="12"/>
  <c r="G394" i="12"/>
  <c r="H394" i="12"/>
  <c r="G390" i="12"/>
  <c r="H390" i="12"/>
  <c r="G386" i="12"/>
  <c r="H386" i="12"/>
  <c r="G380" i="12"/>
  <c r="H380" i="12"/>
  <c r="G376" i="12"/>
  <c r="H376" i="12"/>
  <c r="G372" i="12"/>
  <c r="H372" i="12"/>
  <c r="G368" i="12"/>
  <c r="H368" i="12"/>
  <c r="G364" i="12"/>
  <c r="H364" i="12"/>
  <c r="G360" i="12"/>
  <c r="H360" i="12"/>
  <c r="G356" i="12"/>
  <c r="H356" i="12"/>
  <c r="G352" i="12"/>
  <c r="H352" i="12"/>
  <c r="G348" i="12"/>
  <c r="H348" i="12"/>
  <c r="G344" i="12"/>
  <c r="H344" i="12"/>
  <c r="G340" i="12"/>
  <c r="H340" i="12"/>
  <c r="G336" i="12"/>
  <c r="H336" i="12"/>
  <c r="G332" i="12"/>
  <c r="H332" i="12"/>
  <c r="G328" i="12"/>
  <c r="H328" i="12"/>
  <c r="G324" i="12"/>
  <c r="H324" i="12"/>
  <c r="G320" i="12"/>
  <c r="H320" i="12"/>
  <c r="G316" i="12"/>
  <c r="H316" i="12"/>
  <c r="G312" i="12"/>
  <c r="H312" i="12"/>
  <c r="G308" i="12"/>
  <c r="H308" i="12"/>
  <c r="G304" i="12"/>
  <c r="H304" i="12"/>
  <c r="G300" i="12"/>
  <c r="H300" i="12"/>
  <c r="G296" i="12"/>
  <c r="H296" i="12"/>
  <c r="G292" i="12"/>
  <c r="H292" i="12"/>
  <c r="G288" i="12"/>
  <c r="H288" i="12"/>
  <c r="G284" i="12"/>
  <c r="H284" i="12"/>
  <c r="G280" i="12"/>
  <c r="H280" i="12"/>
  <c r="G276" i="12"/>
  <c r="H276" i="12"/>
  <c r="G272" i="12"/>
  <c r="H272" i="12"/>
  <c r="G268" i="12"/>
  <c r="H268" i="12"/>
  <c r="G264" i="12"/>
  <c r="H264" i="12"/>
  <c r="G260" i="12"/>
  <c r="H260" i="12"/>
  <c r="G258" i="12"/>
  <c r="H258" i="12"/>
  <c r="G256" i="12"/>
  <c r="H256" i="12"/>
  <c r="G254" i="12"/>
  <c r="H254" i="12"/>
  <c r="G252" i="12"/>
  <c r="H252" i="12"/>
  <c r="G250" i="12"/>
  <c r="H250" i="12"/>
  <c r="G248" i="12"/>
  <c r="H248" i="12"/>
  <c r="G246" i="12"/>
  <c r="H246" i="12"/>
  <c r="G244" i="12"/>
  <c r="H244" i="12"/>
  <c r="G242" i="12"/>
  <c r="H242" i="12"/>
  <c r="G240" i="12"/>
  <c r="H240" i="12"/>
  <c r="G238" i="12"/>
  <c r="H238" i="12"/>
  <c r="G234" i="12"/>
  <c r="H234" i="12"/>
  <c r="G230" i="12"/>
  <c r="H230" i="12"/>
  <c r="G226" i="12"/>
  <c r="H226" i="12"/>
  <c r="G222" i="12"/>
  <c r="H222" i="12"/>
  <c r="G218" i="12"/>
  <c r="H218" i="12"/>
  <c r="G214" i="12"/>
  <c r="H214" i="12"/>
  <c r="G208" i="12"/>
  <c r="H208" i="12"/>
  <c r="G204" i="12"/>
  <c r="H204" i="12"/>
  <c r="G200" i="12"/>
  <c r="H200" i="12"/>
  <c r="G196" i="12"/>
  <c r="H196" i="12"/>
  <c r="G192" i="12"/>
  <c r="H192" i="12"/>
  <c r="G190" i="12"/>
  <c r="H190" i="12"/>
  <c r="G186" i="12"/>
  <c r="H186" i="12"/>
  <c r="G184" i="12"/>
  <c r="H184" i="12"/>
  <c r="G182" i="12"/>
  <c r="H182" i="12"/>
  <c r="G180" i="12"/>
  <c r="H180" i="12"/>
  <c r="G178" i="12"/>
  <c r="H178" i="12"/>
  <c r="G176" i="12"/>
  <c r="H176" i="12"/>
  <c r="G174" i="12"/>
  <c r="H174" i="12"/>
  <c r="G170" i="12"/>
  <c r="H170" i="12"/>
  <c r="G168" i="12"/>
  <c r="H168" i="12"/>
  <c r="G166" i="12"/>
  <c r="H166" i="12"/>
  <c r="G164" i="12"/>
  <c r="H164" i="12"/>
  <c r="G162" i="12"/>
  <c r="H162" i="12"/>
  <c r="G160" i="12"/>
  <c r="H160" i="12"/>
  <c r="H91" i="12"/>
  <c r="G91" i="12"/>
  <c r="H59" i="12"/>
  <c r="G59" i="12"/>
  <c r="H27" i="12"/>
  <c r="G27" i="12"/>
  <c r="C996" i="12"/>
  <c r="D948" i="12"/>
  <c r="C900" i="12"/>
  <c r="C884" i="12"/>
  <c r="D836" i="12"/>
  <c r="D820" i="12"/>
  <c r="D784" i="12"/>
  <c r="C780" i="12"/>
  <c r="D332" i="12"/>
  <c r="C300" i="12"/>
  <c r="D148" i="12"/>
  <c r="F53" i="2"/>
  <c r="D16" i="12"/>
  <c r="C972" i="12"/>
  <c r="C944" i="12"/>
  <c r="D936" i="12"/>
  <c r="C928" i="12"/>
  <c r="C844" i="12"/>
  <c r="C816" i="12"/>
  <c r="D804" i="12"/>
  <c r="D776" i="12"/>
  <c r="C772" i="12"/>
  <c r="C496" i="12"/>
  <c r="C284" i="12"/>
  <c r="D180" i="12"/>
  <c r="F71" i="2"/>
  <c r="G6" i="12"/>
  <c r="H993" i="12"/>
  <c r="G918" i="12"/>
  <c r="G890" i="12"/>
  <c r="G874" i="12"/>
  <c r="G852" i="12"/>
  <c r="G820" i="12"/>
  <c r="G798" i="12"/>
  <c r="G782" i="12"/>
  <c r="G722" i="12"/>
  <c r="G706" i="12"/>
  <c r="G690" i="12"/>
  <c r="G674" i="12"/>
  <c r="G666" i="12"/>
  <c r="G658" i="12"/>
  <c r="G650" i="12"/>
  <c r="G489" i="12"/>
  <c r="H489" i="12"/>
  <c r="G487" i="12"/>
  <c r="H487" i="12"/>
  <c r="G485" i="12"/>
  <c r="H485" i="12"/>
  <c r="G483" i="12"/>
  <c r="H483" i="12"/>
  <c r="G481" i="12"/>
  <c r="H481" i="12"/>
  <c r="G479" i="12"/>
  <c r="H479" i="12"/>
  <c r="G477" i="12"/>
  <c r="H477" i="12"/>
  <c r="G475" i="12"/>
  <c r="H475" i="12"/>
  <c r="G473" i="12"/>
  <c r="H473" i="12"/>
  <c r="G471" i="12"/>
  <c r="H471" i="12"/>
  <c r="G469" i="12"/>
  <c r="H469" i="12"/>
  <c r="G467" i="12"/>
  <c r="H467" i="12"/>
  <c r="G465" i="12"/>
  <c r="H465" i="12"/>
  <c r="G463" i="12"/>
  <c r="H463" i="12"/>
  <c r="G461" i="12"/>
  <c r="H461" i="12"/>
  <c r="G459" i="12"/>
  <c r="H459" i="12"/>
  <c r="G457" i="12"/>
  <c r="H457" i="12"/>
  <c r="G455" i="12"/>
  <c r="H455" i="12"/>
  <c r="G453" i="12"/>
  <c r="H453" i="12"/>
  <c r="G451" i="12"/>
  <c r="H451" i="12"/>
  <c r="G449" i="12"/>
  <c r="H449" i="12"/>
  <c r="G447" i="12"/>
  <c r="H447" i="12"/>
  <c r="G445" i="12"/>
  <c r="H445" i="12"/>
  <c r="G443" i="12"/>
  <c r="H443" i="12"/>
  <c r="G441" i="12"/>
  <c r="H441" i="12"/>
  <c r="G439" i="12"/>
  <c r="H439" i="12"/>
  <c r="G437" i="12"/>
  <c r="H437" i="12"/>
  <c r="G435" i="12"/>
  <c r="H435" i="12"/>
  <c r="G433" i="12"/>
  <c r="H433" i="12"/>
  <c r="G431" i="12"/>
  <c r="H431" i="12"/>
  <c r="G429" i="12"/>
  <c r="H429" i="12"/>
  <c r="G427" i="12"/>
  <c r="H427" i="12"/>
  <c r="G425" i="12"/>
  <c r="H425" i="12"/>
  <c r="G423" i="12"/>
  <c r="H423" i="12"/>
  <c r="G421" i="12"/>
  <c r="H421" i="12"/>
  <c r="G419" i="12"/>
  <c r="H419" i="12"/>
  <c r="G417" i="12"/>
  <c r="H417" i="12"/>
  <c r="G415" i="12"/>
  <c r="H415" i="12"/>
  <c r="G413" i="12"/>
  <c r="H413" i="12"/>
  <c r="G411" i="12"/>
  <c r="H411" i="12"/>
  <c r="G409" i="12"/>
  <c r="H409" i="12"/>
  <c r="G407" i="12"/>
  <c r="H407" i="12"/>
  <c r="G405" i="12"/>
  <c r="H405" i="12"/>
  <c r="G403" i="12"/>
  <c r="H403" i="12"/>
  <c r="G401" i="12"/>
  <c r="H401" i="12"/>
  <c r="G399" i="12"/>
  <c r="H399" i="12"/>
  <c r="G397" i="12"/>
  <c r="H397" i="12"/>
  <c r="G395" i="12"/>
  <c r="H395" i="12"/>
  <c r="G393" i="12"/>
  <c r="H393" i="12"/>
  <c r="G391" i="12"/>
  <c r="H391" i="12"/>
  <c r="G389" i="12"/>
  <c r="H389" i="12"/>
  <c r="G387" i="12"/>
  <c r="H387" i="12"/>
  <c r="G385" i="12"/>
  <c r="H385" i="12"/>
  <c r="G383" i="12"/>
  <c r="H383" i="12"/>
  <c r="G381" i="12"/>
  <c r="H381" i="12"/>
  <c r="G379" i="12"/>
  <c r="H379" i="12"/>
  <c r="G377" i="12"/>
  <c r="H377" i="12"/>
  <c r="G375" i="12"/>
  <c r="H375" i="12"/>
  <c r="G373" i="12"/>
  <c r="H373" i="12"/>
  <c r="G371" i="12"/>
  <c r="H371" i="12"/>
  <c r="G369" i="12"/>
  <c r="H369" i="12"/>
  <c r="G367" i="12"/>
  <c r="H367" i="12"/>
  <c r="G365" i="12"/>
  <c r="H365" i="12"/>
  <c r="G363" i="12"/>
  <c r="H363" i="12"/>
  <c r="G361" i="12"/>
  <c r="H361" i="12"/>
  <c r="G359" i="12"/>
  <c r="H359" i="12"/>
  <c r="G357" i="12"/>
  <c r="H357" i="12"/>
  <c r="G355" i="12"/>
  <c r="H355" i="12"/>
  <c r="G353" i="12"/>
  <c r="H353" i="12"/>
  <c r="G351" i="12"/>
  <c r="H351" i="12"/>
  <c r="G349" i="12"/>
  <c r="H349" i="12"/>
  <c r="G347" i="12"/>
  <c r="H347" i="12"/>
  <c r="G345" i="12"/>
  <c r="H345" i="12"/>
  <c r="G343" i="12"/>
  <c r="H343" i="12"/>
  <c r="G341" i="12"/>
  <c r="H341" i="12"/>
  <c r="G339" i="12"/>
  <c r="H339" i="12"/>
  <c r="G337" i="12"/>
  <c r="H337" i="12"/>
  <c r="G335" i="12"/>
  <c r="H335" i="12"/>
  <c r="G333" i="12"/>
  <c r="H333" i="12"/>
  <c r="G331" i="12"/>
  <c r="H331" i="12"/>
  <c r="G329" i="12"/>
  <c r="H329" i="12"/>
  <c r="G327" i="12"/>
  <c r="H327" i="12"/>
  <c r="G325" i="12"/>
  <c r="H325" i="12"/>
  <c r="G323" i="12"/>
  <c r="H323" i="12"/>
  <c r="G321" i="12"/>
  <c r="H321" i="12"/>
  <c r="G319" i="12"/>
  <c r="H319" i="12"/>
  <c r="G317" i="12"/>
  <c r="H317" i="12"/>
  <c r="G315" i="12"/>
  <c r="H315" i="12"/>
  <c r="G313" i="12"/>
  <c r="H313" i="12"/>
  <c r="G311" i="12"/>
  <c r="H311" i="12"/>
  <c r="G309" i="12"/>
  <c r="H309" i="12"/>
  <c r="G307" i="12"/>
  <c r="H307" i="12"/>
  <c r="G305" i="12"/>
  <c r="H305" i="12"/>
  <c r="G303" i="12"/>
  <c r="H303" i="12"/>
  <c r="G301" i="12"/>
  <c r="H301" i="12"/>
  <c r="G299" i="12"/>
  <c r="H299" i="12"/>
  <c r="G297" i="12"/>
  <c r="H297" i="12"/>
  <c r="G295" i="12"/>
  <c r="H295" i="12"/>
  <c r="G293" i="12"/>
  <c r="H293" i="12"/>
  <c r="G291" i="12"/>
  <c r="H291" i="12"/>
  <c r="G289" i="12"/>
  <c r="H289" i="12"/>
  <c r="G287" i="12"/>
  <c r="H287" i="12"/>
  <c r="G285" i="12"/>
  <c r="H285" i="12"/>
  <c r="G283" i="12"/>
  <c r="H283" i="12"/>
  <c r="G281" i="12"/>
  <c r="H281" i="12"/>
  <c r="G279" i="12"/>
  <c r="H279" i="12"/>
  <c r="G277" i="12"/>
  <c r="H277" i="12"/>
  <c r="G275" i="12"/>
  <c r="H275" i="12"/>
  <c r="G273" i="12"/>
  <c r="H273" i="12"/>
  <c r="G271" i="12"/>
  <c r="H271" i="12"/>
  <c r="G269" i="12"/>
  <c r="H269" i="12"/>
  <c r="G267" i="12"/>
  <c r="H267" i="12"/>
  <c r="G265" i="12"/>
  <c r="H265" i="12"/>
  <c r="G263" i="12"/>
  <c r="H263" i="12"/>
  <c r="G261" i="12"/>
  <c r="H261" i="12"/>
  <c r="G259" i="12"/>
  <c r="H259" i="12"/>
  <c r="G257" i="12"/>
  <c r="H257" i="12"/>
  <c r="G255" i="12"/>
  <c r="H255" i="12"/>
  <c r="G253" i="12"/>
  <c r="H253" i="12"/>
  <c r="G251" i="12"/>
  <c r="H251" i="12"/>
  <c r="G249" i="12"/>
  <c r="H249" i="12"/>
  <c r="G247" i="12"/>
  <c r="H247" i="12"/>
  <c r="G245" i="12"/>
  <c r="H245" i="12"/>
  <c r="G243" i="12"/>
  <c r="H243" i="12"/>
  <c r="G241" i="12"/>
  <c r="H241" i="12"/>
  <c r="G239" i="12"/>
  <c r="H239" i="12"/>
  <c r="G237" i="12"/>
  <c r="H237" i="12"/>
  <c r="G235" i="12"/>
  <c r="H235" i="12"/>
  <c r="G233" i="12"/>
  <c r="H233" i="12"/>
  <c r="G231" i="12"/>
  <c r="H231" i="12"/>
  <c r="G229" i="12"/>
  <c r="H229" i="12"/>
  <c r="G227" i="12"/>
  <c r="H227" i="12"/>
  <c r="G225" i="12"/>
  <c r="H225" i="12"/>
  <c r="G223" i="12"/>
  <c r="H223" i="12"/>
  <c r="G221" i="12"/>
  <c r="H221" i="12"/>
  <c r="G219" i="12"/>
  <c r="H219" i="12"/>
  <c r="G217" i="12"/>
  <c r="H217" i="12"/>
  <c r="G215" i="12"/>
  <c r="H215" i="12"/>
  <c r="G213" i="12"/>
  <c r="H213" i="12"/>
  <c r="G211" i="12"/>
  <c r="H211" i="12"/>
  <c r="G209" i="12"/>
  <c r="H209" i="12"/>
  <c r="G207" i="12"/>
  <c r="H207" i="12"/>
  <c r="G205" i="12"/>
  <c r="H205" i="12"/>
  <c r="G203" i="12"/>
  <c r="H203" i="12"/>
  <c r="G201" i="12"/>
  <c r="H201" i="12"/>
  <c r="G199" i="12"/>
  <c r="H199" i="12"/>
  <c r="G197" i="12"/>
  <c r="H197" i="12"/>
  <c r="G195" i="12"/>
  <c r="H195" i="12"/>
  <c r="G193" i="12"/>
  <c r="H193" i="12"/>
  <c r="G191" i="12"/>
  <c r="H191" i="12"/>
  <c r="G189" i="12"/>
  <c r="H189" i="12"/>
  <c r="G187" i="12"/>
  <c r="H187" i="12"/>
  <c r="G185" i="12"/>
  <c r="H185" i="12"/>
  <c r="G183" i="12"/>
  <c r="H183" i="12"/>
  <c r="G181" i="12"/>
  <c r="H181" i="12"/>
  <c r="G179" i="12"/>
  <c r="H179" i="12"/>
  <c r="G177" i="12"/>
  <c r="H177" i="12"/>
  <c r="G175" i="12"/>
  <c r="H175" i="12"/>
  <c r="G173" i="12"/>
  <c r="H173" i="12"/>
  <c r="G171" i="12"/>
  <c r="H171" i="12"/>
  <c r="G169" i="12"/>
  <c r="H169" i="12"/>
  <c r="G167" i="12"/>
  <c r="H167" i="12"/>
  <c r="G165" i="12"/>
  <c r="H165" i="12"/>
  <c r="G163" i="12"/>
  <c r="H163" i="12"/>
  <c r="G161" i="12"/>
  <c r="H161" i="12"/>
  <c r="H75" i="12"/>
  <c r="G75" i="12"/>
  <c r="H43" i="12"/>
  <c r="G43" i="12"/>
  <c r="G488" i="12"/>
  <c r="H488" i="12"/>
  <c r="G484" i="12"/>
  <c r="H484" i="12"/>
  <c r="G480" i="12"/>
  <c r="H480" i="12"/>
  <c r="G476" i="12"/>
  <c r="H476" i="12"/>
  <c r="G472" i="12"/>
  <c r="H472" i="12"/>
  <c r="G468" i="12"/>
  <c r="H468" i="12"/>
  <c r="G464" i="12"/>
  <c r="H464" i="12"/>
  <c r="G460" i="12"/>
  <c r="H460" i="12"/>
  <c r="G456" i="12"/>
  <c r="H456" i="12"/>
  <c r="G450" i="12"/>
  <c r="H450" i="12"/>
  <c r="G446" i="12"/>
  <c r="H446" i="12"/>
  <c r="G444" i="12"/>
  <c r="H444" i="12"/>
  <c r="G440" i="12"/>
  <c r="H440" i="12"/>
  <c r="G436" i="12"/>
  <c r="H436" i="12"/>
  <c r="G432" i="12"/>
  <c r="H432" i="12"/>
  <c r="G428" i="12"/>
  <c r="H428" i="12"/>
  <c r="G424" i="12"/>
  <c r="H424" i="12"/>
  <c r="G420" i="12"/>
  <c r="H420" i="12"/>
  <c r="G416" i="12"/>
  <c r="H416" i="12"/>
  <c r="G412" i="12"/>
  <c r="H412" i="12"/>
  <c r="G408" i="12"/>
  <c r="H408" i="12"/>
  <c r="G404" i="12"/>
  <c r="H404" i="12"/>
  <c r="G400" i="12"/>
  <c r="H400" i="12"/>
  <c r="G396" i="12"/>
  <c r="H396" i="12"/>
  <c r="G392" i="12"/>
  <c r="H392" i="12"/>
  <c r="G388" i="12"/>
  <c r="H388" i="12"/>
  <c r="G384" i="12"/>
  <c r="H384" i="12"/>
  <c r="G382" i="12"/>
  <c r="H382" i="12"/>
  <c r="G378" i="12"/>
  <c r="H378" i="12"/>
  <c r="G374" i="12"/>
  <c r="H374" i="12"/>
  <c r="G370" i="12"/>
  <c r="H370" i="12"/>
  <c r="G366" i="12"/>
  <c r="H366" i="12"/>
  <c r="G362" i="12"/>
  <c r="H362" i="12"/>
  <c r="G358" i="12"/>
  <c r="H358" i="12"/>
  <c r="G354" i="12"/>
  <c r="H354" i="12"/>
  <c r="G350" i="12"/>
  <c r="H350" i="12"/>
  <c r="G346" i="12"/>
  <c r="H346" i="12"/>
  <c r="G342" i="12"/>
  <c r="H342" i="12"/>
  <c r="G338" i="12"/>
  <c r="H338" i="12"/>
  <c r="G334" i="12"/>
  <c r="H334" i="12"/>
  <c r="G330" i="12"/>
  <c r="H330" i="12"/>
  <c r="G326" i="12"/>
  <c r="H326" i="12"/>
  <c r="G322" i="12"/>
  <c r="H322" i="12"/>
  <c r="G318" i="12"/>
  <c r="H318" i="12"/>
  <c r="G314" i="12"/>
  <c r="H314" i="12"/>
  <c r="G310" i="12"/>
  <c r="H310" i="12"/>
  <c r="G306" i="12"/>
  <c r="H306" i="12"/>
  <c r="G302" i="12"/>
  <c r="H302" i="12"/>
  <c r="G298" i="12"/>
  <c r="H298" i="12"/>
  <c r="G294" i="12"/>
  <c r="H294" i="12"/>
  <c r="G290" i="12"/>
  <c r="H290" i="12"/>
  <c r="G286" i="12"/>
  <c r="H286" i="12"/>
  <c r="G282" i="12"/>
  <c r="H282" i="12"/>
  <c r="G278" i="12"/>
  <c r="H278" i="12"/>
  <c r="G274" i="12"/>
  <c r="H274" i="12"/>
  <c r="G270" i="12"/>
  <c r="H270" i="12"/>
  <c r="G266" i="12"/>
  <c r="H266" i="12"/>
  <c r="G262" i="12"/>
  <c r="H262" i="12"/>
  <c r="G236" i="12"/>
  <c r="H236" i="12"/>
  <c r="G232" i="12"/>
  <c r="H232" i="12"/>
  <c r="G228" i="12"/>
  <c r="H228" i="12"/>
  <c r="G224" i="12"/>
  <c r="H224" i="12"/>
  <c r="G220" i="12"/>
  <c r="H220" i="12"/>
  <c r="G216" i="12"/>
  <c r="H216" i="12"/>
  <c r="G212" i="12"/>
  <c r="H212" i="12"/>
  <c r="G210" i="12"/>
  <c r="H210" i="12"/>
  <c r="G206" i="12"/>
  <c r="H206" i="12"/>
  <c r="G202" i="12"/>
  <c r="H202" i="12"/>
  <c r="G198" i="12"/>
  <c r="H198" i="12"/>
  <c r="G194" i="12"/>
  <c r="H194" i="12"/>
  <c r="G188" i="12"/>
  <c r="H188" i="12"/>
  <c r="G172" i="12"/>
  <c r="H172" i="12"/>
  <c r="D980" i="12"/>
  <c r="D964" i="12"/>
  <c r="D920" i="12"/>
  <c r="D892" i="12"/>
  <c r="C872" i="12"/>
  <c r="C988" i="12"/>
  <c r="C956" i="12"/>
  <c r="D880" i="12"/>
  <c r="D864" i="12"/>
  <c r="C828" i="12"/>
  <c r="D768" i="12"/>
  <c r="C764" i="12"/>
  <c r="D560" i="12"/>
  <c r="C528" i="12"/>
  <c r="C312" i="12"/>
  <c r="D308" i="12"/>
  <c r="D212" i="12"/>
  <c r="D84" i="12"/>
  <c r="F122" i="2"/>
  <c r="F98" i="2"/>
  <c r="G12" i="12"/>
  <c r="G10" i="12"/>
  <c r="G8" i="12"/>
  <c r="G923" i="12"/>
  <c r="G893" i="12"/>
  <c r="G877" i="12"/>
  <c r="G859" i="12"/>
  <c r="G827" i="12"/>
  <c r="G801" i="12"/>
  <c r="G785" i="12"/>
  <c r="G725" i="12"/>
  <c r="G709" i="12"/>
  <c r="G693" i="12"/>
  <c r="G677" i="12"/>
  <c r="G669" i="12"/>
  <c r="G661" i="12"/>
  <c r="G653" i="12"/>
  <c r="H127" i="12"/>
  <c r="G127" i="12"/>
  <c r="H80" i="12"/>
  <c r="G80" i="12"/>
  <c r="H48" i="12"/>
  <c r="G48" i="12"/>
  <c r="F18" i="2"/>
  <c r="F17" i="2"/>
  <c r="C30" i="12"/>
  <c r="G88" i="2"/>
  <c r="G83" i="2"/>
  <c r="G78" i="2"/>
  <c r="G64" i="2"/>
  <c r="G60" i="2"/>
  <c r="G46" i="2"/>
  <c r="G44" i="2"/>
  <c r="G38" i="2"/>
  <c r="G33" i="2"/>
  <c r="G23" i="2"/>
  <c r="G16" i="2"/>
  <c r="G20" i="2"/>
  <c r="G11" i="2"/>
  <c r="G69" i="2"/>
  <c r="G43" i="2"/>
  <c r="G26" i="2"/>
  <c r="G10" i="2"/>
  <c r="G91" i="2"/>
  <c r="G89" i="2"/>
  <c r="G84" i="2"/>
  <c r="G79" i="2"/>
  <c r="G65" i="2"/>
  <c r="G41" i="2"/>
  <c r="G40" i="2"/>
  <c r="G35" i="2"/>
  <c r="G30" i="2"/>
  <c r="G24" i="2"/>
  <c r="G14" i="2"/>
  <c r="G8" i="2"/>
  <c r="G82" i="2"/>
  <c r="G77" i="2"/>
  <c r="G52" i="2"/>
  <c r="G47" i="2"/>
  <c r="G32" i="2"/>
  <c r="G19" i="2"/>
  <c r="G92" i="2"/>
  <c r="G81" i="2"/>
  <c r="G76" i="2"/>
  <c r="G72" i="2"/>
  <c r="G63" i="2"/>
  <c r="G51" i="2"/>
  <c r="G50" i="2"/>
  <c r="G42" i="2"/>
  <c r="G36" i="2"/>
  <c r="G31" i="2"/>
  <c r="G27" i="2"/>
  <c r="G22" i="2"/>
  <c r="G9" i="2"/>
  <c r="G37" i="2"/>
  <c r="F54" i="2"/>
  <c r="F86" i="2"/>
  <c r="F58" i="2"/>
  <c r="F15" i="2"/>
  <c r="F68" i="2"/>
  <c r="F67" i="2" s="1"/>
  <c r="G17" i="12"/>
  <c r="G16" i="12"/>
  <c r="G15" i="12"/>
  <c r="H14" i="12"/>
  <c r="G147" i="2" s="1"/>
  <c r="G13" i="12"/>
  <c r="G11" i="12"/>
  <c r="G9" i="12"/>
  <c r="G7" i="12"/>
  <c r="C28" i="12"/>
  <c r="D27" i="12"/>
  <c r="D26" i="12"/>
  <c r="C22" i="12"/>
  <c r="C21" i="12"/>
  <c r="G71" i="2" s="1"/>
  <c r="D20" i="12"/>
  <c r="C17" i="12"/>
  <c r="F62" i="2"/>
  <c r="C15" i="12"/>
  <c r="G59" i="2" s="1"/>
  <c r="D13" i="12"/>
  <c r="C11" i="12"/>
  <c r="D10" i="12"/>
  <c r="C8" i="12"/>
  <c r="D7" i="12"/>
  <c r="F24" i="3"/>
  <c r="F23" i="3"/>
  <c r="H7" i="12"/>
  <c r="D15" i="12"/>
  <c r="D6" i="12"/>
  <c r="F12" i="3"/>
  <c r="F40" i="3"/>
  <c r="F33" i="3"/>
  <c r="C599" i="12"/>
  <c r="D599" i="12"/>
  <c r="C587" i="12"/>
  <c r="D587" i="12"/>
  <c r="C575" i="12"/>
  <c r="D575" i="12"/>
  <c r="D539" i="12"/>
  <c r="C539" i="12"/>
  <c r="D227" i="12"/>
  <c r="C227" i="12"/>
  <c r="D195" i="12"/>
  <c r="C195" i="12"/>
  <c r="D163" i="12"/>
  <c r="C163" i="12"/>
  <c r="D131" i="12"/>
  <c r="C131" i="12"/>
  <c r="D99" i="12"/>
  <c r="C99" i="12"/>
  <c r="D59" i="12"/>
  <c r="C59" i="12"/>
  <c r="C6" i="12"/>
  <c r="C19" i="12"/>
  <c r="D19" i="12"/>
  <c r="D17" i="12"/>
  <c r="C983" i="12"/>
  <c r="D975" i="12"/>
  <c r="C951" i="12"/>
  <c r="C935" i="12"/>
  <c r="D927" i="12"/>
  <c r="C891" i="12"/>
  <c r="D883" i="12"/>
  <c r="C867" i="12"/>
  <c r="D859" i="12"/>
  <c r="D847" i="12"/>
  <c r="C823" i="12"/>
  <c r="D779" i="12"/>
  <c r="D771" i="12"/>
  <c r="D763" i="12"/>
  <c r="D755" i="12"/>
  <c r="C751" i="12"/>
  <c r="D739" i="12"/>
  <c r="C735" i="12"/>
  <c r="D723" i="12"/>
  <c r="C719" i="12"/>
  <c r="C707" i="12"/>
  <c r="C695" i="12"/>
  <c r="C622" i="12"/>
  <c r="C590" i="12"/>
  <c r="D571" i="12"/>
  <c r="D558" i="12"/>
  <c r="C554" i="12"/>
  <c r="C551" i="12"/>
  <c r="D410" i="12"/>
  <c r="C406" i="12"/>
  <c r="D235" i="12"/>
  <c r="D230" i="12"/>
  <c r="D203" i="12"/>
  <c r="D198" i="12"/>
  <c r="D171" i="12"/>
  <c r="D166" i="12"/>
  <c r="D139" i="12"/>
  <c r="D134" i="12"/>
  <c r="D107" i="12"/>
  <c r="D102" i="12"/>
  <c r="C75" i="12"/>
  <c r="D70" i="12"/>
  <c r="C27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G143" i="12"/>
  <c r="G111" i="12"/>
  <c r="H10" i="12"/>
  <c r="H977" i="12"/>
  <c r="G926" i="12"/>
  <c r="G910" i="12"/>
  <c r="G894" i="12"/>
  <c r="G886" i="12"/>
  <c r="G878" i="12"/>
  <c r="G870" i="12"/>
  <c r="G860" i="12"/>
  <c r="G844" i="12"/>
  <c r="G828" i="12"/>
  <c r="G812" i="12"/>
  <c r="G802" i="12"/>
  <c r="G794" i="12"/>
  <c r="G786" i="12"/>
  <c r="G778" i="12"/>
  <c r="G726" i="12"/>
  <c r="G718" i="12"/>
  <c r="G710" i="12"/>
  <c r="G702" i="12"/>
  <c r="G694" i="12"/>
  <c r="G686" i="12"/>
  <c r="G675" i="12"/>
  <c r="G671" i="12"/>
  <c r="G667" i="12"/>
  <c r="G663" i="12"/>
  <c r="G659" i="12"/>
  <c r="G655" i="12"/>
  <c r="G651" i="12"/>
  <c r="G144" i="12"/>
  <c r="G112" i="12"/>
  <c r="H11" i="12"/>
  <c r="H988" i="12"/>
  <c r="G931" i="12"/>
  <c r="G915" i="12"/>
  <c r="G899" i="12"/>
  <c r="G889" i="12"/>
  <c r="G881" i="12"/>
  <c r="G873" i="12"/>
  <c r="G865" i="12"/>
  <c r="G851" i="12"/>
  <c r="G835" i="12"/>
  <c r="G819" i="12"/>
  <c r="G805" i="12"/>
  <c r="G797" i="12"/>
  <c r="G789" i="12"/>
  <c r="G781" i="12"/>
  <c r="G729" i="12"/>
  <c r="G721" i="12"/>
  <c r="G713" i="12"/>
  <c r="G705" i="12"/>
  <c r="G697" i="12"/>
  <c r="G689" i="12"/>
  <c r="G681" i="12"/>
  <c r="G676" i="12"/>
  <c r="G672" i="12"/>
  <c r="G668" i="12"/>
  <c r="G664" i="12"/>
  <c r="G660" i="12"/>
  <c r="G656" i="12"/>
  <c r="G652" i="12"/>
  <c r="G159" i="12"/>
  <c r="H16" i="12"/>
  <c r="H12" i="12"/>
  <c r="H8" i="12"/>
  <c r="H996" i="12"/>
  <c r="H980" i="12"/>
  <c r="H964" i="12"/>
  <c r="G927" i="12"/>
  <c r="G919" i="12"/>
  <c r="G911" i="12"/>
  <c r="G903" i="12"/>
  <c r="G895" i="12"/>
  <c r="G891" i="12"/>
  <c r="G887" i="12"/>
  <c r="G883" i="12"/>
  <c r="G879" i="12"/>
  <c r="G875" i="12"/>
  <c r="G871" i="12"/>
  <c r="G867" i="12"/>
  <c r="G863" i="12"/>
  <c r="G855" i="12"/>
  <c r="G847" i="12"/>
  <c r="G839" i="12"/>
  <c r="G831" i="12"/>
  <c r="G823" i="12"/>
  <c r="G815" i="12"/>
  <c r="G807" i="12"/>
  <c r="G803" i="12"/>
  <c r="G799" i="12"/>
  <c r="G795" i="12"/>
  <c r="G791" i="12"/>
  <c r="G787" i="12"/>
  <c r="G783" i="12"/>
  <c r="G779" i="12"/>
  <c r="G731" i="12"/>
  <c r="G727" i="12"/>
  <c r="G723" i="12"/>
  <c r="G719" i="12"/>
  <c r="G715" i="12"/>
  <c r="G711" i="12"/>
  <c r="G707" i="12"/>
  <c r="G703" i="12"/>
  <c r="G699" i="12"/>
  <c r="G695" i="12"/>
  <c r="G691" i="12"/>
  <c r="G687" i="12"/>
  <c r="G683" i="12"/>
  <c r="G679" i="12"/>
  <c r="D21" i="12"/>
  <c r="H17" i="12"/>
  <c r="H13" i="12"/>
  <c r="H9" i="12"/>
  <c r="H985" i="12"/>
  <c r="H969" i="12"/>
  <c r="G930" i="12"/>
  <c r="G922" i="12"/>
  <c r="G914" i="12"/>
  <c r="G906" i="12"/>
  <c r="G898" i="12"/>
  <c r="G892" i="12"/>
  <c r="G888" i="12"/>
  <c r="G884" i="12"/>
  <c r="G880" i="12"/>
  <c r="G876" i="12"/>
  <c r="G872" i="12"/>
  <c r="G868" i="12"/>
  <c r="G864" i="12"/>
  <c r="G856" i="12"/>
  <c r="G848" i="12"/>
  <c r="G840" i="12"/>
  <c r="G832" i="12"/>
  <c r="G824" i="12"/>
  <c r="G816" i="12"/>
  <c r="G808" i="12"/>
  <c r="G804" i="12"/>
  <c r="G800" i="12"/>
  <c r="G796" i="12"/>
  <c r="G792" i="12"/>
  <c r="G788" i="12"/>
  <c r="G784" i="12"/>
  <c r="G780" i="12"/>
  <c r="G732" i="12"/>
  <c r="G728" i="12"/>
  <c r="G724" i="12"/>
  <c r="G720" i="12"/>
  <c r="G716" i="12"/>
  <c r="G712" i="12"/>
  <c r="G708" i="12"/>
  <c r="G704" i="12"/>
  <c r="G700" i="12"/>
  <c r="G696" i="12"/>
  <c r="G692" i="12"/>
  <c r="G688" i="12"/>
  <c r="G684" i="12"/>
  <c r="G680" i="12"/>
  <c r="G678" i="12"/>
  <c r="G152" i="12"/>
  <c r="G136" i="12"/>
  <c r="G120" i="12"/>
  <c r="G104" i="12"/>
  <c r="G151" i="12"/>
  <c r="G135" i="12"/>
  <c r="G119" i="12"/>
  <c r="G103" i="12"/>
  <c r="H997" i="12"/>
  <c r="H989" i="12"/>
  <c r="H981" i="12"/>
  <c r="H973" i="12"/>
  <c r="H965" i="12"/>
  <c r="G932" i="12"/>
  <c r="G928" i="12"/>
  <c r="G924" i="12"/>
  <c r="G920" i="12"/>
  <c r="G916" i="12"/>
  <c r="G912" i="12"/>
  <c r="G908" i="12"/>
  <c r="G904" i="12"/>
  <c r="G900" i="12"/>
  <c r="G896" i="12"/>
  <c r="H6" i="12"/>
  <c r="H1000" i="12"/>
  <c r="H992" i="12"/>
  <c r="H984" i="12"/>
  <c r="H976" i="12"/>
  <c r="H968" i="12"/>
  <c r="G933" i="12"/>
  <c r="G929" i="12"/>
  <c r="G925" i="12"/>
  <c r="G921" i="12"/>
  <c r="G917" i="12"/>
  <c r="G913" i="12"/>
  <c r="G909" i="12"/>
  <c r="G905" i="12"/>
  <c r="G901" i="12"/>
  <c r="G897" i="12"/>
  <c r="H861" i="12"/>
  <c r="G861" i="12"/>
  <c r="H853" i="12"/>
  <c r="G853" i="12"/>
  <c r="H845" i="12"/>
  <c r="G845" i="12"/>
  <c r="H837" i="12"/>
  <c r="G837" i="12"/>
  <c r="H829" i="12"/>
  <c r="G829" i="12"/>
  <c r="H821" i="12"/>
  <c r="G821" i="12"/>
  <c r="H813" i="12"/>
  <c r="G813" i="12"/>
  <c r="H862" i="12"/>
  <c r="G862" i="12"/>
  <c r="H857" i="12"/>
  <c r="G857" i="12"/>
  <c r="H849" i="12"/>
  <c r="G849" i="12"/>
  <c r="H841" i="12"/>
  <c r="G841" i="12"/>
  <c r="H833" i="12"/>
  <c r="G833" i="12"/>
  <c r="H825" i="12"/>
  <c r="G825" i="12"/>
  <c r="H817" i="12"/>
  <c r="G817" i="12"/>
  <c r="H809" i="12"/>
  <c r="G809" i="12"/>
  <c r="G858" i="12"/>
  <c r="G854" i="12"/>
  <c r="G850" i="12"/>
  <c r="G846" i="12"/>
  <c r="G842" i="12"/>
  <c r="G838" i="12"/>
  <c r="G834" i="12"/>
  <c r="G830" i="12"/>
  <c r="G826" i="12"/>
  <c r="G822" i="12"/>
  <c r="G818" i="12"/>
  <c r="G814" i="12"/>
  <c r="G810" i="12"/>
  <c r="G156" i="12"/>
  <c r="G148" i="12"/>
  <c r="G140" i="12"/>
  <c r="G132" i="12"/>
  <c r="G124" i="12"/>
  <c r="G116" i="12"/>
  <c r="G108" i="12"/>
  <c r="G100" i="12"/>
  <c r="G87" i="12"/>
  <c r="G84" i="12"/>
  <c r="G71" i="12"/>
  <c r="G68" i="12"/>
  <c r="G55" i="12"/>
  <c r="G52" i="12"/>
  <c r="G39" i="12"/>
  <c r="G36" i="12"/>
  <c r="G23" i="12"/>
  <c r="G20" i="12"/>
  <c r="G155" i="12"/>
  <c r="G147" i="12"/>
  <c r="G139" i="12"/>
  <c r="G131" i="12"/>
  <c r="G123" i="12"/>
  <c r="G115" i="12"/>
  <c r="G107" i="12"/>
  <c r="G99" i="12"/>
  <c r="G86" i="12"/>
  <c r="G83" i="12"/>
  <c r="G70" i="12"/>
  <c r="G67" i="12"/>
  <c r="G54" i="12"/>
  <c r="G51" i="12"/>
  <c r="G38" i="12"/>
  <c r="G35" i="12"/>
  <c r="G22" i="12"/>
  <c r="G19" i="12"/>
  <c r="D992" i="12"/>
  <c r="C984" i="12"/>
  <c r="C952" i="12"/>
  <c r="C940" i="12"/>
  <c r="D932" i="12"/>
  <c r="C924" i="12"/>
  <c r="D904" i="12"/>
  <c r="C896" i="12"/>
  <c r="D876" i="12"/>
  <c r="C868" i="12"/>
  <c r="D832" i="12"/>
  <c r="C824" i="12"/>
  <c r="C800" i="12"/>
  <c r="D748" i="12"/>
  <c r="D732" i="12"/>
  <c r="C712" i="12"/>
  <c r="D708" i="12"/>
  <c r="C680" i="12"/>
  <c r="D676" i="12"/>
  <c r="C664" i="12"/>
  <c r="C572" i="12"/>
  <c r="C532" i="12"/>
  <c r="D524" i="12"/>
  <c r="D520" i="12"/>
  <c r="C500" i="12"/>
  <c r="D316" i="12"/>
  <c r="C292" i="12"/>
  <c r="D288" i="12"/>
  <c r="C276" i="12"/>
  <c r="C264" i="12"/>
  <c r="D260" i="12"/>
  <c r="C248" i="12"/>
  <c r="C216" i="12"/>
  <c r="C184" i="12"/>
  <c r="C152" i="12"/>
  <c r="C120" i="12"/>
  <c r="C88" i="12"/>
  <c r="D68" i="12"/>
  <c r="D52" i="12"/>
  <c r="D36" i="12"/>
  <c r="D18" i="12"/>
  <c r="C535" i="12"/>
  <c r="D535" i="12"/>
  <c r="D531" i="12"/>
  <c r="C531" i="12"/>
  <c r="C519" i="12"/>
  <c r="D519" i="12"/>
  <c r="D515" i="12"/>
  <c r="C515" i="12"/>
  <c r="C503" i="12"/>
  <c r="D503" i="12"/>
  <c r="D499" i="12"/>
  <c r="C499" i="12"/>
  <c r="D403" i="12"/>
  <c r="C403" i="12"/>
  <c r="D399" i="12"/>
  <c r="C399" i="12"/>
  <c r="C247" i="12"/>
  <c r="D247" i="12"/>
  <c r="C231" i="12"/>
  <c r="D231" i="12"/>
  <c r="C215" i="12"/>
  <c r="D215" i="12"/>
  <c r="C199" i="12"/>
  <c r="D199" i="12"/>
  <c r="C183" i="12"/>
  <c r="D183" i="12"/>
  <c r="C167" i="12"/>
  <c r="D167" i="12"/>
  <c r="C151" i="12"/>
  <c r="D151" i="12"/>
  <c r="C135" i="12"/>
  <c r="D135" i="12"/>
  <c r="C119" i="12"/>
  <c r="D119" i="12"/>
  <c r="C103" i="12"/>
  <c r="D103" i="12"/>
  <c r="C87" i="12"/>
  <c r="D87" i="12"/>
  <c r="C79" i="12"/>
  <c r="D79" i="12"/>
  <c r="C71" i="12"/>
  <c r="D71" i="12"/>
  <c r="C63" i="12"/>
  <c r="D63" i="12"/>
  <c r="C55" i="12"/>
  <c r="D55" i="12"/>
  <c r="C47" i="12"/>
  <c r="D47" i="12"/>
  <c r="C39" i="12"/>
  <c r="D39" i="12"/>
  <c r="C31" i="12"/>
  <c r="D31" i="12"/>
  <c r="C23" i="12"/>
  <c r="D23" i="12"/>
  <c r="D1000" i="12"/>
  <c r="D976" i="12"/>
  <c r="C968" i="12"/>
  <c r="D960" i="12"/>
  <c r="D916" i="12"/>
  <c r="C912" i="12"/>
  <c r="D888" i="12"/>
  <c r="D860" i="12"/>
  <c r="C852" i="12"/>
  <c r="D848" i="12"/>
  <c r="C840" i="12"/>
  <c r="D796" i="12"/>
  <c r="C792" i="12"/>
  <c r="D788" i="12"/>
  <c r="C752" i="12"/>
  <c r="C736" i="12"/>
  <c r="C720" i="12"/>
  <c r="C696" i="12"/>
  <c r="D692" i="12"/>
  <c r="D8" i="12"/>
  <c r="D5" i="12"/>
  <c r="D995" i="12"/>
  <c r="D715" i="12"/>
  <c r="D699" i="12"/>
  <c r="D683" i="12"/>
  <c r="D667" i="12"/>
  <c r="C604" i="12"/>
  <c r="D592" i="12"/>
  <c r="C588" i="12"/>
  <c r="D576" i="12"/>
  <c r="C567" i="12"/>
  <c r="D559" i="12"/>
  <c r="D555" i="12"/>
  <c r="D544" i="12"/>
  <c r="C523" i="12"/>
  <c r="C512" i="12"/>
  <c r="C407" i="12"/>
  <c r="D304" i="12"/>
  <c r="D268" i="12"/>
  <c r="D239" i="12"/>
  <c r="D228" i="12"/>
  <c r="D207" i="12"/>
  <c r="D196" i="12"/>
  <c r="D175" i="12"/>
  <c r="D164" i="12"/>
  <c r="D143" i="12"/>
  <c r="D132" i="12"/>
  <c r="D111" i="12"/>
  <c r="D100" i="12"/>
  <c r="C5" i="12"/>
  <c r="C744" i="12"/>
  <c r="D740" i="12"/>
  <c r="C728" i="12"/>
  <c r="D724" i="12"/>
  <c r="C595" i="12"/>
  <c r="C579" i="12"/>
  <c r="C556" i="12"/>
  <c r="C547" i="12"/>
  <c r="D540" i="12"/>
  <c r="D536" i="12"/>
  <c r="D527" i="12"/>
  <c r="C516" i="12"/>
  <c r="D508" i="12"/>
  <c r="D504" i="12"/>
  <c r="D495" i="12"/>
  <c r="C411" i="12"/>
  <c r="C328" i="12"/>
  <c r="D324" i="12"/>
  <c r="D252" i="12"/>
  <c r="C243" i="12"/>
  <c r="C232" i="12"/>
  <c r="D219" i="12"/>
  <c r="C211" i="12"/>
  <c r="C200" i="12"/>
  <c r="D187" i="12"/>
  <c r="C179" i="12"/>
  <c r="C168" i="12"/>
  <c r="D155" i="12"/>
  <c r="C147" i="12"/>
  <c r="C136" i="12"/>
  <c r="D123" i="12"/>
  <c r="C115" i="12"/>
  <c r="C104" i="12"/>
  <c r="D91" i="12"/>
  <c r="C83" i="12"/>
  <c r="D76" i="12"/>
  <c r="C67" i="12"/>
  <c r="D60" i="12"/>
  <c r="C51" i="12"/>
  <c r="D44" i="12"/>
  <c r="C35" i="12"/>
  <c r="D28" i="12"/>
  <c r="C716" i="12"/>
  <c r="D716" i="12"/>
  <c r="D704" i="12"/>
  <c r="C704" i="12"/>
  <c r="C700" i="12"/>
  <c r="D700" i="12"/>
  <c r="D688" i="12"/>
  <c r="C688" i="12"/>
  <c r="C684" i="12"/>
  <c r="D684" i="12"/>
  <c r="D672" i="12"/>
  <c r="C672" i="12"/>
  <c r="C668" i="12"/>
  <c r="D668" i="12"/>
  <c r="C600" i="12"/>
  <c r="D600" i="12"/>
  <c r="D596" i="12"/>
  <c r="C596" i="12"/>
  <c r="C584" i="12"/>
  <c r="D584" i="12"/>
  <c r="D580" i="12"/>
  <c r="C580" i="12"/>
  <c r="C568" i="12"/>
  <c r="D568" i="12"/>
  <c r="D564" i="12"/>
  <c r="C564" i="12"/>
  <c r="C552" i="12"/>
  <c r="D552" i="12"/>
  <c r="D548" i="12"/>
  <c r="C548" i="12"/>
  <c r="C320" i="12"/>
  <c r="D320" i="12"/>
  <c r="D296" i="12"/>
  <c r="C296" i="12"/>
  <c r="D280" i="12"/>
  <c r="C280" i="12"/>
  <c r="C272" i="12"/>
  <c r="D272" i="12"/>
  <c r="C256" i="12"/>
  <c r="D256" i="12"/>
  <c r="D240" i="12"/>
  <c r="C240" i="12"/>
  <c r="C236" i="12"/>
  <c r="D236" i="12"/>
  <c r="D224" i="12"/>
  <c r="C224" i="12"/>
  <c r="C220" i="12"/>
  <c r="D220" i="12"/>
  <c r="D208" i="12"/>
  <c r="C208" i="12"/>
  <c r="C204" i="12"/>
  <c r="D204" i="12"/>
  <c r="D192" i="12"/>
  <c r="C192" i="12"/>
  <c r="C188" i="12"/>
  <c r="D188" i="12"/>
  <c r="D176" i="12"/>
  <c r="C176" i="12"/>
  <c r="C172" i="12"/>
  <c r="D172" i="12"/>
  <c r="D160" i="12"/>
  <c r="C160" i="12"/>
  <c r="C156" i="12"/>
  <c r="D156" i="12"/>
  <c r="D144" i="12"/>
  <c r="C144" i="12"/>
  <c r="C140" i="12"/>
  <c r="D140" i="12"/>
  <c r="D128" i="12"/>
  <c r="C128" i="12"/>
  <c r="C124" i="12"/>
  <c r="D124" i="12"/>
  <c r="D112" i="12"/>
  <c r="C112" i="12"/>
  <c r="C108" i="12"/>
  <c r="D108" i="12"/>
  <c r="D96" i="12"/>
  <c r="C96" i="12"/>
  <c r="C92" i="12"/>
  <c r="D92" i="12"/>
  <c r="D80" i="12"/>
  <c r="C80" i="12"/>
  <c r="D72" i="12"/>
  <c r="C72" i="12"/>
  <c r="D64" i="12"/>
  <c r="C64" i="12"/>
  <c r="D56" i="12"/>
  <c r="C56" i="12"/>
  <c r="D48" i="12"/>
  <c r="C48" i="12"/>
  <c r="D40" i="12"/>
  <c r="C40" i="12"/>
  <c r="D32" i="12"/>
  <c r="C32" i="12"/>
  <c r="D24" i="12"/>
  <c r="C24" i="12"/>
  <c r="G998" i="12"/>
  <c r="H998" i="12"/>
  <c r="G990" i="12"/>
  <c r="H990" i="12"/>
  <c r="G982" i="12"/>
  <c r="H982" i="12"/>
  <c r="G974" i="12"/>
  <c r="H974" i="12"/>
  <c r="G966" i="12"/>
  <c r="H966" i="12"/>
  <c r="G994" i="12"/>
  <c r="H994" i="12"/>
  <c r="G986" i="12"/>
  <c r="H986" i="12"/>
  <c r="G978" i="12"/>
  <c r="H978" i="12"/>
  <c r="G970" i="12"/>
  <c r="H970" i="12"/>
  <c r="G962" i="12"/>
  <c r="H962" i="12"/>
  <c r="H85" i="12"/>
  <c r="G85" i="12"/>
  <c r="H69" i="12"/>
  <c r="G69" i="12"/>
  <c r="H53" i="12"/>
  <c r="G53" i="12"/>
  <c r="H37" i="12"/>
  <c r="G37" i="12"/>
  <c r="H21" i="12"/>
  <c r="G21" i="12"/>
  <c r="H89" i="12"/>
  <c r="G89" i="12"/>
  <c r="H73" i="12"/>
  <c r="G73" i="12"/>
  <c r="H57" i="12"/>
  <c r="G57" i="12"/>
  <c r="H41" i="12"/>
  <c r="G41" i="12"/>
  <c r="H25" i="12"/>
  <c r="G25" i="12"/>
  <c r="F112" i="2"/>
  <c r="G157" i="12"/>
  <c r="G153" i="12"/>
  <c r="G149" i="12"/>
  <c r="G145" i="12"/>
  <c r="G141" i="12"/>
  <c r="G137" i="12"/>
  <c r="G133" i="12"/>
  <c r="G129" i="12"/>
  <c r="G125" i="12"/>
  <c r="G121" i="12"/>
  <c r="G117" i="12"/>
  <c r="G113" i="12"/>
  <c r="G109" i="12"/>
  <c r="G105" i="12"/>
  <c r="G101" i="12"/>
  <c r="G94" i="12"/>
  <c r="H93" i="12"/>
  <c r="G93" i="12"/>
  <c r="G88" i="12"/>
  <c r="G78" i="12"/>
  <c r="H77" i="12"/>
  <c r="G77" i="12"/>
  <c r="G72" i="12"/>
  <c r="G62" i="12"/>
  <c r="H61" i="12"/>
  <c r="G61" i="12"/>
  <c r="G56" i="12"/>
  <c r="G46" i="12"/>
  <c r="H45" i="12"/>
  <c r="G45" i="12"/>
  <c r="G40" i="12"/>
  <c r="G30" i="12"/>
  <c r="H29" i="12"/>
  <c r="G29" i="12"/>
  <c r="G24" i="12"/>
  <c r="H999" i="12"/>
  <c r="H995" i="12"/>
  <c r="H991" i="12"/>
  <c r="H987" i="12"/>
  <c r="H983" i="12"/>
  <c r="H979" i="12"/>
  <c r="H975" i="12"/>
  <c r="H971" i="12"/>
  <c r="H967" i="12"/>
  <c r="H963" i="12"/>
  <c r="G158" i="12"/>
  <c r="G154" i="12"/>
  <c r="G150" i="12"/>
  <c r="G146" i="12"/>
  <c r="G142" i="12"/>
  <c r="G138" i="12"/>
  <c r="G134" i="12"/>
  <c r="G130" i="12"/>
  <c r="G126" i="12"/>
  <c r="G122" i="12"/>
  <c r="G118" i="12"/>
  <c r="G114" i="12"/>
  <c r="G110" i="12"/>
  <c r="G106" i="12"/>
  <c r="G102" i="12"/>
  <c r="G98" i="12"/>
  <c r="H97" i="12"/>
  <c r="G97" i="12"/>
  <c r="G92" i="12"/>
  <c r="G82" i="12"/>
  <c r="H81" i="12"/>
  <c r="G81" i="12"/>
  <c r="G76" i="12"/>
  <c r="G66" i="12"/>
  <c r="H65" i="12"/>
  <c r="G65" i="12"/>
  <c r="G60" i="12"/>
  <c r="G50" i="12"/>
  <c r="H49" i="12"/>
  <c r="G49" i="12"/>
  <c r="G44" i="12"/>
  <c r="G34" i="12"/>
  <c r="H33" i="12"/>
  <c r="G33" i="12"/>
  <c r="G28" i="12"/>
  <c r="G18" i="12"/>
  <c r="F39" i="3"/>
  <c r="F37" i="3"/>
  <c r="F38" i="3"/>
  <c r="F35" i="3"/>
  <c r="F36" i="3"/>
  <c r="F34" i="3"/>
  <c r="F32" i="3"/>
  <c r="F31" i="3"/>
  <c r="F30" i="3"/>
  <c r="F27" i="3"/>
  <c r="F26" i="3"/>
  <c r="F25" i="3"/>
  <c r="F21" i="3"/>
  <c r="D21" i="3" s="1"/>
  <c r="F20" i="3"/>
  <c r="F22" i="3"/>
  <c r="D22" i="3" s="1"/>
  <c r="F19" i="3"/>
  <c r="F16" i="3"/>
  <c r="F15" i="3"/>
  <c r="F17" i="3"/>
  <c r="F14" i="3"/>
  <c r="F13" i="3"/>
  <c r="F11" i="3"/>
  <c r="D11" i="3" s="1"/>
  <c r="F115" i="2"/>
  <c r="F134" i="2"/>
  <c r="F133" i="2" s="1"/>
  <c r="F45" i="2"/>
  <c r="H5" i="12"/>
  <c r="G5" i="12"/>
  <c r="H4" i="12"/>
  <c r="G4" i="12"/>
  <c r="F75" i="2"/>
  <c r="F80" i="2"/>
  <c r="F25" i="2"/>
  <c r="F34" i="2"/>
  <c r="F29" i="2"/>
  <c r="D9" i="12"/>
  <c r="C9" i="12"/>
  <c r="F39" i="2"/>
  <c r="D4" i="12"/>
  <c r="C769" i="12"/>
  <c r="D769" i="12"/>
  <c r="C757" i="12"/>
  <c r="D757" i="12"/>
  <c r="C741" i="12"/>
  <c r="D741" i="12"/>
  <c r="C721" i="12"/>
  <c r="D721" i="12"/>
  <c r="C713" i="12"/>
  <c r="D713" i="12"/>
  <c r="C701" i="12"/>
  <c r="D701" i="12"/>
  <c r="C689" i="12"/>
  <c r="D689" i="12"/>
  <c r="C681" i="12"/>
  <c r="D681" i="12"/>
  <c r="C669" i="12"/>
  <c r="D669" i="12"/>
  <c r="C661" i="12"/>
  <c r="D661" i="12"/>
  <c r="D605" i="12"/>
  <c r="C605" i="12"/>
  <c r="D593" i="12"/>
  <c r="C593" i="12"/>
  <c r="D581" i="12"/>
  <c r="C581" i="12"/>
  <c r="D569" i="12"/>
  <c r="C569" i="12"/>
  <c r="C561" i="12"/>
  <c r="D561" i="12"/>
  <c r="C529" i="12"/>
  <c r="D529" i="12"/>
  <c r="C521" i="12"/>
  <c r="D521" i="12"/>
  <c r="C513" i="12"/>
  <c r="D513" i="12"/>
  <c r="C501" i="12"/>
  <c r="D501" i="12"/>
  <c r="C329" i="12"/>
  <c r="D329" i="12"/>
  <c r="C317" i="12"/>
  <c r="D317" i="12"/>
  <c r="D305" i="12"/>
  <c r="C305" i="12"/>
  <c r="C297" i="12"/>
  <c r="D297" i="12"/>
  <c r="C285" i="12"/>
  <c r="D285" i="12"/>
  <c r="D273" i="12"/>
  <c r="C273" i="12"/>
  <c r="D257" i="12"/>
  <c r="C257" i="12"/>
  <c r="C245" i="12"/>
  <c r="D245" i="12"/>
  <c r="C233" i="12"/>
  <c r="D233" i="12"/>
  <c r="C225" i="12"/>
  <c r="D225" i="12"/>
  <c r="C213" i="12"/>
  <c r="D213" i="12"/>
  <c r="C201" i="12"/>
  <c r="D201" i="12"/>
  <c r="C185" i="12"/>
  <c r="D185" i="12"/>
  <c r="C173" i="12"/>
  <c r="D173" i="12"/>
  <c r="C157" i="12"/>
  <c r="D157" i="12"/>
  <c r="C149" i="12"/>
  <c r="D149" i="12"/>
  <c r="C137" i="12"/>
  <c r="D137" i="12"/>
  <c r="C129" i="12"/>
  <c r="D129" i="12"/>
  <c r="C121" i="12"/>
  <c r="D121" i="12"/>
  <c r="C113" i="12"/>
  <c r="D113" i="12"/>
  <c r="C105" i="12"/>
  <c r="D105" i="12"/>
  <c r="C97" i="12"/>
  <c r="D97" i="12"/>
  <c r="C89" i="12"/>
  <c r="D89" i="12"/>
  <c r="C81" i="12"/>
  <c r="D81" i="12"/>
  <c r="C73" i="12"/>
  <c r="D73" i="12"/>
  <c r="C65" i="12"/>
  <c r="D65" i="12"/>
  <c r="C57" i="12"/>
  <c r="D57" i="12"/>
  <c r="C49" i="12"/>
  <c r="D49" i="12"/>
  <c r="C41" i="12"/>
  <c r="D41" i="12"/>
  <c r="C37" i="12"/>
  <c r="D37" i="12"/>
  <c r="C25" i="12"/>
  <c r="D25" i="12"/>
  <c r="D997" i="12"/>
  <c r="D993" i="12"/>
  <c r="C805" i="12"/>
  <c r="C789" i="12"/>
  <c r="D525" i="12"/>
  <c r="C773" i="12"/>
  <c r="D773" i="12"/>
  <c r="C761" i="12"/>
  <c r="D761" i="12"/>
  <c r="C749" i="12"/>
  <c r="D749" i="12"/>
  <c r="C737" i="12"/>
  <c r="D737" i="12"/>
  <c r="C729" i="12"/>
  <c r="D729" i="12"/>
  <c r="C717" i="12"/>
  <c r="D717" i="12"/>
  <c r="C705" i="12"/>
  <c r="D705" i="12"/>
  <c r="C693" i="12"/>
  <c r="D693" i="12"/>
  <c r="C677" i="12"/>
  <c r="D677" i="12"/>
  <c r="C645" i="12"/>
  <c r="D645" i="12"/>
  <c r="D637" i="12"/>
  <c r="C637" i="12"/>
  <c r="C629" i="12"/>
  <c r="D629" i="12"/>
  <c r="D621" i="12"/>
  <c r="C621" i="12"/>
  <c r="C613" i="12"/>
  <c r="D613" i="12"/>
  <c r="D601" i="12"/>
  <c r="C601" i="12"/>
  <c r="D585" i="12"/>
  <c r="C585" i="12"/>
  <c r="D573" i="12"/>
  <c r="C573" i="12"/>
  <c r="C565" i="12"/>
  <c r="D565" i="12"/>
  <c r="C553" i="12"/>
  <c r="D553" i="12"/>
  <c r="C545" i="12"/>
  <c r="D545" i="12"/>
  <c r="C517" i="12"/>
  <c r="D517" i="12"/>
  <c r="C505" i="12"/>
  <c r="D505" i="12"/>
  <c r="C333" i="12"/>
  <c r="D333" i="12"/>
  <c r="D321" i="12"/>
  <c r="C321" i="12"/>
  <c r="D309" i="12"/>
  <c r="C309" i="12"/>
  <c r="D293" i="12"/>
  <c r="C293" i="12"/>
  <c r="D277" i="12"/>
  <c r="C277" i="12"/>
  <c r="C265" i="12"/>
  <c r="D265" i="12"/>
  <c r="C253" i="12"/>
  <c r="D253" i="12"/>
  <c r="C241" i="12"/>
  <c r="D241" i="12"/>
  <c r="C229" i="12"/>
  <c r="D229" i="12"/>
  <c r="C217" i="12"/>
  <c r="D217" i="12"/>
  <c r="C205" i="12"/>
  <c r="D205" i="12"/>
  <c r="C193" i="12"/>
  <c r="D193" i="12"/>
  <c r="C181" i="12"/>
  <c r="D181" i="12"/>
  <c r="C169" i="12"/>
  <c r="D169" i="12"/>
  <c r="C161" i="12"/>
  <c r="D161" i="12"/>
  <c r="C141" i="12"/>
  <c r="D141" i="12"/>
  <c r="C33" i="12"/>
  <c r="D33" i="12"/>
  <c r="C809" i="12"/>
  <c r="C793" i="12"/>
  <c r="C641" i="12"/>
  <c r="D633" i="12"/>
  <c r="C609" i="12"/>
  <c r="D509" i="12"/>
  <c r="C777" i="12"/>
  <c r="D777" i="12"/>
  <c r="C765" i="12"/>
  <c r="D765" i="12"/>
  <c r="C753" i="12"/>
  <c r="D753" i="12"/>
  <c r="C745" i="12"/>
  <c r="D745" i="12"/>
  <c r="C733" i="12"/>
  <c r="D733" i="12"/>
  <c r="C725" i="12"/>
  <c r="D725" i="12"/>
  <c r="C709" i="12"/>
  <c r="D709" i="12"/>
  <c r="C697" i="12"/>
  <c r="D697" i="12"/>
  <c r="C685" i="12"/>
  <c r="D685" i="12"/>
  <c r="C673" i="12"/>
  <c r="D673" i="12"/>
  <c r="C665" i="12"/>
  <c r="D665" i="12"/>
  <c r="D653" i="12"/>
  <c r="C653" i="12"/>
  <c r="D597" i="12"/>
  <c r="C597" i="12"/>
  <c r="D589" i="12"/>
  <c r="C589" i="12"/>
  <c r="D577" i="12"/>
  <c r="C577" i="12"/>
  <c r="C549" i="12"/>
  <c r="D549" i="12"/>
  <c r="C537" i="12"/>
  <c r="D537" i="12"/>
  <c r="C533" i="12"/>
  <c r="D533" i="12"/>
  <c r="C497" i="12"/>
  <c r="D497" i="12"/>
  <c r="D325" i="12"/>
  <c r="C325" i="12"/>
  <c r="C313" i="12"/>
  <c r="D313" i="12"/>
  <c r="C301" i="12"/>
  <c r="D301" i="12"/>
  <c r="D289" i="12"/>
  <c r="C289" i="12"/>
  <c r="C281" i="12"/>
  <c r="D281" i="12"/>
  <c r="C269" i="12"/>
  <c r="D269" i="12"/>
  <c r="D261" i="12"/>
  <c r="C261" i="12"/>
  <c r="C249" i="12"/>
  <c r="D249" i="12"/>
  <c r="C237" i="12"/>
  <c r="D237" i="12"/>
  <c r="C221" i="12"/>
  <c r="D221" i="12"/>
  <c r="C209" i="12"/>
  <c r="D209" i="12"/>
  <c r="C197" i="12"/>
  <c r="D197" i="12"/>
  <c r="C189" i="12"/>
  <c r="D189" i="12"/>
  <c r="C177" i="12"/>
  <c r="D177" i="12"/>
  <c r="C165" i="12"/>
  <c r="D165" i="12"/>
  <c r="C153" i="12"/>
  <c r="D153" i="12"/>
  <c r="C145" i="12"/>
  <c r="D145" i="12"/>
  <c r="C133" i="12"/>
  <c r="D133" i="12"/>
  <c r="C125" i="12"/>
  <c r="D125" i="12"/>
  <c r="C117" i="12"/>
  <c r="D117" i="12"/>
  <c r="C109" i="12"/>
  <c r="D109" i="12"/>
  <c r="C101" i="12"/>
  <c r="D101" i="12"/>
  <c r="C93" i="12"/>
  <c r="D93" i="12"/>
  <c r="C85" i="12"/>
  <c r="D85" i="12"/>
  <c r="C77" i="12"/>
  <c r="D77" i="12"/>
  <c r="C69" i="12"/>
  <c r="D69" i="12"/>
  <c r="C61" i="12"/>
  <c r="D61" i="12"/>
  <c r="C53" i="12"/>
  <c r="D53" i="12"/>
  <c r="C45" i="12"/>
  <c r="D45" i="12"/>
  <c r="C29" i="12"/>
  <c r="D29" i="12"/>
  <c r="C813" i="12"/>
  <c r="C797" i="12"/>
  <c r="C781" i="12"/>
  <c r="D557" i="12"/>
  <c r="D14" i="12"/>
  <c r="C12" i="12"/>
  <c r="G58" i="2" s="1"/>
  <c r="D12" i="12"/>
  <c r="D647" i="12"/>
  <c r="C647" i="12"/>
  <c r="D639" i="12"/>
  <c r="C639" i="12"/>
  <c r="D615" i="12"/>
  <c r="C615" i="12"/>
  <c r="C491" i="12"/>
  <c r="D491" i="12"/>
  <c r="C487" i="12"/>
  <c r="D487" i="12"/>
  <c r="C477" i="12"/>
  <c r="D477" i="12"/>
  <c r="C471" i="12"/>
  <c r="D471" i="12"/>
  <c r="C463" i="12"/>
  <c r="D463" i="12"/>
  <c r="C455" i="12"/>
  <c r="D455" i="12"/>
  <c r="C447" i="12"/>
  <c r="D447" i="12"/>
  <c r="C439" i="12"/>
  <c r="D439" i="12"/>
  <c r="C429" i="12"/>
  <c r="D429" i="12"/>
  <c r="C419" i="12"/>
  <c r="D419" i="12"/>
  <c r="C397" i="12"/>
  <c r="D397" i="12"/>
  <c r="C389" i="12"/>
  <c r="D389" i="12"/>
  <c r="C381" i="12"/>
  <c r="D381" i="12"/>
  <c r="C373" i="12"/>
  <c r="D373" i="12"/>
  <c r="C365" i="12"/>
  <c r="D365" i="12"/>
  <c r="C355" i="12"/>
  <c r="D355" i="12"/>
  <c r="C337" i="12"/>
  <c r="D337" i="12"/>
  <c r="D663" i="12"/>
  <c r="C663" i="12"/>
  <c r="C493" i="12"/>
  <c r="D493" i="12"/>
  <c r="C485" i="12"/>
  <c r="D485" i="12"/>
  <c r="C479" i="12"/>
  <c r="D479" i="12"/>
  <c r="C469" i="12"/>
  <c r="D469" i="12"/>
  <c r="C461" i="12"/>
  <c r="D461" i="12"/>
  <c r="C453" i="12"/>
  <c r="D453" i="12"/>
  <c r="C445" i="12"/>
  <c r="D445" i="12"/>
  <c r="C437" i="12"/>
  <c r="D437" i="12"/>
  <c r="C431" i="12"/>
  <c r="D431" i="12"/>
  <c r="C423" i="12"/>
  <c r="D423" i="12"/>
  <c r="C415" i="12"/>
  <c r="D415" i="12"/>
  <c r="D405" i="12"/>
  <c r="C405" i="12"/>
  <c r="C395" i="12"/>
  <c r="D395" i="12"/>
  <c r="C387" i="12"/>
  <c r="D387" i="12"/>
  <c r="C379" i="12"/>
  <c r="D379" i="12"/>
  <c r="C369" i="12"/>
  <c r="D369" i="12"/>
  <c r="C361" i="12"/>
  <c r="D361" i="12"/>
  <c r="C353" i="12"/>
  <c r="D353" i="12"/>
  <c r="C347" i="12"/>
  <c r="D347" i="12"/>
  <c r="C341" i="12"/>
  <c r="D341" i="12"/>
  <c r="C330" i="12"/>
  <c r="D330" i="12"/>
  <c r="C298" i="12"/>
  <c r="D298" i="12"/>
  <c r="C266" i="12"/>
  <c r="D266" i="12"/>
  <c r="C250" i="12"/>
  <c r="D250" i="12"/>
  <c r="D989" i="12"/>
  <c r="D985" i="12"/>
  <c r="D981" i="12"/>
  <c r="D977" i="12"/>
  <c r="D973" i="12"/>
  <c r="D969" i="12"/>
  <c r="D965" i="12"/>
  <c r="D961" i="12"/>
  <c r="D957" i="12"/>
  <c r="D953" i="12"/>
  <c r="D949" i="12"/>
  <c r="D945" i="12"/>
  <c r="D941" i="12"/>
  <c r="D937" i="12"/>
  <c r="D933" i="12"/>
  <c r="D929" i="12"/>
  <c r="D925" i="12"/>
  <c r="D921" i="12"/>
  <c r="D917" i="12"/>
  <c r="D913" i="12"/>
  <c r="D909" i="12"/>
  <c r="D905" i="12"/>
  <c r="D901" i="12"/>
  <c r="D897" i="12"/>
  <c r="D893" i="12"/>
  <c r="D889" i="12"/>
  <c r="D885" i="12"/>
  <c r="D881" i="12"/>
  <c r="D877" i="12"/>
  <c r="D873" i="12"/>
  <c r="D869" i="12"/>
  <c r="D865" i="12"/>
  <c r="D861" i="12"/>
  <c r="D857" i="12"/>
  <c r="D853" i="12"/>
  <c r="D849" i="12"/>
  <c r="D845" i="12"/>
  <c r="D841" i="12"/>
  <c r="D837" i="12"/>
  <c r="D833" i="12"/>
  <c r="D829" i="12"/>
  <c r="D825" i="12"/>
  <c r="D821" i="12"/>
  <c r="D817" i="12"/>
  <c r="D631" i="12"/>
  <c r="C631" i="12"/>
  <c r="D623" i="12"/>
  <c r="C623" i="12"/>
  <c r="D607" i="12"/>
  <c r="C607" i="12"/>
  <c r="C483" i="12"/>
  <c r="D483" i="12"/>
  <c r="C475" i="12"/>
  <c r="D475" i="12"/>
  <c r="C467" i="12"/>
  <c r="D467" i="12"/>
  <c r="C459" i="12"/>
  <c r="D459" i="12"/>
  <c r="C451" i="12"/>
  <c r="D451" i="12"/>
  <c r="C443" i="12"/>
  <c r="D443" i="12"/>
  <c r="C435" i="12"/>
  <c r="D435" i="12"/>
  <c r="C427" i="12"/>
  <c r="D427" i="12"/>
  <c r="C417" i="12"/>
  <c r="D417" i="12"/>
  <c r="D408" i="12"/>
  <c r="C408" i="12"/>
  <c r="D400" i="12"/>
  <c r="C400" i="12"/>
  <c r="C393" i="12"/>
  <c r="D393" i="12"/>
  <c r="C385" i="12"/>
  <c r="D385" i="12"/>
  <c r="C377" i="12"/>
  <c r="D377" i="12"/>
  <c r="C371" i="12"/>
  <c r="D371" i="12"/>
  <c r="C363" i="12"/>
  <c r="D363" i="12"/>
  <c r="C357" i="12"/>
  <c r="D357" i="12"/>
  <c r="C349" i="12"/>
  <c r="D349" i="12"/>
  <c r="C343" i="12"/>
  <c r="D343" i="12"/>
  <c r="C335" i="12"/>
  <c r="D335" i="12"/>
  <c r="C322" i="12"/>
  <c r="D322" i="12"/>
  <c r="C306" i="12"/>
  <c r="D306" i="12"/>
  <c r="C290" i="12"/>
  <c r="D290" i="12"/>
  <c r="C274" i="12"/>
  <c r="D274" i="12"/>
  <c r="C258" i="12"/>
  <c r="D258" i="12"/>
  <c r="D990" i="12"/>
  <c r="D986" i="12"/>
  <c r="D974" i="12"/>
  <c r="D966" i="12"/>
  <c r="D958" i="12"/>
  <c r="D950" i="12"/>
  <c r="D938" i="12"/>
  <c r="D926" i="12"/>
  <c r="D922" i="12"/>
  <c r="D918" i="12"/>
  <c r="D910" i="12"/>
  <c r="D902" i="12"/>
  <c r="D898" i="12"/>
  <c r="D878" i="12"/>
  <c r="D870" i="12"/>
  <c r="D866" i="12"/>
  <c r="D854" i="12"/>
  <c r="D850" i="12"/>
  <c r="D842" i="12"/>
  <c r="D834" i="12"/>
  <c r="D830" i="12"/>
  <c r="D651" i="12"/>
  <c r="C651" i="12"/>
  <c r="D611" i="12"/>
  <c r="C611" i="12"/>
  <c r="D655" i="12"/>
  <c r="C655" i="12"/>
  <c r="C489" i="12"/>
  <c r="D489" i="12"/>
  <c r="C481" i="12"/>
  <c r="D481" i="12"/>
  <c r="C473" i="12"/>
  <c r="D473" i="12"/>
  <c r="C465" i="12"/>
  <c r="D465" i="12"/>
  <c r="C457" i="12"/>
  <c r="D457" i="12"/>
  <c r="C449" i="12"/>
  <c r="D449" i="12"/>
  <c r="C441" i="12"/>
  <c r="D441" i="12"/>
  <c r="C433" i="12"/>
  <c r="D433" i="12"/>
  <c r="C425" i="12"/>
  <c r="D425" i="12"/>
  <c r="C421" i="12"/>
  <c r="D421" i="12"/>
  <c r="C413" i="12"/>
  <c r="D413" i="12"/>
  <c r="C391" i="12"/>
  <c r="D391" i="12"/>
  <c r="C383" i="12"/>
  <c r="D383" i="12"/>
  <c r="C375" i="12"/>
  <c r="D375" i="12"/>
  <c r="C367" i="12"/>
  <c r="D367" i="12"/>
  <c r="C359" i="12"/>
  <c r="D359" i="12"/>
  <c r="C351" i="12"/>
  <c r="D351" i="12"/>
  <c r="C345" i="12"/>
  <c r="D345" i="12"/>
  <c r="C339" i="12"/>
  <c r="D339" i="12"/>
  <c r="C314" i="12"/>
  <c r="D314" i="12"/>
  <c r="C282" i="12"/>
  <c r="D282" i="12"/>
  <c r="D982" i="12"/>
  <c r="D978" i="12"/>
  <c r="D970" i="12"/>
  <c r="D962" i="12"/>
  <c r="D954" i="12"/>
  <c r="D946" i="12"/>
  <c r="D942" i="12"/>
  <c r="D934" i="12"/>
  <c r="D930" i="12"/>
  <c r="D914" i="12"/>
  <c r="D906" i="12"/>
  <c r="D894" i="12"/>
  <c r="D890" i="12"/>
  <c r="D886" i="12"/>
  <c r="D882" i="12"/>
  <c r="D874" i="12"/>
  <c r="D862" i="12"/>
  <c r="D858" i="12"/>
  <c r="D846" i="12"/>
  <c r="D838" i="12"/>
  <c r="D826" i="12"/>
  <c r="D822" i="12"/>
  <c r="D818" i="12"/>
  <c r="D659" i="12"/>
  <c r="C659" i="12"/>
  <c r="D643" i="12"/>
  <c r="C643" i="12"/>
  <c r="D635" i="12"/>
  <c r="C635" i="12"/>
  <c r="D627" i="12"/>
  <c r="C627" i="12"/>
  <c r="D619" i="12"/>
  <c r="C619" i="12"/>
  <c r="C494" i="12"/>
  <c r="D494" i="12"/>
  <c r="C660" i="12"/>
  <c r="C656" i="12"/>
  <c r="C652" i="12"/>
  <c r="C648" i="12"/>
  <c r="C644" i="12"/>
  <c r="C640" i="12"/>
  <c r="C636" i="12"/>
  <c r="C632" i="12"/>
  <c r="C628" i="12"/>
  <c r="C624" i="12"/>
  <c r="C620" i="12"/>
  <c r="C616" i="12"/>
  <c r="C612" i="12"/>
  <c r="C608" i="12"/>
  <c r="C492" i="12"/>
  <c r="D492" i="12"/>
  <c r="C490" i="12"/>
  <c r="D490" i="12"/>
  <c r="C488" i="12"/>
  <c r="D488" i="12"/>
  <c r="C486" i="12"/>
  <c r="D486" i="12"/>
  <c r="C484" i="12"/>
  <c r="D484" i="12"/>
  <c r="C482" i="12"/>
  <c r="D482" i="12"/>
  <c r="C480" i="12"/>
  <c r="D480" i="12"/>
  <c r="C478" i="12"/>
  <c r="D478" i="12"/>
  <c r="C476" i="12"/>
  <c r="D476" i="12"/>
  <c r="C474" i="12"/>
  <c r="D474" i="12"/>
  <c r="C472" i="12"/>
  <c r="D472" i="12"/>
  <c r="C470" i="12"/>
  <c r="D470" i="12"/>
  <c r="C468" i="12"/>
  <c r="D468" i="12"/>
  <c r="C466" i="12"/>
  <c r="D466" i="12"/>
  <c r="C464" i="12"/>
  <c r="D464" i="12"/>
  <c r="C462" i="12"/>
  <c r="D462" i="12"/>
  <c r="C460" i="12"/>
  <c r="D460" i="12"/>
  <c r="C458" i="12"/>
  <c r="D458" i="12"/>
  <c r="C456" i="12"/>
  <c r="D456" i="12"/>
  <c r="C454" i="12"/>
  <c r="D454" i="12"/>
  <c r="C452" i="12"/>
  <c r="D452" i="12"/>
  <c r="C450" i="12"/>
  <c r="D450" i="12"/>
  <c r="C448" i="12"/>
  <c r="D448" i="12"/>
  <c r="C446" i="12"/>
  <c r="D446" i="12"/>
  <c r="C444" i="12"/>
  <c r="D444" i="12"/>
  <c r="C442" i="12"/>
  <c r="D442" i="12"/>
  <c r="C440" i="12"/>
  <c r="D440" i="12"/>
  <c r="C438" i="12"/>
  <c r="D438" i="12"/>
  <c r="C436" i="12"/>
  <c r="D436" i="12"/>
  <c r="C434" i="12"/>
  <c r="D434" i="12"/>
  <c r="C432" i="12"/>
  <c r="D432" i="12"/>
  <c r="C430" i="12"/>
  <c r="D430" i="12"/>
  <c r="C428" i="12"/>
  <c r="D428" i="12"/>
  <c r="C426" i="12"/>
  <c r="D426" i="12"/>
  <c r="C424" i="12"/>
  <c r="D424" i="12"/>
  <c r="C422" i="12"/>
  <c r="D422" i="12"/>
  <c r="C420" i="12"/>
  <c r="D420" i="12"/>
  <c r="C418" i="12"/>
  <c r="D418" i="12"/>
  <c r="C416" i="12"/>
  <c r="D416" i="12"/>
  <c r="C414" i="12"/>
  <c r="D414" i="12"/>
  <c r="D412" i="12"/>
  <c r="C412" i="12"/>
  <c r="D409" i="12"/>
  <c r="C409" i="12"/>
  <c r="D404" i="12"/>
  <c r="C404" i="12"/>
  <c r="D401" i="12"/>
  <c r="C401" i="12"/>
  <c r="C396" i="12"/>
  <c r="D396" i="12"/>
  <c r="C394" i="12"/>
  <c r="D394" i="12"/>
  <c r="C392" i="12"/>
  <c r="D392" i="12"/>
  <c r="C390" i="12"/>
  <c r="D390" i="12"/>
  <c r="C388" i="12"/>
  <c r="D388" i="12"/>
  <c r="C386" i="12"/>
  <c r="D386" i="12"/>
  <c r="C384" i="12"/>
  <c r="D384" i="12"/>
  <c r="C382" i="12"/>
  <c r="D382" i="12"/>
  <c r="C380" i="12"/>
  <c r="D380" i="12"/>
  <c r="C378" i="12"/>
  <c r="D378" i="12"/>
  <c r="C376" i="12"/>
  <c r="D376" i="12"/>
  <c r="C374" i="12"/>
  <c r="D374" i="12"/>
  <c r="C372" i="12"/>
  <c r="D372" i="12"/>
  <c r="C370" i="12"/>
  <c r="D370" i="12"/>
  <c r="C368" i="12"/>
  <c r="D368" i="12"/>
  <c r="C366" i="12"/>
  <c r="D366" i="12"/>
  <c r="C364" i="12"/>
  <c r="D364" i="12"/>
  <c r="C362" i="12"/>
  <c r="D362" i="12"/>
  <c r="C360" i="12"/>
  <c r="D360" i="12"/>
  <c r="C358" i="12"/>
  <c r="D358" i="12"/>
  <c r="C356" i="12"/>
  <c r="D356" i="12"/>
  <c r="C354" i="12"/>
  <c r="D354" i="12"/>
  <c r="C352" i="12"/>
  <c r="D352" i="12"/>
  <c r="C350" i="12"/>
  <c r="D350" i="12"/>
  <c r="C348" i="12"/>
  <c r="D348" i="12"/>
  <c r="C346" i="12"/>
  <c r="D346" i="12"/>
  <c r="C344" i="12"/>
  <c r="D344" i="12"/>
  <c r="C342" i="12"/>
  <c r="D342" i="12"/>
  <c r="C340" i="12"/>
  <c r="D340" i="12"/>
  <c r="C338" i="12"/>
  <c r="D338" i="12"/>
  <c r="C336" i="12"/>
  <c r="D336" i="12"/>
  <c r="C334" i="12"/>
  <c r="D334" i="12"/>
  <c r="C326" i="12"/>
  <c r="D326" i="12"/>
  <c r="C318" i="12"/>
  <c r="D318" i="12"/>
  <c r="C310" i="12"/>
  <c r="D310" i="12"/>
  <c r="C302" i="12"/>
  <c r="D302" i="12"/>
  <c r="C294" i="12"/>
  <c r="D294" i="12"/>
  <c r="C286" i="12"/>
  <c r="D286" i="12"/>
  <c r="C278" i="12"/>
  <c r="D278" i="12"/>
  <c r="C270" i="12"/>
  <c r="D270" i="12"/>
  <c r="C262" i="12"/>
  <c r="D262" i="12"/>
  <c r="C254" i="12"/>
  <c r="D254" i="12"/>
  <c r="D331" i="12"/>
  <c r="D327" i="12"/>
  <c r="D323" i="12"/>
  <c r="D319" i="12"/>
  <c r="D315" i="12"/>
  <c r="D311" i="12"/>
  <c r="D307" i="12"/>
  <c r="D303" i="12"/>
  <c r="D299" i="12"/>
  <c r="D295" i="12"/>
  <c r="D291" i="12"/>
  <c r="D287" i="12"/>
  <c r="D283" i="12"/>
  <c r="D279" i="12"/>
  <c r="D275" i="12"/>
  <c r="D271" i="12"/>
  <c r="D267" i="12"/>
  <c r="D263" i="12"/>
  <c r="D259" i="12"/>
  <c r="D255" i="12"/>
  <c r="D251" i="12"/>
  <c r="C4" i="12"/>
  <c r="C19" i="3" l="1"/>
  <c r="D19" i="3"/>
  <c r="C25" i="3"/>
  <c r="D25" i="3"/>
  <c r="C31" i="3"/>
  <c r="D31" i="3"/>
  <c r="C35" i="3"/>
  <c r="D35" i="3"/>
  <c r="C26" i="3"/>
  <c r="D26" i="3"/>
  <c r="C38" i="3"/>
  <c r="D38" i="3"/>
  <c r="C15" i="3"/>
  <c r="D15" i="3"/>
  <c r="C20" i="3"/>
  <c r="D20" i="3"/>
  <c r="D18" i="3" s="1"/>
  <c r="C27" i="3"/>
  <c r="D27" i="3"/>
  <c r="C34" i="3"/>
  <c r="D34" i="3"/>
  <c r="C37" i="3"/>
  <c r="D37" i="3"/>
  <c r="C40" i="3"/>
  <c r="D40" i="3"/>
  <c r="C13" i="3"/>
  <c r="D13" i="3"/>
  <c r="C16" i="3"/>
  <c r="D16" i="3"/>
  <c r="C30" i="3"/>
  <c r="D30" i="3"/>
  <c r="C36" i="3"/>
  <c r="D36" i="3"/>
  <c r="C39" i="3"/>
  <c r="D39" i="3"/>
  <c r="C41" i="3"/>
  <c r="G106" i="2"/>
  <c r="G98" i="2"/>
  <c r="G68" i="2"/>
  <c r="G67" i="2" s="1"/>
  <c r="G53" i="2"/>
  <c r="G87" i="2"/>
  <c r="G122" i="2"/>
  <c r="G121" i="2" s="1"/>
  <c r="G118" i="2" s="1"/>
  <c r="F85" i="2"/>
  <c r="F74" i="2" s="1"/>
  <c r="G130" i="2"/>
  <c r="G129" i="2" s="1"/>
  <c r="G128" i="2" s="1"/>
  <c r="G143" i="2"/>
  <c r="G142" i="2" s="1"/>
  <c r="G138" i="2" s="1"/>
  <c r="G86" i="2"/>
  <c r="G90" i="2"/>
  <c r="G18" i="2"/>
  <c r="G153" i="2"/>
  <c r="G151" i="2" s="1"/>
  <c r="G54" i="2"/>
  <c r="C22" i="3"/>
  <c r="C11" i="3"/>
  <c r="C24" i="3"/>
  <c r="C21" i="3"/>
  <c r="G17" i="2"/>
  <c r="G15" i="2"/>
  <c r="G112" i="2"/>
  <c r="F66" i="2"/>
  <c r="F57" i="2"/>
  <c r="F56" i="2" s="1"/>
  <c r="G57" i="2"/>
  <c r="G56" i="2" s="1"/>
  <c r="G134" i="2"/>
  <c r="G133" i="2" s="1"/>
  <c r="G115" i="2"/>
  <c r="F138" i="2"/>
  <c r="F127" i="2" s="1"/>
  <c r="F110" i="2"/>
  <c r="G45" i="2"/>
  <c r="F121" i="2"/>
  <c r="F118" i="2" s="1"/>
  <c r="G80" i="2"/>
  <c r="G75" i="2"/>
  <c r="G34" i="2"/>
  <c r="G29" i="2"/>
  <c r="G25" i="2"/>
  <c r="G62" i="2"/>
  <c r="G61" i="2" s="1"/>
  <c r="F28" i="2"/>
  <c r="G39" i="2"/>
  <c r="D29" i="3" l="1"/>
  <c r="D24" i="3"/>
  <c r="G85" i="2"/>
  <c r="G74" i="2" s="1"/>
  <c r="G73" i="2" s="1"/>
  <c r="C29" i="3"/>
  <c r="C18" i="3"/>
  <c r="G49" i="2"/>
  <c r="G110" i="2"/>
  <c r="G66" i="2"/>
  <c r="G55" i="2" s="1"/>
  <c r="F109" i="2"/>
  <c r="G127" i="2"/>
  <c r="G28" i="2"/>
  <c r="I24" i="2"/>
  <c r="I23" i="2"/>
  <c r="I22" i="2"/>
  <c r="I20" i="2"/>
  <c r="I19" i="2"/>
  <c r="I18" i="2"/>
  <c r="I17" i="2"/>
  <c r="I16" i="2"/>
  <c r="I15" i="2"/>
  <c r="I14" i="2"/>
  <c r="I11" i="2"/>
  <c r="I10" i="2"/>
  <c r="I9" i="2"/>
  <c r="I8" i="2"/>
  <c r="F49" i="2"/>
  <c r="G109" i="2" l="1"/>
  <c r="G48" i="2"/>
  <c r="F73" i="2"/>
  <c r="G13" i="2" l="1"/>
  <c r="G12" i="2" s="1"/>
  <c r="F7" i="2"/>
  <c r="G7" i="2"/>
  <c r="G21" i="2"/>
  <c r="F13" i="2"/>
  <c r="F12" i="2" s="1"/>
  <c r="F21" i="2"/>
  <c r="G4" i="2"/>
  <c r="F4" i="2"/>
  <c r="F5" i="8"/>
  <c r="D5" i="8"/>
  <c r="N1" i="2" l="1"/>
  <c r="F65" i="2"/>
  <c r="F61" i="2" s="1"/>
  <c r="F55" i="2" s="1"/>
  <c r="F48" i="2" s="1"/>
  <c r="A4" i="2"/>
  <c r="M1" i="2"/>
  <c r="D10" i="8"/>
  <c r="D8" i="8"/>
  <c r="F6" i="2"/>
  <c r="G6" i="2"/>
  <c r="G93" i="2" s="1"/>
  <c r="F93" i="2" l="1"/>
  <c r="D14" i="3" l="1"/>
  <c r="D17" i="3" l="1"/>
  <c r="D28" i="3" s="1"/>
  <c r="D12" i="3"/>
  <c r="D10" i="3" s="1"/>
  <c r="D6" i="3" s="1"/>
  <c r="D23" i="3" s="1"/>
  <c r="D32" i="3" l="1"/>
  <c r="C49" i="3"/>
  <c r="C50" i="3"/>
  <c r="C43" i="3" s="1"/>
  <c r="C42" i="3" s="1"/>
  <c r="C33" i="3" s="1"/>
  <c r="C53" i="3" l="1"/>
  <c r="D42" i="3"/>
  <c r="D33" i="3" s="1"/>
  <c r="D50" i="3"/>
  <c r="D43" i="3" s="1"/>
  <c r="D53" i="3"/>
  <c r="D49" i="3"/>
  <c r="D51" i="3" l="1"/>
  <c r="D54" i="3" s="1"/>
  <c r="G107" i="2" s="1"/>
  <c r="G97" i="2" s="1"/>
  <c r="G154" i="2" s="1"/>
  <c r="N2" i="2" s="1"/>
  <c r="C10" i="3"/>
  <c r="C6" i="3" s="1"/>
  <c r="C14" i="3"/>
  <c r="C12" i="3" s="1"/>
  <c r="C28" i="3"/>
  <c r="C17" i="3"/>
  <c r="C23" i="3" l="1"/>
  <c r="C32" i="3" s="1"/>
  <c r="C51" i="3" s="1"/>
  <c r="C54" i="3" s="1"/>
  <c r="F107" i="2" s="1"/>
  <c r="F97" i="2" s="1"/>
  <c r="F154" i="2" s="1"/>
  <c r="M2" i="2" s="1"/>
  <c r="H8" i="6" l="1"/>
  <c r="H7" i="6" s="1"/>
  <c r="H16" i="6" s="1"/>
  <c r="H19" i="6"/>
  <c r="H26" i="6"/>
  <c r="H24" i="6"/>
  <c r="H23" i="6" s="1"/>
  <c r="H21" i="6" s="1"/>
  <c r="H38" i="6"/>
  <c r="H36" i="6"/>
  <c r="H35" i="6" s="1"/>
  <c r="H33" i="6" s="1"/>
  <c r="H42" i="6"/>
  <c r="G44" i="6"/>
  <c r="G49" i="6"/>
  <c r="G46" i="6" s="1"/>
  <c r="H59" i="6"/>
  <c r="H60" i="6"/>
  <c r="H64" i="6" s="1"/>
  <c r="G26" i="6"/>
  <c r="G24" i="6"/>
  <c r="G8" i="6"/>
  <c r="G7" i="6" s="1"/>
  <c r="G16" i="6" s="1"/>
  <c r="G19" i="6"/>
  <c r="G38" i="6"/>
  <c r="G36" i="6"/>
  <c r="G35" i="6" s="1"/>
  <c r="G33" i="6" s="1"/>
  <c r="G42" i="6"/>
  <c r="G59" i="6"/>
  <c r="G60" i="6"/>
  <c r="G64" i="6" s="1"/>
  <c r="H30" i="6" l="1"/>
  <c r="G41" i="6"/>
  <c r="G56" i="6" s="1"/>
  <c r="G30" i="6"/>
  <c r="G23" i="6"/>
  <c r="G21" i="6" s="1"/>
  <c r="G18" i="6" s="1"/>
  <c r="H18" i="6"/>
  <c r="H39" i="6" s="1"/>
  <c r="H44" i="6"/>
  <c r="H41" i="6" s="1"/>
  <c r="H49" i="6"/>
  <c r="H46" i="6" s="1"/>
  <c r="G39" i="6" l="1"/>
  <c r="G57" i="6" s="1"/>
  <c r="G61" i="6" s="1"/>
  <c r="H56" i="6"/>
  <c r="H57" i="6" s="1"/>
  <c r="H61" i="6" s="1"/>
</calcChain>
</file>

<file path=xl/connections.xml><?xml version="1.0" encoding="utf-8"?>
<connections xmlns="http://schemas.openxmlformats.org/spreadsheetml/2006/main">
  <connection id="1" name="JPK_KR_20180101_20180131_1278d46" type="4" refreshedVersion="0" background="1">
    <webPr xml="1" sourceData="1" parsePre="1" consecutive="1" url="C:\Users\Laptop\Downloads\JPK_KR_20120101_20121231_1fc6d67e.xml" htmlTables="1"/>
  </connection>
  <connection id="2" name="JPK_KR_20180101_20180131_1278d461" type="4" refreshedVersion="0" background="1">
    <webPr xml="1" sourceData="1" parsePre="1" consecutive="1" url="C:\Users\Laptop\Downloads\JPK_KR_20130101_20131231_22b1b71d.xml" htmlTables="1"/>
  </connection>
  <connection id="3" name="JPK_KR_plik_treningowy" type="4" refreshedVersion="0" deleted="1" background="1">
    <webPr xml="1" sourceData="1" url="C:\MAGDA\MOJE SZKOLENIA\JPK_KR_Excel\JPK_KR_plik_treningowy.xml" htmlTables="1" htmlFormat="all"/>
  </connection>
</connections>
</file>

<file path=xl/sharedStrings.xml><?xml version="1.0" encoding="utf-8"?>
<sst xmlns="http://schemas.openxmlformats.org/spreadsheetml/2006/main" count="25569" uniqueCount="1663">
  <si>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</si>
  <si>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</si>
  <si>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</si>
  <si>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</si>
  <si>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</si>
  <si>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</si>
  <si>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</si>
  <si>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</si>
  <si>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</si>
  <si>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</si>
  <si>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</si>
  <si>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</si>
  <si>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</si>
  <si>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</si>
  <si>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</si>
  <si>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</si>
  <si>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</si>
  <si>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</si>
  <si>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</si>
  <si>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</si>
  <si>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</si>
  <si>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</si>
  <si>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</si>
  <si>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</si>
  <si>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</si>
  <si>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</si>
  <si>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</si>
  <si>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</si>
  <si>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</si>
  <si>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</si>
  <si>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</si>
  <si>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</si>
  <si>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</si>
  <si>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</si>
  <si>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</si>
  <si>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</si>
  <si>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</si>
  <si>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</si>
  <si>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</si>
  <si>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</si>
  <si>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</si>
  <si>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</si>
  <si>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</si>
  <si>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</si>
  <si>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</si>
  <si>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</si>
  <si>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</si>
  <si>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</si>
  <si>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</si>
  <si>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</si>
  <si>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</si>
  <si>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</si>
  <si>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</si>
  <si>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</si>
  <si>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</si>
  <si>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ns1:KwotaWinienWaluta</t>
  </si>
  <si>
    <t>ns1:KodWalutyWinien</t>
  </si>
  <si>
    <t>ns1:OpisZapisuWinien</t>
  </si>
  <si>
    <t>ns1:KodKontaMa</t>
  </si>
  <si>
    <t>ns1:KwotaMa</t>
  </si>
  <si>
    <t>ns1:KwotaMaWaluta</t>
  </si>
  <si>
    <t>ns1:KodWalutyMa</t>
  </si>
  <si>
    <t>ns1:OpisZapisuMa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</si>
  <si>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</si>
  <si>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</si>
  <si>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</si>
  <si>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</si>
  <si>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</si>
  <si>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</si>
  <si>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</si>
  <si>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</si>
  <si>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</si>
  <si>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PL</t>
  </si>
  <si>
    <t>BRAK</t>
  </si>
  <si>
    <t>G</t>
  </si>
  <si>
    <t>200</t>
  </si>
  <si>
    <t>bilansowe</t>
  </si>
  <si>
    <t>wynikowe</t>
  </si>
  <si>
    <t>Aktywa trwałe</t>
  </si>
  <si>
    <t>Środki pieniężne, rachunki bankowe oraz krótkoterminowe aktywa finansowe</t>
  </si>
  <si>
    <t>Rozrachunki i roszczenia</t>
  </si>
  <si>
    <t>Koszty według rodzajów i ich rozliczenie</t>
  </si>
  <si>
    <t>Produkty i rozliczenia międzyokresowe</t>
  </si>
  <si>
    <t>Przychody i koszty związane z ich osiąganiem</t>
  </si>
  <si>
    <t>Kapitały (fundusz) własne, fundusze specjalne, rezerwy i wynik finansowy</t>
  </si>
  <si>
    <t>Różnice kursowe</t>
  </si>
  <si>
    <t>4</t>
  </si>
  <si>
    <t>5</t>
  </si>
  <si>
    <t>1</t>
  </si>
  <si>
    <t>2</t>
  </si>
  <si>
    <t>2-2</t>
  </si>
  <si>
    <t>6</t>
  </si>
  <si>
    <t>7</t>
  </si>
  <si>
    <t>3</t>
  </si>
  <si>
    <t>8</t>
  </si>
  <si>
    <t>Dokument prosty</t>
  </si>
  <si>
    <t>Wyciąg bankowy</t>
  </si>
  <si>
    <t>Faktura VAT sprzedaż</t>
  </si>
  <si>
    <t>Faktura VAT zakup</t>
  </si>
  <si>
    <t>-</t>
  </si>
  <si>
    <t>AKTYWA TRWAŁE</t>
  </si>
  <si>
    <t>A K T Y W A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</si>
  <si>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</si>
  <si>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</si>
  <si>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</si>
  <si>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</si>
  <si>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</si>
  <si>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Rzeczowe aktywa trwałe</t>
  </si>
  <si>
    <t>Środki trwałe</t>
  </si>
  <si>
    <t>Atrybut</t>
  </si>
  <si>
    <t>grunty (w tym prawo wieczystego użytkowania gruntu)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</si>
  <si>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</si>
  <si>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</si>
  <si>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</si>
  <si>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</si>
  <si>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</si>
  <si>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</si>
  <si>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</si>
  <si>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</si>
  <si>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jednostek, w których jednostka posiada zaangażowanie w kapitale</t>
  </si>
  <si>
    <t>Od pozostałych jednostek</t>
  </si>
  <si>
    <t>Inwestycje długoterminowe</t>
  </si>
  <si>
    <t>Nieruchomości</t>
  </si>
  <si>
    <t>Długoterminowe aktywa finansowe</t>
  </si>
  <si>
    <t>w jednostkach powiązanych</t>
  </si>
  <si>
    <t>- udziały lub akcje</t>
  </si>
  <si>
    <t>- inne papiery wartościowe</t>
  </si>
  <si>
    <t>- udzielone pożyczki</t>
  </si>
  <si>
    <t>SUMA AAIV3a</t>
  </si>
  <si>
    <t>SUMA AAIV3</t>
  </si>
  <si>
    <t>- inne długoterminowe aktywa finansowe</t>
  </si>
  <si>
    <t>w pozostałych jednostkach w których jednostka posiada zaangażowanie w kapitale</t>
  </si>
  <si>
    <t>w pozostałych jednostkach</t>
  </si>
  <si>
    <t>ns2:Ulica</t>
  </si>
  <si>
    <t>mazowieckie</t>
  </si>
  <si>
    <t>Warszawa</t>
  </si>
  <si>
    <t>490</t>
  </si>
  <si>
    <t>860</t>
  </si>
  <si>
    <t>Koszty według typów działalności i ich rozliczenie</t>
  </si>
  <si>
    <t>Krótkoterminowe aktywa finansowe</t>
  </si>
  <si>
    <t>Amortyzacja</t>
  </si>
  <si>
    <t>Usługi obce</t>
  </si>
  <si>
    <t>Podatki i opłaty</t>
  </si>
  <si>
    <t>Pozostałe koszty rodzajowe</t>
  </si>
  <si>
    <t>1-3</t>
  </si>
  <si>
    <t>3-20</t>
  </si>
  <si>
    <t>Środki pieniężne w drodze</t>
  </si>
  <si>
    <t>SUMA AAII1</t>
  </si>
  <si>
    <t>Inne inwestycje długoterminowe</t>
  </si>
  <si>
    <t>Długoterminowe rozliczenia okresowe</t>
  </si>
  <si>
    <t>SUMA AAV</t>
  </si>
  <si>
    <t>SUMA AAIV</t>
  </si>
  <si>
    <t>SUMA AAIII</t>
  </si>
  <si>
    <t>SUMA AAII</t>
  </si>
  <si>
    <t>SUMA AAIV3b</t>
  </si>
  <si>
    <t>SUMA AAIV3c</t>
  </si>
  <si>
    <t>Aktywa z tytułu odroczonego podatku dochodowego</t>
  </si>
  <si>
    <t>Inne rozliczenia międzyokresowe</t>
  </si>
  <si>
    <t>AKTYWA OBROTOWE</t>
  </si>
  <si>
    <t>Pozycja</t>
  </si>
  <si>
    <t>Wyszczególnienie</t>
  </si>
  <si>
    <t>Przychody netto ze sprzedaży produktów  </t>
  </si>
  <si>
    <t>III</t>
  </si>
  <si>
    <t>IV</t>
  </si>
  <si>
    <t>I</t>
  </si>
  <si>
    <t>II</t>
  </si>
  <si>
    <t>V</t>
  </si>
  <si>
    <t>VI</t>
  </si>
  <si>
    <t>VII</t>
  </si>
  <si>
    <t>wariant porównawczy</t>
  </si>
  <si>
    <t>wariant kalkulacyjny</t>
  </si>
  <si>
    <t xml:space="preserve">Przychody netto ze sprzedaży i zrównane z nimi, w tym: </t>
  </si>
  <si>
    <t>od jednostek powiązanych</t>
  </si>
  <si>
    <t>konto</t>
  </si>
  <si>
    <t>Wn</t>
  </si>
  <si>
    <t>Ma</t>
  </si>
  <si>
    <t>do</t>
  </si>
  <si>
    <t>B I L A N S</t>
  </si>
  <si>
    <t>SUMA AA</t>
  </si>
  <si>
    <t>SUMA AAI</t>
  </si>
  <si>
    <t xml:space="preserve">    II. Należności krótkoterminowe</t>
  </si>
  <si>
    <t xml:space="preserve">           b. w pozostałych jednostkach</t>
  </si>
  <si>
    <t>S U M A   A K T Y W Ó W</t>
  </si>
  <si>
    <t>A</t>
  </si>
  <si>
    <t>a</t>
  </si>
  <si>
    <t>b</t>
  </si>
  <si>
    <t>c</t>
  </si>
  <si>
    <t>d</t>
  </si>
  <si>
    <t>e</t>
  </si>
  <si>
    <t>i</t>
  </si>
  <si>
    <t>g</t>
  </si>
  <si>
    <t>B</t>
  </si>
  <si>
    <t xml:space="preserve">  P A S Y W A</t>
  </si>
  <si>
    <t>S U M A   P A S Y W Ó W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</si>
  <si>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</si>
  <si>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</si>
  <si>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</si>
  <si>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</si>
  <si>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</si>
  <si>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</si>
  <si>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od jednostek powiązanych</t>
  </si>
  <si>
    <t>z tytułu dostaw i usług o okresie spłaty:</t>
  </si>
  <si>
    <t>inne</t>
  </si>
  <si>
    <t>Należności od jednostek powiązanych, w których jednostka posiada zaangażowanie w kapitale</t>
  </si>
  <si>
    <t>Należności od pozostałych jednostek</t>
  </si>
  <si>
    <t>z tytułu podatków,dotacji, ceł, ubezp. społ. i zdrowotnych oraz inych tytułów publiczno-prawnych</t>
  </si>
  <si>
    <t>dochodzone na drodze sądowej</t>
  </si>
  <si>
    <t>Inwestycje krótkoterminowe</t>
  </si>
  <si>
    <t>C</t>
  </si>
  <si>
    <t>D</t>
  </si>
  <si>
    <t>środki pieniężne i inne aktywa pieniężne</t>
  </si>
  <si>
    <t>Inne inwestycje krótkoterminowe</t>
  </si>
  <si>
    <t>Krótkoterminowe rozliczenia międzyokresowe</t>
  </si>
  <si>
    <t>Należne wpłaty na kapitał (fundusz) podstawowy</t>
  </si>
  <si>
    <t>Udziału (akcje) własne</t>
  </si>
  <si>
    <t>SUMA ABI</t>
  </si>
  <si>
    <t>SUMA ABII</t>
  </si>
  <si>
    <t>SUMA ABII1</t>
  </si>
  <si>
    <t>SUMA AB</t>
  </si>
  <si>
    <t>SUMA ABII1a</t>
  </si>
  <si>
    <t>SUMA ABII2</t>
  </si>
  <si>
    <t>SUMA ABII2a</t>
  </si>
  <si>
    <t>AKTYWA</t>
  </si>
  <si>
    <t>SUMA ABII3</t>
  </si>
  <si>
    <t>SUMA ABII3a</t>
  </si>
  <si>
    <t>SUMA ABIII</t>
  </si>
  <si>
    <t>SUMA ABIII1</t>
  </si>
  <si>
    <t>SUMA ABIII1a</t>
  </si>
  <si>
    <t>SUMA A</t>
  </si>
  <si>
    <t>SUMA ABIII1b</t>
  </si>
  <si>
    <t>SUMA ABIII1c</t>
  </si>
  <si>
    <t>PASYWA</t>
  </si>
  <si>
    <t>KAPITAŁ (FUNDUSZ) WŁASNY</t>
  </si>
  <si>
    <t>Kapitał (fundusz) podstawowy</t>
  </si>
  <si>
    <t>Kapitał (fundusz) zapasowy, w tym:</t>
  </si>
  <si>
    <t>Kapitał (fundusz) z aktualizacji wyceny, w tym:</t>
  </si>
  <si>
    <t>Pozostałe kapitały (fundusze) rezerwowe, w tm:</t>
  </si>
  <si>
    <t>Zysk (strata) z lat ubiegłych</t>
  </si>
  <si>
    <t>Zysk (strata) netto</t>
  </si>
  <si>
    <t>Odpisy z zysku netto w ciągu roku obrotowego (wielkość ujemna)</t>
  </si>
  <si>
    <t>- długoterminowa</t>
  </si>
  <si>
    <t>- krótkoterminowa</t>
  </si>
  <si>
    <t>ZOBOWIĄZANIA I REZERWY NA ZOBOWIĄZANIA</t>
  </si>
  <si>
    <t>- długoterminowe</t>
  </si>
  <si>
    <t>- krótkoterminowe</t>
  </si>
  <si>
    <t>Rezerwy na zobowiązania</t>
  </si>
  <si>
    <t>Rezerwa z tytułu odroczonego podatku dochodowego</t>
  </si>
  <si>
    <t>Rezerwa na świadczenia emerytalne i podobne</t>
  </si>
  <si>
    <t>Pozostałe rezerwy</t>
  </si>
  <si>
    <t>Zobowiązania długoterminowe</t>
  </si>
  <si>
    <t>Wobec jednostek powiązanych</t>
  </si>
  <si>
    <t>Wobec pozostałych jednostek, w których jednostaka posiada zaangażownaie w kapitale</t>
  </si>
  <si>
    <t>Wobec pozostałych jednostek</t>
  </si>
  <si>
    <t>kredyty i pożyczki</t>
  </si>
  <si>
    <t>z tytułu emisji dłużnych papierów wartościowych</t>
  </si>
  <si>
    <t xml:space="preserve">inne zobowiązania finansowe </t>
  </si>
  <si>
    <t>zobowiązania wekslowe</t>
  </si>
  <si>
    <t>Zobowiązania krótkoterminowe</t>
  </si>
  <si>
    <t>f</t>
  </si>
  <si>
    <t>h</t>
  </si>
  <si>
    <t>z tytułu dostaw i usług o okresie wymagalności:</t>
  </si>
  <si>
    <t>Wobec pozostałych jednostek, w których jednostak posiada zaangażownaie w kapitale</t>
  </si>
  <si>
    <t>zaliczki otrzymane na dostawy</t>
  </si>
  <si>
    <t>z tytułu podatków, ceł, ubezpieczeń społecznych i zdrowotnych oraz inych tytułów publiczno-prawnych</t>
  </si>
  <si>
    <t>z tytułu wynagrodzeń</t>
  </si>
  <si>
    <t>Fundusze specjalne</t>
  </si>
  <si>
    <t xml:space="preserve">Rozliczenia międzyokresowe </t>
  </si>
  <si>
    <t>Ujemna wartość firmy</t>
  </si>
  <si>
    <t>SUMA PB</t>
  </si>
  <si>
    <t>SUMA PA</t>
  </si>
  <si>
    <t>SUMA P</t>
  </si>
  <si>
    <t>SUMA PBI</t>
  </si>
  <si>
    <t>SUMA PBI2</t>
  </si>
  <si>
    <t>SUMA PBI3</t>
  </si>
  <si>
    <t>SUMA PBII</t>
  </si>
  <si>
    <t>SUMA PBII3</t>
  </si>
  <si>
    <t>SUMA PBIII</t>
  </si>
  <si>
    <t>SUMA PBIII1</t>
  </si>
  <si>
    <t>SUMA PBIII1a</t>
  </si>
  <si>
    <t>SUMA PBIII2a</t>
  </si>
  <si>
    <t>SUMA PBIII2</t>
  </si>
  <si>
    <t>SUMA PBIII3</t>
  </si>
  <si>
    <t>SYMA PBIII3d</t>
  </si>
  <si>
    <t>SUMA PBIV</t>
  </si>
  <si>
    <t>- do 12 miesięcy</t>
  </si>
  <si>
    <t>- powyżej 12 miesięcy</t>
  </si>
  <si>
    <t>- inne krótkoterminowe aktywa finansowe</t>
  </si>
  <si>
    <t>- środki pieniężne w kasie i na rachunkach</t>
  </si>
  <si>
    <t xml:space="preserve">- inne środki pieniężne </t>
  </si>
  <si>
    <t xml:space="preserve">- inne aktywa pieniężne </t>
  </si>
  <si>
    <t>- nadwyżka wartości sprzedaży (wartości emisyjnej) nad wartością nominalną udziałów (akcji)</t>
  </si>
  <si>
    <t>- z tytułu aktualizacji wartości godziwej</t>
  </si>
  <si>
    <t>- tworzone zgodnie z umową (statutem) spółki</t>
  </si>
  <si>
    <t>- na udziały (akcje) własne</t>
  </si>
  <si>
    <t>R Z i S</t>
  </si>
  <si>
    <t>Atrubut</t>
  </si>
  <si>
    <t>NIP:</t>
  </si>
  <si>
    <t xml:space="preserve">   b) korekty błędów podstawowych</t>
  </si>
  <si>
    <t xml:space="preserve">   a) zmiany przyjętych zasad (polityki) rachunkowości</t>
  </si>
  <si>
    <t xml:space="preserve"> 8. Wynik netto </t>
  </si>
  <si>
    <t xml:space="preserve"> II. Kapitał własny na koniec okresu (BZ ) </t>
  </si>
  <si>
    <t xml:space="preserve"> III. Kapitał własny, po uwzględnieniu proponowanego podziału zysku (pokrycia straty) </t>
  </si>
  <si>
    <t xml:space="preserve">ZESTAWIENIE ZMIAN W KAPITALE WŁASNYM </t>
  </si>
  <si>
    <t>I.a.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</si>
  <si>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</si>
  <si>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</si>
  <si>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</si>
  <si>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</si>
  <si>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</si>
  <si>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</si>
  <si>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</si>
  <si>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</si>
  <si>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</si>
  <si>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</si>
  <si>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</si>
  <si>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</si>
  <si>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</si>
  <si>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</si>
  <si>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</si>
  <si>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</si>
  <si>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</si>
  <si>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</si>
  <si>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</si>
  <si>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TYS ZŁ</t>
  </si>
  <si>
    <t>ZŁ</t>
  </si>
  <si>
    <t>Sprawozdanie w:</t>
  </si>
  <si>
    <t xml:space="preserve">Kapitał własny na początek okresu (BO) </t>
  </si>
  <si>
    <t xml:space="preserve">Kapitał własny na początek okresu  (BO), po uzgodnieniu do danych porównywalnych </t>
  </si>
  <si>
    <t xml:space="preserve">Kapitał zakładowy na początek okresu </t>
  </si>
  <si>
    <t xml:space="preserve">Zmiany kapitału zakładowego </t>
  </si>
  <si>
    <t xml:space="preserve">zwiększenia (z tytułu) </t>
  </si>
  <si>
    <t xml:space="preserve">zmniejszenia (z tytułu) </t>
  </si>
  <si>
    <t xml:space="preserve">Kapitał zakładowy na koniec okresu </t>
  </si>
  <si>
    <t xml:space="preserve">Należne wpłaty na kapitał zakładowy na początek okresu (wielkość ujemna) </t>
  </si>
  <si>
    <t xml:space="preserve">Zmiany należnych wpłat na kapitał zakładowy </t>
  </si>
  <si>
    <t xml:space="preserve">zwiększenie (z tytułu) </t>
  </si>
  <si>
    <t xml:space="preserve">zmniejszenie (z tytułu) </t>
  </si>
  <si>
    <t xml:space="preserve"> - </t>
  </si>
  <si>
    <t>- zmiany przyjętych zasad polityki rachunkowości</t>
  </si>
  <si>
    <t>- korekty błędów</t>
  </si>
  <si>
    <t>- zmiany przyjętych zasad (polityki) rachunkowości</t>
  </si>
  <si>
    <t xml:space="preserve">- korekty błędów podstawowych </t>
  </si>
  <si>
    <t>Należne wpłaty na kapitał zakładowy na koniec okresu (wielkość ujemna)</t>
  </si>
  <si>
    <t>Akcje (udziały) własne na początek okresu (wielkość ujemna)</t>
  </si>
  <si>
    <t>Zmiany akcji (udziałów) własnych</t>
  </si>
  <si>
    <t>zwiększenie</t>
  </si>
  <si>
    <t>zmniejszenie</t>
  </si>
  <si>
    <t>Akcje (udziały) własne na koniec okresu (wielkość ujemna)</t>
  </si>
  <si>
    <t xml:space="preserve">Kapitał zapasowy na początek okresu </t>
  </si>
  <si>
    <t xml:space="preserve">Zmiany kapitału zapasowego </t>
  </si>
  <si>
    <t xml:space="preserve">Kapitał zapasowy na koniec okresu </t>
  </si>
  <si>
    <t xml:space="preserve">Kapitał z aktualizacji wyceny na początek okresu </t>
  </si>
  <si>
    <t xml:space="preserve">Zmiany kapitału z aktualizacji wyceny </t>
  </si>
  <si>
    <t xml:space="preserve">Kapitał z aktualizacji wyceny na koniec okresu </t>
  </si>
  <si>
    <t>Pozostałe kapitały rezerwowe na początek okresu</t>
  </si>
  <si>
    <t>Zmiany pozostałych kapitałów rezerwowych</t>
  </si>
  <si>
    <t>zwiększenie (z tytułu)</t>
  </si>
  <si>
    <t>zmniejszenia (z tytułu)</t>
  </si>
  <si>
    <t>Pozostałe kapitały rezerwowe na koniec okresu</t>
  </si>
  <si>
    <t xml:space="preserve">Zysk (strata) z lat ubiegłych na początek okresu </t>
  </si>
  <si>
    <t xml:space="preserve">Zysk z lat ubiegłych na początek okresu </t>
  </si>
  <si>
    <t>Zysk z lat ubiegłych na początek okresu, po korektach</t>
  </si>
  <si>
    <t>Zysk z lat ubiegłych na koniec okresu</t>
  </si>
  <si>
    <t>Strata z lat ubiegłych na początek okresu</t>
  </si>
  <si>
    <t>Strata z lat ubiegłych na początek okresu, po korektach</t>
  </si>
  <si>
    <t xml:space="preserve">zwiększenie (z tytułu):    </t>
  </si>
  <si>
    <t xml:space="preserve">zmniejszenie (z tytułu):    </t>
  </si>
  <si>
    <t>Strata z lat ubiegłych na koniec okresu</t>
  </si>
  <si>
    <t>Zysk (strata) z lat ubiegłych na koniec okresu</t>
  </si>
  <si>
    <t xml:space="preserve">zysk netto </t>
  </si>
  <si>
    <t xml:space="preserve">strata netto </t>
  </si>
  <si>
    <t xml:space="preserve">odpisy z zysku </t>
  </si>
  <si>
    <t>Z Z w K</t>
  </si>
  <si>
    <t>C F</t>
  </si>
  <si>
    <t>Sprawozdanie za:</t>
  </si>
  <si>
    <t>Bilans</t>
  </si>
  <si>
    <t xml:space="preserve">Rachunek Zysków i Strat </t>
  </si>
  <si>
    <t>Zestawienie zmian w kapitale</t>
  </si>
  <si>
    <t>Cash Flow</t>
  </si>
  <si>
    <t>metoda</t>
  </si>
  <si>
    <t>pośrednia</t>
  </si>
  <si>
    <t>bezpośrednia</t>
  </si>
  <si>
    <t>Przepływy środków pieniężnych z działalności operacyjnej</t>
  </si>
  <si>
    <t>AI</t>
  </si>
  <si>
    <t>Firma Demonstracyjna</t>
  </si>
  <si>
    <t>warszawski</t>
  </si>
  <si>
    <t>Wola</t>
  </si>
  <si>
    <t>Mokra</t>
  </si>
  <si>
    <t>00-528</t>
  </si>
  <si>
    <t>070-2</t>
  </si>
  <si>
    <t>070-4</t>
  </si>
  <si>
    <t>070-5</t>
  </si>
  <si>
    <t>100-1</t>
  </si>
  <si>
    <t>100-2</t>
  </si>
  <si>
    <t>130-1</t>
  </si>
  <si>
    <t>130-2</t>
  </si>
  <si>
    <t>132</t>
  </si>
  <si>
    <t>138-2</t>
  </si>
  <si>
    <t>201-1-1-2</t>
  </si>
  <si>
    <t>201-1-1-3</t>
  </si>
  <si>
    <t>201-1-1-6</t>
  </si>
  <si>
    <t>201-1-1-30</t>
  </si>
  <si>
    <t>201-2-1-2</t>
  </si>
  <si>
    <t>201-2-1-3</t>
  </si>
  <si>
    <t>201-2-1-4</t>
  </si>
  <si>
    <t>201-2-1-5</t>
  </si>
  <si>
    <t>201-2-1-6</t>
  </si>
  <si>
    <t>201-2-1-7</t>
  </si>
  <si>
    <t>201-2-1-10</t>
  </si>
  <si>
    <t>201-2-1-13</t>
  </si>
  <si>
    <t>201-2-1-14</t>
  </si>
  <si>
    <t>201-2-1-15</t>
  </si>
  <si>
    <t>201-2-1-17</t>
  </si>
  <si>
    <t>201-2-1-21</t>
  </si>
  <si>
    <t>201-2-1-22</t>
  </si>
  <si>
    <t>201-2-1-24</t>
  </si>
  <si>
    <t>201-2-1-30</t>
  </si>
  <si>
    <t>201-2-1-31</t>
  </si>
  <si>
    <t>202-1-1-1</t>
  </si>
  <si>
    <t>202-1-1-3</t>
  </si>
  <si>
    <t>202-1-1-4</t>
  </si>
  <si>
    <t>202-1-2-3</t>
  </si>
  <si>
    <t>202-1-2-21</t>
  </si>
  <si>
    <t>202-1-2-22</t>
  </si>
  <si>
    <t>202-2-1-1</t>
  </si>
  <si>
    <t>202-2-1-2</t>
  </si>
  <si>
    <t>202-2-1-4</t>
  </si>
  <si>
    <t>202-2-1-5</t>
  </si>
  <si>
    <t>202-2-1-6</t>
  </si>
  <si>
    <t>202-2-1-7</t>
  </si>
  <si>
    <t>202-2-1-10</t>
  </si>
  <si>
    <t>202-2-1-12</t>
  </si>
  <si>
    <t>202-2-1-13</t>
  </si>
  <si>
    <t>202-2-1-14</t>
  </si>
  <si>
    <t>202-2-1-16</t>
  </si>
  <si>
    <t>202-2-1-19</t>
  </si>
  <si>
    <t>202-2-1-21</t>
  </si>
  <si>
    <t>202-2-1-27</t>
  </si>
  <si>
    <t>202-2-1-29</t>
  </si>
  <si>
    <t>202-2-1-30</t>
  </si>
  <si>
    <t>202-2-2-29</t>
  </si>
  <si>
    <t>202-2-2-32</t>
  </si>
  <si>
    <t>203-1-1-28</t>
  </si>
  <si>
    <t>203-2-1-9</t>
  </si>
  <si>
    <t>203-2-1-18</t>
  </si>
  <si>
    <t>203-2-1-28</t>
  </si>
  <si>
    <t>204-1-1-9</t>
  </si>
  <si>
    <t>204-1-1-11</t>
  </si>
  <si>
    <t>204-2-1-9</t>
  </si>
  <si>
    <t>204-2-1-11</t>
  </si>
  <si>
    <t>204-2-1-27</t>
  </si>
  <si>
    <t>221-1</t>
  </si>
  <si>
    <t>221-2</t>
  </si>
  <si>
    <t>234-1-3</t>
  </si>
  <si>
    <t>234-1-4</t>
  </si>
  <si>
    <t>234-1-5</t>
  </si>
  <si>
    <t>234-1-13</t>
  </si>
  <si>
    <t>234-1-15</t>
  </si>
  <si>
    <t>234-1-18</t>
  </si>
  <si>
    <t>234-1-22</t>
  </si>
  <si>
    <t>234-2-18</t>
  </si>
  <si>
    <t>234-2-21</t>
  </si>
  <si>
    <t>234-3-5</t>
  </si>
  <si>
    <t>234-3-20</t>
  </si>
  <si>
    <t>240</t>
  </si>
  <si>
    <t>301-2-2</t>
  </si>
  <si>
    <t>302-2-2</t>
  </si>
  <si>
    <t>302-2-3</t>
  </si>
  <si>
    <t>303-2-1</t>
  </si>
  <si>
    <t>305-2-3</t>
  </si>
  <si>
    <t>330-1</t>
  </si>
  <si>
    <t>330-2</t>
  </si>
  <si>
    <t>401-1-1</t>
  </si>
  <si>
    <t>403</t>
  </si>
  <si>
    <t>404-3</t>
  </si>
  <si>
    <t>407-1</t>
  </si>
  <si>
    <t>407-2</t>
  </si>
  <si>
    <t>407-6</t>
  </si>
  <si>
    <t>501-1</t>
  </si>
  <si>
    <t>502-2</t>
  </si>
  <si>
    <t>510</t>
  </si>
  <si>
    <t>520</t>
  </si>
  <si>
    <t>550-1</t>
  </si>
  <si>
    <t>550-6</t>
  </si>
  <si>
    <t>641-2</t>
  </si>
  <si>
    <t>701-2-1</t>
  </si>
  <si>
    <t>701-2-2</t>
  </si>
  <si>
    <t>702-2-1</t>
  </si>
  <si>
    <t>702-2-2</t>
  </si>
  <si>
    <t>731-2</t>
  </si>
  <si>
    <t>741-2</t>
  </si>
  <si>
    <t>755</t>
  </si>
  <si>
    <t>756</t>
  </si>
  <si>
    <t>844-2</t>
  </si>
  <si>
    <t>Umorzenie środków trwałych/Budynki, lokale i obiekty inżynierii lądowej i wodnej</t>
  </si>
  <si>
    <t>Umorzenie środków trwałych/Środki transportu</t>
  </si>
  <si>
    <t>Umorzenie środków trwałych/Inne środki trwałe</t>
  </si>
  <si>
    <t>Kasa krajowych środków pieniężnych/kasa złotówkowa</t>
  </si>
  <si>
    <t>Kasa krajowych środków pieniężnych/kasa walutowa</t>
  </si>
  <si>
    <t>Bieżący rachunek bankowy/Środki pieniężne w drodze</t>
  </si>
  <si>
    <t>Bieżący rachunek bankowy/środki walutowe</t>
  </si>
  <si>
    <t>Inne rachunki bankowe</t>
  </si>
  <si>
    <t>Kredyty bankowe długoterminowe/Krótkoterminowe inwestycje w pozostałych jednostkach</t>
  </si>
  <si>
    <t>Rozrachunki bieżące, nieterminowe</t>
  </si>
  <si>
    <t>Rozrachunki krajowe z odbiorcami z tytułu dostaw i usług/Rozrachunki należności od jednostek powiązanych/Należności od jednostek powiązanych płatne do 12 miesięcy/AGD Adam</t>
  </si>
  <si>
    <t>Rozrachunki krajowe z odbiorcami z tytułu dostaw i usług/Rozrachunki należności od jednostek powiązanych/Należności od jednostek powiązanych płatne do 12 miesięcy/Bank PKO SA</t>
  </si>
  <si>
    <t>Rozrachunki krajowe z odbiorcami z tytułu dostaw i usług/Rozrachunki należności od jednostek powiązanych/Należności od jednostek powiązanych płatne do 12 miesięcy/Elektron sp. z o.o.</t>
  </si>
  <si>
    <t>Rozrachunki krajowe z odbiorcami z tytułu dostaw i usług/Rozrachunki należności od jednostek powiązanych/Należności od jednostek powiązanych płatne do 12 miesięcy/Nowak Jan</t>
  </si>
  <si>
    <t>Rozrachunki krajowe z odbiorcami z tytułu dostaw i usług/Rozrachunki należności od pozostałych jednostek/Należności od pozostałych jednostek płatne do 12 miesięcy/AGD Adam</t>
  </si>
  <si>
    <t>Rozrachunki krajowe z odbiorcami z tytułu dostaw i usług/Rozrachunki należności od pozostałych jednostek/Należności od pozostałych jednostek płatne do 12 miesięcy/Bank PKO SA</t>
  </si>
  <si>
    <t>Rozrachunki krajowe z odbiorcami z tytułu dostaw i usług/Rozrachunki należności od pozostałych jednostek/Należności od pozostałych jednostek płatne do 12 miesięcy/Edelweiss SA Oddział Zwierzyniec</t>
  </si>
  <si>
    <t>Rozrachunki krajowe z odbiorcami z tytułu dostaw i usług/Rozrachunki należności od pozostałych jednostek/Należności od pozostałych jednostek płatne do 12 miesięcy/Edelweiss SA</t>
  </si>
  <si>
    <t>Rozrachunki krajowe z odbiorcami z tytułu dostaw i usług/Rozrachunki należności od pozostałych jednostek/Należności od pozostałych jednostek płatne do 12 miesięcy/Elektron sp. z o.o.</t>
  </si>
  <si>
    <t>Rozrachunki krajowe z odbiorcami z tytułu dostaw i usług/Rozrachunki należności od pozostałych jednostek/Należności od pozostałych jednostek płatne do 12 miesięcy/Kornex sp. z o.o.</t>
  </si>
  <si>
    <t>Rozrachunki krajowe z odbiorcami z tytułu dostaw i usług/Rozrachunki należności od pozostałych jednostek/Należności od pozostałych jednostek płatne do 12 miesięcy/Warski sc.</t>
  </si>
  <si>
    <t>Rozrachunki krajowe z odbiorcami z tytułu dostaw i usług/Rozrachunki należności od pozostałych jednostek/Należności od pozostałych jednostek płatne do 12 miesięcy/Altkom Matrix SA</t>
  </si>
  <si>
    <t>Rozrachunki krajowe z odbiorcami z tytułu dostaw i usług/Rozrachunki należności od pozostałych jednostek/Należności od pozostałych jednostek płatne do 12 miesięcy/Anonim 0RHXRBXB</t>
  </si>
  <si>
    <t>Rozrachunki krajowe z odbiorcami z tytułu dostaw i usług/Rozrachunki należności od pozostałych jednostek/Należności od pozostałych jednostek płatne do 12 miesięcy/Agora Gazeta</t>
  </si>
  <si>
    <t>Rozrachunki krajowe z odbiorcami z tytułu dostaw i usług/Rozrachunki należności od pozostałych jednostek/Należności od pozostałych jednostek płatne do 12 miesięcy/TP SA</t>
  </si>
  <si>
    <t>Rozrachunki krajowe z odbiorcami z tytułu dostaw i usług/Rozrachunki należności od pozostałych jednostek/Należności od pozostałych jednostek płatne do 12 miesięcy/Anonim OF442AS6</t>
  </si>
  <si>
    <t>Rozrachunki krajowe z odbiorcami z tytułu dostaw i usług/Rozrachunki należności od pozostałych jednostek/Należności od pozostałych jednostek płatne do 12 miesięcy/AUTO Shop</t>
  </si>
  <si>
    <t>Rozrachunki krajowe z odbiorcami z tytułu dostaw i usług/Rozrachunki należności od pozostałych jednostek/Należności od pozostałych jednostek płatne do 12 miesięcy/BIZNESPARTNER.PL SA</t>
  </si>
  <si>
    <t>Rozrachunki krajowe z odbiorcami z tytułu dostaw i usług/Rozrachunki należności od pozostałych jednostek/Należności od pozostałych jednostek płatne do 12 miesięcy/Nowak Jan</t>
  </si>
  <si>
    <t>Rozrachunki krajowe z dostawcami z tytułu dostaw i usług/Rozrachunki zobowiązań wobec jednostek powiązanych/Zobowiązania wobec jednostek powiązanych płatne do 12 mies./SAGE SYMFONIA Sp. z o.o.</t>
  </si>
  <si>
    <t>Rozrachunki krajowe z dostawcami z tytułu dostaw i usług/Rozrachunki zobowiązań wobec jednostek powiązanych/Zobowiązania wobec jednostek powiązanych płatne do 12 mies./Bank PKO SA</t>
  </si>
  <si>
    <t>Rozrachunki krajowe z dostawcami z tytułu dostaw i usług/Rozrachunki zobowiązań wobec jednostek powiązanych/Zobowiązania wobec jednostek powiązanych płatne do 12 mies./Edelweiss SA Oddział Zwierzyniec</t>
  </si>
  <si>
    <t>Rozrachunki krajowe z dostawcami z tytułu dostaw i usług/Rozrachunki zobowiązań wobec jednostek powiązanych/Zobowiązania wobec jedn. powiązanych płatne powyżej 12 mies/Bank PKO SA</t>
  </si>
  <si>
    <t>Rozrachunki krajowe z dostawcami z tytułu dostaw i usług/Rozrachunki zobowiązań wobec jednostek powiązanych/Zobowiązania wobec jedn. powiązanych płatne powyżej 12 mies/Anonim OF442AS6</t>
  </si>
  <si>
    <t>Rozrachunki krajowe z dostawcami z tytułu dostaw i usług/Rozrachunki zobowiązań wobec jednostek powiązanych/Zobowiązania wobec jedn. powiązanych płatne powyżej 12 mies/AUTO Shop</t>
  </si>
  <si>
    <t>Rozrachunki krajowe z dostawcami z tytułu dostaw i usług/Rozrachunki zobowiązań wobec pozostałych jednostek/Zobowiązania wobec pozostałych jednostek płatne do 12 mies./SAGE SYMFONIA Sp. z o.o.</t>
  </si>
  <si>
    <t>Rozrachunki krajowe z dostawcami z tytułu dostaw i usług/Rozrachunki zobowiązań wobec pozostałych jednostek/Zobowiązania wobec pozostałych jednostek płatne do 12 mies./AGD Adam</t>
  </si>
  <si>
    <t>Rozrachunki krajowe z dostawcami z tytułu dostaw i usług/Rozrachunki zobowiązań wobec pozostałych jednostek/Zobowiązania wobec pozostałych jednostek płatne do 12 mies./Edelweiss SA Oddział Zwierzyniec</t>
  </si>
  <si>
    <t>Rozrachunki krajowe z dostawcami z tytułu dostaw i usług/Rozrachunki zobowiązań wobec pozostałych jednostek/Zobowiązania wobec pozostałych jednostek płatne do 12 mies./Edelweiss SA</t>
  </si>
  <si>
    <t>Rozrachunki krajowe z dostawcami z tytułu dostaw i usług/Rozrachunki zobowiązań wobec pozostałych jednostek/Zobowiązania wobec pozostałych jednostek płatne do 12 mies./Elektron sp. z o.o.</t>
  </si>
  <si>
    <t>Rozrachunki krajowe z dostawcami z tytułu dostaw i usług/Rozrachunki zobowiązań wobec pozostałych jednostek/Zobowiązania wobec pozostałych jednostek płatne do 12 mies./Kornex sp. z o.o.</t>
  </si>
  <si>
    <t>Rozrachunki krajowe z dostawcami z tytułu dostaw i usług/Rozrachunki zobowiązań wobec pozostałych jednostek/Zobowiązania wobec pozostałych jednostek płatne do 12 mies./Warski sc.</t>
  </si>
  <si>
    <t>Rozrachunki krajowe z dostawcami z tytułu dostaw i usług/Rozrachunki zobowiązań wobec pozostałych jednostek/Zobowiązania wobec pozostałych jednostek płatne do 12 mies./Auto SALEon s.c.</t>
  </si>
  <si>
    <t>Rozrachunki krajowe z dostawcami z tytułu dostaw i usług/Rozrachunki zobowiązań wobec pozostałych jednostek/Zobowiązania wobec pozostałych jednostek płatne do 12 mies./Altkom Matrix SA</t>
  </si>
  <si>
    <t>Rozrachunki krajowe z dostawcami z tytułu dostaw i usług/Rozrachunki zobowiązań wobec pozostałych jednostek/Zobowiązania wobec pozostałych jednostek płatne do 12 mies./Anonim 0RHXRBXB</t>
  </si>
  <si>
    <t>Rozrachunki krajowe z dostawcami z tytułu dostaw i usług/Rozrachunki zobowiązań wobec pozostałych jednostek/Zobowiązania wobec pozostałych jednostek płatne do 12 mies./Office Depot</t>
  </si>
  <si>
    <t>Rozrachunki krajowe z dostawcami z tytułu dostaw i usług/Rozrachunki zobowiązań wobec pozostałych jednostek/Zobowiązania wobec pozostałych jednostek płatne do 12 mies./Fundacja Wiedza Powszechna</t>
  </si>
  <si>
    <t>Rozrachunki krajowe z dostawcami z tytułu dostaw i usług/Rozrachunki zobowiązań wobec pozostałych jednostek/Zobowiązania wobec pozostałych jednostek płatne do 12 mies./Anonim OF442AS6</t>
  </si>
  <si>
    <t>Rozrachunki krajowe z dostawcami z tytułu dostaw i usług/Rozrachunki zobowiązań wobec pozostałych jednostek/Zobowiązania wobec pozostałych jednostek płatne do 12 mies./Mechaniczeskij Optowyj</t>
  </si>
  <si>
    <t>Rozrachunki krajowe z dostawcami z tytułu dostaw i usług/Rozrachunki zobowiązań wobec pozostałych jednostek/Zobowiązania wobec pozostałych jednostek płatne do 12 mies./Chińska fabryka obuwia</t>
  </si>
  <si>
    <t>Rozrachunki krajowe z dostawcami z tytułu dostaw i usług/Rozrachunki zobowiązań wobec pozostałych jednostek/Zobowiązania wobec pozostałych jednostek płatne do 12 mies./Nowak Jan</t>
  </si>
  <si>
    <t>Rozrachunki krajowe z dostawcami z tytułu dostaw i usług/Rozrachunki zobowiązań wobec pozostałych jednostek/Zobowiązania wobec pozost. jednostek płatne powyżej 12 mies/Chińska fabryka obuwia</t>
  </si>
  <si>
    <t>Rozrachunki krajowe z dostawcami z tytułu dostaw i usług/Rozrachunki zobowiązań wobec pozostałych jednostek/Zobowiązania wobec pozost. jednostek płatne powyżej 12 mies/ANT Consulting Magdalena Chomuszko</t>
  </si>
  <si>
    <t>Rozrachunki zagranicz. z odbiorcami z tytułu dostaw i usług/Rozrachunki należności od jednostek powiązanych/Należności od jednostek powiązanych płatne do 12 miesięcy/Ulrich von J und Sohn</t>
  </si>
  <si>
    <t>Rozrachunki zagranicz. z odbiorcami z tytułu dostaw i usług/Rozrachunki należności od pozostałych jednostek/Należności od pozostałych jednostek płatne do 12 miesięcy/Philips UK Ltd</t>
  </si>
  <si>
    <t>Rozrachunki zagranicz. z odbiorcami z tytułu dostaw i usług/Rozrachunki należności od pozostałych jednostek/Należności od pozostałych jednostek płatne do 12 miesięcy/Herr Flueck KG</t>
  </si>
  <si>
    <t>Rozrachunki zagranicz. z odbiorcami z tytułu dostaw i usług/Rozrachunki należności od pozostałych jednostek/Należności od pozostałych jednostek płatne do 12 miesięcy/Ulrich von J und Sohn</t>
  </si>
  <si>
    <t>Rozrachunki zagranicz. z dostawcami z tytułu dostaw i usług/Rozrachunki zobowiązań wobec jednostek powiązanych/Zobowiązania wobec jednostek powiązanych płatne do 12 mies./Philips UK Ltd</t>
  </si>
  <si>
    <t>Rozrachunki zagranicz. z dostawcami z tytułu dostaw i usług/Rozrachunki zobowiązań wobec jednostek powiązanych/Zobowiązania wobec jednostek powiązanych płatne do 12 mies./Urlich von J und Sohn GmbH</t>
  </si>
  <si>
    <t>Rozrachunki zagranicz. z dostawcami z tytułu dostaw i usług/Rozrachunki zobowiązań wobec pozostałych jednostek/Zobowiązania wobec pozostałych jednostek płatne do 12 mies./Philips UK Ltd</t>
  </si>
  <si>
    <t>Rozrachunki zagranicz. z dostawcami z tytułu dostaw i usług/Rozrachunki zobowiązań wobec pozostałych jednostek/Zobowiązania wobec pozostałych jednostek płatne do 12 mies./Urlich von J und Sohn GmbH</t>
  </si>
  <si>
    <t>Rozrachunki zagranicz. z dostawcami z tytułu dostaw i usług/Rozrachunki zobowiązań wobec pozostałych jednostek/Zobowiązania wobec pozostałych jednostek płatne do 12 mies./Mechaniczeskij Optowyj</t>
  </si>
  <si>
    <t>Rozrachunki z tytułu VAT/Rozliczenie należnego VAT</t>
  </si>
  <si>
    <t>Rozrachunki z tytułu VAT/Rozliczenie naliczonego VAT</t>
  </si>
  <si>
    <t>Inne rozrachunki z pracownikami/Zaliczki/Cudny Cecylia</t>
  </si>
  <si>
    <t>Inne rozrachunki z pracownikami/Zaliczki/Dejmek Darek</t>
  </si>
  <si>
    <t>Inne rozrachunki z pracownikami/Zaliczki/Słoń Antoni</t>
  </si>
  <si>
    <t>Inne rozrachunki z pracownikami/Zaliczki/Nizińska Barbara</t>
  </si>
  <si>
    <t>Inne rozrachunki z pracownikami/Zaliczki/Miauczyński Mikołaj</t>
  </si>
  <si>
    <t>Inne rozrachunki z pracownikami/Zaliczki/Łapicka Zofia</t>
  </si>
  <si>
    <t>Inne rozrachunki z pracownikami/Zaliczki/Lewicki Edward</t>
  </si>
  <si>
    <t>Inne rozrachunki z pracownikami/Pożyczki krótkoterminowe/Łapicka Zofia</t>
  </si>
  <si>
    <t>Inne rozrachunki z pracownikami/Pożyczki krótkoterminowe/Lipiński Franciszek</t>
  </si>
  <si>
    <t>Inne rozrachunki z pracownikami/Pozostałe/Słoń Antoni</t>
  </si>
  <si>
    <t>Inne rozrachunki z pracownikami/Pozostałe/Liwska Mariola</t>
  </si>
  <si>
    <t>Nie wniesione wkłady na poczet kapitału zakładowego</t>
  </si>
  <si>
    <t>Rozliczenie zakupu materiałów/Zakupy od jednostek powiązanych/Materiały w drodze</t>
  </si>
  <si>
    <t>Rozliczenie zakupu towarów/Zakupy od jednostek powiązanych/Towary w drodze</t>
  </si>
  <si>
    <t>Rozliczenie zakupu towarów/Zakupy od jednostek powiązanych/Dostawy niefakturowane</t>
  </si>
  <si>
    <t>Rozliczenie zakupu usług/Zakupy od jednostek powiązanych/Zaliczki fakturowane</t>
  </si>
  <si>
    <t>BŁĘDNE KONTO: Rozliczenie WNT/Pozostałych jednostek</t>
  </si>
  <si>
    <t>Towary/Pierwszy MG</t>
  </si>
  <si>
    <t>Towary/Drugi MG</t>
  </si>
  <si>
    <t>Amortyzacja/Amortyzacja środków trwałych/Amortyzacja śr. tw. stanowiąca koszty uzyskania przychodu</t>
  </si>
  <si>
    <t>Podatki i opłaty/Opłaty bankowe</t>
  </si>
  <si>
    <t>Pozostałe koszty rodzajowe/Podróże służbowe</t>
  </si>
  <si>
    <t>Pozostałe koszty rodzajowe/Reprezentacja i reklama</t>
  </si>
  <si>
    <t>Pozostałe koszty rodzajowe/Inne koszty</t>
  </si>
  <si>
    <t>Rozliczenie kosztów zespołu 4</t>
  </si>
  <si>
    <t>Koszty działalności podstawowej/Wynagrodzenia z narzutami</t>
  </si>
  <si>
    <t>Koszty wydziałowe działalności podstawowej/Amortyzacja</t>
  </si>
  <si>
    <t>Koszty zakupu</t>
  </si>
  <si>
    <t>Koszty sprzedaży</t>
  </si>
  <si>
    <t>Koszty zarządu/Wynagrodzenia z narzutami</t>
  </si>
  <si>
    <t>Koszty zarządu/Inne koszty</t>
  </si>
  <si>
    <t>Rozliczenia międzyokresowe czynne kosztów/Krótkoterminowe</t>
  </si>
  <si>
    <t>Sprzedaż wyrobów/Sprzdaż do pozostałych jednostek/Sprzedaż - wyrób 1</t>
  </si>
  <si>
    <t>Sprzedaż usług działalności podstawowej/Sprzedaż do pozostałych jednostek/Pierwszy</t>
  </si>
  <si>
    <t>Sprzedaż usług działalności podstawowej/Sprzedaż do pozostałych jednostek/Drugi</t>
  </si>
  <si>
    <t>Sprzedaż towarów/Sprzedaż do pozostałych jednostek</t>
  </si>
  <si>
    <t>Wartość sprzedanych towarów/Wartość sprzedaży do pozostałych jednostek</t>
  </si>
  <si>
    <t>Pozostałe przychody finansowe</t>
  </si>
  <si>
    <t>Rozliczenia międzyokresowe przychodów/Krótkoterminowe</t>
  </si>
  <si>
    <t>Wynik finansowy</t>
  </si>
  <si>
    <t>Materiały i towary</t>
  </si>
  <si>
    <t>Umorzenie środków trwałych</t>
  </si>
  <si>
    <t>Kasa krajowych środków pieniężnych</t>
  </si>
  <si>
    <t>Bieżący rachunek bankowy</t>
  </si>
  <si>
    <t>Kredyty bankowe długoterminowe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</si>
  <si>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</si>
  <si>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</si>
  <si>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</si>
  <si>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zagranicz. z dostawcami z tytułu dostaw i usług</t>
  </si>
  <si>
    <t>Rozrachunki z tytułu VAT</t>
  </si>
  <si>
    <t>Inne rozrachunki z pracownikami</t>
  </si>
  <si>
    <t>Rozliczenie zakupu materiałów</t>
  </si>
  <si>
    <t>Rozliczenie zakupu towarów</t>
  </si>
  <si>
    <t>Rozliczenie zakupu usług</t>
  </si>
  <si>
    <t>Rozliczenie WNT</t>
  </si>
  <si>
    <t>Koszty działalności podstawowej</t>
  </si>
  <si>
    <t>Koszty wydziałowe działalności podstawowej</t>
  </si>
  <si>
    <t>Koszty zarządu</t>
  </si>
  <si>
    <t>Rozliczenia międzyokresowe czynne kosztów</t>
  </si>
  <si>
    <t>Sprzedaż wyrobów</t>
  </si>
  <si>
    <t>Sprzedaż usług działalności podstawowej</t>
  </si>
  <si>
    <t>Sprzedaż towarów</t>
  </si>
  <si>
    <t>Wartość sprzedanych towarów</t>
  </si>
  <si>
    <t>Rozliczenia międzyokresowe przychodów</t>
  </si>
  <si>
    <t>1-1-2</t>
  </si>
  <si>
    <t>1-1-3</t>
  </si>
  <si>
    <t>1-1-6</t>
  </si>
  <si>
    <t>1-1-30</t>
  </si>
  <si>
    <t>2-1-2</t>
  </si>
  <si>
    <t>2-1-3</t>
  </si>
  <si>
    <t>2-1-4</t>
  </si>
  <si>
    <t>2-1-5</t>
  </si>
  <si>
    <t>2-1-6</t>
  </si>
  <si>
    <t>2-1-7</t>
  </si>
  <si>
    <t>2-1-10</t>
  </si>
  <si>
    <t>2-1-13</t>
  </si>
  <si>
    <t>2-1-14</t>
  </si>
  <si>
    <t>2-1-15</t>
  </si>
  <si>
    <t>2-1-17</t>
  </si>
  <si>
    <t>2-1-21</t>
  </si>
  <si>
    <t>2-1-22</t>
  </si>
  <si>
    <t>2-1-24</t>
  </si>
  <si>
    <t>2-1-30</t>
  </si>
  <si>
    <t>2-1-31</t>
  </si>
  <si>
    <t>1-1-1</t>
  </si>
  <si>
    <t>1-1-4</t>
  </si>
  <si>
    <t>1-2-3</t>
  </si>
  <si>
    <t>1-2-21</t>
  </si>
  <si>
    <t>1-2-22</t>
  </si>
  <si>
    <t>2-1-1</t>
  </si>
  <si>
    <t>2-1-12</t>
  </si>
  <si>
    <t>2-1-16</t>
  </si>
  <si>
    <t>2-1-19</t>
  </si>
  <si>
    <t>2-1-27</t>
  </si>
  <si>
    <t>2-1-29</t>
  </si>
  <si>
    <t>2-2-29</t>
  </si>
  <si>
    <t>2-2-32</t>
  </si>
  <si>
    <t>1-1-28</t>
  </si>
  <si>
    <t>2-1-9</t>
  </si>
  <si>
    <t>2-1-18</t>
  </si>
  <si>
    <t>2-1-28</t>
  </si>
  <si>
    <t>1-1-9</t>
  </si>
  <si>
    <t>1-1-11</t>
  </si>
  <si>
    <t>2-1-11</t>
  </si>
  <si>
    <t>1-4</t>
  </si>
  <si>
    <t>1-5</t>
  </si>
  <si>
    <t>1-13</t>
  </si>
  <si>
    <t>1-15</t>
  </si>
  <si>
    <t>1-18</t>
  </si>
  <si>
    <t>1-22</t>
  </si>
  <si>
    <t>2-18</t>
  </si>
  <si>
    <t>2-21</t>
  </si>
  <si>
    <t>3-5</t>
  </si>
  <si>
    <t>2-3</t>
  </si>
  <si>
    <t>2-1</t>
  </si>
  <si>
    <t>1-1</t>
  </si>
  <si>
    <t>Budynki, lokale i obiekty inżynierii lądowej i wodnej</t>
  </si>
  <si>
    <t>Środki transportu</t>
  </si>
  <si>
    <t>Inne środki trwałe</t>
  </si>
  <si>
    <t>kasa złotówkowa</t>
  </si>
  <si>
    <t>kasa walutowa</t>
  </si>
  <si>
    <t>środki walutowe</t>
  </si>
  <si>
    <t>Krótkoterminowe inwestycje w pozostałych jednostkach</t>
  </si>
  <si>
    <t>AGD Adam</t>
  </si>
  <si>
    <t>Bank PKO SA</t>
  </si>
  <si>
    <t>Elektron sp. z o.o.</t>
  </si>
  <si>
    <t>Nowak Jan</t>
  </si>
  <si>
    <t>Edelweiss SA Oddział Zwierzyniec</t>
  </si>
  <si>
    <t>Edelweiss SA</t>
  </si>
  <si>
    <t>Kornex sp. z o.o.</t>
  </si>
  <si>
    <t>Warski sc.</t>
  </si>
  <si>
    <t>Altkom Matrix SA</t>
  </si>
  <si>
    <t>Anonim 0RHXRBXB</t>
  </si>
  <si>
    <t>Agora Gazeta</t>
  </si>
  <si>
    <t>TP SA</t>
  </si>
  <si>
    <t>Anonim OF442AS6</t>
  </si>
  <si>
    <t>AUTO Shop</t>
  </si>
  <si>
    <t>BIZNESPARTNER.PL SA</t>
  </si>
  <si>
    <t>SAGE SYMFONIA Sp. z o.o.</t>
  </si>
  <si>
    <t>Auto SALEon s.c.</t>
  </si>
  <si>
    <t>Office Depot</t>
  </si>
  <si>
    <t>Fundacja Wiedza Powszechna</t>
  </si>
  <si>
    <t>Mechaniczeskij Optowyj</t>
  </si>
  <si>
    <t>Chińska fabryka obuwia</t>
  </si>
  <si>
    <t>ANT Consulting Magdalena Chomuszko</t>
  </si>
  <si>
    <t>Ulrich von J und Sohn</t>
  </si>
  <si>
    <t>Philips UK Ltd</t>
  </si>
  <si>
    <t>Herr Flueck KG</t>
  </si>
  <si>
    <t>Urlich von J und Sohn GmbH</t>
  </si>
  <si>
    <t>Rozliczenie należnego VAT</t>
  </si>
  <si>
    <t>Rozliczenie naliczonego VAT</t>
  </si>
  <si>
    <t>Cudny Cecylia</t>
  </si>
  <si>
    <t>Dejmek Darek</t>
  </si>
  <si>
    <t>Słoń Antoni</t>
  </si>
  <si>
    <t>Nizińska Barbara</t>
  </si>
  <si>
    <t>Miauczyński Mikołaj</t>
  </si>
  <si>
    <t>Łapicka Zofia</t>
  </si>
  <si>
    <t>Lewicki Edward</t>
  </si>
  <si>
    <t>Lipiński Franciszek</t>
  </si>
  <si>
    <t>Liwska Mariola</t>
  </si>
  <si>
    <t>Materiały w drodze</t>
  </si>
  <si>
    <t>Towary w drodze</t>
  </si>
  <si>
    <t>Dostawy niefakturowane</t>
  </si>
  <si>
    <t>Zaliczki fakturowane</t>
  </si>
  <si>
    <t>Pierwszy MG</t>
  </si>
  <si>
    <t>Drugi MG</t>
  </si>
  <si>
    <t>Amortyzacja śr. tw. stanowiąca koszty uzyskania przychodu</t>
  </si>
  <si>
    <t>Opłaty bankowe</t>
  </si>
  <si>
    <t>Podróże służbowe</t>
  </si>
  <si>
    <t>Reprezentacja i reklama</t>
  </si>
  <si>
    <t>Inne koszty</t>
  </si>
  <si>
    <t>Wynagrodzenia z narzutami</t>
  </si>
  <si>
    <t>Krótkoterminowe</t>
  </si>
  <si>
    <t>Sprzedaż - wyrób 1</t>
  </si>
  <si>
    <t>Pierwszy</t>
  </si>
  <si>
    <t>Drugi</t>
  </si>
  <si>
    <t>Sprzedaż do pozostałych jednostek</t>
  </si>
  <si>
    <t>Wartość sprzedaży do pozostałych jednostek</t>
  </si>
  <si>
    <t>1/01-13/Lp.1</t>
  </si>
  <si>
    <t>2/01-13/Lp.1</t>
  </si>
  <si>
    <t>3/01-13/Lp.1</t>
  </si>
  <si>
    <t>4/01-13/Lp.1</t>
  </si>
  <si>
    <t>5/01-13/Lp.1</t>
  </si>
  <si>
    <t>6/01-13/Lp.1</t>
  </si>
  <si>
    <t>11/01-13/Lp.1</t>
  </si>
  <si>
    <t>7/01-13/Lp.1</t>
  </si>
  <si>
    <t>8/01-13/Lp.1</t>
  </si>
  <si>
    <t>9/01-13/Lp.1</t>
  </si>
  <si>
    <t>10/01-13/Lp.1</t>
  </si>
  <si>
    <t>12/01-13/Lp.1</t>
  </si>
  <si>
    <t>1/02-13/Lp.1</t>
  </si>
  <si>
    <t>2/02-13/Lp.1</t>
  </si>
  <si>
    <t>3/02-13/Lp.1</t>
  </si>
  <si>
    <t>4/02-13/Lp.1</t>
  </si>
  <si>
    <t>5/02-13/Lp.1</t>
  </si>
  <si>
    <t>6/02-13/Lp.1</t>
  </si>
  <si>
    <t>6/02-13/Lp.2</t>
  </si>
  <si>
    <t>6/02-13/Lp.3</t>
  </si>
  <si>
    <t>6/02-13/Lp.4</t>
  </si>
  <si>
    <t>6/02-13/Lp.5</t>
  </si>
  <si>
    <t>6/02-13/Lp.6</t>
  </si>
  <si>
    <t>7/02-13/Lp.1</t>
  </si>
  <si>
    <t>8/02-13/Lp.1</t>
  </si>
  <si>
    <t>9/02-13/Lp.1</t>
  </si>
  <si>
    <t>11/02-13/Lp.1</t>
  </si>
  <si>
    <t>12/02-13/Lp.1</t>
  </si>
  <si>
    <t>14/02-13/Lp.1</t>
  </si>
  <si>
    <t>15/02-13/Lp.1</t>
  </si>
  <si>
    <t>17/02-13/Lp.1</t>
  </si>
  <si>
    <t>18/02-13/Lp.1</t>
  </si>
  <si>
    <t>18/02-13/Lp.2</t>
  </si>
  <si>
    <t>19/02-13/Lp.1</t>
  </si>
  <si>
    <t>20/02-13/Lp.1</t>
  </si>
  <si>
    <t>21/02-13/Lp.1</t>
  </si>
  <si>
    <t>22/02-13/Lp.1</t>
  </si>
  <si>
    <t>22/02-13/Lp.2</t>
  </si>
  <si>
    <t>22/02-13/Lp.3</t>
  </si>
  <si>
    <t>24/02-13/Lp.1</t>
  </si>
  <si>
    <t>24/02-13/Lp.2</t>
  </si>
  <si>
    <t>25/02-13/Lp.1</t>
  </si>
  <si>
    <t>26/02-13/Lp.1</t>
  </si>
  <si>
    <t>27/02-13/Lp.1</t>
  </si>
  <si>
    <t>27/02-13/Lp.2</t>
  </si>
  <si>
    <t>27/02-13/Lp.3</t>
  </si>
  <si>
    <t>28/02-13/Lp.1</t>
  </si>
  <si>
    <t>29/02-13/Lp.1</t>
  </si>
  <si>
    <t>13/02-13/Lp.1</t>
  </si>
  <si>
    <t>23/02-13/Lp.1</t>
  </si>
  <si>
    <t>23/02-13/Lp.2</t>
  </si>
  <si>
    <t>30/02-13/Lp.1</t>
  </si>
  <si>
    <t>10/02-13/Lp.1</t>
  </si>
  <si>
    <t>16/02-13/Lp.1</t>
  </si>
  <si>
    <t>14/03-13/Lp.1</t>
  </si>
  <si>
    <t>16/03-13/Lp.1</t>
  </si>
  <si>
    <t>17/03-13/Lp.1</t>
  </si>
  <si>
    <t>11/03-13/Lp.1</t>
  </si>
  <si>
    <t>11/03-13/Lp.2</t>
  </si>
  <si>
    <t>11/03-13/Lp.3</t>
  </si>
  <si>
    <t>18/03-13/Lp.1</t>
  </si>
  <si>
    <t>1/03-13/Lp.1</t>
  </si>
  <si>
    <t>2/03-13/Lp.1</t>
  </si>
  <si>
    <t>4/03-13/Lp.1</t>
  </si>
  <si>
    <t>4/03-13/Lp.2</t>
  </si>
  <si>
    <t>8/03-13/Lp.1</t>
  </si>
  <si>
    <t>15/03-13/Lp.1</t>
  </si>
  <si>
    <t>7/03-13/Lp.1</t>
  </si>
  <si>
    <t>13/03-13/Lp.1</t>
  </si>
  <si>
    <t>3/03-13/Lp.1</t>
  </si>
  <si>
    <t>6/03-13/Lp.1</t>
  </si>
  <si>
    <t>12/03-13/Lp.1</t>
  </si>
  <si>
    <t>12/03-13/Lp.2</t>
  </si>
  <si>
    <t>12/03-13/Lp.3</t>
  </si>
  <si>
    <t>12/03-13/Lp.4</t>
  </si>
  <si>
    <t>10/03-13/Lp.1</t>
  </si>
  <si>
    <t>5/03-13/Lp.1</t>
  </si>
  <si>
    <t>9/03-13/Lp.1</t>
  </si>
  <si>
    <t>11/04-13/Lp.1</t>
  </si>
  <si>
    <t>11/04-13/Lp.2</t>
  </si>
  <si>
    <t>11/04-13/Lp.3</t>
  </si>
  <si>
    <t>11/04-13/Lp.4</t>
  </si>
  <si>
    <t>2/04-13/Lp.1</t>
  </si>
  <si>
    <t>2/04-13/Lp.2</t>
  </si>
  <si>
    <t>3/04-13/Lp.1</t>
  </si>
  <si>
    <t>4/04-13/Lp.1</t>
  </si>
  <si>
    <t>5/04-13/Lp.1</t>
  </si>
  <si>
    <t>8/04-13/Lp.1</t>
  </si>
  <si>
    <t>9/04-13/Lp.1</t>
  </si>
  <si>
    <t>10/04-13/Lp.1</t>
  </si>
  <si>
    <t>13/04-13/Lp.1</t>
  </si>
  <si>
    <t>14/04-13/Lp.1</t>
  </si>
  <si>
    <t>15/04-13/Lp.1</t>
  </si>
  <si>
    <t>16/04-13/Lp.1</t>
  </si>
  <si>
    <t>1/04-13/Lp.1</t>
  </si>
  <si>
    <t>6/04-13/Lp.1</t>
  </si>
  <si>
    <t>6/04-13/Lp.2</t>
  </si>
  <si>
    <t>7/04-13/Lp.1</t>
  </si>
  <si>
    <t>12/04-13/Lp.1</t>
  </si>
  <si>
    <t>12/04-13/Lp.2</t>
  </si>
  <si>
    <t>12/04-13/Lp.3</t>
  </si>
  <si>
    <t>12/04-13/Lp.4</t>
  </si>
  <si>
    <t>12/04-13/Lp.5</t>
  </si>
  <si>
    <t>12/04-13/Lp.6</t>
  </si>
  <si>
    <t>12/04-13/Lp.7</t>
  </si>
  <si>
    <t>12/04-13/Lp.8</t>
  </si>
  <si>
    <t>12/04-13/Lp.9</t>
  </si>
  <si>
    <t>12/04-13/Lp.10</t>
  </si>
  <si>
    <t>12/04-13/Lp.11</t>
  </si>
  <si>
    <t>2/05-13/Lp.1</t>
  </si>
  <si>
    <t>2/05-13/Lp.2</t>
  </si>
  <si>
    <t>3/05-13/Lp.1</t>
  </si>
  <si>
    <t>4/05-13/Lp.1</t>
  </si>
  <si>
    <t>1/05-13/Lp.1</t>
  </si>
  <si>
    <t>1/05-13/Lp.2</t>
  </si>
  <si>
    <t>1/05-13/Lp.3</t>
  </si>
  <si>
    <t>1/05-13/Lp.4</t>
  </si>
  <si>
    <t>1/05-13/Lp.5</t>
  </si>
  <si>
    <t>1/05-13/Lp.6</t>
  </si>
  <si>
    <t>8/05-13/Lp.1</t>
  </si>
  <si>
    <t>5/05-13/Lp.1</t>
  </si>
  <si>
    <t>6/05-13/Lp.1</t>
  </si>
  <si>
    <t>7/05-13/Lp.1</t>
  </si>
  <si>
    <t>9/05-13/Lp.1</t>
  </si>
  <si>
    <t>9/05-13/Lp.2</t>
  </si>
  <si>
    <t>9/05-13/Lp.3</t>
  </si>
  <si>
    <t>9/05-13/Lp.4</t>
  </si>
  <si>
    <t>9/05-13/Lp.5</t>
  </si>
  <si>
    <t>3/06-13/Lp.1</t>
  </si>
  <si>
    <t>6/06-13/Lp.1</t>
  </si>
  <si>
    <t>1/06-13/Lp.1</t>
  </si>
  <si>
    <t>1/06-13/Lp.2</t>
  </si>
  <si>
    <t>1/06-13/Lp.3</t>
  </si>
  <si>
    <t>1/06-13/Lp.4</t>
  </si>
  <si>
    <t>1/06-13/Lp.5</t>
  </si>
  <si>
    <t>1/06-13/Lp.6</t>
  </si>
  <si>
    <t>8/06-13/Lp.1</t>
  </si>
  <si>
    <t>7/06-13/Lp.1</t>
  </si>
  <si>
    <t>4/06-13/Lp.1</t>
  </si>
  <si>
    <t>5/06-13/Lp.1</t>
  </si>
  <si>
    <t>9/06-13/Lp.1</t>
  </si>
  <si>
    <t>9/06-13/Lp.2</t>
  </si>
  <si>
    <t>9/06-13/Lp.3</t>
  </si>
  <si>
    <t>9/06-13/Lp.4</t>
  </si>
  <si>
    <t>2/06-13/Lp.1</t>
  </si>
  <si>
    <t>2/06-13/Lp.2</t>
  </si>
  <si>
    <t>5/07-13/Lp.1</t>
  </si>
  <si>
    <t>1/07-13/Lp.1</t>
  </si>
  <si>
    <t>2/07-13/Lp.1</t>
  </si>
  <si>
    <t>4/07-13/Lp.1</t>
  </si>
  <si>
    <t>4/07-13/Lp.2</t>
  </si>
  <si>
    <t>6/07-13/Lp.1</t>
  </si>
  <si>
    <t>7/07-13/Lp.1</t>
  </si>
  <si>
    <t>8/07-13/Lp.1</t>
  </si>
  <si>
    <t>8/07-13/Lp.2</t>
  </si>
  <si>
    <t>8/07-13/Lp.3</t>
  </si>
  <si>
    <t>8/07-13/Lp.4</t>
  </si>
  <si>
    <t>3/07-13/Lp.1</t>
  </si>
  <si>
    <t>3/07-13/Lp.2</t>
  </si>
  <si>
    <t>3/07-13/Lp.3</t>
  </si>
  <si>
    <t>3/07-13/Lp.4</t>
  </si>
  <si>
    <t>3/07-13/Lp.5</t>
  </si>
  <si>
    <t>3/07-13/Lp.6</t>
  </si>
  <si>
    <t>5/08-13/Lp.1</t>
  </si>
  <si>
    <t>6/08-13/Lp.1</t>
  </si>
  <si>
    <t>7/08-13/Lp.1</t>
  </si>
  <si>
    <t>4/08-13/Lp.1</t>
  </si>
  <si>
    <t>4/08-13/Lp.2</t>
  </si>
  <si>
    <t>10/08-13/Lp.1</t>
  </si>
  <si>
    <t>11/08-13/Lp.1</t>
  </si>
  <si>
    <t>3/08-13/Lp.1</t>
  </si>
  <si>
    <t>3/08-13/Lp.2</t>
  </si>
  <si>
    <t>8/08-13/Lp.1</t>
  </si>
  <si>
    <t>8/08-13/Lp.2</t>
  </si>
  <si>
    <t>9/08-13/Lp.1</t>
  </si>
  <si>
    <t>9/08-13/Lp.2</t>
  </si>
  <si>
    <t>9/08-13/Lp.3</t>
  </si>
  <si>
    <t>9/08-13/Lp.4</t>
  </si>
  <si>
    <t>9/08-13/Lp.5</t>
  </si>
  <si>
    <t>12/08-13/Lp.1</t>
  </si>
  <si>
    <t>1/08-13/Lp.1</t>
  </si>
  <si>
    <t>1/08-13/Lp.2</t>
  </si>
  <si>
    <t>1/08-13/Lp.3</t>
  </si>
  <si>
    <t>1/08-13/Lp.4</t>
  </si>
  <si>
    <t>1/08-13/Lp.5</t>
  </si>
  <si>
    <t>1/08-13/Lp.6</t>
  </si>
  <si>
    <t>2/08-13/Lp.1</t>
  </si>
  <si>
    <t>2/08-13/Lp.2</t>
  </si>
  <si>
    <t>4/09-13/Lp.1</t>
  </si>
  <si>
    <t>5/09-13/Lp.1</t>
  </si>
  <si>
    <t>6/09-13/Lp.1</t>
  </si>
  <si>
    <t>7/09-13/Lp.1</t>
  </si>
  <si>
    <t>9/09-13/Lp.1</t>
  </si>
  <si>
    <t>10/09-13/Lp.1</t>
  </si>
  <si>
    <t>8/09-13/Lp.1</t>
  </si>
  <si>
    <t>11/09-13/Lp.1</t>
  </si>
  <si>
    <t>11/09-13/Lp.2</t>
  </si>
  <si>
    <t>11/09-13/Lp.3</t>
  </si>
  <si>
    <t>11/09-13/Lp.4</t>
  </si>
  <si>
    <t>11/09-13/Lp.5</t>
  </si>
  <si>
    <t>11/09-13/Lp.6</t>
  </si>
  <si>
    <t>11/09-13/Lp.7</t>
  </si>
  <si>
    <t>11/09-13/Lp.8</t>
  </si>
  <si>
    <t>11/09-13/Lp.9</t>
  </si>
  <si>
    <t>11/09-13/Lp.10</t>
  </si>
  <si>
    <t>11/09-13/Lp.11</t>
  </si>
  <si>
    <t>12/09-13/Lp.1</t>
  </si>
  <si>
    <t>12/09-13/Lp.2</t>
  </si>
  <si>
    <t>1/09-13/Lp.1</t>
  </si>
  <si>
    <t>1/09-13/Lp.2</t>
  </si>
  <si>
    <t>2/09-13/Lp.1</t>
  </si>
  <si>
    <t>2/09-13/Lp.2</t>
  </si>
  <si>
    <t>2/09-13/Lp.3</t>
  </si>
  <si>
    <t>2/09-13/Lp.4</t>
  </si>
  <si>
    <t>2/09-13/Lp.5</t>
  </si>
  <si>
    <t>2/09-13/Lp.6</t>
  </si>
  <si>
    <t>3/09-13/Lp.1</t>
  </si>
  <si>
    <t>3/09-13/Lp.2</t>
  </si>
  <si>
    <t>3/09-13/Lp.3</t>
  </si>
  <si>
    <t>3/09-13/Lp.4</t>
  </si>
  <si>
    <t>3/09-13/Lp.5</t>
  </si>
  <si>
    <t>5/10-13/Lp.1</t>
  </si>
  <si>
    <t>6/10-13/Lp.1</t>
  </si>
  <si>
    <t>8/10-13/Lp.1</t>
  </si>
  <si>
    <t>7/10-13/Lp.1</t>
  </si>
  <si>
    <t>2/10-13/Lp.1</t>
  </si>
  <si>
    <t>3/10-13/Lp.1</t>
  </si>
  <si>
    <t>1/10-13/Lp.1</t>
  </si>
  <si>
    <t>4/10-13/Lp.1</t>
  </si>
  <si>
    <t>9/10-13/Lp.1</t>
  </si>
  <si>
    <t>9/10-13/Lp.2</t>
  </si>
  <si>
    <t>10/10-13/Lp.1</t>
  </si>
  <si>
    <t>10/10-13/Lp.2</t>
  </si>
  <si>
    <t>10/10-13/Lp.3</t>
  </si>
  <si>
    <t>10/10-13/Lp.4</t>
  </si>
  <si>
    <t>10/10-13/Lp.5</t>
  </si>
  <si>
    <t>6/04-13/Lp.3</t>
  </si>
  <si>
    <t>6/04-13/Lp.4</t>
  </si>
  <si>
    <t>6/04-13/Lp.5</t>
  </si>
  <si>
    <t>6/04-13/Lp.6</t>
  </si>
  <si>
    <t>Kuchenka gazowa Zelma 8 / Bęben A1 do pralki Mille</t>
  </si>
  <si>
    <t>Palniki do kuchenki gazowej Zelma 4</t>
  </si>
  <si>
    <t>Kuchenki gazowe Zelma 4 sztuk 3</t>
  </si>
  <si>
    <t>Pralki MILLE 2030x12</t>
  </si>
  <si>
    <t>Zakup materiałów do produkcji palników</t>
  </si>
  <si>
    <t>Sprzedaż elementów pralek i kuchni gazowych</t>
  </si>
  <si>
    <t>Zakupy biurowe</t>
  </si>
  <si>
    <t>Sprzedaż pokrywy pralki Diana 15</t>
  </si>
  <si>
    <t>Sprzedaż suszarek</t>
  </si>
  <si>
    <t>Zakup towarów</t>
  </si>
  <si>
    <t>Raport kasowy walutowy z dnia 01/02/2013</t>
  </si>
  <si>
    <t>Zakup produktów rolnych</t>
  </si>
  <si>
    <t>Sprzedaż paliwa</t>
  </si>
  <si>
    <t>Sprzedaż biletów</t>
  </si>
  <si>
    <t>Wyciąg bankowy z dnia 01/02/2013</t>
  </si>
  <si>
    <t>Sprzedaż zagraniczna Grzałka do pralki Diana 12F</t>
  </si>
  <si>
    <t>Sprzedaż prasy</t>
  </si>
  <si>
    <t>Dostawa towarów, dla której podatnikiem jets nabywca</t>
  </si>
  <si>
    <t>Przegląd pogwarancyjny</t>
  </si>
  <si>
    <t>Sprzedaz pokręteł do kuchni</t>
  </si>
  <si>
    <t>Sprzedaż grzałek do pralki Diana 12F</t>
  </si>
  <si>
    <t>Nabycie kotła KOT 23/6/BP</t>
  </si>
  <si>
    <t>Import usług z UE - faktura dostawcy</t>
  </si>
  <si>
    <t>Import usług spoza UE - VAT</t>
  </si>
  <si>
    <t>K01/01/02/2013</t>
  </si>
  <si>
    <t>Raport kasowy z 01/02/2013</t>
  </si>
  <si>
    <t>Rozliczenie zaliczki</t>
  </si>
  <si>
    <t>FWN 3 - VAT należny naliczony</t>
  </si>
  <si>
    <t>Sprzedaż zagraniczna Bęben do pralki A1</t>
  </si>
  <si>
    <t>Sprzedaż bębna A1 do pralki MILLE 203XC</t>
  </si>
  <si>
    <t>Zakup prenumeraty czasopisma Świat Polek</t>
  </si>
  <si>
    <t>Sprzedaż odkurzaczy</t>
  </si>
  <si>
    <t>Raport kasowy z 12/02/2013</t>
  </si>
  <si>
    <t>Sprzedaż gotówkowa prasy</t>
  </si>
  <si>
    <t>Sprzedaż towarów i usług</t>
  </si>
  <si>
    <t>Sprzedaż zagraniczna Pokrywa do pralki Atlas 14</t>
  </si>
  <si>
    <t>Faktura od nabywcy AM Diana 12F amortyzator</t>
  </si>
  <si>
    <t>Zakup krajowy Bęben A1 do pralki MILE 2034XC</t>
  </si>
  <si>
    <t>Raport kasowy z 02/03/2013</t>
  </si>
  <si>
    <t>Zakup dokumentacji</t>
  </si>
  <si>
    <t>Faktura gotówkowa Usługa transportowa</t>
  </si>
  <si>
    <t>Sprzedaż kontenerów i palet</t>
  </si>
  <si>
    <t>Zakup krajowy Pokrywa pralki Atlas 14/Diana 12F amortyza..</t>
  </si>
  <si>
    <t>Zakupy komponentów</t>
  </si>
  <si>
    <t>Zakupy komponnentów</t>
  </si>
  <si>
    <t>Odkurzacz Atlas 14 / Pralka 12F</t>
  </si>
  <si>
    <t>Diana 12F amortyzator/Bęben do pralki Diana 12F/Grzałka...</t>
  </si>
  <si>
    <t>Zakup pokrywy do pralki Atlas 14</t>
  </si>
  <si>
    <t>Raport kasowy z 12/03/2013</t>
  </si>
  <si>
    <t>Zakup usług</t>
  </si>
  <si>
    <t>Raport kasowy z 09/04/2013</t>
  </si>
  <si>
    <t>Sprzedaż odkurzacza LUNA Extra</t>
  </si>
  <si>
    <t>Palniki gazowe do kuchni Zelma 8</t>
  </si>
  <si>
    <t>Sprzedaż amortyzatora do Diana 12F</t>
  </si>
  <si>
    <t>Zakup komponentów</t>
  </si>
  <si>
    <t>Uchwyt A4 do pralki Mille 2034XC</t>
  </si>
  <si>
    <t>Bęben A4 do pralki MILLE 2034XC Będen do pralki Diana 12F</t>
  </si>
  <si>
    <t>Sprzedaż usług</t>
  </si>
  <si>
    <t>Sprzedaż materiałów</t>
  </si>
  <si>
    <t>Raport kasowy z 16/04/2013</t>
  </si>
  <si>
    <t>ŚRODKI TRWAŁE 05/2013</t>
  </si>
  <si>
    <t>Kuchenka gazowa Zelma 8 / Bęben A1 do pralki MILLE 2034</t>
  </si>
  <si>
    <t>Zakup odkurzacza LUNA Extra</t>
  </si>
  <si>
    <t>Amortyzacja w miesiacu 06/2013</t>
  </si>
  <si>
    <t>Rozliczenie zaliczki za wynajem</t>
  </si>
  <si>
    <t>Okurzacz Atlas 12 / Usługa transportowa Polska - Czechy</t>
  </si>
  <si>
    <t>Prace projektowe</t>
  </si>
  <si>
    <t>WB1/05/2013</t>
  </si>
  <si>
    <t>WB1/06/2013</t>
  </si>
  <si>
    <t>ŚRODKI TRWAŁE 06/2013</t>
  </si>
  <si>
    <t>Zapłata za 36/05/2013</t>
  </si>
  <si>
    <t>Zapłata za 48/05/2013</t>
  </si>
  <si>
    <t>WB1/07/2013</t>
  </si>
  <si>
    <t>Amortyzacja w miesiacu 07/2013</t>
  </si>
  <si>
    <t>Sprzedaż materiałów do pralek</t>
  </si>
  <si>
    <t>Sprzedaż kuchenki elektrycznej Diana 13</t>
  </si>
  <si>
    <t>Produkty rolne</t>
  </si>
  <si>
    <t>Raport kasowy z 21/08/2013</t>
  </si>
  <si>
    <t>WB1/08/2013</t>
  </si>
  <si>
    <t>Różnice kursowe: IUF 1 / WB 5\WB\3\13</t>
  </si>
  <si>
    <t>Amortyzacja w miesiacu 08/2013</t>
  </si>
  <si>
    <t>ŚRODKI TRWAŁE 08/2013</t>
  </si>
  <si>
    <t>Raport kasowy z 27/09/2013</t>
  </si>
  <si>
    <t>WB1/09/2013</t>
  </si>
  <si>
    <t>ŚRODKI TRWAŁE 09/2013</t>
  </si>
  <si>
    <t>Amortyzacja w miesiacu 09/2013</t>
  </si>
  <si>
    <t>Krajowy dokument specjalny sprzedaży w walucie obcej</t>
  </si>
  <si>
    <t>dokument specjalny zakupu w walucie obcej</t>
  </si>
  <si>
    <t>Zakup złomu</t>
  </si>
  <si>
    <t>Raport kasowy z 31/10/2013</t>
  </si>
  <si>
    <t>WB1/10/2013</t>
  </si>
  <si>
    <t>0008/01/2012</t>
  </si>
  <si>
    <t>74/01/2012</t>
  </si>
  <si>
    <t>75/01/2012</t>
  </si>
  <si>
    <t>76/01/2012</t>
  </si>
  <si>
    <t>89/01/2012</t>
  </si>
  <si>
    <t>46/01/2013</t>
  </si>
  <si>
    <t>85/01/2012</t>
  </si>
  <si>
    <t>45/01/2013</t>
  </si>
  <si>
    <t>47/01/2013</t>
  </si>
  <si>
    <t>48/01/2013</t>
  </si>
  <si>
    <t>25/01/2013</t>
  </si>
  <si>
    <t>96/01/2013</t>
  </si>
  <si>
    <t>12/02/2013</t>
  </si>
  <si>
    <t>FRR 1/01/02/2013</t>
  </si>
  <si>
    <t>6/2013</t>
  </si>
  <si>
    <t>12/01/2013</t>
  </si>
  <si>
    <t>15/01/2013</t>
  </si>
  <si>
    <t>46/02/2013</t>
  </si>
  <si>
    <t>0001/04/SRS/01/02/13</t>
  </si>
  <si>
    <t>1/01/WDT/02/2013</t>
  </si>
  <si>
    <t>DP: 12</t>
  </si>
  <si>
    <t>1/DTF/2013</t>
  </si>
  <si>
    <t>0005/FVS/13/01/02/13</t>
  </si>
  <si>
    <t>78/02/2012</t>
  </si>
  <si>
    <t>79/02/2012</t>
  </si>
  <si>
    <t>INV 45/01/02/2013</t>
  </si>
  <si>
    <t>15/IUF/01/02/2013</t>
  </si>
  <si>
    <t>28/IUV/01/02/2013</t>
  </si>
  <si>
    <t>2/02/2012</t>
  </si>
  <si>
    <t>PZ 1115/01/02/2013</t>
  </si>
  <si>
    <t>RK/01/01/02/2013</t>
  </si>
  <si>
    <t>RZL/01/01/02/2013</t>
  </si>
  <si>
    <t>FW 1004/01/02/2013</t>
  </si>
  <si>
    <t>0002/DEX/01/02/2013</t>
  </si>
  <si>
    <t>DIM/12/02/2013</t>
  </si>
  <si>
    <t>12-FVZ/2013</t>
  </si>
  <si>
    <t>1/2013</t>
  </si>
  <si>
    <t>77/02/2012</t>
  </si>
  <si>
    <t>RK/02/01/02/2013</t>
  </si>
  <si>
    <t>52/02/2012</t>
  </si>
  <si>
    <t>1/02/2012</t>
  </si>
  <si>
    <t>74/03/2012</t>
  </si>
  <si>
    <t>0005/DEX/01/03/2013</t>
  </si>
  <si>
    <t>1/13/FVZn [1/13/FVZn]</t>
  </si>
  <si>
    <t>123/ZAK [0018/12/FVZ/2]</t>
  </si>
  <si>
    <t>RK/03/01/02/2013</t>
  </si>
  <si>
    <t>FVZ-14/03/2013</t>
  </si>
  <si>
    <t>12/FVS/01/2013</t>
  </si>
  <si>
    <t>0004/13/FVS/1</t>
  </si>
  <si>
    <t>45/03/2013</t>
  </si>
  <si>
    <t>Gflo/01/02 [0017/12/FVZ/2]</t>
  </si>
  <si>
    <t>FVZ-LU/01/3/13</t>
  </si>
  <si>
    <t>FVZ_LU/02/01/13</t>
  </si>
  <si>
    <t>10-WDT/0009</t>
  </si>
  <si>
    <t>0007/13/FVS/1</t>
  </si>
  <si>
    <t>5\03\2013</t>
  </si>
  <si>
    <t>RK/04/01/02/2013</t>
  </si>
  <si>
    <t>15/03/2012</t>
  </si>
  <si>
    <t>0015/01/2012</t>
  </si>
  <si>
    <t>12/03/2012</t>
  </si>
  <si>
    <t>RK/05/01/02/2013</t>
  </si>
  <si>
    <t>7/04/2013</t>
  </si>
  <si>
    <t>12/FVS/04/2013</t>
  </si>
  <si>
    <t>0003/13/FVS/1</t>
  </si>
  <si>
    <t>0002/13/FVS/1</t>
  </si>
  <si>
    <t>06/04/2013</t>
  </si>
  <si>
    <t>45/04/2013</t>
  </si>
  <si>
    <t>03/04/13 (0003/13/FVZ/1)</t>
  </si>
  <si>
    <t>14/09/2013</t>
  </si>
  <si>
    <t>FVZ_LU/10/04/2013</t>
  </si>
  <si>
    <t>2/04/13 (0002/13/FVZ/1)</t>
  </si>
  <si>
    <t>FVZ/01/04/2013 (0001/13/FVZ/3)</t>
  </si>
  <si>
    <t>1/02/2013</t>
  </si>
  <si>
    <t>80/04/2012</t>
  </si>
  <si>
    <t>81/04/2012</t>
  </si>
  <si>
    <t>RK/06/01/02/2013</t>
  </si>
  <si>
    <t>Środki Trwałe</t>
  </si>
  <si>
    <t>0006/13/FVS/05</t>
  </si>
  <si>
    <t>11/FVZ/05/2013</t>
  </si>
  <si>
    <t>Środki Trwałe 05/2013</t>
  </si>
  <si>
    <t>5/W/05/2013</t>
  </si>
  <si>
    <t>0009/13/FVSW/05/2013</t>
  </si>
  <si>
    <t>2/SUW/2013</t>
  </si>
  <si>
    <t>1/SUW/2013</t>
  </si>
  <si>
    <t>WB/1/05/2013</t>
  </si>
  <si>
    <t>321/06/2013</t>
  </si>
  <si>
    <t>1/W/06/2013</t>
  </si>
  <si>
    <t>Środki Trwałe 06/2013</t>
  </si>
  <si>
    <t>Gflo/01/02a [0017/12/FVZ/2]</t>
  </si>
  <si>
    <t>123a/ZAK [0018/12/FVZ/2]</t>
  </si>
  <si>
    <t>333/06/2013</t>
  </si>
  <si>
    <t>345/06/2013</t>
  </si>
  <si>
    <t>WB/1/06/2013</t>
  </si>
  <si>
    <t>Środki Trwałe 2</t>
  </si>
  <si>
    <t>5/W/07/2013</t>
  </si>
  <si>
    <t>85/15/07/13</t>
  </si>
  <si>
    <t>52/07/2013</t>
  </si>
  <si>
    <t>36/07/2013</t>
  </si>
  <si>
    <t>25/07/13</t>
  </si>
  <si>
    <t>152/02/2012</t>
  </si>
  <si>
    <t>WB/1/07/2013</t>
  </si>
  <si>
    <t>Środki Trwałe 07/2013</t>
  </si>
  <si>
    <t>13/W/08/2013</t>
  </si>
  <si>
    <t>36/08/2013</t>
  </si>
  <si>
    <t>69/08/2013</t>
  </si>
  <si>
    <t>FRR-85/08/2013</t>
  </si>
  <si>
    <t>6/08/2013</t>
  </si>
  <si>
    <t>54/08/2013</t>
  </si>
  <si>
    <t>FRR-13-08-2013</t>
  </si>
  <si>
    <t>RK/07/01/02/2013</t>
  </si>
  <si>
    <t>WB/1/08/2013</t>
  </si>
  <si>
    <t>R.Kurs/RKR 1</t>
  </si>
  <si>
    <t>Środki Trwałe 08/2013</t>
  </si>
  <si>
    <t>Środki Trwałe 3</t>
  </si>
  <si>
    <t>7/W/09/2013</t>
  </si>
  <si>
    <t>35/09/2013</t>
  </si>
  <si>
    <t>0018/13/FVS/09</t>
  </si>
  <si>
    <t>FVZ_LU12/02/01/13</t>
  </si>
  <si>
    <t>451/04/2013</t>
  </si>
  <si>
    <t>51\03\2013</t>
  </si>
  <si>
    <t>RK/08/01/02/2013</t>
  </si>
  <si>
    <t>WB/1/09/2013</t>
  </si>
  <si>
    <t>Środki Trwałe 4</t>
  </si>
  <si>
    <t>Środki Trwałe 09/2013</t>
  </si>
  <si>
    <t>Środki Trwałe 091/2013</t>
  </si>
  <si>
    <t>35/10/2013</t>
  </si>
  <si>
    <t>321/10/2013</t>
  </si>
  <si>
    <t>FVZ_LU/10/10/2013</t>
  </si>
  <si>
    <t>5/W/10/2013</t>
  </si>
  <si>
    <t>125/10/2013</t>
  </si>
  <si>
    <t>126/10/2013</t>
  </si>
  <si>
    <t>741/10/2013</t>
  </si>
  <si>
    <t>333/10/2013</t>
  </si>
  <si>
    <t>RK/09/01/02/2013</t>
  </si>
  <si>
    <t>WB/1/10/2013</t>
  </si>
  <si>
    <t>Raport Kasowy walutowy</t>
  </si>
  <si>
    <t>Faktura Rolnicza</t>
  </si>
  <si>
    <t>Sprzedaż metoda kasowa</t>
  </si>
  <si>
    <t>Rachunek sprzedaży</t>
  </si>
  <si>
    <t>Wewnątrzwspólnotowa dostawa towaru</t>
  </si>
  <si>
    <t>Dostawa towarów - Faktura zakupu</t>
  </si>
  <si>
    <t>Faktura wewnątrzwspólnotowego nabycia</t>
  </si>
  <si>
    <t>Import Usług - Faktura zakupu</t>
  </si>
  <si>
    <t>Import Usług - VAT</t>
  </si>
  <si>
    <t>Paragon sprzedaży</t>
  </si>
  <si>
    <t>Przyjęcie wewnątrzwspólnotowego nabycia</t>
  </si>
  <si>
    <t>Raport kasowy</t>
  </si>
  <si>
    <t>Faktura wewnętrzna WNT</t>
  </si>
  <si>
    <t>Dokument eksportowy</t>
  </si>
  <si>
    <t>Dokument importowy</t>
  </si>
  <si>
    <t>Faktura walutowa sprzedaży</t>
  </si>
  <si>
    <t>Dokument specjalny sprzedaży w walucie</t>
  </si>
  <si>
    <t>Dokument specjalny zakupu w walucie</t>
  </si>
  <si>
    <t>Dokument specjalny</t>
  </si>
  <si>
    <t>Admin</t>
  </si>
  <si>
    <t>Przelew faktura FVZ 6</t>
  </si>
  <si>
    <t>Przelew faktura FVZ 7</t>
  </si>
  <si>
    <t>Przelew faktura FVZ 8</t>
  </si>
  <si>
    <t>Przelew faktura FVZ 9</t>
  </si>
  <si>
    <t>PKO BP prowizja bankowa</t>
  </si>
  <si>
    <t>K01/01/02/2013 Maszyna z importu</t>
  </si>
  <si>
    <t>podjęcie gotówki z rachunku bankowego</t>
  </si>
  <si>
    <t>delegacja zaliczka Cudny</t>
  </si>
  <si>
    <t>spłata zobowiazań wobec 21</t>
  </si>
  <si>
    <t>Rachunek za taksówkę, Rozliczenie zaliczki, rozliczenie zaliczki</t>
  </si>
  <si>
    <t>Rachunek za taksówkę</t>
  </si>
  <si>
    <t>Usługa transportowa</t>
  </si>
  <si>
    <t>Wpłata gotówki - rozliczenie delegacji</t>
  </si>
  <si>
    <t>Wpłata gotówki - za fakturę</t>
  </si>
  <si>
    <t>Sprzedaż towarów i usług, Sprzedaż usług</t>
  </si>
  <si>
    <t>Diana 12F amortyzator</t>
  </si>
  <si>
    <t>Zaliczka</t>
  </si>
  <si>
    <t>spłata zobowiazań - zaliczka</t>
  </si>
  <si>
    <t>Wpłata gotówki - za fakturę 552/2013</t>
  </si>
  <si>
    <t>Wpłata gotówki - za fakturę 552/2013 - VAT</t>
  </si>
  <si>
    <t>wpłata gotówki do banku</t>
  </si>
  <si>
    <t>Pożyczka</t>
  </si>
  <si>
    <t>Rozliczenie delegacji</t>
  </si>
  <si>
    <t>Przejazdy po mieście</t>
  </si>
  <si>
    <t>Zwrot zaliczki</t>
  </si>
  <si>
    <t>Rata 06/13 - Umowa wynajmu 02/05/2013</t>
  </si>
  <si>
    <t>Okurzacz Atlas 12 / Usługa transportowa Polska - Czechy, Różnice kursowe</t>
  </si>
  <si>
    <t>Kredyt bankowy</t>
  </si>
  <si>
    <t>Zapłata za FV wynajmu</t>
  </si>
  <si>
    <t>Zapłata za faktury za samochody</t>
  </si>
  <si>
    <t>Zapłata za budynek</t>
  </si>
  <si>
    <t>Wpłata udziałów</t>
  </si>
  <si>
    <t>Rata 06/13 - Umowa wynajmu 02/06/2013</t>
  </si>
  <si>
    <t>Wypłata zaliczki</t>
  </si>
  <si>
    <t>Za fa</t>
  </si>
  <si>
    <t>Rata 08/13 - Umowa wynajmu 02/06/2013</t>
  </si>
  <si>
    <t>Zwrot pożyczki</t>
  </si>
  <si>
    <t>Brutto opo kursie CIT/PIT, Netto opo kursie CIT/PIT, VAT opo kursie CIT/PIT, Różnice kursowe</t>
  </si>
  <si>
    <t>kwota netto - kurs CIT/PIT, kwota brutto - kurs CIT/PIT, kwota VAT - kurs CIT/PIT, kwota bilansująca w PLN (pozostałe koszty finansowe)</t>
  </si>
  <si>
    <t>Kredyt bankowy - transza</t>
  </si>
  <si>
    <t>Różnice kursowe: DTF 1 / KOMP 1</t>
  </si>
  <si>
    <t>Różnice kursowe: DIM 1 / KOMP 1</t>
  </si>
  <si>
    <t>Komp. wal. WDT 1. 08-WDT/0001 z DIM 1.</t>
  </si>
  <si>
    <t>Komp. wal. WDT 2. 10-WDT/0009 z DIM 1.</t>
  </si>
  <si>
    <t>Komp. wal. DEX 1. 0006/07/DEX/2011 z DIM</t>
  </si>
  <si>
    <t>Komp. wal. DEX 1. 0006/07/DEX/2011 z DTF</t>
  </si>
  <si>
    <t>BUFOR/FVS 10\FVS\2\13/04-13/Lp.1</t>
  </si>
  <si>
    <t>BUFOR/FVS 10\FVS\2\13/04-13/Lp.2</t>
  </si>
  <si>
    <t>BUFOR/FVS 10\FVS\2\13/04-13/Lp.3</t>
  </si>
  <si>
    <t>BUFOR/FVS 10\FVS\2\13/04-13/Lp.4</t>
  </si>
  <si>
    <t>BUFOR/FVS 10\FVS\2\13/04-13/Lp.5</t>
  </si>
  <si>
    <t>BUFOR/FVS 10\FVS\2\13/04-13/Lp.6</t>
  </si>
  <si>
    <t>BUFOR/FVS 11\FVS\2\13/04-13/Lp.1</t>
  </si>
  <si>
    <t>BUFOR/FVZ 11/04-13/Lp.1</t>
  </si>
  <si>
    <t>BUFOR/FVZ 14/04-13/Lp.1</t>
  </si>
  <si>
    <t>BUFOR/FVZ 15/04-13/Lp.1</t>
  </si>
  <si>
    <t>BUFOR/RK 5/04-13/Lp.1</t>
  </si>
  <si>
    <t>BUFOR/RK 6/04-13/Lp.1</t>
  </si>
  <si>
    <t>rozliczenie zaliczki</t>
  </si>
  <si>
    <t>Różnice kursowe: IUF           1 / WB    5\WB\3\13</t>
  </si>
  <si>
    <t>Brutto opo kursie CIT/PIT</t>
  </si>
  <si>
    <t>kwota netto - kurs CIT/PIT</t>
  </si>
  <si>
    <t>kwota VAT - kurs CIT/PIT</t>
  </si>
  <si>
    <t>Komp. wal. WDT           1.  08-WDT/0001 z DIM           1.</t>
  </si>
  <si>
    <t>Komp. wal. WDT           2.  10-WDT/0009 z DIM           1.</t>
  </si>
  <si>
    <t>Komp. wal. DEX           1.  0006/07/DEX/2011 z DIM</t>
  </si>
  <si>
    <t>Komp. wal. DEX           1.  0006/07/DEX/2011 z DTF</t>
  </si>
  <si>
    <t>Różnice kursowe: DIM           1 / KOMP          1</t>
  </si>
  <si>
    <t>Różnice kursowe: DTF           1 / KOMP          1</t>
  </si>
  <si>
    <t>Netto opo kursie CIT/PIT</t>
  </si>
  <si>
    <t>VAT opo kursie CIT/PIT</t>
  </si>
  <si>
    <t>kwota brutto - kurs CIT/PIT</t>
  </si>
  <si>
    <t>kwota bilansująca w PLN (pozostałe koszty finansowe)</t>
  </si>
  <si>
    <t>EUR</t>
  </si>
  <si>
    <t>GBP</t>
  </si>
  <si>
    <t>101-1</t>
  </si>
  <si>
    <t>201-1-1-7</t>
  </si>
  <si>
    <t>201-1-1-32</t>
  </si>
  <si>
    <t>201-2-1-20</t>
  </si>
  <si>
    <t>202-2-1-17</t>
  </si>
  <si>
    <t>203-1-1-9</t>
  </si>
  <si>
    <t>203-1-1-25</t>
  </si>
  <si>
    <t>204-2-1-8</t>
  </si>
  <si>
    <t>205-2-16</t>
  </si>
  <si>
    <t>402</t>
  </si>
  <si>
    <t>530</t>
  </si>
  <si>
    <t>702-1-1</t>
  </si>
  <si>
    <t>702-3-1</t>
  </si>
  <si>
    <t>731-1</t>
  </si>
  <si>
    <t>752-2</t>
  </si>
  <si>
    <t>759</t>
  </si>
  <si>
    <t>763</t>
  </si>
  <si>
    <t>901</t>
  </si>
  <si>
    <t>Kasa II krajowych środków pieniężnych/kasa II środków pieniężnych</t>
  </si>
  <si>
    <t>Rozrachunki krajowe z odbiorcami z tytułu dostaw i usług/Rozrachunki należności od jednostek powiązanych/Należności od jednostek powiązanych płatne do 12 miesięcy/Kornex sp. z o.o.</t>
  </si>
  <si>
    <t>Rozrachunki krajowe z odbiorcami z tytułu dostaw i usług/Rozrachunki należności od jednostek powiązanych/Należności od jednostek powiązanych płatne do 12 miesięcy/ANT Consulting Magdalena Chomuszko</t>
  </si>
  <si>
    <t>Rozrachunki krajowe z odbiorcami z tytułu dostaw i usług/Rozrachunki należności od pozostałych jednostek/Należności od pozostałych jednostek płatne do 12 miesięcy/Matrix.pl SA</t>
  </si>
  <si>
    <t>Rozrachunki krajowe z dostawcami z tytułu dostaw i usług/Rozrachunki zobowiązań wobec pozostałych jednostek/Zobowiązania wobec pozostałych jednostek płatne do 12 mies./TP SA</t>
  </si>
  <si>
    <t>Rozrachunki zagranicz. z odbiorcami z tytułu dostaw i usług/Rozrachunki należności od jednostek powiązanych/Należności od jednostek powiązanych płatne do 12 miesięcy/Philips UK Ltd</t>
  </si>
  <si>
    <t>Rozrachunki zagranicz. z odbiorcami z tytułu dostaw i usług/Rozrachunki należności od jednostek powiązanych/Należności od jednostek powiązanych płatne do 12 miesięcy/Herr Flueck</t>
  </si>
  <si>
    <t>Zaliczki od dostawców i odbiorców/Pozostałe jednostki/Office Depot</t>
  </si>
  <si>
    <t>Zużycie materiałów i energii</t>
  </si>
  <si>
    <t>Koszty działalności pomocniczej</t>
  </si>
  <si>
    <t>Sprzedaż usług działalności podstawowej/Sprzedaż do jednostek powiązanych/Pierwszy</t>
  </si>
  <si>
    <t>Sprzedaż usług działalności podstawowej/Osoby fizyczne/Pierwszy</t>
  </si>
  <si>
    <t>Sprzedaż towarów/Sprzedaż do jednostek powiązanych</t>
  </si>
  <si>
    <t>Przychody z odsetek/Pozostałe jednostki</t>
  </si>
  <si>
    <t>Pozostałe koszty finansowe</t>
  </si>
  <si>
    <t>Pozostałe przychody operacyjne</t>
  </si>
  <si>
    <t>Techniczne</t>
  </si>
  <si>
    <t>Zespół 9</t>
  </si>
  <si>
    <t>Kasa II krajowych środków pieniężnych</t>
  </si>
  <si>
    <t>Zaliczki od dostawców i odbiorców</t>
  </si>
  <si>
    <t>Przychody z odsetek</t>
  </si>
  <si>
    <t>1-1-7</t>
  </si>
  <si>
    <t>1-1-32</t>
  </si>
  <si>
    <t>2-1-20</t>
  </si>
  <si>
    <t>1-1-25</t>
  </si>
  <si>
    <t>2-1-8</t>
  </si>
  <si>
    <t>2-16</t>
  </si>
  <si>
    <t>3-1</t>
  </si>
  <si>
    <t>kasa II środków pieniężnych</t>
  </si>
  <si>
    <t>Matrix.pl SA</t>
  </si>
  <si>
    <t>Herr Flueck</t>
  </si>
  <si>
    <t>Sprzedaż do jednostek powiązanych</t>
  </si>
  <si>
    <t>Pozostałe jednostki</t>
  </si>
  <si>
    <t>3/10-12/Lp.1</t>
  </si>
  <si>
    <t>3/10-12/Lp.2</t>
  </si>
  <si>
    <t>4/10-12/Lp.1</t>
  </si>
  <si>
    <t>4/10-12/Lp.2</t>
  </si>
  <si>
    <t>5/10-12/Lp.1</t>
  </si>
  <si>
    <t>5/10-12/Lp.2</t>
  </si>
  <si>
    <t>6/10-12/Lp.1</t>
  </si>
  <si>
    <t>7/10-12/Lp.1</t>
  </si>
  <si>
    <t>7/10-12/Lp.2</t>
  </si>
  <si>
    <t>2/10-12/Lp.1</t>
  </si>
  <si>
    <t>1/10-12/Lp.1</t>
  </si>
  <si>
    <t>8/11-12/Lp.1</t>
  </si>
  <si>
    <t>9/11-12/Lp.1</t>
  </si>
  <si>
    <t>2/11-12/Lp.1</t>
  </si>
  <si>
    <t>10/11-12/Lp.1</t>
  </si>
  <si>
    <t>11/11-12/Lp.1</t>
  </si>
  <si>
    <t>12/11-12/Lp.1</t>
  </si>
  <si>
    <t>1/11-12/Lp.1</t>
  </si>
  <si>
    <t>5/11-12/Lp.1</t>
  </si>
  <si>
    <t>13/11-12/Lp.1</t>
  </si>
  <si>
    <t>14/11-12/Lp.1</t>
  </si>
  <si>
    <t>15/11-12/Lp.1</t>
  </si>
  <si>
    <t>3/11-12/Lp.1</t>
  </si>
  <si>
    <t>4/11-12/Lp.1</t>
  </si>
  <si>
    <t>16/11-12/Lp.1</t>
  </si>
  <si>
    <t>17/11-12/Lp.1</t>
  </si>
  <si>
    <t>6/11-12/Lp.1</t>
  </si>
  <si>
    <t>6/11-12/Lp.2</t>
  </si>
  <si>
    <t>7/11-12/Lp.1</t>
  </si>
  <si>
    <t>7/11-12/Lp.2</t>
  </si>
  <si>
    <t>7/11-12/Lp.3</t>
  </si>
  <si>
    <t>7/11-12/Lp.4</t>
  </si>
  <si>
    <t>7/11-12/Lp.5</t>
  </si>
  <si>
    <t>7/11-12/Lp.6</t>
  </si>
  <si>
    <t>7/11-12/Lp.7</t>
  </si>
  <si>
    <t>18/11-12/Lp.1</t>
  </si>
  <si>
    <t>18/11-12/Lp.2</t>
  </si>
  <si>
    <t>18/11-12/Lp.3</t>
  </si>
  <si>
    <t>18/11-12/Lp.4</t>
  </si>
  <si>
    <t>18/11-12/Lp.5</t>
  </si>
  <si>
    <t>18/11-12/Lp.6</t>
  </si>
  <si>
    <t>19/11-12/Lp.1</t>
  </si>
  <si>
    <t>20/11-12/Lp.1</t>
  </si>
  <si>
    <t>21/11-12/Lp.1</t>
  </si>
  <si>
    <t>22/11-12/Lp.1</t>
  </si>
  <si>
    <t>23/11-12/Lp.1</t>
  </si>
  <si>
    <t>1/12-12/Lp.1</t>
  </si>
  <si>
    <t>2/12-12/Lp.1</t>
  </si>
  <si>
    <t>3/12-12/Lp.1</t>
  </si>
  <si>
    <t>3/12-12/Lp.2</t>
  </si>
  <si>
    <t>4/12-12/Lp.1</t>
  </si>
  <si>
    <t>5/12-12/Lp.1</t>
  </si>
  <si>
    <t>6/12-12/Lp.1</t>
  </si>
  <si>
    <t>7/12-12/Lp.1</t>
  </si>
  <si>
    <t>8/12-12/Lp.1</t>
  </si>
  <si>
    <t>9/12-12/Lp.1</t>
  </si>
  <si>
    <t>10/12-12/Lp.1</t>
  </si>
  <si>
    <t>10/12-12/Lp.2</t>
  </si>
  <si>
    <t>11/12-12/Lp.1</t>
  </si>
  <si>
    <t>12/12-12/Lp.1</t>
  </si>
  <si>
    <t>13/12-12/Lp.1</t>
  </si>
  <si>
    <t>14/12-12/Lp.1</t>
  </si>
  <si>
    <t>15/12-12/Lp.1</t>
  </si>
  <si>
    <t>16/12-12/Lp.1</t>
  </si>
  <si>
    <t>17/12-12/Lp.1</t>
  </si>
  <si>
    <t>BUFOR/FVZ 10/01-12/Lp.1</t>
  </si>
  <si>
    <t>BUFOR/DP 5/12-12/Lp.1</t>
  </si>
  <si>
    <t>BUFOR/FVS 6\FVS\4\12/12-12/Lp.1</t>
  </si>
  <si>
    <t>BUFOR/DP 9/12-12/Lp.1</t>
  </si>
  <si>
    <t>BUFOR/FVS 7\FVS\4\12/12-12/Lp.1</t>
  </si>
  <si>
    <t>Najem pomieszczeń w kwietniu</t>
  </si>
  <si>
    <t>Zakup paliwa</t>
  </si>
  <si>
    <t>Najem pomieszczeń w maju</t>
  </si>
  <si>
    <t>Zakup artykułów papierniczych</t>
  </si>
  <si>
    <t>Sprzedaż zagraniczna/wydanie ze wskazaniem dostaw</t>
  </si>
  <si>
    <t>Sprzedaż zagraniczna Bęben A1do pralki MILE 2034XC</t>
  </si>
  <si>
    <t>Sprzedaż bębna A1 do pralki MILLE 2034XC</t>
  </si>
  <si>
    <t>zakup</t>
  </si>
  <si>
    <t>Sprzedaż zagraniczna Pokrywa pralki Atlas 14</t>
  </si>
  <si>
    <t>K01/10/2012 Maszyna z importu</t>
  </si>
  <si>
    <t>Zakupy komponenetów</t>
  </si>
  <si>
    <t>Krajowa faktura VAT sprzedaży w walucie obcej</t>
  </si>
  <si>
    <t>Zakup pokryw do pralki Atlas 14</t>
  </si>
  <si>
    <t>Kontrakt na sprzdaż oraz montaż instalacji</t>
  </si>
  <si>
    <t>Sprzdaż zagraniczna Grzałka do pralki Diana 12F</t>
  </si>
  <si>
    <t>Zakup prenumeraty czasopisma Świat Pralek</t>
  </si>
  <si>
    <t>Wyciąg bankowy nr 45/11/2012</t>
  </si>
  <si>
    <t>Raport kasowy z 09 listopada 2012</t>
  </si>
  <si>
    <t>Wyciąg bankowy z dnia 09/11/2012</t>
  </si>
  <si>
    <t>Nota odsetkowa dla 08-FVS/0001 [FVS 1]</t>
  </si>
  <si>
    <t>FWN 3 - VAT należny i naliczony</t>
  </si>
  <si>
    <t>Różnice kursowe4 FWN / zł</t>
  </si>
  <si>
    <t>Odkurzacz - Atlas 14/Pralka "Diana 12F"</t>
  </si>
  <si>
    <t>WDT i sprzedaż usługi do kraju Unii Europejskiej</t>
  </si>
  <si>
    <t>Import usług z UE - faktura od dostawcy</t>
  </si>
  <si>
    <t>Dostawa towarów, dla której podatnikiem jest nabywca</t>
  </si>
  <si>
    <t>VAT należny i naliczony do DTF 1</t>
  </si>
  <si>
    <t>Usługa turystyczna</t>
  </si>
  <si>
    <t>Szkolenie serwisowe</t>
  </si>
  <si>
    <t>Dotacja do usług serwisowych</t>
  </si>
  <si>
    <t>Zapłata za 124/11/2012</t>
  </si>
  <si>
    <t>Korekta kwoty sprzedaży do FVS 456/12/2012</t>
  </si>
  <si>
    <t>Sprzedaż towaru</t>
  </si>
  <si>
    <t>Sprzedaż części samochodowych</t>
  </si>
  <si>
    <t>Zapłata za 14/10/2012</t>
  </si>
  <si>
    <t>Zapłata za 12/04/2012</t>
  </si>
  <si>
    <t>Będen do pralki Diana 12F</t>
  </si>
  <si>
    <t>Zapłata za obsługę pieca</t>
  </si>
  <si>
    <t>towar 23</t>
  </si>
  <si>
    <t>Zapłata za 10/05/2012</t>
  </si>
  <si>
    <t>Silnik odkurzacza Luna extra</t>
  </si>
  <si>
    <t>12/04/2012</t>
  </si>
  <si>
    <t>45/09/2012</t>
  </si>
  <si>
    <t>10/05/2012</t>
  </si>
  <si>
    <t>877/2012</t>
  </si>
  <si>
    <t>14/10/2012</t>
  </si>
  <si>
    <t>713/FVSW/10/2012</t>
  </si>
  <si>
    <t>0002/11/DEX/2012</t>
  </si>
  <si>
    <t>DIM/852/10/2012</t>
  </si>
  <si>
    <t>11-FVS/0034</t>
  </si>
  <si>
    <t>0001/11/DEX/2012</t>
  </si>
  <si>
    <t>PZ 115/2012</t>
  </si>
  <si>
    <t>FVZ_LU/02/11-12</t>
  </si>
  <si>
    <t>147/11/2012</t>
  </si>
  <si>
    <t>0001/11/SRS/2012</t>
  </si>
  <si>
    <t>0001/11/FVSW/2012</t>
  </si>
  <si>
    <t>875/2012</t>
  </si>
  <si>
    <t>1/11/2012/SKO</t>
  </si>
  <si>
    <t>876/2012</t>
  </si>
  <si>
    <t>1/11/WDT/3/2012</t>
  </si>
  <si>
    <t>12-FVZ/0003</t>
  </si>
  <si>
    <t>2/11/WDT/3/2012</t>
  </si>
  <si>
    <t>45/11/2012</t>
  </si>
  <si>
    <t>RZL 013/11/2012</t>
  </si>
  <si>
    <t>RK/09/2012</t>
  </si>
  <si>
    <t>WB 78/11/2012</t>
  </si>
  <si>
    <t>785/11/2012</t>
  </si>
  <si>
    <t>N.Ods: DP 2</t>
  </si>
  <si>
    <t>FW 1004</t>
  </si>
  <si>
    <t>INV 45/11/2012</t>
  </si>
  <si>
    <t>R.Kurs/DP 10</t>
  </si>
  <si>
    <t>3/WDT/2012</t>
  </si>
  <si>
    <t>15/IUF/15/2012</t>
  </si>
  <si>
    <t>28/FW/2012</t>
  </si>
  <si>
    <t>1/DTF/2009</t>
  </si>
  <si>
    <t>5/DTV/2012</t>
  </si>
  <si>
    <t>213</t>
  </si>
  <si>
    <t>13/12/2012</t>
  </si>
  <si>
    <t>FRR 15/2012</t>
  </si>
  <si>
    <t>PK 4\2012</t>
  </si>
  <si>
    <t>Przelew:DP 6</t>
  </si>
  <si>
    <t>456/12/2012</t>
  </si>
  <si>
    <t>FKS/13/12/2012</t>
  </si>
  <si>
    <t>85/12/2012</t>
  </si>
  <si>
    <t>2/12/2012</t>
  </si>
  <si>
    <t>Przelew:DP 7</t>
  </si>
  <si>
    <t>Przelew:DP 8</t>
  </si>
  <si>
    <t>11-FVS/0096</t>
  </si>
  <si>
    <t>Przelew:DP 5</t>
  </si>
  <si>
    <t>12-FVS/0002</t>
  </si>
  <si>
    <t>Przelew:DP 9</t>
  </si>
  <si>
    <t>12-FVS/0005</t>
  </si>
  <si>
    <t>Faktura VAT sprzedaż walutowa</t>
  </si>
  <si>
    <t>Dostawa towarów - VAT</t>
  </si>
  <si>
    <t>Faktura wewnętrzna</t>
  </si>
  <si>
    <t>Faktura korygująca sprzedaż</t>
  </si>
  <si>
    <t>WDT z rejestrem VAT walutowym</t>
  </si>
  <si>
    <t>Najem pomeiszczeń w kwietniu</t>
  </si>
  <si>
    <t>zakupy biurowe</t>
  </si>
  <si>
    <t>Sprzedaż zagraniczna/wydanie ze wskazaniem dostaw, Pokrywa pralki Atlas 14</t>
  </si>
  <si>
    <t>Brutto po kursie CIT/PIT, Netto po kursie CIT/PIT, VAT po kursie VAT, Zapis bilansujący dekret w PLN - koszty finansowe</t>
  </si>
  <si>
    <t>Zakup pokryw</t>
  </si>
  <si>
    <t>podjęcie gotówki z rach. bankowego</t>
  </si>
  <si>
    <t>delegacja zaliczka Nowak</t>
  </si>
  <si>
    <t>wpłata AGD Adam</t>
  </si>
  <si>
    <t>spłata zobowiązań wobec 3</t>
  </si>
  <si>
    <t>wpłata charytatywna dział PR</t>
  </si>
  <si>
    <t>zakup materiałów biurowych</t>
  </si>
  <si>
    <t>Przelew faktura FVZ 624</t>
  </si>
  <si>
    <t>Przelew faktura FVZ 625</t>
  </si>
  <si>
    <t>Przelew faktura FVZ 626</t>
  </si>
  <si>
    <t>Przelew faktura FVZ627</t>
  </si>
  <si>
    <t>PKO BP prowizja bankowa bieżąca</t>
  </si>
  <si>
    <t>FWN 2 - VAT należny i naliczony</t>
  </si>
  <si>
    <t>Zaliczka do umowy B 554</t>
  </si>
  <si>
    <t>Dptacja do usług serwisowych</t>
  </si>
  <si>
    <t>zasilenie z rachunku bieżącego</t>
  </si>
  <si>
    <t>raport kasowy walutowy z dnia 2012/11/09</t>
  </si>
  <si>
    <t>zapłata za usługi</t>
  </si>
  <si>
    <t>BUFOR/FVZ 2/11-12/Lp.1</t>
  </si>
  <si>
    <t>BUFOR/WB 1\WB\4\12/11-12/Lp.1</t>
  </si>
  <si>
    <t>BUFOR/FVZ 7/10-12/Lp.1</t>
  </si>
  <si>
    <t>BUFOR/DIM 1/11-12/Lp.1</t>
  </si>
  <si>
    <t>BUFOR/FVZ 9/11-12/Lp.1</t>
  </si>
  <si>
    <t>BUFOR/DP 7/12-12/Lp.1</t>
  </si>
  <si>
    <t>Brutto po kursie CIT/PIT</t>
  </si>
  <si>
    <t>Pokrywa pralki Atlas 14</t>
  </si>
  <si>
    <t>Netto po kursie CIT/PIT</t>
  </si>
  <si>
    <t>VAT po kursie VAT</t>
  </si>
  <si>
    <t>Zapis bilansujący dekret w PLN - koszty finansowe</t>
  </si>
  <si>
    <t>AAII1b</t>
  </si>
  <si>
    <t>AAII1d</t>
  </si>
  <si>
    <t>AAII1e</t>
  </si>
  <si>
    <t>ABI4</t>
  </si>
  <si>
    <t>330*</t>
  </si>
  <si>
    <t>ABI5</t>
  </si>
  <si>
    <t>301-2*</t>
  </si>
  <si>
    <t>302-2*</t>
  </si>
  <si>
    <t>303-2*</t>
  </si>
  <si>
    <t>305-2*</t>
  </si>
  <si>
    <t>ABII1a1</t>
  </si>
  <si>
    <t>202-1-1*</t>
  </si>
  <si>
    <t>201-1-1*</t>
  </si>
  <si>
    <t>203-1-1*</t>
  </si>
  <si>
    <t>ABII1a2</t>
  </si>
  <si>
    <t>202-1-2*</t>
  </si>
  <si>
    <t>ABII2a1</t>
  </si>
  <si>
    <t>200*</t>
  </si>
  <si>
    <t>201-2-1*</t>
  </si>
  <si>
    <t>202-2-1*</t>
  </si>
  <si>
    <t>203-2-1*</t>
  </si>
  <si>
    <t>221*</t>
  </si>
  <si>
    <t>234*</t>
  </si>
  <si>
    <t>ABIII1c1</t>
  </si>
  <si>
    <t>100*</t>
  </si>
  <si>
    <t>130*</t>
  </si>
  <si>
    <t>ABIII1c2</t>
  </si>
  <si>
    <t>132*</t>
  </si>
  <si>
    <t>ABIV</t>
  </si>
  <si>
    <t>641-2*</t>
  </si>
  <si>
    <t>ABII3b</t>
  </si>
  <si>
    <t>ABII3c</t>
  </si>
  <si>
    <t>ABII3a1</t>
  </si>
  <si>
    <t>ABII3a2</t>
  </si>
  <si>
    <t>202-2-2*</t>
  </si>
  <si>
    <t>101*</t>
  </si>
  <si>
    <t>205-2*</t>
  </si>
  <si>
    <t>PAVI</t>
  </si>
  <si>
    <t>860*</t>
  </si>
  <si>
    <t>PAI</t>
  </si>
  <si>
    <t>801</t>
  </si>
  <si>
    <t>822</t>
  </si>
  <si>
    <t>Kapitał zakładowy</t>
  </si>
  <si>
    <t>Rozliczenie na poczet wyniku finansowego roku bieżącego</t>
  </si>
  <si>
    <t>1/12-13/Lp.1</t>
  </si>
  <si>
    <t>2/12-13/Lp.1</t>
  </si>
  <si>
    <t>wpłata</t>
  </si>
  <si>
    <t>wyksięgowanie wyniku</t>
  </si>
  <si>
    <t>18</t>
  </si>
  <si>
    <t>19</t>
  </si>
  <si>
    <t>801*</t>
  </si>
  <si>
    <t>701*</t>
  </si>
  <si>
    <t>702*</t>
  </si>
  <si>
    <t>AIV</t>
  </si>
  <si>
    <t>731*</t>
  </si>
  <si>
    <t>BVIII</t>
  </si>
  <si>
    <t>741*</t>
  </si>
  <si>
    <t>755*</t>
  </si>
  <si>
    <t>GV</t>
  </si>
  <si>
    <t>756*</t>
  </si>
  <si>
    <t>BI</t>
  </si>
  <si>
    <t>401*</t>
  </si>
  <si>
    <t>BII</t>
  </si>
  <si>
    <t>402*</t>
  </si>
  <si>
    <t>BIII</t>
  </si>
  <si>
    <t>403*</t>
  </si>
  <si>
    <t>BIV</t>
  </si>
  <si>
    <t>404*</t>
  </si>
  <si>
    <t>BVII</t>
  </si>
  <si>
    <t>407*</t>
  </si>
  <si>
    <t>AII</t>
  </si>
  <si>
    <t>490*</t>
  </si>
  <si>
    <t>5*</t>
  </si>
  <si>
    <r>
      <t xml:space="preserve">RACHUNEK PRZEPŁYWÓW PIENIĘŻNYCH
</t>
    </r>
    <r>
      <rPr>
        <sz val="10"/>
        <rFont val="Times New Roman"/>
        <family val="1"/>
        <charset val="238"/>
      </rPr>
      <t>(metoda pośrednia) dane w tysiącach PLN</t>
    </r>
  </si>
  <si>
    <t>PAV</t>
  </si>
  <si>
    <t>822*</t>
  </si>
  <si>
    <t>138-2*</t>
  </si>
  <si>
    <t>PBII3a</t>
  </si>
  <si>
    <t>PBIII1a1</t>
  </si>
  <si>
    <t>204-1-1*</t>
  </si>
  <si>
    <t>204-2-1*</t>
  </si>
  <si>
    <t>PBIII3d1</t>
  </si>
  <si>
    <t>PBIII3g</t>
  </si>
  <si>
    <t>PBIII3i</t>
  </si>
  <si>
    <t>PBIV2</t>
  </si>
  <si>
    <t>844*</t>
  </si>
  <si>
    <t>901*</t>
  </si>
  <si>
    <t>Wn-Ma</t>
  </si>
  <si>
    <t>Ma-Wn</t>
  </si>
  <si>
    <t>Strona</t>
  </si>
  <si>
    <t>Autor: Magdalena Chomuszko</t>
  </si>
  <si>
    <t>Instrukcja obsługi raportu znajduje się w w/w książce</t>
  </si>
  <si>
    <t>010-2</t>
  </si>
  <si>
    <t>010-4</t>
  </si>
  <si>
    <t>010-5</t>
  </si>
  <si>
    <t>Środki trwałe/Budynki, lokale i obiekty inżynierii lądowej i wodnej</t>
  </si>
  <si>
    <t>Środki trwałe/Środki transportu</t>
  </si>
  <si>
    <t>Środki trwałe/Inne środki trwałe</t>
  </si>
  <si>
    <t>3/12-13/Lp.1</t>
  </si>
  <si>
    <t>3/12-13/Lp.2</t>
  </si>
  <si>
    <t>3/12-13/Lp.3</t>
  </si>
  <si>
    <t>OT</t>
  </si>
  <si>
    <t>20</t>
  </si>
  <si>
    <t>010-2*</t>
  </si>
  <si>
    <t>010-4*</t>
  </si>
  <si>
    <t>DIII</t>
  </si>
  <si>
    <t>763*</t>
  </si>
  <si>
    <t>759*</t>
  </si>
  <si>
    <t>GII</t>
  </si>
  <si>
    <t>opis</t>
  </si>
  <si>
    <t>GVi</t>
  </si>
  <si>
    <t>HIVi</t>
  </si>
  <si>
    <t xml:space="preserve"> = P</t>
  </si>
  <si>
    <t>BO</t>
  </si>
  <si>
    <r>
      <rPr>
        <sz val="10"/>
        <color theme="1"/>
        <rFont val="Times New Roman"/>
        <family val="1"/>
        <charset val="238"/>
      </rPr>
      <t xml:space="preserve">raport jest częścią książki    </t>
    </r>
    <r>
      <rPr>
        <i/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Księgowa analiza danych zawartych w JPK. Raporty w arkuszach Excel    Wydawnictwo C. H. BECK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</si>
</sst>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_(* #,##0.00_);_(* \(#,##0.00\);_(* &quot;-&quot;??_);_(@_)"/>
    <numFmt numFmtId="165" formatCode="#,##0.00;[Red]#,##0.00"/>
    <numFmt numFmtId="166" formatCode="#,##0_ ;\-#,##0\ "/>
    <numFmt numFmtId="167" formatCode="#,##0;[Red]\(#,##0\)"/>
    <numFmt numFmtId="168" formatCode="0.00_ ;[Red]\-0.00\ "/>
    <numFmt numFmtId="169" formatCode="0_ ;\-0\ "/>
    <numFmt numFmtId="170" formatCode="0_ ;[Red]\-0\ 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7" fontId="2" fillId="0" borderId="0"/>
    <xf numFmtId="0" fontId="3" fillId="0" borderId="0" applyNumberFormat="0" applyFill="0" applyBorder="0" applyAlignment="0" applyProtection="0"/>
  </cellStyleXfs>
  <cellXfs count="281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4" fillId="0" borderId="0" xfId="0" applyFont="1"/>
    <xf numFmtId="0" fontId="5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4" applyFont="1"/>
    <xf numFmtId="0" fontId="9" fillId="0" borderId="0" xfId="0" applyFont="1"/>
    <xf numFmtId="0" fontId="9" fillId="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43" fontId="10" fillId="0" borderId="0" xfId="0" applyNumberFormat="1" applyFont="1" applyFill="1" applyProtection="1"/>
    <xf numFmtId="0" fontId="10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/>
    <xf numFmtId="0" fontId="5" fillId="0" borderId="0" xfId="0" applyFont="1" applyAlignment="1"/>
    <xf numFmtId="14" fontId="5" fillId="0" borderId="0" xfId="0" applyNumberFormat="1" applyFont="1"/>
    <xf numFmtId="49" fontId="5" fillId="0" borderId="0" xfId="0" applyNumberFormat="1" applyFont="1"/>
    <xf numFmtId="43" fontId="5" fillId="11" borderId="1" xfId="0" applyNumberFormat="1" applyFont="1" applyFill="1" applyBorder="1" applyAlignment="1">
      <alignment horizontal="right"/>
    </xf>
    <xf numFmtId="43" fontId="5" fillId="11" borderId="1" xfId="0" applyNumberFormat="1" applyFont="1" applyFill="1" applyBorder="1" applyAlignment="1">
      <alignment horizontal="center"/>
    </xf>
    <xf numFmtId="43" fontId="5" fillId="0" borderId="0" xfId="0" applyNumberFormat="1" applyFont="1"/>
    <xf numFmtId="0" fontId="11" fillId="9" borderId="12" xfId="0" applyFont="1" applyFill="1" applyBorder="1" applyAlignment="1">
      <alignment horizontal="center"/>
    </xf>
    <xf numFmtId="0" fontId="9" fillId="13" borderId="9" xfId="0" applyFont="1" applyFill="1" applyBorder="1" applyAlignment="1"/>
    <xf numFmtId="49" fontId="9" fillId="3" borderId="2" xfId="0" applyNumberFormat="1" applyFont="1" applyFill="1" applyBorder="1"/>
    <xf numFmtId="0" fontId="9" fillId="3" borderId="1" xfId="0" applyFont="1" applyFill="1" applyBorder="1" applyAlignment="1">
      <alignment horizontal="right"/>
    </xf>
    <xf numFmtId="49" fontId="9" fillId="4" borderId="2" xfId="0" applyNumberFormat="1" applyFont="1" applyFill="1" applyBorder="1"/>
    <xf numFmtId="0" fontId="9" fillId="4" borderId="1" xfId="0" applyFont="1" applyFill="1" applyBorder="1" applyAlignment="1">
      <alignment horizontal="right"/>
    </xf>
    <xf numFmtId="43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43" fontId="9" fillId="4" borderId="1" xfId="0" applyNumberFormat="1" applyFont="1" applyFill="1" applyBorder="1"/>
    <xf numFmtId="49" fontId="5" fillId="6" borderId="1" xfId="0" applyNumberFormat="1" applyFont="1" applyFill="1" applyBorder="1"/>
    <xf numFmtId="0" fontId="9" fillId="6" borderId="1" xfId="0" applyFont="1" applyFill="1" applyBorder="1" applyAlignment="1">
      <alignment horizontal="right"/>
    </xf>
    <xf numFmtId="0" fontId="5" fillId="0" borderId="1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49" fontId="9" fillId="4" borderId="1" xfId="0" applyNumberFormat="1" applyFont="1" applyFill="1" applyBorder="1"/>
    <xf numFmtId="0" fontId="5" fillId="7" borderId="1" xfId="0" applyFont="1" applyFill="1" applyBorder="1"/>
    <xf numFmtId="49" fontId="5" fillId="7" borderId="1" xfId="0" applyNumberFormat="1" applyFont="1" applyFill="1" applyBorder="1"/>
    <xf numFmtId="0" fontId="9" fillId="7" borderId="7" xfId="0" applyFont="1" applyFill="1" applyBorder="1" applyAlignment="1">
      <alignment horizontal="right"/>
    </xf>
    <xf numFmtId="49" fontId="5" fillId="7" borderId="2" xfId="0" applyNumberFormat="1" applyFont="1" applyFill="1" applyBorder="1"/>
    <xf numFmtId="43" fontId="9" fillId="7" borderId="1" xfId="0" applyNumberFormat="1" applyFont="1" applyFill="1" applyBorder="1"/>
    <xf numFmtId="0" fontId="9" fillId="7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5" fillId="7" borderId="7" xfId="0" applyFont="1" applyFill="1" applyBorder="1"/>
    <xf numFmtId="43" fontId="5" fillId="6" borderId="1" xfId="0" applyNumberFormat="1" applyFont="1" applyFill="1" applyBorder="1"/>
    <xf numFmtId="49" fontId="9" fillId="2" borderId="10" xfId="0" applyNumberFormat="1" applyFont="1" applyFill="1" applyBorder="1" applyAlignment="1" applyProtection="1">
      <alignment horizontal="center" vertical="center"/>
      <protection hidden="1"/>
    </xf>
    <xf numFmtId="43" fontId="9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49" fontId="9" fillId="3" borderId="20" xfId="0" applyNumberFormat="1" applyFont="1" applyFill="1" applyBorder="1"/>
    <xf numFmtId="43" fontId="9" fillId="3" borderId="7" xfId="0" applyNumberFormat="1" applyFont="1" applyFill="1" applyBorder="1"/>
    <xf numFmtId="0" fontId="9" fillId="3" borderId="7" xfId="0" applyFont="1" applyFill="1" applyBorder="1" applyAlignment="1">
      <alignment horizontal="right"/>
    </xf>
    <xf numFmtId="49" fontId="9" fillId="0" borderId="0" xfId="0" applyNumberFormat="1" applyFont="1"/>
    <xf numFmtId="43" fontId="9" fillId="3" borderId="2" xfId="0" applyNumberFormat="1" applyFont="1" applyFill="1" applyBorder="1"/>
    <xf numFmtId="0" fontId="9" fillId="3" borderId="2" xfId="0" applyFont="1" applyFill="1" applyBorder="1" applyAlignment="1">
      <alignment horizontal="right"/>
    </xf>
    <xf numFmtId="43" fontId="13" fillId="0" borderId="1" xfId="0" applyNumberFormat="1" applyFont="1" applyFill="1" applyBorder="1"/>
    <xf numFmtId="43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NumberFormat="1" applyFont="1" applyFill="1" applyAlignment="1">
      <alignment horizontal="left"/>
    </xf>
    <xf numFmtId="0" fontId="14" fillId="0" borderId="0" xfId="1" applyFont="1"/>
    <xf numFmtId="0" fontId="10" fillId="0" borderId="0" xfId="1" applyFont="1" applyAlignment="1">
      <alignment horizontal="center" wrapText="1"/>
    </xf>
    <xf numFmtId="0" fontId="10" fillId="10" borderId="1" xfId="1" applyNumberFormat="1" applyFont="1" applyFill="1" applyBorder="1" applyAlignment="1">
      <alignment horizontal="center" wrapText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 vertical="top"/>
    </xf>
    <xf numFmtId="0" fontId="13" fillId="0" borderId="1" xfId="1" applyFont="1" applyBorder="1" applyAlignment="1">
      <alignment wrapText="1"/>
    </xf>
    <xf numFmtId="43" fontId="13" fillId="8" borderId="7" xfId="2" applyNumberFormat="1" applyFont="1" applyFill="1" applyBorder="1"/>
    <xf numFmtId="0" fontId="5" fillId="0" borderId="7" xfId="0" applyFont="1" applyBorder="1" applyAlignment="1">
      <alignment horizontal="right"/>
    </xf>
    <xf numFmtId="0" fontId="15" fillId="0" borderId="1" xfId="1" applyFont="1" applyBorder="1" applyAlignment="1">
      <alignment horizontal="center" vertical="top"/>
    </xf>
    <xf numFmtId="0" fontId="13" fillId="0" borderId="2" xfId="1" applyFont="1" applyBorder="1" applyAlignment="1">
      <alignment wrapText="1"/>
    </xf>
    <xf numFmtId="43" fontId="13" fillId="8" borderId="1" xfId="2" applyNumberFormat="1" applyFont="1" applyFill="1" applyBorder="1"/>
    <xf numFmtId="43" fontId="13" fillId="8" borderId="6" xfId="2" applyNumberFormat="1" applyFont="1" applyFill="1" applyBorder="1"/>
    <xf numFmtId="0" fontId="13" fillId="0" borderId="1" xfId="1" applyFont="1" applyBorder="1" applyAlignment="1">
      <alignment horizontal="center"/>
    </xf>
    <xf numFmtId="43" fontId="13" fillId="8" borderId="1" xfId="1" applyNumberFormat="1" applyFont="1" applyFill="1" applyBorder="1"/>
    <xf numFmtId="0" fontId="14" fillId="0" borderId="0" xfId="1" applyFont="1" applyAlignment="1">
      <alignment wrapText="1"/>
    </xf>
    <xf numFmtId="43" fontId="16" fillId="0" borderId="0" xfId="1" applyNumberFormat="1" applyFont="1"/>
    <xf numFmtId="0" fontId="16" fillId="0" borderId="0" xfId="1" applyFont="1"/>
    <xf numFmtId="49" fontId="13" fillId="0" borderId="0" xfId="0" applyNumberFormat="1" applyFont="1" applyFill="1"/>
    <xf numFmtId="43" fontId="13" fillId="0" borderId="0" xfId="0" applyNumberFormat="1" applyFont="1" applyFill="1"/>
    <xf numFmtId="43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/>
    </xf>
    <xf numFmtId="49" fontId="17" fillId="12" borderId="1" xfId="0" applyNumberFormat="1" applyFont="1" applyFill="1" applyBorder="1" applyAlignment="1">
      <alignment horizontal="center" vertical="center" wrapText="1"/>
    </xf>
    <xf numFmtId="166" fontId="17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left" vertical="center" wrapText="1"/>
    </xf>
    <xf numFmtId="43" fontId="13" fillId="0" borderId="1" xfId="0" applyNumberFormat="1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left" vertical="center" wrapText="1"/>
    </xf>
    <xf numFmtId="43" fontId="13" fillId="3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/>
    <xf numFmtId="49" fontId="13" fillId="0" borderId="0" xfId="0" applyNumberFormat="1" applyFont="1" applyFill="1" applyProtection="1">
      <protection locked="0"/>
    </xf>
    <xf numFmtId="49" fontId="13" fillId="0" borderId="1" xfId="0" applyNumberFormat="1" applyFont="1" applyFill="1" applyBorder="1" applyProtection="1"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3" fontId="13" fillId="0" borderId="0" xfId="0" applyNumberFormat="1" applyFont="1" applyFill="1" applyProtection="1">
      <protection locked="0"/>
    </xf>
    <xf numFmtId="43" fontId="13" fillId="0" borderId="1" xfId="0" applyNumberFormat="1" applyFont="1" applyFill="1" applyBorder="1" applyAlignment="1" applyProtection="1">
      <alignment horizontal="right"/>
      <protection locked="0"/>
    </xf>
    <xf numFmtId="49" fontId="13" fillId="0" borderId="6" xfId="0" applyNumberFormat="1" applyFont="1" applyFill="1" applyBorder="1" applyAlignment="1">
      <alignment horizontal="left" vertical="center" wrapText="1"/>
    </xf>
    <xf numFmtId="43" fontId="13" fillId="0" borderId="6" xfId="0" applyNumberFormat="1" applyFont="1" applyFill="1" applyBorder="1" applyAlignment="1" applyProtection="1">
      <alignment horizontal="right"/>
      <protection locked="0"/>
    </xf>
    <xf numFmtId="49" fontId="13" fillId="0" borderId="7" xfId="0" applyNumberFormat="1" applyFont="1" applyFill="1" applyBorder="1" applyAlignment="1">
      <alignment horizontal="left" vertical="center" wrapText="1"/>
    </xf>
    <xf numFmtId="43" fontId="13" fillId="0" borderId="7" xfId="0" applyNumberFormat="1" applyFont="1" applyFill="1" applyBorder="1" applyAlignment="1">
      <alignment horizontal="right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/>
    <xf numFmtId="0" fontId="5" fillId="0" borderId="0" xfId="0" applyFont="1" applyAlignment="1">
      <alignment horizontal="center"/>
    </xf>
    <xf numFmtId="0" fontId="17" fillId="1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3" fontId="9" fillId="0" borderId="24" xfId="0" applyNumberFormat="1" applyFont="1" applyBorder="1" applyAlignment="1">
      <alignment horizontal="center"/>
    </xf>
    <xf numFmtId="43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3" fontId="5" fillId="0" borderId="19" xfId="0" applyNumberFormat="1" applyFont="1" applyBorder="1"/>
    <xf numFmtId="0" fontId="5" fillId="0" borderId="0" xfId="0" applyFont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43" fontId="9" fillId="0" borderId="2" xfId="0" applyNumberFormat="1" applyFont="1" applyBorder="1" applyAlignment="1">
      <alignment horizontal="center"/>
    </xf>
    <xf numFmtId="43" fontId="13" fillId="0" borderId="0" xfId="0" applyNumberFormat="1" applyFont="1" applyFill="1" applyAlignment="1">
      <alignment horizontal="center"/>
    </xf>
    <xf numFmtId="43" fontId="13" fillId="0" borderId="4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3" fontId="9" fillId="4" borderId="1" xfId="0" applyNumberFormat="1" applyFont="1" applyFill="1" applyBorder="1" applyAlignment="1">
      <alignment horizontal="center"/>
    </xf>
    <xf numFmtId="43" fontId="5" fillId="0" borderId="0" xfId="0" applyNumberFormat="1" applyFont="1" applyBorder="1"/>
    <xf numFmtId="43" fontId="9" fillId="0" borderId="42" xfId="0" applyNumberFormat="1" applyFont="1" applyBorder="1" applyAlignment="1">
      <alignment horizontal="center"/>
    </xf>
    <xf numFmtId="0" fontId="5" fillId="0" borderId="43" xfId="0" applyFont="1" applyBorder="1"/>
    <xf numFmtId="43" fontId="5" fillId="0" borderId="44" xfId="0" applyNumberFormat="1" applyFont="1" applyBorder="1"/>
    <xf numFmtId="40" fontId="10" fillId="11" borderId="1" xfId="0" applyNumberFormat="1" applyFont="1" applyFill="1" applyBorder="1" applyAlignment="1">
      <alignment horizontal="center" vertical="center"/>
    </xf>
    <xf numFmtId="40" fontId="5" fillId="11" borderId="1" xfId="0" applyNumberFormat="1" applyFont="1" applyFill="1" applyBorder="1" applyAlignment="1">
      <alignment horizontal="center"/>
    </xf>
    <xf numFmtId="40" fontId="11" fillId="11" borderId="1" xfId="0" applyNumberFormat="1" applyFont="1" applyFill="1" applyBorder="1" applyAlignment="1">
      <alignment horizontal="center"/>
    </xf>
    <xf numFmtId="40" fontId="15" fillId="0" borderId="6" xfId="0" applyNumberFormat="1" applyFont="1" applyFill="1" applyBorder="1" applyAlignment="1" applyProtection="1">
      <alignment horizontal="right" vertical="center"/>
    </xf>
    <xf numFmtId="40" fontId="5" fillId="0" borderId="0" xfId="0" applyNumberFormat="1" applyFont="1"/>
    <xf numFmtId="168" fontId="10" fillId="0" borderId="0" xfId="0" applyNumberFormat="1" applyFont="1" applyFill="1" applyAlignment="1" applyProtection="1"/>
    <xf numFmtId="168" fontId="5" fillId="11" borderId="1" xfId="0" applyNumberFormat="1" applyFont="1" applyFill="1" applyBorder="1" applyAlignment="1"/>
    <xf numFmtId="168" fontId="20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Fill="1" applyBorder="1" applyAlignment="1" applyProtection="1">
      <alignment vertical="top" wrapText="1"/>
    </xf>
    <xf numFmtId="168" fontId="13" fillId="0" borderId="0" xfId="0" applyNumberFormat="1" applyFont="1" applyFill="1" applyAlignment="1"/>
    <xf numFmtId="168" fontId="15" fillId="0" borderId="0" xfId="0" applyNumberFormat="1" applyFont="1" applyFill="1" applyAlignment="1" applyProtection="1"/>
    <xf numFmtId="168" fontId="13" fillId="0" borderId="0" xfId="0" applyNumberFormat="1" applyFont="1" applyFill="1" applyAlignment="1" applyProtection="1"/>
    <xf numFmtId="49" fontId="1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9" fontId="11" fillId="9" borderId="11" xfId="0" applyNumberFormat="1" applyFont="1" applyFill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6" xfId="1" applyFont="1" applyBorder="1" applyAlignment="1">
      <alignment wrapText="1"/>
    </xf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wrapText="1"/>
    </xf>
    <xf numFmtId="43" fontId="13" fillId="8" borderId="0" xfId="2" applyNumberFormat="1" applyFont="1" applyFill="1" applyBorder="1"/>
    <xf numFmtId="0" fontId="13" fillId="0" borderId="0" xfId="1" applyFont="1" applyBorder="1" applyAlignment="1">
      <alignment horizontal="center"/>
    </xf>
    <xf numFmtId="43" fontId="13" fillId="8" borderId="0" xfId="1" applyNumberFormat="1" applyFont="1" applyFill="1" applyBorder="1"/>
    <xf numFmtId="0" fontId="5" fillId="0" borderId="0" xfId="0" applyFont="1" applyBorder="1" applyAlignment="1">
      <alignment horizontal="right"/>
    </xf>
    <xf numFmtId="168" fontId="5" fillId="11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70" fontId="17" fillId="12" borderId="1" xfId="0" applyNumberFormat="1" applyFont="1" applyFill="1" applyBorder="1" applyAlignment="1" applyProtection="1">
      <alignment horizontal="center" vertical="center" wrapText="1"/>
      <protection locked="0"/>
    </xf>
    <xf numFmtId="43" fontId="18" fillId="2" borderId="1" xfId="0" applyNumberFormat="1" applyFont="1" applyFill="1" applyBorder="1" applyAlignment="1" applyProtection="1">
      <alignment vertical="center" wrapText="1"/>
      <protection locked="0"/>
    </xf>
    <xf numFmtId="43" fontId="19" fillId="0" borderId="1" xfId="0" applyNumberFormat="1" applyFont="1" applyFill="1" applyBorder="1" applyAlignment="1" applyProtection="1">
      <alignment vertical="center" wrapText="1"/>
    </xf>
    <xf numFmtId="43" fontId="18" fillId="2" borderId="1" xfId="0" applyNumberFormat="1" applyFont="1" applyFill="1" applyBorder="1" applyAlignment="1" applyProtection="1">
      <alignment vertical="center" wrapText="1"/>
    </xf>
    <xf numFmtId="43" fontId="15" fillId="3" borderId="1" xfId="0" applyNumberFormat="1" applyFont="1" applyFill="1" applyBorder="1" applyAlignment="1" applyProtection="1">
      <alignment vertical="center"/>
    </xf>
    <xf numFmtId="43" fontId="19" fillId="0" borderId="1" xfId="0" applyNumberFormat="1" applyFont="1" applyFill="1" applyBorder="1" applyAlignment="1" applyProtection="1">
      <alignment vertical="center" wrapText="1"/>
      <protection locked="0"/>
    </xf>
    <xf numFmtId="43" fontId="19" fillId="0" borderId="7" xfId="0" applyNumberFormat="1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>
      <alignment horizontal="left" vertical="center" wrapText="1"/>
    </xf>
    <xf numFmtId="43" fontId="18" fillId="4" borderId="1" xfId="0" applyNumberFormat="1" applyFont="1" applyFill="1" applyBorder="1" applyAlignment="1" applyProtection="1">
      <alignment vertical="center" wrapText="1"/>
      <protection locked="0"/>
    </xf>
    <xf numFmtId="43" fontId="19" fillId="4" borderId="1" xfId="0" applyNumberFormat="1" applyFont="1" applyFill="1" applyBorder="1" applyAlignment="1" applyProtection="1">
      <alignment vertical="center" wrapText="1"/>
    </xf>
    <xf numFmtId="170" fontId="17" fillId="14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43" fontId="15" fillId="0" borderId="0" xfId="0" applyNumberFormat="1" applyFont="1" applyFill="1" applyBorder="1" applyAlignment="1" applyProtection="1">
      <alignment horizontal="right" vertical="center"/>
      <protection locked="0"/>
    </xf>
    <xf numFmtId="43" fontId="13" fillId="0" borderId="0" xfId="0" applyNumberFormat="1" applyFont="1" applyFill="1" applyBorder="1" applyAlignment="1" applyProtection="1">
      <alignment horizontal="right" vertical="center"/>
      <protection locked="0"/>
    </xf>
    <xf numFmtId="43" fontId="13" fillId="0" borderId="0" xfId="0" applyNumberFormat="1" applyFont="1" applyFill="1" applyBorder="1" applyAlignment="1" applyProtection="1">
      <alignment horizontal="right" vertical="center"/>
    </xf>
    <xf numFmtId="43" fontId="15" fillId="0" borderId="0" xfId="0" applyNumberFormat="1" applyFont="1" applyFill="1" applyBorder="1" applyAlignment="1" applyProtection="1">
      <alignment horizontal="right" vertical="center"/>
    </xf>
    <xf numFmtId="43" fontId="9" fillId="3" borderId="1" xfId="0" applyNumberFormat="1" applyFont="1" applyFill="1" applyBorder="1"/>
    <xf numFmtId="43" fontId="9" fillId="4" borderId="1" xfId="0" applyNumberFormat="1" applyFont="1" applyFill="1" applyBorder="1" applyAlignment="1">
      <alignment horizontal="right"/>
    </xf>
    <xf numFmtId="43" fontId="9" fillId="6" borderId="1" xfId="0" applyNumberFormat="1" applyFont="1" applyFill="1" applyBorder="1"/>
    <xf numFmtId="43" fontId="9" fillId="7" borderId="7" xfId="0" applyNumberFormat="1" applyFont="1" applyFill="1" applyBorder="1"/>
    <xf numFmtId="43" fontId="9" fillId="5" borderId="1" xfId="0" applyNumberFormat="1" applyFont="1" applyFill="1" applyBorder="1"/>
    <xf numFmtId="0" fontId="6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9" fillId="13" borderId="2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13" borderId="3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11" fillId="9" borderId="13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1" fillId="9" borderId="38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15" fillId="3" borderId="1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left"/>
    </xf>
    <xf numFmtId="49" fontId="13" fillId="0" borderId="4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3" fillId="0" borderId="5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166" fontId="15" fillId="0" borderId="0" xfId="0" applyNumberFormat="1" applyFont="1" applyFill="1" applyAlignment="1">
      <alignment horizontal="center"/>
    </xf>
    <xf numFmtId="0" fontId="13" fillId="0" borderId="39" xfId="0" applyNumberFormat="1" applyFont="1" applyFill="1" applyBorder="1" applyAlignment="1" applyProtection="1">
      <alignment horizontal="left" vertical="center"/>
    </xf>
    <xf numFmtId="0" fontId="13" fillId="0" borderId="17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 indent="1"/>
    </xf>
    <xf numFmtId="0" fontId="13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17" fillId="14" borderId="0" xfId="0" applyNumberFormat="1" applyFont="1" applyFill="1" applyBorder="1" applyAlignment="1">
      <alignment horizontal="center" vertical="top"/>
    </xf>
    <xf numFmtId="0" fontId="17" fillId="14" borderId="4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 applyProtection="1">
      <alignment horizontal="left" vertical="top" inden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17" fillId="14" borderId="27" xfId="0" applyFont="1" applyFill="1" applyBorder="1" applyAlignment="1">
      <alignment horizontal="center"/>
    </xf>
    <xf numFmtId="0" fontId="17" fillId="14" borderId="3" xfId="0" applyFont="1" applyFill="1" applyBorder="1" applyAlignment="1">
      <alignment horizontal="center"/>
    </xf>
    <xf numFmtId="0" fontId="17" fillId="14" borderId="28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3" fontId="9" fillId="0" borderId="36" xfId="0" applyNumberFormat="1" applyFont="1" applyBorder="1" applyAlignment="1">
      <alignment horizontal="center" vertical="center"/>
    </xf>
    <xf numFmtId="43" fontId="9" fillId="0" borderId="6" xfId="0" applyNumberFormat="1" applyFont="1" applyBorder="1" applyAlignment="1">
      <alignment horizontal="center" vertical="center"/>
    </xf>
    <xf numFmtId="43" fontId="9" fillId="0" borderId="37" xfId="0" applyNumberFormat="1" applyFont="1" applyBorder="1" applyAlignment="1">
      <alignment horizontal="center" vertical="center"/>
    </xf>
    <xf numFmtId="43" fontId="9" fillId="0" borderId="50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9" fillId="9" borderId="33" xfId="0" applyFont="1" applyFill="1" applyBorder="1" applyAlignment="1">
      <alignment horizontal="center"/>
    </xf>
    <xf numFmtId="0" fontId="17" fillId="14" borderId="31" xfId="0" applyFont="1" applyFill="1" applyBorder="1" applyAlignment="1">
      <alignment horizontal="center"/>
    </xf>
    <xf numFmtId="0" fontId="17" fillId="14" borderId="32" xfId="0" applyFont="1" applyFill="1" applyBorder="1" applyAlignment="1">
      <alignment horizontal="center"/>
    </xf>
    <xf numFmtId="0" fontId="17" fillId="14" borderId="33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9" fillId="5" borderId="46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3" fontId="9" fillId="2" borderId="14" xfId="0" applyNumberFormat="1" applyFont="1" applyFill="1" applyBorder="1" applyAlignment="1">
      <alignment horizontal="center"/>
    </xf>
    <xf numFmtId="43" fontId="9" fillId="2" borderId="15" xfId="0" applyNumberFormat="1" applyFont="1" applyFill="1" applyBorder="1" applyAlignment="1">
      <alignment horizontal="center"/>
    </xf>
  </cellXfs>
  <cellStyles count="5">
    <cellStyle name="Dziesiętny 2" xfId="2"/>
    <cellStyle name="Hiperłącze" xfId="4" builtinId="8"/>
    <cellStyle name="Normalny" xfId="0" builtinId="0"/>
    <cellStyle name="Normalny 2" xfId="1"/>
    <cellStyle name="Normalny_capitals movement 30.06.02" xfId="3"/>
  </cellStyles>
  <dxfs count="32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3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4" SchemaRef="Schema3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Schema ID="Schema5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6" SchemaRef="Schema5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3" DataBindingLoadMode="1"/>
  </Map>
  <Map ID="2" Name="JPK_mapa1" RootElement="JPK" SchemaID="Schema4" ShowImportExportValidationErrors="false" AutoFit="true" Append="false" PreserveSortAFLayout="true" PreserveFormat="true">
    <DataBinding FileBinding="true" ConnectionID="1" DataBindingLoadMode="1"/>
  </Map>
  <Map ID="3" Name="JPK_mapa2" RootElement="JPK" SchemaID="Schema6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A1:BQ971" tableType="xml" totalsRowShown="0" connectionId="2">
  <autoFilter ref="A1:BQ971"/>
  <tableColumns count="69">
    <tableColumn id="1" uniqueName="ns1:KodFormularza" name="ns1:KodFormularza">
      <xmlColumnPr mapId="3" xpath="/ns1:JPK/ns1:Naglowek/ns1:KodFormularza" xmlDataType="string"/>
    </tableColumn>
    <tableColumn id="2" uniqueName="kodSystemowy" name="kodSystemowy">
      <xmlColumnPr mapId="3" xpath="/ns1:JPK/ns1:Naglowek/ns1:KodFormularza/@kodSystemowy" xmlDataType="string"/>
    </tableColumn>
    <tableColumn id="3" uniqueName="wersjaSchemy" name="wersjaSchemy">
      <xmlColumnPr mapId="3" xpath="/ns1:JPK/ns1:Naglowek/ns1:KodFormularza/@wersjaSchemy" xmlDataType="string"/>
    </tableColumn>
    <tableColumn id="4" uniqueName="ns1:WariantFormularza" name="ns1:WariantFormularza">
      <xmlColumnPr mapId="3" xpath="/ns1:JPK/ns1:Naglowek/ns1:WariantFormularza" xmlDataType="integer"/>
    </tableColumn>
    <tableColumn id="5" uniqueName="ns1:CelZlozenia" name="ns1:CelZlozenia">
      <xmlColumnPr mapId="3" xpath="/ns1:JPK/ns1:Naglowek/ns1:CelZlozenia" xmlDataType="integer"/>
    </tableColumn>
    <tableColumn id="6" uniqueName="ns1:DataWytworzeniaJPK" name="ns1:DataWytworzeniaJPK">
      <xmlColumnPr mapId="3" xpath="/ns1:JPK/ns1:Naglowek/ns1:DataWytworzeniaJPK" xmlDataType="dateTime"/>
    </tableColumn>
    <tableColumn id="7" uniqueName="ns1:DataOd" name="ns1:DataOd">
      <xmlColumnPr mapId="3" xpath="/ns1:JPK/ns1:Naglowek/ns1:DataOd" xmlDataType="date"/>
    </tableColumn>
    <tableColumn id="8" uniqueName="ns1:DataDo" name="ns1:DataDo">
      <xmlColumnPr mapId="3" xpath="/ns1:JPK/ns1:Naglowek/ns1:DataDo" xmlDataType="date"/>
    </tableColumn>
    <tableColumn id="9" uniqueName="ns1:DomyslnyKodWaluty" name="ns1:DomyslnyKodWaluty">
      <xmlColumnPr mapId="3" xpath="/ns1:JPK/ns1:Naglowek/ns1:DomyslnyKodWaluty" xmlDataType="string"/>
    </tableColumn>
    <tableColumn id="10" uniqueName="ns1:KodUrzedu" name="ns1:KodUrzedu">
      <xmlColumnPr mapId="3" xpath="/ns1:JPK/ns1:Naglowek/ns1:KodUrzedu" xmlDataType="integer"/>
    </tableColumn>
    <tableColumn id="11" uniqueName="ns2:NIP" name="ns2:NIP">
      <xmlColumnPr mapId="3" xpath="/ns1:JPK/ns1:Podmiot1/ns1:IdentyfikatorPodmiotu/ns2:NIP" xmlDataType="integer"/>
    </tableColumn>
    <tableColumn id="12" uniqueName="ns2:PelnaNazwa" name="ns2:PelnaNazwa">
      <xmlColumnPr mapId="3" xpath="/ns1:JPK/ns1:Podmiot1/ns1:IdentyfikatorPodmiotu/ns2:PelnaNazwa" xmlDataType="string"/>
    </tableColumn>
    <tableColumn id="13" uniqueName="ns2:KodKraju" name="ns2:KodKraju">
      <xmlColumnPr mapId="3" xpath="/ns1:JPK/ns1:Podmiot1/ns1:AdresPodmiotu/ns2:KodKraju" xmlDataType="string"/>
    </tableColumn>
    <tableColumn id="14" uniqueName="ns2:Wojewodztwo" name="ns2:Wojewodztwo">
      <xmlColumnPr mapId="3" xpath="/ns1:JPK/ns1:Podmiot1/ns1:AdresPodmiotu/ns2:Wojewodztwo" xmlDataType="string"/>
    </tableColumn>
    <tableColumn id="15" uniqueName="ns2:Powiat" name="ns2:Powiat">
      <xmlColumnPr mapId="3" xpath="/ns1:JPK/ns1:Podmiot1/ns1:AdresPodmiotu/ns2:Powiat" xmlDataType="string"/>
    </tableColumn>
    <tableColumn id="16" uniqueName="ns2:Gmina" name="ns2:Gmina">
      <xmlColumnPr mapId="3" xpath="/ns1:JPK/ns1:Podmiot1/ns1:AdresPodmiotu/ns2:Gmina" xmlDataType="string"/>
    </tableColumn>
    <tableColumn id="17" uniqueName="ns2:Ulica" name="ns2:Ulica">
      <xmlColumnPr mapId="3" xpath="/ns1:JPK/ns1:Podmiot1/ns1:AdresPodmiotu/ns2:Ulica" xmlDataType="string"/>
    </tableColumn>
    <tableColumn id="18" uniqueName="ns2:NrDomu" name="ns2:NrDomu">
      <xmlColumnPr mapId="3" xpath="/ns1:JPK/ns1:Podmiot1/ns1:AdresPodmiotu/ns2:NrDomu" xmlDataType="integer"/>
    </tableColumn>
    <tableColumn id="19" uniqueName="ns2:Miejscowosc" name="ns2:Miejscowosc">
      <xmlColumnPr mapId="3" xpath="/ns1:JPK/ns1:Podmiot1/ns1:AdresPodmiotu/ns2:Miejscowosc" xmlDataType="string"/>
    </tableColumn>
    <tableColumn id="20" uniqueName="ns2:KodPocztowy" name="ns2:KodPocztowy">
      <xmlColumnPr mapId="3" xpath="/ns1:JPK/ns1:Podmiot1/ns1:AdresPodmiotu/ns2:KodPocztowy" xmlDataType="string"/>
    </tableColumn>
    <tableColumn id="21" uniqueName="ns2:Poczta" name="ns2:Poczta">
      <xmlColumnPr mapId="3" xpath="/ns1:JPK/ns1:Podmiot1/ns1:AdresPodmiotu/ns2:Poczta" xmlDataType="string"/>
    </tableColumn>
    <tableColumn id="22" uniqueName="typ" name="typ">
      <xmlColumnPr mapId="3" xpath="/ns1:JPK/ns1:ZOiS/@typ" xmlDataType="string"/>
    </tableColumn>
    <tableColumn id="23" uniqueName="ns1:KodKonta" name="ns1:KodKonta">
      <xmlColumnPr mapId="3" xpath="/ns1:JPK/ns1:ZOiS/ns1:KodKonta" xmlDataType="string"/>
    </tableColumn>
    <tableColumn id="24" uniqueName="ns1:OpisKonta" name="ns1:OpisKonta">
      <xmlColumnPr mapId="3" xpath="/ns1:JPK/ns1:ZOiS/ns1:OpisKonta" xmlDataType="string"/>
    </tableColumn>
    <tableColumn id="25" uniqueName="ns1:TypKonta" name="ns1:TypKonta">
      <xmlColumnPr mapId="3" xpath="/ns1:JPK/ns1:ZOiS/ns1:TypKonta" xmlDataType="string"/>
    </tableColumn>
    <tableColumn id="26" uniqueName="ns1:KodZespolu" name="ns1:KodZespolu">
      <xmlColumnPr mapId="3" xpath="/ns1:JPK/ns1:ZOiS/ns1:KodZespolu" xmlDataType="integer"/>
    </tableColumn>
    <tableColumn id="27" uniqueName="ns1:OpisZespolu" name="ns1:OpisZespolu">
      <xmlColumnPr mapId="3" xpath="/ns1:JPK/ns1:ZOiS/ns1:OpisZespolu" xmlDataType="string"/>
    </tableColumn>
    <tableColumn id="28" uniqueName="ns1:KodKategorii" name="ns1:KodKategorii">
      <xmlColumnPr mapId="3" xpath="/ns1:JPK/ns1:ZOiS/ns1:KodKategorii" xmlDataType="integer"/>
    </tableColumn>
    <tableColumn id="29" uniqueName="ns1:OpisKategorii" name="ns1:OpisKategorii">
      <xmlColumnPr mapId="3" xpath="/ns1:JPK/ns1:ZOiS/ns1:OpisKategorii" xmlDataType="string"/>
    </tableColumn>
    <tableColumn id="30" uniqueName="ns1:KodPodkategorii" name="ns1:KodPodkategorii">
      <xmlColumnPr mapId="3" xpath="/ns1:JPK/ns1:ZOiS/ns1:KodPodkategorii" xmlDataType="string"/>
    </tableColumn>
    <tableColumn id="31" uniqueName="ns1:OpisPodkategorii" name="ns1:OpisPodkategorii">
      <xmlColumnPr mapId="3" xpath="/ns1:JPK/ns1:ZOiS/ns1:OpisPodkategorii" xmlDataType="string"/>
    </tableColumn>
    <tableColumn id="32" uniqueName="ns1:BilansOtwarciaWinien" name="ns1:BilansOtwarciaWinien">
      <xmlColumnPr mapId="3" xpath="/ns1:JPK/ns1:ZOiS/ns1:BilansOtwarciaWinien" xmlDataType="double"/>
    </tableColumn>
    <tableColumn id="33" uniqueName="ns1:BilansOtwarciaMa" name="ns1:BilansOtwarciaMa">
      <xmlColumnPr mapId="3" xpath="/ns1:JPK/ns1:ZOiS/ns1:BilansOtwarciaMa" xmlDataType="double"/>
    </tableColumn>
    <tableColumn id="34" uniqueName="ns1:ObrotyWinien" name="ns1:ObrotyWinien">
      <xmlColumnPr mapId="3" xpath="/ns1:JPK/ns1:ZOiS/ns1:ObrotyWinien" xmlDataType="double"/>
    </tableColumn>
    <tableColumn id="35" uniqueName="ns1:ObrotyMa" name="ns1:ObrotyMa">
      <xmlColumnPr mapId="3" xpath="/ns1:JPK/ns1:ZOiS/ns1:ObrotyMa" xmlDataType="double"/>
    </tableColumn>
    <tableColumn id="36" uniqueName="ns1:ObrotyWinienNarast" name="ns1:ObrotyWinienNarast">
      <xmlColumnPr mapId="3" xpath="/ns1:JPK/ns1:ZOiS/ns1:ObrotyWinienNarast" xmlDataType="double"/>
    </tableColumn>
    <tableColumn id="37" uniqueName="ns1:ObrotyMaNarast" name="ns1:ObrotyMaNarast">
      <xmlColumnPr mapId="3" xpath="/ns1:JPK/ns1:ZOiS/ns1:ObrotyMaNarast" xmlDataType="double"/>
    </tableColumn>
    <tableColumn id="38" uniqueName="ns1:SaldoWinien" name="ns1:SaldoWinien">
      <xmlColumnPr mapId="3" xpath="/ns1:JPK/ns1:ZOiS/ns1:SaldoWinien" xmlDataType="double"/>
    </tableColumn>
    <tableColumn id="39" uniqueName="ns1:SaldoMa" name="ns1:SaldoMa">
      <xmlColumnPr mapId="3" xpath="/ns1:JPK/ns1:ZOiS/ns1:SaldoMa" xmlDataType="double"/>
    </tableColumn>
    <tableColumn id="40" uniqueName="typ" name="typ2">
      <xmlColumnPr mapId="3" xpath="/ns1:JPK/ns1:Dziennik/@typ" xmlDataType="string"/>
    </tableColumn>
    <tableColumn id="41" uniqueName="ns1:LpZapisuDziennika" name="ns1:LpZapisuDziennika">
      <xmlColumnPr mapId="3" xpath="/ns1:JPK/ns1:Dziennik/ns1:LpZapisuDziennika" xmlDataType="integer"/>
    </tableColumn>
    <tableColumn id="42" uniqueName="ns1:NrZapisuDziennika" name="ns1:NrZapisuDziennika">
      <xmlColumnPr mapId="3" xpath="/ns1:JPK/ns1:Dziennik/ns1:NrZapisuDziennika" xmlDataType="string"/>
    </tableColumn>
    <tableColumn id="43" uniqueName="ns1:OpisDziennika" name="ns1:OpisDziennika">
      <xmlColumnPr mapId="3" xpath="/ns1:JPK/ns1:Dziennik/ns1:OpisDziennika" xmlDataType="string"/>
    </tableColumn>
    <tableColumn id="44" uniqueName="ns1:NrDowoduKsiegowego" name="ns1:NrDowoduKsiegowego">
      <xmlColumnPr mapId="3" xpath="/ns1:JPK/ns1:Dziennik/ns1:NrDowoduKsiegowego" xmlDataType="string"/>
    </tableColumn>
    <tableColumn id="45" uniqueName="ns1:RodzajDowodu" name="ns1:RodzajDowodu">
      <xmlColumnPr mapId="3" xpath="/ns1:JPK/ns1:Dziennik/ns1:RodzajDowodu" xmlDataType="string"/>
    </tableColumn>
    <tableColumn id="46" uniqueName="ns1:DataOperacji" name="ns1:DataOperacji">
      <xmlColumnPr mapId="3" xpath="/ns1:JPK/ns1:Dziennik/ns1:DataOperacji" xmlDataType="date"/>
    </tableColumn>
    <tableColumn id="47" uniqueName="ns1:DataDowodu" name="ns1:DataDowodu">
      <xmlColumnPr mapId="3" xpath="/ns1:JPK/ns1:Dziennik/ns1:DataDowodu" xmlDataType="date"/>
    </tableColumn>
    <tableColumn id="48" uniqueName="ns1:DataKsiegowania" name="ns1:DataKsiegowania">
      <xmlColumnPr mapId="3" xpath="/ns1:JPK/ns1:Dziennik/ns1:DataKsiegowania" xmlDataType="date"/>
    </tableColumn>
    <tableColumn id="49" uniqueName="ns1:KodOperatora" name="ns1:KodOperatora">
      <xmlColumnPr mapId="3" xpath="/ns1:JPK/ns1:Dziennik/ns1:KodOperatora" xmlDataType="string"/>
    </tableColumn>
    <tableColumn id="50" uniqueName="ns1:OpisOperacji" name="ns1:OpisOperacji">
      <xmlColumnPr mapId="3" xpath="/ns1:JPK/ns1:Dziennik/ns1:OpisOperacji" xmlDataType="string"/>
    </tableColumn>
    <tableColumn id="51" uniqueName="ns1:DziennikKwotaOperacji" name="ns1:DziennikKwotaOperacji">
      <xmlColumnPr mapId="3" xpath="/ns1:JPK/ns1:Dziennik/ns1:DziennikKwotaOperacji" xmlDataType="double"/>
    </tableColumn>
    <tableColumn id="52" uniqueName="ns1:LiczbaWierszyDziennika" name="ns1:LiczbaWierszyDziennika">
      <xmlColumnPr mapId="3" xpath="/ns1:JPK/ns1:DziennikCtrl/ns1:LiczbaWierszyDziennika" xmlDataType="integer"/>
    </tableColumn>
    <tableColumn id="53" uniqueName="ns1:SumaKwotOperacji" name="ns1:SumaKwotOperacji">
      <xmlColumnPr mapId="3" xpath="/ns1:JPK/ns1:DziennikCtrl/ns1:SumaKwotOperacji" xmlDataType="double"/>
    </tableColumn>
    <tableColumn id="54" uniqueName="typ" name="typ3">
      <xmlColumnPr mapId="3" xpath="/ns1:JPK/ns1:KontoZapis/@typ" xmlDataType="string"/>
    </tableColumn>
    <tableColumn id="55" uniqueName="ns1:LpZapisu" name="ns1:LpZapisu">
      <xmlColumnPr mapId="3" xpath="/ns1:JPK/ns1:KontoZapis/ns1:LpZapisu" xmlDataType="integer"/>
    </tableColumn>
    <tableColumn id="56" uniqueName="ns1:NrZapisu" name="ns1:NrZapisu">
      <xmlColumnPr mapId="3" xpath="/ns1:JPK/ns1:KontoZapis/ns1:NrZapisu" xmlDataType="string"/>
    </tableColumn>
    <tableColumn id="57" uniqueName="ns1:KodKontaWinien" name="ns1:KodKontaWinien">
      <xmlColumnPr mapId="3" xpath="/ns1:JPK/ns1:KontoZapis/ns1:KodKontaWinien" xmlDataType="string"/>
    </tableColumn>
    <tableColumn id="58" uniqueName="ns1:KwotaWinien" name="ns1:KwotaWinien">
      <xmlColumnPr mapId="3" xpath="/ns1:JPK/ns1:KontoZapis/ns1:KwotaWinien" xmlDataType="double"/>
    </tableColumn>
    <tableColumn id="59" uniqueName="ns1:OpisZapisuWinien" name="ns1:OpisZapisuWinien">
      <xmlColumnPr mapId="3" xpath="/ns1:JPK/ns1:KontoZapis/ns1:OpisZapisuWinien" xmlDataType="string"/>
    </tableColumn>
    <tableColumn id="60" uniqueName="ns1:KodKontaMa" name="ns1:KodKontaMa">
      <xmlColumnPr mapId="3" xpath="/ns1:JPK/ns1:KontoZapis/ns1:KodKontaMa" xmlDataType="string"/>
    </tableColumn>
    <tableColumn id="61" uniqueName="ns1:KwotaMa" name="ns1:KwotaMa">
      <xmlColumnPr mapId="3" xpath="/ns1:JPK/ns1:KontoZapis/ns1:KwotaMa" xmlDataType="double"/>
    </tableColumn>
    <tableColumn id="62" uniqueName="ns1:OpisZapisuMa" name="ns1:OpisZapisuMa">
      <xmlColumnPr mapId="3" xpath="/ns1:JPK/ns1:KontoZapis/ns1:OpisZapisuMa" xmlDataType="string"/>
    </tableColumn>
    <tableColumn id="63" uniqueName="ns1:KwotaWinienWaluta" name="ns1:KwotaWinienWaluta">
      <xmlColumnPr mapId="3" xpath="/ns1:JPK/ns1:KontoZapis/ns1:KwotaWinienWaluta" xmlDataType="double"/>
    </tableColumn>
    <tableColumn id="64" uniqueName="ns1:KodWalutyWinien" name="ns1:KodWalutyWinien">
      <xmlColumnPr mapId="3" xpath="/ns1:JPK/ns1:KontoZapis/ns1:KodWalutyWinien" xmlDataType="string"/>
    </tableColumn>
    <tableColumn id="65" uniqueName="ns1:KwotaMaWaluta" name="ns1:KwotaMaWaluta">
      <xmlColumnPr mapId="3" xpath="/ns1:JPK/ns1:KontoZapis/ns1:KwotaMaWaluta" xmlDataType="double"/>
    </tableColumn>
    <tableColumn id="66" uniqueName="ns1:KodWalutyMa" name="ns1:KodWalutyMa">
      <xmlColumnPr mapId="3" xpath="/ns1:JPK/ns1:KontoZapis/ns1:KodWalutyMa" xmlDataType="string"/>
    </tableColumn>
    <tableColumn id="67" uniqueName="ns1:LiczbaWierszyKontoZapisj" name="ns1:LiczbaWierszyKontoZapisj">
      <xmlColumnPr mapId="3" xpath="/ns1:JPK/ns1:KontoZapisCtrl/ns1:LiczbaWierszyKontoZapisj" xmlDataType="integer"/>
    </tableColumn>
    <tableColumn id="68" uniqueName="ns1:SumaWinien" name="ns1:SumaWinien">
      <xmlColumnPr mapId="3" xpath="/ns1:JPK/ns1:KontoZapisCtrl/ns1:SumaWinien" xmlDataType="double"/>
    </tableColumn>
    <tableColumn id="69" uniqueName="ns1:SumaMa" name="ns1:SumaMa">
      <xmlColumnPr mapId="3" xpath="/ns1:JPK/ns1:KontoZapisCtrl/ns1:SumaMa" xmlDataType="double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BQ334" tableType="xml" totalsRowShown="0" connectionId="1">
  <autoFilter ref="A1:BQ334"/>
  <tableColumns count="69">
    <tableColumn id="1" uniqueName="ns1:KodFormularza" name="ns1:KodFormularza">
      <xmlColumnPr mapId="2" xpath="/ns1:JPK/ns1:Naglowek/ns1:KodFormularza" xmlDataType="string"/>
    </tableColumn>
    <tableColumn id="2" uniqueName="kodSystemowy" name="kodSystemowy">
      <xmlColumnPr mapId="2" xpath="/ns1:JPK/ns1:Naglowek/ns1:KodFormularza/@kodSystemowy" xmlDataType="string"/>
    </tableColumn>
    <tableColumn id="3" uniqueName="wersjaSchemy" name="wersjaSchemy">
      <xmlColumnPr mapId="2" xpath="/ns1:JPK/ns1:Naglowek/ns1:KodFormularza/@wersjaSchemy" xmlDataType="string"/>
    </tableColumn>
    <tableColumn id="4" uniqueName="ns1:WariantFormularza" name="ns1:WariantFormularza">
      <xmlColumnPr mapId="2" xpath="/ns1:JPK/ns1:Naglowek/ns1:WariantFormularza" xmlDataType="integer"/>
    </tableColumn>
    <tableColumn id="5" uniqueName="ns1:CelZlozenia" name="ns1:CelZlozenia">
      <xmlColumnPr mapId="2" xpath="/ns1:JPK/ns1:Naglowek/ns1:CelZlozenia" xmlDataType="integer"/>
    </tableColumn>
    <tableColumn id="6" uniqueName="ns1:DataWytworzeniaJPK" name="ns1:DataWytworzeniaJPK">
      <xmlColumnPr mapId="2" xpath="/ns1:JPK/ns1:Naglowek/ns1:DataWytworzeniaJPK" xmlDataType="dateTime"/>
    </tableColumn>
    <tableColumn id="7" uniqueName="ns1:DataOd" name="ns1:DataOd">
      <xmlColumnPr mapId="2" xpath="/ns1:JPK/ns1:Naglowek/ns1:DataOd" xmlDataType="date"/>
    </tableColumn>
    <tableColumn id="8" uniqueName="ns1:DataDo" name="ns1:DataDo">
      <xmlColumnPr mapId="2" xpath="/ns1:JPK/ns1:Naglowek/ns1:DataDo" xmlDataType="date"/>
    </tableColumn>
    <tableColumn id="9" uniqueName="ns1:DomyslnyKodWaluty" name="ns1:DomyslnyKodWaluty">
      <xmlColumnPr mapId="2" xpath="/ns1:JPK/ns1:Naglowek/ns1:DomyslnyKodWaluty" xmlDataType="string"/>
    </tableColumn>
    <tableColumn id="10" uniqueName="ns1:KodUrzedu" name="ns1:KodUrzedu">
      <xmlColumnPr mapId="2" xpath="/ns1:JPK/ns1:Naglowek/ns1:KodUrzedu" xmlDataType="integer"/>
    </tableColumn>
    <tableColumn id="11" uniqueName="ns2:NIP" name="ns2:NIP">
      <xmlColumnPr mapId="2" xpath="/ns1:JPK/ns1:Podmiot1/ns1:IdentyfikatorPodmiotu/ns2:NIP" xmlDataType="integer"/>
    </tableColumn>
    <tableColumn id="12" uniqueName="ns2:PelnaNazwa" name="ns2:PelnaNazwa">
      <xmlColumnPr mapId="2" xpath="/ns1:JPK/ns1:Podmiot1/ns1:IdentyfikatorPodmiotu/ns2:PelnaNazwa" xmlDataType="string"/>
    </tableColumn>
    <tableColumn id="13" uniqueName="ns2:KodKraju" name="ns2:KodKraju">
      <xmlColumnPr mapId="2" xpath="/ns1:JPK/ns1:Podmiot1/ns1:AdresPodmiotu/ns2:KodKraju" xmlDataType="string"/>
    </tableColumn>
    <tableColumn id="14" uniqueName="ns2:Wojewodztwo" name="ns2:Wojewodztwo">
      <xmlColumnPr mapId="2" xpath="/ns1:JPK/ns1:Podmiot1/ns1:AdresPodmiotu/ns2:Wojewodztwo" xmlDataType="string"/>
    </tableColumn>
    <tableColumn id="15" uniqueName="ns2:Powiat" name="ns2:Powiat">
      <xmlColumnPr mapId="2" xpath="/ns1:JPK/ns1:Podmiot1/ns1:AdresPodmiotu/ns2:Powiat" xmlDataType="string"/>
    </tableColumn>
    <tableColumn id="16" uniqueName="ns2:Gmina" name="ns2:Gmina">
      <xmlColumnPr mapId="2" xpath="/ns1:JPK/ns1:Podmiot1/ns1:AdresPodmiotu/ns2:Gmina" xmlDataType="string"/>
    </tableColumn>
    <tableColumn id="17" uniqueName="ns2:Ulica" name="ns2:Ulica">
      <xmlColumnPr mapId="2" xpath="/ns1:JPK/ns1:Podmiot1/ns1:AdresPodmiotu/ns2:Ulica" xmlDataType="string"/>
    </tableColumn>
    <tableColumn id="18" uniqueName="ns2:NrDomu" name="ns2:NrDomu">
      <xmlColumnPr mapId="2" xpath="/ns1:JPK/ns1:Podmiot1/ns1:AdresPodmiotu/ns2:NrDomu" xmlDataType="integer"/>
    </tableColumn>
    <tableColumn id="19" uniqueName="ns2:Miejscowosc" name="ns2:Miejscowosc">
      <xmlColumnPr mapId="2" xpath="/ns1:JPK/ns1:Podmiot1/ns1:AdresPodmiotu/ns2:Miejscowosc" xmlDataType="string"/>
    </tableColumn>
    <tableColumn id="20" uniqueName="ns2:KodPocztowy" name="ns2:KodPocztowy">
      <xmlColumnPr mapId="2" xpath="/ns1:JPK/ns1:Podmiot1/ns1:AdresPodmiotu/ns2:KodPocztowy" xmlDataType="string"/>
    </tableColumn>
    <tableColumn id="21" uniqueName="ns2:Poczta" name="ns2:Poczta">
      <xmlColumnPr mapId="2" xpath="/ns1:JPK/ns1:Podmiot1/ns1:AdresPodmiotu/ns2:Poczta" xmlDataType="string"/>
    </tableColumn>
    <tableColumn id="22" uniqueName="typ" name="typ">
      <xmlColumnPr mapId="2" xpath="/ns1:JPK/ns1:ZOiS/@typ" xmlDataType="string"/>
    </tableColumn>
    <tableColumn id="23" uniqueName="ns1:KodKonta" name="ns1:KodKonta">
      <xmlColumnPr mapId="2" xpath="/ns1:JPK/ns1:ZOiS/ns1:KodKonta" xmlDataType="string"/>
    </tableColumn>
    <tableColumn id="24" uniqueName="ns1:OpisKonta" name="ns1:OpisKonta">
      <xmlColumnPr mapId="2" xpath="/ns1:JPK/ns1:ZOiS/ns1:OpisKonta" xmlDataType="string"/>
    </tableColumn>
    <tableColumn id="25" uniqueName="ns1:TypKonta" name="ns1:TypKonta">
      <xmlColumnPr mapId="2" xpath="/ns1:JPK/ns1:ZOiS/ns1:TypKonta" xmlDataType="string"/>
    </tableColumn>
    <tableColumn id="26" uniqueName="ns1:KodZespolu" name="ns1:KodZespolu">
      <xmlColumnPr mapId="2" xpath="/ns1:JPK/ns1:ZOiS/ns1:KodZespolu" xmlDataType="integer"/>
    </tableColumn>
    <tableColumn id="27" uniqueName="ns1:OpisZespolu" name="ns1:OpisZespolu">
      <xmlColumnPr mapId="2" xpath="/ns1:JPK/ns1:ZOiS/ns1:OpisZespolu" xmlDataType="string"/>
    </tableColumn>
    <tableColumn id="28" uniqueName="ns1:KodKategorii" name="ns1:KodKategorii">
      <xmlColumnPr mapId="2" xpath="/ns1:JPK/ns1:ZOiS/ns1:KodKategorii" xmlDataType="integer"/>
    </tableColumn>
    <tableColumn id="29" uniqueName="ns1:OpisKategorii" name="ns1:OpisKategorii">
      <xmlColumnPr mapId="2" xpath="/ns1:JPK/ns1:ZOiS/ns1:OpisKategorii" xmlDataType="string"/>
    </tableColumn>
    <tableColumn id="30" uniqueName="ns1:KodPodkategorii" name="ns1:KodPodkategorii">
      <xmlColumnPr mapId="2" xpath="/ns1:JPK/ns1:ZOiS/ns1:KodPodkategorii" xmlDataType="string"/>
    </tableColumn>
    <tableColumn id="31" uniqueName="ns1:OpisPodkategorii" name="ns1:OpisPodkategorii">
      <xmlColumnPr mapId="2" xpath="/ns1:JPK/ns1:ZOiS/ns1:OpisPodkategorii" xmlDataType="string"/>
    </tableColumn>
    <tableColumn id="32" uniqueName="ns1:BilansOtwarciaWinien" name="ns1:BilansOtwarciaWinien">
      <xmlColumnPr mapId="2" xpath="/ns1:JPK/ns1:ZOiS/ns1:BilansOtwarciaWinien" xmlDataType="double"/>
    </tableColumn>
    <tableColumn id="33" uniqueName="ns1:BilansOtwarciaMa" name="ns1:BilansOtwarciaMa">
      <xmlColumnPr mapId="2" xpath="/ns1:JPK/ns1:ZOiS/ns1:BilansOtwarciaMa" xmlDataType="double"/>
    </tableColumn>
    <tableColumn id="34" uniqueName="ns1:ObrotyWinien" name="ns1:ObrotyWinien">
      <xmlColumnPr mapId="2" xpath="/ns1:JPK/ns1:ZOiS/ns1:ObrotyWinien" xmlDataType="double"/>
    </tableColumn>
    <tableColumn id="35" uniqueName="ns1:ObrotyMa" name="ns1:ObrotyMa">
      <xmlColumnPr mapId="2" xpath="/ns1:JPK/ns1:ZOiS/ns1:ObrotyMa" xmlDataType="double"/>
    </tableColumn>
    <tableColumn id="36" uniqueName="ns1:ObrotyWinienNarast" name="ns1:ObrotyWinienNarast">
      <xmlColumnPr mapId="2" xpath="/ns1:JPK/ns1:ZOiS/ns1:ObrotyWinienNarast" xmlDataType="double"/>
    </tableColumn>
    <tableColumn id="37" uniqueName="ns1:ObrotyMaNarast" name="ns1:ObrotyMaNarast">
      <xmlColumnPr mapId="2" xpath="/ns1:JPK/ns1:ZOiS/ns1:ObrotyMaNarast" xmlDataType="double"/>
    </tableColumn>
    <tableColumn id="38" uniqueName="ns1:SaldoWinien" name="ns1:SaldoWinien">
      <xmlColumnPr mapId="2" xpath="/ns1:JPK/ns1:ZOiS/ns1:SaldoWinien" xmlDataType="double"/>
    </tableColumn>
    <tableColumn id="39" uniqueName="ns1:SaldoMa" name="ns1:SaldoMa">
      <xmlColumnPr mapId="2" xpath="/ns1:JPK/ns1:ZOiS/ns1:SaldoMa" xmlDataType="double"/>
    </tableColumn>
    <tableColumn id="40" uniqueName="typ" name="typ2">
      <xmlColumnPr mapId="2" xpath="/ns1:JPK/ns1:Dziennik/@typ" xmlDataType="string"/>
    </tableColumn>
    <tableColumn id="41" uniqueName="ns1:LpZapisuDziennika" name="ns1:LpZapisuDziennika">
      <xmlColumnPr mapId="2" xpath="/ns1:JPK/ns1:Dziennik/ns1:LpZapisuDziennika" xmlDataType="integer"/>
    </tableColumn>
    <tableColumn id="42" uniqueName="ns1:NrZapisuDziennika" name="ns1:NrZapisuDziennika">
      <xmlColumnPr mapId="2" xpath="/ns1:JPK/ns1:Dziennik/ns1:NrZapisuDziennika" xmlDataType="string"/>
    </tableColumn>
    <tableColumn id="43" uniqueName="ns1:OpisDziennika" name="ns1:OpisDziennika">
      <xmlColumnPr mapId="2" xpath="/ns1:JPK/ns1:Dziennik/ns1:OpisDziennika" xmlDataType="string"/>
    </tableColumn>
    <tableColumn id="44" uniqueName="ns1:NrDowoduKsiegowego" name="ns1:NrDowoduKsiegowego">
      <xmlColumnPr mapId="2" xpath="/ns1:JPK/ns1:Dziennik/ns1:NrDowoduKsiegowego" xmlDataType="string"/>
    </tableColumn>
    <tableColumn id="45" uniqueName="ns1:RodzajDowodu" name="ns1:RodzajDowodu">
      <xmlColumnPr mapId="2" xpath="/ns1:JPK/ns1:Dziennik/ns1:RodzajDowodu" xmlDataType="string"/>
    </tableColumn>
    <tableColumn id="46" uniqueName="ns1:DataOperacji" name="ns1:DataOperacji">
      <xmlColumnPr mapId="2" xpath="/ns1:JPK/ns1:Dziennik/ns1:DataOperacji" xmlDataType="date"/>
    </tableColumn>
    <tableColumn id="47" uniqueName="ns1:DataDowodu" name="ns1:DataDowodu">
      <xmlColumnPr mapId="2" xpath="/ns1:JPK/ns1:Dziennik/ns1:DataDowodu" xmlDataType="date"/>
    </tableColumn>
    <tableColumn id="48" uniqueName="ns1:DataKsiegowania" name="ns1:DataKsiegowania">
      <xmlColumnPr mapId="2" xpath="/ns1:JPK/ns1:Dziennik/ns1:DataKsiegowania" xmlDataType="date"/>
    </tableColumn>
    <tableColumn id="49" uniqueName="ns1:KodOperatora" name="ns1:KodOperatora">
      <xmlColumnPr mapId="2" xpath="/ns1:JPK/ns1:Dziennik/ns1:KodOperatora" xmlDataType="string"/>
    </tableColumn>
    <tableColumn id="50" uniqueName="ns1:OpisOperacji" name="ns1:OpisOperacji">
      <xmlColumnPr mapId="2" xpath="/ns1:JPK/ns1:Dziennik/ns1:OpisOperacji" xmlDataType="string"/>
    </tableColumn>
    <tableColumn id="51" uniqueName="ns1:DziennikKwotaOperacji" name="ns1:DziennikKwotaOperacji">
      <xmlColumnPr mapId="2" xpath="/ns1:JPK/ns1:Dziennik/ns1:DziennikKwotaOperacji" xmlDataType="double"/>
    </tableColumn>
    <tableColumn id="52" uniqueName="ns1:LiczbaWierszyDziennika" name="ns1:LiczbaWierszyDziennika">
      <xmlColumnPr mapId="2" xpath="/ns1:JPK/ns1:DziennikCtrl/ns1:LiczbaWierszyDziennika" xmlDataType="integer"/>
    </tableColumn>
    <tableColumn id="53" uniqueName="ns1:SumaKwotOperacji" name="ns1:SumaKwotOperacji">
      <xmlColumnPr mapId="2" xpath="/ns1:JPK/ns1:DziennikCtrl/ns1:SumaKwotOperacji" xmlDataType="double"/>
    </tableColumn>
    <tableColumn id="54" uniqueName="typ" name="typ3">
      <xmlColumnPr mapId="2" xpath="/ns1:JPK/ns1:KontoZapis/@typ" xmlDataType="string"/>
    </tableColumn>
    <tableColumn id="55" uniqueName="ns1:LpZapisu" name="ns1:LpZapisu">
      <xmlColumnPr mapId="2" xpath="/ns1:JPK/ns1:KontoZapis/ns1:LpZapisu" xmlDataType="integer"/>
    </tableColumn>
    <tableColumn id="56" uniqueName="ns1:NrZapisu" name="ns1:NrZapisu">
      <xmlColumnPr mapId="2" xpath="/ns1:JPK/ns1:KontoZapis/ns1:NrZapisu" xmlDataType="string"/>
    </tableColumn>
    <tableColumn id="57" uniqueName="ns1:KodKontaWinien" name="ns1:KodKontaWinien">
      <xmlColumnPr mapId="2" xpath="/ns1:JPK/ns1:KontoZapis/ns1:KodKontaWinien" xmlDataType="string"/>
    </tableColumn>
    <tableColumn id="58" uniqueName="ns1:KwotaWinien" name="ns1:KwotaWinien">
      <xmlColumnPr mapId="2" xpath="/ns1:JPK/ns1:KontoZapis/ns1:KwotaWinien" xmlDataType="double"/>
    </tableColumn>
    <tableColumn id="59" uniqueName="ns1:OpisZapisuWinien" name="ns1:OpisZapisuWinien">
      <xmlColumnPr mapId="2" xpath="/ns1:JPK/ns1:KontoZapis/ns1:OpisZapisuWinien" xmlDataType="string"/>
    </tableColumn>
    <tableColumn id="60" uniqueName="ns1:KodKontaMa" name="ns1:KodKontaMa">
      <xmlColumnPr mapId="2" xpath="/ns1:JPK/ns1:KontoZapis/ns1:KodKontaMa" xmlDataType="string"/>
    </tableColumn>
    <tableColumn id="61" uniqueName="ns1:KwotaMa" name="ns1:KwotaMa">
      <xmlColumnPr mapId="2" xpath="/ns1:JPK/ns1:KontoZapis/ns1:KwotaMa" xmlDataType="double"/>
    </tableColumn>
    <tableColumn id="62" uniqueName="ns1:OpisZapisuMa" name="ns1:OpisZapisuMa">
      <xmlColumnPr mapId="2" xpath="/ns1:JPK/ns1:KontoZapis/ns1:OpisZapisuMa" xmlDataType="string"/>
    </tableColumn>
    <tableColumn id="63" uniqueName="ns1:KwotaWinienWaluta" name="ns1:KwotaWinienWaluta">
      <xmlColumnPr mapId="2" xpath="/ns1:JPK/ns1:KontoZapis/ns1:KwotaWinienWaluta" xmlDataType="double"/>
    </tableColumn>
    <tableColumn id="64" uniqueName="ns1:KodWalutyWinien" name="ns1:KodWalutyWinien">
      <xmlColumnPr mapId="2" xpath="/ns1:JPK/ns1:KontoZapis/ns1:KodWalutyWinien" xmlDataType="string"/>
    </tableColumn>
    <tableColumn id="65" uniqueName="ns1:KwotaMaWaluta" name="ns1:KwotaMaWaluta">
      <xmlColumnPr mapId="2" xpath="/ns1:JPK/ns1:KontoZapis/ns1:KwotaMaWaluta" xmlDataType="double"/>
    </tableColumn>
    <tableColumn id="66" uniqueName="ns1:KodWalutyMa" name="ns1:KodWalutyMa">
      <xmlColumnPr mapId="2" xpath="/ns1:JPK/ns1:KontoZapis/ns1:KodWalutyMa" xmlDataType="string"/>
    </tableColumn>
    <tableColumn id="67" uniqueName="ns1:LiczbaWierszyKontoZapisj" name="ns1:LiczbaWierszyKontoZapisj">
      <xmlColumnPr mapId="2" xpath="/ns1:JPK/ns1:KontoZapisCtrl/ns1:LiczbaWierszyKontoZapisj" xmlDataType="integer"/>
    </tableColumn>
    <tableColumn id="68" uniqueName="ns1:SumaWinien" name="ns1:SumaWinien">
      <xmlColumnPr mapId="2" xpath="/ns1:JPK/ns1:KontoZapisCtrl/ns1:SumaWinien" xmlDataType="double"/>
    </tableColumn>
    <tableColumn id="69" uniqueName="ns1:SumaMa" name="ns1:SumaMa">
      <xmlColumnPr mapId="2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20"/>
  <sheetViews>
    <sheetView showGridLines="0" tabSelected="1" workbookViewId="0">
      <selection activeCell="L29" sqref="L29"/>
    </sheetView>
  </sheetViews>
  <sheetFormatPr defaultRowHeight="14" x14ac:dyDescent="0.3"/>
  <cols>
    <col min="1" max="2" width="8.7265625" style="5"/>
    <col min="3" max="3" width="18.1796875" style="5" bestFit="1" customWidth="1"/>
    <col min="4" max="4" width="17.7265625" style="5" bestFit="1" customWidth="1"/>
    <col min="5" max="5" width="8.7265625" style="5"/>
    <col min="6" max="6" width="17.7265625" style="5" bestFit="1" customWidth="1"/>
    <col min="7" max="16384" width="8.7265625" style="5"/>
  </cols>
  <sheetData>
    <row r="2" spans="2:14" ht="14" customHeight="1" x14ac:dyDescent="0.3">
      <c r="B2" s="4" t="str">
        <f>Tabela1[[#This Row],[ns2:PelnaNazwa]]</f>
        <v>Firma Demonstracyjna</v>
      </c>
    </row>
    <row r="3" spans="2:14" ht="43" customHeight="1" x14ac:dyDescent="0.3">
      <c r="H3" s="197" t="s">
        <v>1662</v>
      </c>
      <c r="I3" s="197"/>
      <c r="J3" s="197"/>
      <c r="K3" s="197"/>
      <c r="L3" s="197"/>
      <c r="M3" s="197"/>
      <c r="N3" s="197"/>
    </row>
    <row r="4" spans="2:14" x14ac:dyDescent="0.3">
      <c r="H4" s="198" t="s">
        <v>1638</v>
      </c>
      <c r="I4" s="198"/>
      <c r="J4" s="198"/>
      <c r="K4" s="198"/>
      <c r="L4" s="198"/>
      <c r="M4" s="198"/>
      <c r="N4" s="198"/>
    </row>
    <row r="5" spans="2:14" ht="25.5" x14ac:dyDescent="0.55000000000000004">
      <c r="B5" s="193" t="s">
        <v>374</v>
      </c>
      <c r="C5" s="193"/>
      <c r="D5" s="6">
        <f>JPK_KR!G2</f>
        <v>41275</v>
      </c>
      <c r="E5" s="7" t="s">
        <v>176</v>
      </c>
      <c r="F5" s="6">
        <f>JPK_KR!H2</f>
        <v>41639</v>
      </c>
      <c r="H5"/>
      <c r="I5"/>
      <c r="J5"/>
      <c r="K5"/>
      <c r="L5"/>
      <c r="M5"/>
      <c r="N5"/>
    </row>
    <row r="6" spans="2:14" ht="14.5" x14ac:dyDescent="0.35">
      <c r="H6"/>
      <c r="I6"/>
      <c r="J6"/>
      <c r="K6"/>
      <c r="L6"/>
      <c r="M6"/>
      <c r="N6"/>
    </row>
    <row r="7" spans="2:14" x14ac:dyDescent="0.3">
      <c r="B7" s="196"/>
      <c r="C7" s="196"/>
      <c r="H7" s="199" t="s">
        <v>1639</v>
      </c>
      <c r="I7" s="199"/>
      <c r="J7" s="199"/>
      <c r="K7" s="199"/>
      <c r="L7" s="199"/>
      <c r="M7" s="199"/>
      <c r="N7" s="199"/>
    </row>
    <row r="8" spans="2:14" x14ac:dyDescent="0.3">
      <c r="B8" s="194" t="s">
        <v>375</v>
      </c>
      <c r="C8" s="195"/>
      <c r="D8" s="12">
        <f>YEAR(D5)</f>
        <v>2013</v>
      </c>
      <c r="E8" s="139" t="str">
        <f>Bilans!G2</f>
        <v>ZŁ</v>
      </c>
    </row>
    <row r="9" spans="2:14" x14ac:dyDescent="0.3">
      <c r="B9" s="11" t="s">
        <v>376</v>
      </c>
      <c r="C9" s="12"/>
      <c r="D9" s="12" t="str">
        <f>RZiS!C3</f>
        <v>wariant porównawczy</v>
      </c>
      <c r="E9" s="140" t="str">
        <f>RZiS!E3</f>
        <v>ZŁ</v>
      </c>
    </row>
    <row r="10" spans="2:14" x14ac:dyDescent="0.3">
      <c r="B10" s="11" t="s">
        <v>377</v>
      </c>
      <c r="C10" s="12"/>
      <c r="D10" s="12">
        <f>YEAR(D5)</f>
        <v>2013</v>
      </c>
      <c r="E10" s="140" t="str">
        <f>ZZwK!F3</f>
        <v>ZŁ</v>
      </c>
    </row>
    <row r="11" spans="2:14" x14ac:dyDescent="0.3">
      <c r="B11" s="11" t="s">
        <v>378</v>
      </c>
      <c r="C11" s="12"/>
      <c r="D11" s="13" t="str">
        <f>"metoda:"&amp;CF!H4</f>
        <v>metoda:bezpośrednia</v>
      </c>
      <c r="E11" s="140" t="str">
        <f>CF!H3</f>
        <v>ZŁ</v>
      </c>
    </row>
    <row r="12" spans="2:14" x14ac:dyDescent="0.3">
      <c r="B12" s="10"/>
    </row>
    <row r="18" spans="12:12" x14ac:dyDescent="0.3">
      <c r="L18" s="8"/>
    </row>
    <row r="19" spans="12:12" x14ac:dyDescent="0.3">
      <c r="L19" s="9"/>
    </row>
    <row r="20" spans="12:12" x14ac:dyDescent="0.3">
      <c r="L20" s="9"/>
    </row>
  </sheetData>
  <sheetProtection algorithmName="SHA-512" hashValue="DiAXswB4fQvmtdDFa6YaG8/t60FZ6iOebww4j2H3Bgq4Fbo+krc6hvnIFjlVFslRR1l4hDEUw6C/THVR/oHr6Q==" saltValue="kXyMuCMyAgNp1wtr0psGpw==" spinCount="100000" sheet="1" objects="1" scenarios="1"/>
  <mergeCells count="6">
    <mergeCell ref="B5:C5"/>
    <mergeCell ref="B8:C8"/>
    <mergeCell ref="B7:C7"/>
    <mergeCell ref="H3:N3"/>
    <mergeCell ref="H4:N4"/>
    <mergeCell ref="H7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154"/>
  <sheetViews>
    <sheetView showGridLines="0" zoomScale="75" zoomScaleNormal="75" workbookViewId="0">
      <pane ySplit="4" topLeftCell="A5" activePane="bottomLeft" state="frozen"/>
      <selection pane="bottomLeft" activeCell="G89" sqref="G89"/>
    </sheetView>
  </sheetViews>
  <sheetFormatPr defaultRowHeight="14" x14ac:dyDescent="0.3"/>
  <cols>
    <col min="1" max="1" width="2.54296875" style="5" bestFit="1" customWidth="1"/>
    <col min="2" max="2" width="3" style="5" bestFit="1" customWidth="1"/>
    <col min="3" max="3" width="2.36328125" style="5" bestFit="1" customWidth="1"/>
    <col min="4" max="4" width="2.453125" style="5" bestFit="1" customWidth="1"/>
    <col min="5" max="5" width="82.6328125" style="21" bestFit="1" customWidth="1"/>
    <col min="6" max="6" width="17.81640625" style="24" bestFit="1" customWidth="1"/>
    <col min="7" max="7" width="17.453125" style="24" customWidth="1"/>
    <col min="8" max="8" width="7.453125" style="5" customWidth="1"/>
    <col min="9" max="9" width="14.6328125" style="17" bestFit="1" customWidth="1"/>
    <col min="10" max="10" width="8.7265625" style="5"/>
    <col min="11" max="11" width="2.36328125" style="5" bestFit="1" customWidth="1"/>
    <col min="12" max="12" width="4.54296875" style="5" bestFit="1" customWidth="1"/>
    <col min="13" max="14" width="31.08984375" style="5" bestFit="1" customWidth="1"/>
    <col min="15" max="16384" width="8.7265625" style="5"/>
  </cols>
  <sheetData>
    <row r="1" spans="1:14" ht="15.5" thickBot="1" x14ac:dyDescent="0.35">
      <c r="A1" s="14" t="str">
        <f>JPK_KR!L2</f>
        <v>Firma Demonstracyjna</v>
      </c>
      <c r="B1" s="15"/>
      <c r="C1" s="16"/>
      <c r="D1" s="14"/>
      <c r="E1" s="15"/>
      <c r="F1" s="16" t="s">
        <v>296</v>
      </c>
      <c r="G1" s="14">
        <f>JPK_KR!K2</f>
        <v>0</v>
      </c>
      <c r="M1" s="159">
        <f>F4</f>
        <v>2013</v>
      </c>
      <c r="N1" s="159">
        <f>G4</f>
        <v>2012</v>
      </c>
    </row>
    <row r="2" spans="1:14" x14ac:dyDescent="0.3">
      <c r="A2" s="18"/>
      <c r="B2" s="19"/>
      <c r="C2" s="20"/>
      <c r="F2" s="22" t="s">
        <v>325</v>
      </c>
      <c r="G2" s="23" t="s">
        <v>324</v>
      </c>
      <c r="K2" s="158" t="s">
        <v>183</v>
      </c>
      <c r="L2" s="158" t="s">
        <v>1660</v>
      </c>
      <c r="M2" s="158" t="str">
        <f>IF(G2=RZiS!E3,IF(F93=F154,"OK","BŁĄD"),"UWAGA! Niespójne zaokrąglenie")</f>
        <v>OK</v>
      </c>
      <c r="N2" s="158" t="str">
        <f>IF(G2=RZiS!E3,IF(G93=G154,"OK","BŁĄD"),"UWAGA! Niespójne zaokrąglenie")</f>
        <v>OK</v>
      </c>
    </row>
    <row r="3" spans="1:14" ht="14.5" thickBot="1" x14ac:dyDescent="0.35"/>
    <row r="4" spans="1:14" ht="15.5" thickBot="1" x14ac:dyDescent="0.35">
      <c r="A4" s="211" t="str">
        <f>"B  I  L  A  N  S    za  "&amp;F4&amp;" rok"</f>
        <v>B  I  L  A  N  S    za  2013 rok</v>
      </c>
      <c r="B4" s="212"/>
      <c r="C4" s="212"/>
      <c r="D4" s="212"/>
      <c r="E4" s="213"/>
      <c r="F4" s="159">
        <f>YEAR(START!D5)</f>
        <v>2013</v>
      </c>
      <c r="G4" s="159">
        <f>YEAR('JPK_KR-1'!G2)</f>
        <v>2012</v>
      </c>
      <c r="I4" s="25" t="s">
        <v>109</v>
      </c>
    </row>
    <row r="5" spans="1:14" x14ac:dyDescent="0.3">
      <c r="A5" s="203" t="s">
        <v>101</v>
      </c>
      <c r="B5" s="203"/>
      <c r="C5" s="203"/>
      <c r="D5" s="203"/>
      <c r="E5" s="203"/>
      <c r="F5" s="203"/>
      <c r="G5" s="203"/>
      <c r="I5" s="26"/>
    </row>
    <row r="6" spans="1:14" x14ac:dyDescent="0.3">
      <c r="A6" s="204" t="s">
        <v>183</v>
      </c>
      <c r="B6" s="205"/>
      <c r="C6" s="205"/>
      <c r="D6" s="206"/>
      <c r="E6" s="27" t="s">
        <v>100</v>
      </c>
      <c r="F6" s="188">
        <f>F7+F12+F21+F25+F45</f>
        <v>215541.62</v>
      </c>
      <c r="G6" s="188">
        <f>G7+G12+G21+G25+G45</f>
        <v>0</v>
      </c>
      <c r="I6" s="28" t="s">
        <v>178</v>
      </c>
    </row>
    <row r="7" spans="1:14" x14ac:dyDescent="0.3">
      <c r="A7" s="12"/>
      <c r="B7" s="214" t="s">
        <v>164</v>
      </c>
      <c r="C7" s="215"/>
      <c r="D7" s="216"/>
      <c r="E7" s="29" t="s">
        <v>102</v>
      </c>
      <c r="F7" s="189">
        <f>SUM(F8:F11)</f>
        <v>0</v>
      </c>
      <c r="G7" s="189">
        <f>SUM(G8:G11)</f>
        <v>0</v>
      </c>
      <c r="I7" s="30" t="s">
        <v>179</v>
      </c>
    </row>
    <row r="8" spans="1:14" x14ac:dyDescent="0.3">
      <c r="C8" s="200">
        <v>1</v>
      </c>
      <c r="D8" s="200"/>
      <c r="E8" s="21" t="s">
        <v>103</v>
      </c>
      <c r="F8" s="31">
        <f>IF($G$2="ZŁ",SUMIFS(kokpit!$C$4:$C$20000,kokpit!$A$4:$A$20000,I8)-SUMIFS(kokpit!$D$4:$D$20000,kokpit!$A$4:$A$20000,I8),(SUMIFS(kokpit!$C$4:$C$20000,kokpit!$A$4:$A$20000,I8)-SUMIFS(kokpit!$D$4:$D$20000,kokpit!$A$4:$A$20000,I8))/1000)</f>
        <v>0</v>
      </c>
      <c r="G8" s="31">
        <f>IF($G$2="ZŁ",SUMIFS('kokpit-1'!$C$4:$C$20000,'kokpit-1'!$A$4:$A$20000,I8)-SUMIFS('kokpit-1'!$D$4:$D$20000,'kokpit-1'!$A$4:$A$20000,I8),(SUMIFS('kokpit-1'!$C$4:$C$20000,'kokpit-1'!$A$4:$A$20000,I8)-SUMIFS('kokpit-1'!$D$4:$D$20000,'kokpit-1'!$A$4:$A$20000,I8))/1000)</f>
        <v>0</v>
      </c>
      <c r="I8" s="32" t="str">
        <f>"A"&amp;A6&amp;B7&amp;C8</f>
        <v>AAI1</v>
      </c>
    </row>
    <row r="9" spans="1:14" x14ac:dyDescent="0.3">
      <c r="C9" s="200">
        <v>2</v>
      </c>
      <c r="D9" s="200"/>
      <c r="E9" s="21" t="s">
        <v>104</v>
      </c>
      <c r="F9" s="31">
        <f>IF($G$2="ZŁ",SUMIFS(kokpit!$C$4:$C$20000,kokpit!$A$4:$A$20000,I9)-SUMIFS(kokpit!$D$4:$D$20000,kokpit!$A$4:$A$20000,I9),(SUMIFS(kokpit!$C$4:$C$20000,kokpit!$A$4:$A$20000,I9)-SUMIFS(kokpit!$D$4:$D$20000,kokpit!$A$4:$A$20000,I9))/1000)</f>
        <v>0</v>
      </c>
      <c r="G9" s="31">
        <f>IF($G$2="ZŁ",SUMIFS('kokpit-1'!$C$4:$C$20000,'kokpit-1'!$A$4:$A$20000,I9)-SUMIFS('kokpit-1'!$D$4:$D$20000,'kokpit-1'!$A$4:$A$20000,I9),(SUMIFS('kokpit-1'!$C$4:$C$20000,'kokpit-1'!$A$4:$A$20000,I9)-SUMIFS('kokpit-1'!$D$4:$D$20000,'kokpit-1'!$A$4:$A$20000,I9))/1000)</f>
        <v>0</v>
      </c>
      <c r="I9" s="32" t="str">
        <f>"A"&amp;A6&amp;B7&amp;C9</f>
        <v>AAI2</v>
      </c>
    </row>
    <row r="10" spans="1:14" x14ac:dyDescent="0.3">
      <c r="C10" s="200">
        <v>3</v>
      </c>
      <c r="D10" s="200"/>
      <c r="E10" s="21" t="s">
        <v>105</v>
      </c>
      <c r="F10" s="31">
        <f>IF($G$2="ZŁ",SUMIFS(kokpit!$C$4:$C$20000,kokpit!$A$4:$A$20000,I10)-SUMIFS(kokpit!$D$4:$D$20000,kokpit!$A$4:$A$20000,I10),(SUMIFS(kokpit!$C$4:$C$20000,kokpit!$A$4:$A$20000,I10)-SUMIFS(kokpit!$D$4:$D$20000,kokpit!$A$4:$A$20000,I10))/1000)</f>
        <v>0</v>
      </c>
      <c r="G10" s="31">
        <f>IF($G$2="ZŁ",SUMIFS('kokpit-1'!$C$4:$C$20000,'kokpit-1'!$A$4:$A$20000,I10)-SUMIFS('kokpit-1'!$D$4:$D$20000,'kokpit-1'!$A$4:$A$20000,I10),(SUMIFS('kokpit-1'!$C$4:$C$20000,'kokpit-1'!$A$4:$A$20000,I10)-SUMIFS('kokpit-1'!$D$4:$D$20000,'kokpit-1'!$A$4:$A$20000,I10))/1000)</f>
        <v>0</v>
      </c>
      <c r="I10" s="32" t="str">
        <f>"A"&amp;A6&amp;B7&amp;C10</f>
        <v>AAI3</v>
      </c>
    </row>
    <row r="11" spans="1:14" x14ac:dyDescent="0.3">
      <c r="C11" s="200">
        <v>4</v>
      </c>
      <c r="D11" s="200"/>
      <c r="E11" s="21" t="s">
        <v>106</v>
      </c>
      <c r="F11" s="31">
        <f>IF($G$2="ZŁ",SUMIFS(kokpit!$C$4:$C$20000,kokpit!$A$4:$A$20000,I11)-SUMIFS(kokpit!$D$4:$D$20000,kokpit!$A$4:$A$20000,I11),(SUMIFS(kokpit!$C$4:$C$20000,kokpit!$A$4:$A$20000,I11)-SUMIFS(kokpit!$D$4:$D$20000,kokpit!$A$4:$A$20000,I11))/1000)</f>
        <v>0</v>
      </c>
      <c r="G11" s="31">
        <f>IF($G$2="ZŁ",SUMIFS('kokpit-1'!$C$4:$C$20000,'kokpit-1'!$A$4:$A$20000,I11)-SUMIFS('kokpit-1'!$D$4:$D$20000,'kokpit-1'!$A$4:$A$20000,I11),(SUMIFS('kokpit-1'!$C$4:$C$20000,'kokpit-1'!$A$4:$A$20000,I11)-SUMIFS('kokpit-1'!$D$4:$D$20000,'kokpit-1'!$A$4:$A$20000,I11))/1000)</f>
        <v>0</v>
      </c>
      <c r="I11" s="32" t="str">
        <f>"A"&amp;A6&amp;B7&amp;C11</f>
        <v>AAI4</v>
      </c>
    </row>
    <row r="12" spans="1:14" x14ac:dyDescent="0.3">
      <c r="A12" s="12"/>
      <c r="B12" s="194" t="s">
        <v>165</v>
      </c>
      <c r="C12" s="207"/>
      <c r="D12" s="195"/>
      <c r="E12" s="29" t="s">
        <v>107</v>
      </c>
      <c r="F12" s="33">
        <f>F13+F19+F20</f>
        <v>215541.62</v>
      </c>
      <c r="G12" s="33">
        <f>G13+G19+G20</f>
        <v>0</v>
      </c>
      <c r="I12" s="30" t="s">
        <v>153</v>
      </c>
    </row>
    <row r="13" spans="1:14" x14ac:dyDescent="0.3">
      <c r="C13" s="217">
        <v>1</v>
      </c>
      <c r="D13" s="218"/>
      <c r="E13" s="34" t="s">
        <v>108</v>
      </c>
      <c r="F13" s="190">
        <f>SUM(F14:F18)</f>
        <v>215541.62</v>
      </c>
      <c r="G13" s="190">
        <f>SUM(G14:G18)</f>
        <v>0</v>
      </c>
      <c r="I13" s="35" t="s">
        <v>147</v>
      </c>
    </row>
    <row r="14" spans="1:14" x14ac:dyDescent="0.3">
      <c r="D14" s="36" t="s">
        <v>184</v>
      </c>
      <c r="E14" s="21" t="s">
        <v>110</v>
      </c>
      <c r="F14" s="31">
        <f>IF($G$2="ZŁ",SUMIFS(kokpit!$C$4:$C$20000,kokpit!$A$4:$A$20000,I14)-SUMIFS(kokpit!$D$4:$D$20000,kokpit!$A$4:$A$20000,I14),(SUMIFS(kokpit!$C$4:$C$20000,kokpit!$A$4:$A$20000,I14)-SUMIFS(kokpit!$D$4:$D$20000,kokpit!$A$4:$A$20000,I14))/1000)</f>
        <v>0</v>
      </c>
      <c r="G14" s="31">
        <f>IF($G$2="ZŁ",SUMIFS('kokpit-1'!$C$4:$C$20000,'kokpit-1'!$A$4:$A$20000,I14)-SUMIFS('kokpit-1'!$D$4:$D$20000,'kokpit-1'!$A$4:$A$20000,I14),(SUMIFS('kokpit-1'!$C$4:$C$20000,'kokpit-1'!$A$4:$A$20000,I14)-SUMIFS('kokpit-1'!$D$4:$D$20000,'kokpit-1'!$A$4:$A$20000,I14))/1000)</f>
        <v>0</v>
      </c>
      <c r="I14" s="32" t="str">
        <f>"A"&amp;A6&amp;B12&amp;C13&amp;D14</f>
        <v>AAII1a</v>
      </c>
    </row>
    <row r="15" spans="1:14" x14ac:dyDescent="0.3">
      <c r="D15" s="36" t="s">
        <v>185</v>
      </c>
      <c r="E15" s="21" t="s">
        <v>111</v>
      </c>
      <c r="F15" s="31">
        <f>IF($G$2="ZŁ",SUMIFS(kokpit!$C$4:$C$20000,kokpit!$A$4:$A$20000,I15)-SUMIFS(kokpit!$D$4:$D$20000,kokpit!$A$4:$A$20000,I15),(SUMIFS(kokpit!$C$4:$C$20000,kokpit!$A$4:$A$20000,I15)-SUMIFS(kokpit!$D$4:$D$20000,kokpit!$A$4:$A$20000,I15))/1000)</f>
        <v>113072.12</v>
      </c>
      <c r="G15" s="31">
        <f>IF($G$2="ZŁ",SUMIFS('kokpit-1'!$C$4:$C$20000,'kokpit-1'!$A$4:$A$20000,I15)-SUMIFS('kokpit-1'!$D$4:$D$20000,'kokpit-1'!$A$4:$A$20000,I15),(SUMIFS('kokpit-1'!$C$4:$C$20000,'kokpit-1'!$A$4:$A$20000,I15)-SUMIFS('kokpit-1'!$D$4:$D$20000,'kokpit-1'!$A$4:$A$20000,I15))/1000)</f>
        <v>0</v>
      </c>
      <c r="I15" s="32" t="str">
        <f>"A"&amp;A6&amp;B12&amp;C13&amp;D15</f>
        <v>AAII1b</v>
      </c>
    </row>
    <row r="16" spans="1:14" x14ac:dyDescent="0.3">
      <c r="D16" s="36" t="s">
        <v>186</v>
      </c>
      <c r="E16" s="21" t="s">
        <v>112</v>
      </c>
      <c r="F16" s="31">
        <f>IF($G$2="ZŁ",SUMIFS(kokpit!$C$4:$C$20000,kokpit!$A$4:$A$20000,I16)-SUMIFS(kokpit!$D$4:$D$20000,kokpit!$A$4:$A$20000,I16),(SUMIFS(kokpit!$C$4:$C$20000,kokpit!$A$4:$A$20000,I16)-SUMIFS(kokpit!$D$4:$D$20000,kokpit!$A$4:$A$20000,I16))/1000)</f>
        <v>0</v>
      </c>
      <c r="G16" s="31">
        <f>IF($G$2="ZŁ",SUMIFS('kokpit-1'!$C$4:$C$20000,'kokpit-1'!$A$4:$A$20000,I16)-SUMIFS('kokpit-1'!$D$4:$D$20000,'kokpit-1'!$A$4:$A$20000,I16),(SUMIFS('kokpit-1'!$C$4:$C$20000,'kokpit-1'!$A$4:$A$20000,I16)-SUMIFS('kokpit-1'!$D$4:$D$20000,'kokpit-1'!$A$4:$A$20000,I16))/1000)</f>
        <v>0</v>
      </c>
      <c r="I16" s="32" t="str">
        <f>"A"&amp;A6&amp;B12&amp;C13&amp;D16</f>
        <v>AAII1c</v>
      </c>
    </row>
    <row r="17" spans="1:9" x14ac:dyDescent="0.3">
      <c r="D17" s="36" t="s">
        <v>187</v>
      </c>
      <c r="E17" s="21" t="s">
        <v>113</v>
      </c>
      <c r="F17" s="31">
        <f>IF($G$2="ZŁ",SUMIFS(kokpit!$C$4:$C$20000,kokpit!$A$4:$A$20000,I17)-SUMIFS(kokpit!$D$4:$D$20000,kokpit!$A$4:$A$20000,I17),(SUMIFS(kokpit!$C$4:$C$20000,kokpit!$A$4:$A$20000,I17)-SUMIFS(kokpit!$D$4:$D$20000,kokpit!$A$4:$A$20000,I17))/1000)</f>
        <v>71496</v>
      </c>
      <c r="G17" s="31">
        <f>IF($G$2="ZŁ",SUMIFS('kokpit-1'!$C$4:$C$20000,'kokpit-1'!$A$4:$A$20000,I17)-SUMIFS('kokpit-1'!$D$4:$D$20000,'kokpit-1'!$A$4:$A$20000,I17),(SUMIFS('kokpit-1'!$C$4:$C$20000,'kokpit-1'!$A$4:$A$20000,I17)-SUMIFS('kokpit-1'!$D$4:$D$20000,'kokpit-1'!$A$4:$A$20000,I17))/1000)</f>
        <v>0</v>
      </c>
      <c r="I17" s="32" t="str">
        <f>"A"&amp;A6&amp;B12&amp;C13&amp;D17</f>
        <v>AAII1d</v>
      </c>
    </row>
    <row r="18" spans="1:9" x14ac:dyDescent="0.3">
      <c r="D18" s="37" t="s">
        <v>188</v>
      </c>
      <c r="E18" s="21" t="s">
        <v>114</v>
      </c>
      <c r="F18" s="31">
        <f>IF($G$2="ZŁ",SUMIFS(kokpit!$C$4:$C$20000,kokpit!$A$4:$A$20000,I18)-SUMIFS(kokpit!$D$4:$D$20000,kokpit!$A$4:$A$20000,I18),(SUMIFS(kokpit!$C$4:$C$20000,kokpit!$A$4:$A$20000,I18)-SUMIFS(kokpit!$D$4:$D$20000,kokpit!$A$4:$A$20000,I18))/1000)</f>
        <v>30973.5</v>
      </c>
      <c r="G18" s="31">
        <f>IF($G$2="ZŁ",SUMIFS('kokpit-1'!$C$4:$C$20000,'kokpit-1'!$A$4:$A$20000,I18)-SUMIFS('kokpit-1'!$D$4:$D$20000,'kokpit-1'!$A$4:$A$20000,I18),(SUMIFS('kokpit-1'!$C$4:$C$20000,'kokpit-1'!$A$4:$A$20000,I18)-SUMIFS('kokpit-1'!$D$4:$D$20000,'kokpit-1'!$A$4:$A$20000,I18))/1000)</f>
        <v>0</v>
      </c>
      <c r="I18" s="32" t="str">
        <f>"A"&amp;A6&amp;B12&amp;C13&amp;D18</f>
        <v>AAII1e</v>
      </c>
    </row>
    <row r="19" spans="1:9" x14ac:dyDescent="0.3">
      <c r="C19" s="200">
        <v>2</v>
      </c>
      <c r="D19" s="200"/>
      <c r="E19" s="21" t="s">
        <v>115</v>
      </c>
      <c r="F19" s="31">
        <f>IF($G$2="ZŁ",SUMIFS(kokpit!$C$4:$C$20000,kokpit!$A$4:$A$20000,I19)-SUMIFS(kokpit!$D$4:$D$20000,kokpit!$A$4:$A$20000,I19),(SUMIFS(kokpit!$C$4:$C$20000,kokpit!$A$4:$A$20000,I19)-SUMIFS(kokpit!$D$4:$D$20000,kokpit!$A$4:$A$20000,I19))/1000)</f>
        <v>0</v>
      </c>
      <c r="G19" s="31">
        <f>IF($G$2="ZŁ",SUMIFS('kokpit-1'!$C$4:$C$20000,'kokpit-1'!$A$4:$A$20000,I19)-SUMIFS('kokpit-1'!$D$4:$D$20000,'kokpit-1'!$A$4:$A$20000,I19),(SUMIFS('kokpit-1'!$C$4:$C$20000,'kokpit-1'!$A$4:$A$20000,I19)-SUMIFS('kokpit-1'!$D$4:$D$20000,'kokpit-1'!$A$4:$A$20000,I19))/1000)</f>
        <v>0</v>
      </c>
      <c r="I19" s="32" t="str">
        <f>"A"&amp;A6&amp;B12&amp;C19</f>
        <v>AAII2</v>
      </c>
    </row>
    <row r="20" spans="1:9" x14ac:dyDescent="0.3">
      <c r="C20" s="200">
        <v>3</v>
      </c>
      <c r="D20" s="200"/>
      <c r="E20" s="21" t="s">
        <v>116</v>
      </c>
      <c r="F20" s="31">
        <f>IF($G$2="ZŁ",SUMIFS(kokpit!$C$4:$C$20000,kokpit!$A$4:$A$20000,I20)-SUMIFS(kokpit!$D$4:$D$20000,kokpit!$A$4:$A$20000,I20),(SUMIFS(kokpit!$C$4:$C$20000,kokpit!$A$4:$A$20000,I20)-SUMIFS(kokpit!$D$4:$D$20000,kokpit!$A$4:$A$20000,I20))/1000)</f>
        <v>0</v>
      </c>
      <c r="G20" s="31">
        <f>IF($G$2="ZŁ",SUMIFS('kokpit-1'!$C$4:$C$20000,'kokpit-1'!$A$4:$A$20000,I20)-SUMIFS('kokpit-1'!$D$4:$D$20000,'kokpit-1'!$A$4:$A$20000,I20),(SUMIFS('kokpit-1'!$C$4:$C$20000,'kokpit-1'!$A$4:$A$20000,I20)-SUMIFS('kokpit-1'!$D$4:$D$20000,'kokpit-1'!$A$4:$A$20000,I20))/1000)</f>
        <v>0</v>
      </c>
      <c r="I20" s="32" t="str">
        <f>"A"&amp;A6&amp;B12&amp;C20</f>
        <v>AAII3</v>
      </c>
    </row>
    <row r="21" spans="1:9" x14ac:dyDescent="0.3">
      <c r="A21" s="12"/>
      <c r="B21" s="194" t="s">
        <v>162</v>
      </c>
      <c r="C21" s="207"/>
      <c r="D21" s="195"/>
      <c r="E21" s="29" t="s">
        <v>117</v>
      </c>
      <c r="F21" s="33">
        <f>SUM(F22:F24)</f>
        <v>0</v>
      </c>
      <c r="G21" s="33">
        <f>SUM(G22:G24)</f>
        <v>0</v>
      </c>
      <c r="I21" s="30" t="s">
        <v>152</v>
      </c>
    </row>
    <row r="22" spans="1:9" x14ac:dyDescent="0.3">
      <c r="C22" s="200">
        <v>1</v>
      </c>
      <c r="D22" s="200"/>
      <c r="E22" s="21" t="s">
        <v>118</v>
      </c>
      <c r="F22" s="31">
        <f>IF($G$2="ZŁ",SUMIFS(kokpit!$C$4:$C$20000,kokpit!$A$4:$A$20000,I22)-SUMIFS(kokpit!$D$4:$D$20000,kokpit!$A$4:$A$20000,I22),(SUMIFS(kokpit!$C$4:$C$20000,kokpit!$A$4:$A$20000,I22)-SUMIFS(kokpit!$D$4:$D$20000,kokpit!$A$4:$A$20000,I22))/1000)</f>
        <v>0</v>
      </c>
      <c r="G22" s="31">
        <f>IF($G$2="ZŁ",SUMIFS('kokpit-1'!$C$4:$C$20000,'kokpit-1'!$A$4:$A$20000,I22)-SUMIFS('kokpit-1'!$D$4:$D$20000,'kokpit-1'!$A$4:$A$20000,I22),(SUMIFS('kokpit-1'!$C$4:$C$20000,'kokpit-1'!$A$4:$A$20000,I22)-SUMIFS('kokpit-1'!$D$4:$D$20000,'kokpit-1'!$A$4:$A$20000,I22))/1000)</f>
        <v>0</v>
      </c>
      <c r="I22" s="32" t="str">
        <f>"A"&amp;A6&amp;B21&amp;C22</f>
        <v>AAIII1</v>
      </c>
    </row>
    <row r="23" spans="1:9" x14ac:dyDescent="0.3">
      <c r="C23" s="200">
        <v>2</v>
      </c>
      <c r="D23" s="200"/>
      <c r="E23" s="21" t="s">
        <v>119</v>
      </c>
      <c r="F23" s="31">
        <f>IF($G$2="ZŁ",SUMIFS(kokpit!$C$4:$C$20000,kokpit!$A$4:$A$20000,I23)-SUMIFS(kokpit!$D$4:$D$20000,kokpit!$A$4:$A$20000,I23),(SUMIFS(kokpit!$C$4:$C$20000,kokpit!$A$4:$A$20000,I23)-SUMIFS(kokpit!$D$4:$D$20000,kokpit!$A$4:$A$20000,I23))/1000)</f>
        <v>0</v>
      </c>
      <c r="G23" s="31">
        <f>IF($G$2="ZŁ",SUMIFS('kokpit-1'!$C$4:$C$20000,'kokpit-1'!$A$4:$A$20000,I23)-SUMIFS('kokpit-1'!$D$4:$D$20000,'kokpit-1'!$A$4:$A$20000,I23),(SUMIFS('kokpit-1'!$C$4:$C$20000,'kokpit-1'!$A$4:$A$20000,I23)-SUMIFS('kokpit-1'!$D$4:$D$20000,'kokpit-1'!$A$4:$A$20000,I23))/1000)</f>
        <v>0</v>
      </c>
      <c r="I23" s="32" t="str">
        <f>"A"&amp;A6&amp;B21&amp;C23</f>
        <v>AAIII2</v>
      </c>
    </row>
    <row r="24" spans="1:9" x14ac:dyDescent="0.3">
      <c r="C24" s="200">
        <v>3</v>
      </c>
      <c r="D24" s="200"/>
      <c r="E24" s="21" t="s">
        <v>120</v>
      </c>
      <c r="F24" s="31">
        <f>IF($G$2="ZŁ",SUMIFS(kokpit!$C$4:$C$20000,kokpit!$A$4:$A$20000,I24)-SUMIFS(kokpit!$D$4:$D$20000,kokpit!$A$4:$A$20000,I24),(SUMIFS(kokpit!$C$4:$C$20000,kokpit!$A$4:$A$20000,I24)-SUMIFS(kokpit!$D$4:$D$20000,kokpit!$A$4:$A$20000,I24))/1000)</f>
        <v>0</v>
      </c>
      <c r="G24" s="31">
        <f>IF($G$2="ZŁ",SUMIFS('kokpit-1'!$C$4:$C$20000,'kokpit-1'!$A$4:$A$20000,I24)-SUMIFS('kokpit-1'!$D$4:$D$20000,'kokpit-1'!$A$4:$A$20000,I24),(SUMIFS('kokpit-1'!$C$4:$C$20000,'kokpit-1'!$A$4:$A$20000,I24)-SUMIFS('kokpit-1'!$D$4:$D$20000,'kokpit-1'!$A$4:$A$20000,I24))/1000)</f>
        <v>0</v>
      </c>
      <c r="I24" s="38" t="str">
        <f>"A"&amp;A6&amp;B21&amp;C24</f>
        <v>AAIII3</v>
      </c>
    </row>
    <row r="25" spans="1:9" x14ac:dyDescent="0.3">
      <c r="A25" s="11"/>
      <c r="B25" s="194" t="s">
        <v>163</v>
      </c>
      <c r="C25" s="207"/>
      <c r="D25" s="195"/>
      <c r="E25" s="39" t="s">
        <v>121</v>
      </c>
      <c r="F25" s="33">
        <f>SUM(F26:F27)</f>
        <v>0</v>
      </c>
      <c r="G25" s="33">
        <f>SUM(G26:G27)</f>
        <v>0</v>
      </c>
      <c r="I25" s="30" t="s">
        <v>151</v>
      </c>
    </row>
    <row r="26" spans="1:9" x14ac:dyDescent="0.3">
      <c r="C26" s="200">
        <v>1</v>
      </c>
      <c r="D26" s="200"/>
      <c r="E26" s="21" t="s">
        <v>122</v>
      </c>
      <c r="F26" s="31">
        <f>IF($G$2="ZŁ",SUMIFS(kokpit!$C$4:$C$20000,kokpit!$A$4:$A$20000,I26)-SUMIFS(kokpit!$D$4:$D$20000,kokpit!$A$4:$A$20000,I26),(SUMIFS(kokpit!$C$4:$C$20000,kokpit!$A$4:$A$20000,I26)-SUMIFS(kokpit!$D$4:$D$20000,kokpit!$A$4:$A$20000,I26)/1000))</f>
        <v>0</v>
      </c>
      <c r="G26" s="31">
        <f>IF($G$2="ZŁ",SUMIFS('kokpit-1'!$C$4:$C$20000,'kokpit-1'!$A$4:$A$20000,I26)-SUMIFS('kokpit-1'!$D$4:$D$20000,'kokpit-1'!$A$4:$A$20000,I26),(SUMIFS('kokpit-1'!$C$4:$C$20000,'kokpit-1'!$A$4:$A$20000,I26)-SUMIFS('kokpit-1'!$D$4:$D$20000,'kokpit-1'!$A$4:$A$20000,I26))/1000)</f>
        <v>0</v>
      </c>
      <c r="I26" s="32" t="str">
        <f>"A"&amp;A6&amp;B25&amp;C26</f>
        <v>AAIV1</v>
      </c>
    </row>
    <row r="27" spans="1:9" x14ac:dyDescent="0.3">
      <c r="C27" s="200">
        <v>2</v>
      </c>
      <c r="D27" s="200"/>
      <c r="E27" s="21" t="s">
        <v>102</v>
      </c>
      <c r="F27" s="31">
        <f>IF($G$2="ZŁ",SUMIFS(kokpit!$C$4:$C$20000,kokpit!$A$4:$A$20000,I27)-SUMIFS(kokpit!$D$4:$D$20000,kokpit!$A$4:$A$20000,I27),(SUMIFS(kokpit!$C$4:$C$20000,kokpit!$A$4:$A$20000,I27)-SUMIFS(kokpit!$D$4:$D$20000,kokpit!$A$4:$A$20000,I27)/1000))</f>
        <v>0</v>
      </c>
      <c r="G27" s="31">
        <f>IF($G$2="ZŁ",SUMIFS('kokpit-1'!$C$4:$C$20000,'kokpit-1'!$A$4:$A$20000,I27)-SUMIFS('kokpit-1'!$D$4:$D$20000,'kokpit-1'!$A$4:$A$20000,I27),(SUMIFS('kokpit-1'!$C$4:$C$20000,'kokpit-1'!$A$4:$A$20000,I27)-SUMIFS('kokpit-1'!$D$4:$D$20000,'kokpit-1'!$A$4:$A$20000,I27))/1000)</f>
        <v>0</v>
      </c>
      <c r="I27" s="38" t="str">
        <f>"A"&amp;A6&amp;B25&amp;C27</f>
        <v>AAIV2</v>
      </c>
    </row>
    <row r="28" spans="1:9" x14ac:dyDescent="0.3">
      <c r="C28" s="217">
        <v>3</v>
      </c>
      <c r="D28" s="218"/>
      <c r="E28" s="34" t="s">
        <v>123</v>
      </c>
      <c r="F28" s="190">
        <f>F29+F34+F39</f>
        <v>0</v>
      </c>
      <c r="G28" s="190">
        <f>G29+G34+G39</f>
        <v>0</v>
      </c>
      <c r="I28" s="35" t="s">
        <v>129</v>
      </c>
    </row>
    <row r="29" spans="1:9" x14ac:dyDescent="0.3">
      <c r="D29" s="40" t="s">
        <v>184</v>
      </c>
      <c r="E29" s="41" t="s">
        <v>124</v>
      </c>
      <c r="F29" s="191">
        <f>SUM(F30:F33)</f>
        <v>0</v>
      </c>
      <c r="G29" s="191">
        <f>SUM(G30:G33)</f>
        <v>0</v>
      </c>
      <c r="I29" s="42" t="s">
        <v>128</v>
      </c>
    </row>
    <row r="30" spans="1:9" x14ac:dyDescent="0.3">
      <c r="D30" s="5">
        <v>1</v>
      </c>
      <c r="E30" s="21" t="s">
        <v>125</v>
      </c>
      <c r="F30" s="31">
        <f>IF($G$2="ZŁ",SUMIFS(kokpit!$C$4:$C$20000,kokpit!$A$4:$A$20000,I30)-SUMIFS(kokpit!$D$4:$D$20000,kokpit!$A$4:$A$20000,I30),(SUMIFS(kokpit!$C$4:$C$20000,kokpit!$A$4:$A$20000,I30)-SUMIFS(kokpit!$D$4:$D$20000,kokpit!$A$4:$A$20000,I30)/1000))</f>
        <v>0</v>
      </c>
      <c r="G30" s="31">
        <f>IF($G$2="ZŁ",SUMIFS('kokpit-1'!$C$4:$C$20000,'kokpit-1'!$A$4:$A$20000,I30)-SUMIFS('kokpit-1'!$D$4:$D$20000,'kokpit-1'!$A$4:$A$20000,I30),(SUMIFS('kokpit-1'!$C$4:$C$20000,'kokpit-1'!$A$4:$A$20000,I30)-SUMIFS('kokpit-1'!$D$4:$D$20000,'kokpit-1'!$A$4:$A$20000,I30))/1000)</f>
        <v>0</v>
      </c>
      <c r="I30" s="32" t="str">
        <f>"A"&amp;A6&amp;B25&amp;C28&amp;D29&amp;D30</f>
        <v>AAIV3a1</v>
      </c>
    </row>
    <row r="31" spans="1:9" x14ac:dyDescent="0.3">
      <c r="D31" s="5">
        <v>2</v>
      </c>
      <c r="E31" s="21" t="s">
        <v>126</v>
      </c>
      <c r="F31" s="31">
        <f>IF($G$2="ZŁ",SUMIFS(kokpit!$C$4:$C$20000,kokpit!$A$4:$A$20000,I31)-SUMIFS(kokpit!$D$4:$D$20000,kokpit!$A$4:$A$20000,I31),(SUMIFS(kokpit!$C$4:$C$20000,kokpit!$A$4:$A$20000,I31)-SUMIFS(kokpit!$D$4:$D$20000,kokpit!$A$4:$A$20000,I31)/1000))</f>
        <v>0</v>
      </c>
      <c r="G31" s="31">
        <f>IF($G$2="ZŁ",SUMIFS('kokpit-1'!$C$4:$C$20000,'kokpit-1'!$A$4:$A$20000,I31)-SUMIFS('kokpit-1'!$D$4:$D$20000,'kokpit-1'!$A$4:$A$20000,I31),(SUMIFS('kokpit-1'!$C$4:$C$20000,'kokpit-1'!$A$4:$A$20000,I31)-SUMIFS('kokpit-1'!$D$4:$D$20000,'kokpit-1'!$A$4:$A$20000,I31))/1000)</f>
        <v>0</v>
      </c>
      <c r="I31" s="32" t="str">
        <f>"A"&amp;A6&amp;B25&amp;C28&amp;D29&amp;D31</f>
        <v>AAIV3a2</v>
      </c>
    </row>
    <row r="32" spans="1:9" x14ac:dyDescent="0.3">
      <c r="D32" s="5">
        <v>3</v>
      </c>
      <c r="E32" s="21" t="s">
        <v>127</v>
      </c>
      <c r="F32" s="31">
        <f>IF($G$2="ZŁ",SUMIFS(kokpit!$C$4:$C$20000,kokpit!$A$4:$A$20000,I32)-SUMIFS(kokpit!$D$4:$D$20000,kokpit!$A$4:$A$20000,I32),(SUMIFS(kokpit!$C$4:$C$20000,kokpit!$A$4:$A$20000,I32)-SUMIFS(kokpit!$D$4:$D$20000,kokpit!$A$4:$A$20000,I32)/1000))</f>
        <v>0</v>
      </c>
      <c r="G32" s="31">
        <f>IF($G$2="ZŁ",SUMIFS('kokpit-1'!$C$4:$C$20000,'kokpit-1'!$A$4:$A$20000,I32)-SUMIFS('kokpit-1'!$D$4:$D$20000,'kokpit-1'!$A$4:$A$20000,I32),(SUMIFS('kokpit-1'!$C$4:$C$20000,'kokpit-1'!$A$4:$A$20000,I32)-SUMIFS('kokpit-1'!$D$4:$D$20000,'kokpit-1'!$A$4:$A$20000,I32))/1000)</f>
        <v>0</v>
      </c>
      <c r="I32" s="32" t="str">
        <f>"A"&amp;A6&amp;B25&amp;C28&amp;D29&amp;D32</f>
        <v>AAIV3a3</v>
      </c>
    </row>
    <row r="33" spans="1:9" x14ac:dyDescent="0.3">
      <c r="D33" s="5">
        <v>4</v>
      </c>
      <c r="E33" s="21" t="s">
        <v>130</v>
      </c>
      <c r="F33" s="31">
        <f>IF($G$2="ZŁ",SUMIFS(kokpit!$C$4:$C$20000,kokpit!$A$4:$A$20000,I33)-SUMIFS(kokpit!$D$4:$D$20000,kokpit!$A$4:$A$20000,I33),(SUMIFS(kokpit!$C$4:$C$20000,kokpit!$A$4:$A$20000,I33)-SUMIFS(kokpit!$D$4:$D$20000,kokpit!$A$4:$A$20000,I33)/1000))</f>
        <v>0</v>
      </c>
      <c r="G33" s="31">
        <f>IF($G$2="ZŁ",SUMIFS('kokpit-1'!$C$4:$C$20000,'kokpit-1'!$A$4:$A$20000,I33)-SUMIFS('kokpit-1'!$D$4:$D$20000,'kokpit-1'!$A$4:$A$20000,I33),(SUMIFS('kokpit-1'!$C$4:$C$20000,'kokpit-1'!$A$4:$A$20000,I33)-SUMIFS('kokpit-1'!$D$4:$D$20000,'kokpit-1'!$A$4:$A$20000,I33))/1000)</f>
        <v>0</v>
      </c>
      <c r="I33" s="32" t="str">
        <f>"A"&amp;A6&amp;B25&amp;C28&amp;D29&amp;D33</f>
        <v>AAIV3a4</v>
      </c>
    </row>
    <row r="34" spans="1:9" x14ac:dyDescent="0.3">
      <c r="D34" s="40" t="s">
        <v>185</v>
      </c>
      <c r="E34" s="41" t="s">
        <v>131</v>
      </c>
      <c r="F34" s="191">
        <f>SUM(F35:F38)</f>
        <v>0</v>
      </c>
      <c r="G34" s="191">
        <f>SUM(G35:G38)</f>
        <v>0</v>
      </c>
      <c r="I34" s="42" t="s">
        <v>154</v>
      </c>
    </row>
    <row r="35" spans="1:9" x14ac:dyDescent="0.3">
      <c r="D35" s="5">
        <v>1</v>
      </c>
      <c r="E35" s="21" t="s">
        <v>125</v>
      </c>
      <c r="F35" s="31">
        <f>IF($G$2="ZŁ",SUMIFS(kokpit!$C$4:$C$20000,kokpit!$A$4:$A$20000,I35)-SUMIFS(kokpit!$D$4:$D$20000,kokpit!$A$4:$A$20000,I35),(SUMIFS(kokpit!$C$4:$C$20000,kokpit!$A$4:$A$20000,I35)-SUMIFS(kokpit!$D$4:$D$20000,kokpit!$A$4:$A$20000,I35)/1000))</f>
        <v>0</v>
      </c>
      <c r="G35" s="31">
        <f>IF($G$2="ZŁ",SUMIFS('kokpit-1'!$C$4:$C$20000,'kokpit-1'!$A$4:$A$20000,I35)-SUMIFS('kokpit-1'!$D$4:$D$20000,'kokpit-1'!$A$4:$A$20000,I35),(SUMIFS('kokpit-1'!$C$4:$C$20000,'kokpit-1'!$A$4:$A$20000,I35)-SUMIFS('kokpit-1'!$D$4:$D$20000,'kokpit-1'!$A$4:$A$20000,I35))/1000)</f>
        <v>0</v>
      </c>
      <c r="I35" s="32" t="str">
        <f>"A"&amp;A6&amp;B25&amp;C28&amp;D34&amp;D35</f>
        <v>AAIV3b1</v>
      </c>
    </row>
    <row r="36" spans="1:9" x14ac:dyDescent="0.3">
      <c r="D36" s="5">
        <v>2</v>
      </c>
      <c r="E36" s="21" t="s">
        <v>126</v>
      </c>
      <c r="F36" s="31">
        <f>IF($G$2="ZŁ",SUMIFS(kokpit!$C$4:$C$20000,kokpit!$A$4:$A$20000,I36)-SUMIFS(kokpit!$D$4:$D$20000,kokpit!$A$4:$A$20000,I36),(SUMIFS(kokpit!$C$4:$C$20000,kokpit!$A$4:$A$20000,I36)-SUMIFS(kokpit!$D$4:$D$20000,kokpit!$A$4:$A$20000,I36)/1000))</f>
        <v>0</v>
      </c>
      <c r="G36" s="31">
        <f>IF($G$2="ZŁ",SUMIFS('kokpit-1'!$C$4:$C$20000,'kokpit-1'!$A$4:$A$20000,I36)-SUMIFS('kokpit-1'!$D$4:$D$20000,'kokpit-1'!$A$4:$A$20000,I36),(SUMIFS('kokpit-1'!$C$4:$C$20000,'kokpit-1'!$A$4:$A$20000,I36)-SUMIFS('kokpit-1'!$D$4:$D$20000,'kokpit-1'!$A$4:$A$20000,I36))/1000)</f>
        <v>0</v>
      </c>
      <c r="I36" s="32" t="str">
        <f>"A"&amp;A6&amp;B25&amp;C28&amp;D34&amp;D36</f>
        <v>AAIV3b2</v>
      </c>
    </row>
    <row r="37" spans="1:9" x14ac:dyDescent="0.3">
      <c r="D37" s="5">
        <v>3</v>
      </c>
      <c r="E37" s="21" t="s">
        <v>127</v>
      </c>
      <c r="F37" s="31">
        <f>IF($G$2="ZŁ",SUMIFS(kokpit!$C$4:$C$20000,kokpit!$A$4:$A$20000,I37)-SUMIFS(kokpit!$D$4:$D$20000,kokpit!$A$4:$A$20000,I37),(SUMIFS(kokpit!$C$4:$C$20000,kokpit!$A$4:$A$20000,I37)-SUMIFS(kokpit!$D$4:$D$20000,kokpit!$A$4:$A$20000,I37)/1000))</f>
        <v>0</v>
      </c>
      <c r="G37" s="31">
        <f>IF($G$2="ZŁ",SUMIFS('kokpit-1'!$C$4:$C$20000,'kokpit-1'!$A$4:$A$20000,I37)-SUMIFS('kokpit-1'!$D$4:$D$20000,'kokpit-1'!$A$4:$A$20000,I37),(SUMIFS('kokpit-1'!$C$4:$C$20000,'kokpit-1'!$A$4:$A$20000,I37)-SUMIFS('kokpit-1'!$D$4:$D$20000,'kokpit-1'!$A$4:$A$20000,I37))/1000)</f>
        <v>0</v>
      </c>
      <c r="I37" s="32" t="str">
        <f>"A"&amp;A6&amp;B25&amp;C28&amp;D34&amp;D37</f>
        <v>AAIV3b3</v>
      </c>
    </row>
    <row r="38" spans="1:9" x14ac:dyDescent="0.3">
      <c r="D38" s="5">
        <v>4</v>
      </c>
      <c r="E38" s="21" t="s">
        <v>130</v>
      </c>
      <c r="F38" s="31">
        <f>IF($G$2="ZŁ",SUMIFS(kokpit!$C$4:$C$20000,kokpit!$A$4:$A$20000,I38)-SUMIFS(kokpit!$D$4:$D$20000,kokpit!$A$4:$A$20000,I38),(SUMIFS(kokpit!$C$4:$C$20000,kokpit!$A$4:$A$20000,I38)-SUMIFS(kokpit!$D$4:$D$20000,kokpit!$A$4:$A$20000,I38)/1000))</f>
        <v>0</v>
      </c>
      <c r="G38" s="31">
        <f>IF($G$2="ZŁ",SUMIFS('kokpit-1'!$C$4:$C$20000,'kokpit-1'!$A$4:$A$20000,I38)-SUMIFS('kokpit-1'!$D$4:$D$20000,'kokpit-1'!$A$4:$A$20000,I38),(SUMIFS('kokpit-1'!$C$4:$C$20000,'kokpit-1'!$A$4:$A$20000,I38)-SUMIFS('kokpit-1'!$D$4:$D$20000,'kokpit-1'!$A$4:$A$20000,I38))/1000)</f>
        <v>0</v>
      </c>
      <c r="I38" s="32" t="str">
        <f>"A"&amp;A6&amp;B25&amp;C28&amp;D34&amp;D38</f>
        <v>AAIV3b4</v>
      </c>
    </row>
    <row r="39" spans="1:9" x14ac:dyDescent="0.3">
      <c r="D39" s="40" t="s">
        <v>186</v>
      </c>
      <c r="E39" s="43" t="s">
        <v>132</v>
      </c>
      <c r="F39" s="44">
        <f>SUM(F40:F44)</f>
        <v>0</v>
      </c>
      <c r="G39" s="44">
        <f>SUM(G40:G44)</f>
        <v>0</v>
      </c>
      <c r="I39" s="45" t="s">
        <v>155</v>
      </c>
    </row>
    <row r="40" spans="1:9" x14ac:dyDescent="0.3">
      <c r="D40" s="5">
        <v>1</v>
      </c>
      <c r="E40" s="21" t="s">
        <v>125</v>
      </c>
      <c r="F40" s="31">
        <f>IF($G$2="ZŁ",SUMIFS(kokpit!$C$4:$C$20000,kokpit!$A$4:$A$20000,I40)-SUMIFS(kokpit!$D$4:$D$20000,kokpit!$A$4:$A$20000,I40),(SUMIFS(kokpit!$C$4:$C$20000,kokpit!$A$4:$A$20000,I40)-SUMIFS(kokpit!$D$4:$D$20000,kokpit!$A$4:$A$20000,I40))/1000)</f>
        <v>0</v>
      </c>
      <c r="G40" s="31">
        <f>IF($G$2="ZŁ",SUMIFS('kokpit-1'!$C$4:$C$20000,'kokpit-1'!$A$4:$A$20000,I40)-SUMIFS('kokpit-1'!$D$4:$D$20000,'kokpit-1'!$A$4:$A$20000,I40),(SUMIFS('kokpit-1'!$C$4:$C$20000,'kokpit-1'!$A$4:$A$20000,I40)-SUMIFS('kokpit-1'!$D$4:$D$20000,'kokpit-1'!$A$4:$A$20000,I40))/1000)</f>
        <v>0</v>
      </c>
      <c r="I40" s="32" t="str">
        <f>"A"&amp;A6&amp;B25&amp;C28&amp;D39&amp;D40</f>
        <v>AAIV3c1</v>
      </c>
    </row>
    <row r="41" spans="1:9" x14ac:dyDescent="0.3">
      <c r="D41" s="5">
        <v>2</v>
      </c>
      <c r="E41" s="21" t="s">
        <v>126</v>
      </c>
      <c r="F41" s="31">
        <f>IF($G$2="ZŁ",SUMIFS(kokpit!$C$4:$C$20000,kokpit!$A$4:$A$20000,I41)-SUMIFS(kokpit!$D$4:$D$20000,kokpit!$A$4:$A$20000,I41),(SUMIFS(kokpit!$C$4:$C$20000,kokpit!$A$4:$A$20000,I41)-SUMIFS(kokpit!$D$4:$D$20000,kokpit!$A$4:$A$20000,I41))/1000)</f>
        <v>0</v>
      </c>
      <c r="G41" s="31">
        <f>IF($G$2="ZŁ",SUMIFS('kokpit-1'!$C$4:$C$20000,'kokpit-1'!$A$4:$A$20000,I41)-SUMIFS('kokpit-1'!$D$4:$D$20000,'kokpit-1'!$A$4:$A$20000,I41),(SUMIFS('kokpit-1'!$C$4:$C$20000,'kokpit-1'!$A$4:$A$20000,I41)-SUMIFS('kokpit-1'!$D$4:$D$20000,'kokpit-1'!$A$4:$A$20000,I41))/1000)</f>
        <v>0</v>
      </c>
      <c r="I41" s="32" t="str">
        <f>"A"&amp;A6&amp;B25&amp;C28&amp;D39&amp;D41</f>
        <v>AAIV3c2</v>
      </c>
    </row>
    <row r="42" spans="1:9" x14ac:dyDescent="0.3">
      <c r="D42" s="5">
        <v>3</v>
      </c>
      <c r="E42" s="21" t="s">
        <v>127</v>
      </c>
      <c r="F42" s="31">
        <f>IF($G$2="ZŁ",SUMIFS(kokpit!$C$4:$C$20000,kokpit!$A$4:$A$20000,I42)-SUMIFS(kokpit!$D$4:$D$20000,kokpit!$A$4:$A$20000,I42),(SUMIFS(kokpit!$C$4:$C$20000,kokpit!$A$4:$A$20000,I42)-SUMIFS(kokpit!$D$4:$D$20000,kokpit!$A$4:$A$20000,I42))/1000)</f>
        <v>0</v>
      </c>
      <c r="G42" s="31">
        <f>IF($G$2="ZŁ",SUMIFS('kokpit-1'!$C$4:$C$20000,'kokpit-1'!$A$4:$A$20000,I42)-SUMIFS('kokpit-1'!$D$4:$D$20000,'kokpit-1'!$A$4:$A$20000,I42),(SUMIFS('kokpit-1'!$C$4:$C$20000,'kokpit-1'!$A$4:$A$20000,I42)-SUMIFS('kokpit-1'!$D$4:$D$20000,'kokpit-1'!$A$4:$A$20000,I42))/1000)</f>
        <v>0</v>
      </c>
      <c r="I42" s="32" t="str">
        <f>"A"&amp;A6&amp;B25&amp;C28&amp;D39&amp;D42</f>
        <v>AAIV3c3</v>
      </c>
    </row>
    <row r="43" spans="1:9" x14ac:dyDescent="0.3">
      <c r="D43" s="5">
        <v>4</v>
      </c>
      <c r="E43" s="21" t="s">
        <v>130</v>
      </c>
      <c r="F43" s="31">
        <f>IF($G$2="ZŁ",SUMIFS(kokpit!$C$4:$C$20000,kokpit!$A$4:$A$20000,I43)-SUMIFS(kokpit!$D$4:$D$20000,kokpit!$A$4:$A$20000,I43),(SUMIFS(kokpit!$C$4:$C$20000,kokpit!$A$4:$A$20000,I43)-SUMIFS(kokpit!$D$4:$D$20000,kokpit!$A$4:$A$20000,I43))/1000)</f>
        <v>0</v>
      </c>
      <c r="G43" s="31">
        <f>IF($G$2="ZŁ",SUMIFS('kokpit-1'!$C$4:$C$20000,'kokpit-1'!$A$4:$A$20000,I43)-SUMIFS('kokpit-1'!$D$4:$D$20000,'kokpit-1'!$A$4:$A$20000,I43),(SUMIFS('kokpit-1'!$C$4:$C$20000,'kokpit-1'!$A$4:$A$20000,I43)-SUMIFS('kokpit-1'!$D$4:$D$20000,'kokpit-1'!$A$4:$A$20000,I43))/1000)</f>
        <v>0</v>
      </c>
      <c r="I43" s="32" t="str">
        <f>"A"&amp;A6&amp;B25&amp;C28&amp;D39&amp;D43</f>
        <v>AAIV3c4</v>
      </c>
    </row>
    <row r="44" spans="1:9" x14ac:dyDescent="0.3">
      <c r="C44" s="200">
        <v>4</v>
      </c>
      <c r="D44" s="200"/>
      <c r="E44" s="21" t="s">
        <v>148</v>
      </c>
      <c r="F44" s="31">
        <f>IF($G$2="ZŁ",SUMIFS(kokpit!$C$4:$C$20000,kokpit!$A$4:$A$20000,I44)-SUMIFS(kokpit!$D$4:$D$20000,kokpit!$A$4:$A$20000,I44),(SUMIFS(kokpit!$C$4:$C$20000,kokpit!$A$4:$A$20000,I44)-SUMIFS(kokpit!$D$4:$D$20000,kokpit!$A$4:$A$20000,I44))/1000)</f>
        <v>0</v>
      </c>
      <c r="G44" s="31">
        <f>IF($G$2="ZŁ",SUMIFS('kokpit-1'!$C$4:$C$20000,'kokpit-1'!$A$4:$A$20000,I44)-SUMIFS('kokpit-1'!$D$4:$D$20000,'kokpit-1'!$A$4:$A$20000,I44),(SUMIFS('kokpit-1'!$C$4:$C$20000,'kokpit-1'!$A$4:$A$20000,I44)-SUMIFS('kokpit-1'!$D$4:$D$20000,'kokpit-1'!$A$4:$A$20000,I44))/1000)</f>
        <v>0</v>
      </c>
      <c r="I44" s="32" t="str">
        <f>"A"&amp;A6&amp;B25&amp;C44</f>
        <v>AAIV4</v>
      </c>
    </row>
    <row r="45" spans="1:9" x14ac:dyDescent="0.3">
      <c r="B45" s="194" t="s">
        <v>166</v>
      </c>
      <c r="C45" s="207"/>
      <c r="D45" s="195"/>
      <c r="E45" s="39" t="s">
        <v>149</v>
      </c>
      <c r="F45" s="33">
        <f>F46+F47</f>
        <v>0</v>
      </c>
      <c r="G45" s="33">
        <f>G46+G47</f>
        <v>0</v>
      </c>
      <c r="I45" s="30" t="s">
        <v>150</v>
      </c>
    </row>
    <row r="46" spans="1:9" x14ac:dyDescent="0.3">
      <c r="C46" s="200">
        <v>1</v>
      </c>
      <c r="D46" s="200"/>
      <c r="E46" s="21" t="s">
        <v>156</v>
      </c>
      <c r="F46" s="31">
        <f>IF($G$2="ZŁ",SUMIFS(kokpit!$C$4:$C$20000,kokpit!$A$4:$A$20000,I46)-SUMIFS(kokpit!$D$4:$D$20000,kokpit!$A$4:$A$20000,I46),(SUMIFS(kokpit!$C$4:$C$20000,kokpit!$A$4:$A$20000,I46)-SUMIFS(kokpit!$D$4:$D$20000,kokpit!$A$4:$A$20000,I46))/1000)</f>
        <v>0</v>
      </c>
      <c r="G46" s="31">
        <f>IF($G$2="ZŁ",SUMIFS('kokpit-1'!$C$4:$C$20000,'kokpit-1'!$A$4:$A$20000,I46)-SUMIFS('kokpit-1'!$D$4:$D$20000,'kokpit-1'!$A$4:$A$20000,I46),(SUMIFS('kokpit-1'!$C$4:$C$20000,'kokpit-1'!$A$4:$A$20000,I46)-SUMIFS('kokpit-1'!$D$4:$D$20000,'kokpit-1'!$A$4:$A$20000,I46))/1000)</f>
        <v>0</v>
      </c>
      <c r="I46" s="32" t="str">
        <f>"A"&amp;A6&amp;B45&amp;C46</f>
        <v>AAV1</v>
      </c>
    </row>
    <row r="47" spans="1:9" x14ac:dyDescent="0.3">
      <c r="C47" s="200">
        <v>2</v>
      </c>
      <c r="D47" s="200"/>
      <c r="E47" s="21" t="s">
        <v>157</v>
      </c>
      <c r="F47" s="31">
        <f>IF($G$2="ZŁ",SUMIFS(kokpit!$C$4:$C$20000,kokpit!$A$4:$A$20000,I47)-SUMIFS(kokpit!$D$4:$D$20000,kokpit!$A$4:$A$20000,I47),(SUMIFS(kokpit!$C$4:$C$20000,kokpit!$A$4:$A$20000,I47)-SUMIFS(kokpit!$D$4:$D$20000,kokpit!$A$4:$A$20000,I47))/1000)</f>
        <v>0</v>
      </c>
      <c r="G47" s="31">
        <f>IF($G$2="ZŁ",SUMIFS('kokpit-1'!$C$4:$C$20000,'kokpit-1'!$A$4:$A$20000,I47)-SUMIFS('kokpit-1'!$D$4:$D$20000,'kokpit-1'!$A$4:$A$20000,I47),(SUMIFS('kokpit-1'!$C$4:$C$20000,'kokpit-1'!$A$4:$A$20000,I47)-SUMIFS('kokpit-1'!$D$4:$D$20000,'kokpit-1'!$A$4:$A$20000,I47))/1000)</f>
        <v>0</v>
      </c>
      <c r="I47" s="32" t="str">
        <f>"A"&amp;A6&amp;B45&amp;C47</f>
        <v>AAV2</v>
      </c>
    </row>
    <row r="48" spans="1:9" x14ac:dyDescent="0.3">
      <c r="A48" s="208" t="s">
        <v>191</v>
      </c>
      <c r="B48" s="209"/>
      <c r="C48" s="209"/>
      <c r="D48" s="210"/>
      <c r="E48" s="27" t="s">
        <v>158</v>
      </c>
      <c r="F48" s="192">
        <f>F49+F55+F73+F90</f>
        <v>2237760.9300000006</v>
      </c>
      <c r="G48" s="192">
        <f>G49+G55+G73+G90</f>
        <v>181941.63</v>
      </c>
      <c r="I48" s="46" t="s">
        <v>218</v>
      </c>
    </row>
    <row r="49" spans="2:9" x14ac:dyDescent="0.3">
      <c r="B49" s="194" t="s">
        <v>164</v>
      </c>
      <c r="C49" s="207"/>
      <c r="D49" s="195"/>
      <c r="E49" s="39" t="s">
        <v>194</v>
      </c>
      <c r="F49" s="33">
        <f>SUM(F50:F54)</f>
        <v>390784.61000000004</v>
      </c>
      <c r="G49" s="33">
        <f>SUM(G50:G54)</f>
        <v>32010.95</v>
      </c>
      <c r="I49" s="30" t="s">
        <v>215</v>
      </c>
    </row>
    <row r="50" spans="2:9" x14ac:dyDescent="0.3">
      <c r="C50" s="200">
        <v>1</v>
      </c>
      <c r="D50" s="200"/>
      <c r="E50" s="21" t="s">
        <v>195</v>
      </c>
      <c r="F50" s="31">
        <f>IF($G$2="ZŁ",SUMIFS(kokpit!$C$4:$C$20000,kokpit!$A$4:$A$20000,I50)-SUMIFS(kokpit!$D$4:$D$20000,kokpit!$A$4:$A$20000,I50),(SUMIFS(kokpit!$C$4:$C$20000,kokpit!$A$4:$A$20000,I50)-SUMIFS(kokpit!$D$4:$D$20000,kokpit!$A$4:$A$20000,I50))/1000)</f>
        <v>0</v>
      </c>
      <c r="G50" s="31">
        <f>IF($G$2="ZŁ",SUMIFS('kokpit-1'!$C$4:$C$20000,'kokpit-1'!$A$4:$A$20000,I50)-SUMIFS('kokpit-1'!$D$4:$D$20000,'kokpit-1'!$A$4:$A$20000,I50),(SUMIFS('kokpit-1'!$C$4:$C$20000,'kokpit-1'!$A$4:$A$20000,I50)-SUMIFS('kokpit-1'!$D$4:$D$20000,'kokpit-1'!$A$4:$A$20000,I50))/1000)</f>
        <v>0</v>
      </c>
      <c r="I50" s="32" t="str">
        <f>"A"&amp;A48&amp;B49&amp;C50</f>
        <v>ABI1</v>
      </c>
    </row>
    <row r="51" spans="2:9" x14ac:dyDescent="0.3">
      <c r="C51" s="200">
        <v>2</v>
      </c>
      <c r="D51" s="200"/>
      <c r="E51" s="21" t="s">
        <v>196</v>
      </c>
      <c r="F51" s="31">
        <f>IF($G$2="ZŁ",SUMIFS(kokpit!$C$4:$C$20000,kokpit!$A$4:$A$20000,I51)-SUMIFS(kokpit!$D$4:$D$20000,kokpit!$A$4:$A$20000,I51),(SUMIFS(kokpit!$C$4:$C$20000,kokpit!$A$4:$A$20000,I51)-SUMIFS(kokpit!$D$4:$D$20000,kokpit!$A$4:$A$20000,I51))/1000)</f>
        <v>0</v>
      </c>
      <c r="G51" s="31">
        <f>IF($G$2="ZŁ",SUMIFS('kokpit-1'!$C$4:$C$20000,'kokpit-1'!$A$4:$A$20000,I51)-SUMIFS('kokpit-1'!$D$4:$D$20000,'kokpit-1'!$A$4:$A$20000,I51),(SUMIFS('kokpit-1'!$C$4:$C$20000,'kokpit-1'!$A$4:$A$20000,I51)-SUMIFS('kokpit-1'!$D$4:$D$20000,'kokpit-1'!$A$4:$A$20000,I51))/1000)</f>
        <v>0</v>
      </c>
      <c r="I51" s="32" t="str">
        <f>"A"&amp;A48&amp;B49&amp;C51</f>
        <v>ABI2</v>
      </c>
    </row>
    <row r="52" spans="2:9" x14ac:dyDescent="0.3">
      <c r="C52" s="200">
        <v>3</v>
      </c>
      <c r="D52" s="200"/>
      <c r="E52" s="21" t="s">
        <v>197</v>
      </c>
      <c r="F52" s="31">
        <f>IF($G$2="ZŁ",SUMIFS(kokpit!$C$4:$C$20000,kokpit!$A$4:$A$20000,I52)-SUMIFS(kokpit!$D$4:$D$20000,kokpit!$A$4:$A$20000,I52),(SUMIFS(kokpit!$C$4:$C$20000,kokpit!$A$4:$A$20000,I52)-SUMIFS(kokpit!$D$4:$D$20000,kokpit!$A$4:$A$20000,I52))/1000)</f>
        <v>0</v>
      </c>
      <c r="G52" s="31">
        <f>IF($G$2="ZŁ",SUMIFS('kokpit-1'!$C$4:$C$20000,'kokpit-1'!$A$4:$A$20000,I52)-SUMIFS('kokpit-1'!$D$4:$D$20000,'kokpit-1'!$A$4:$A$20000,I52),(SUMIFS('kokpit-1'!$C$4:$C$20000,'kokpit-1'!$A$4:$A$20000,I52)-SUMIFS('kokpit-1'!$D$4:$D$20000,'kokpit-1'!$A$4:$A$20000,I52))/1000)</f>
        <v>0</v>
      </c>
      <c r="I52" s="32" t="str">
        <f>"A"&amp;A48&amp;B49&amp;C52</f>
        <v>ABI3</v>
      </c>
    </row>
    <row r="53" spans="2:9" x14ac:dyDescent="0.3">
      <c r="C53" s="200">
        <v>4</v>
      </c>
      <c r="D53" s="200"/>
      <c r="E53" s="21" t="s">
        <v>198</v>
      </c>
      <c r="F53" s="31">
        <f>IF($G$2="ZŁ",SUMIFS(kokpit!$C$4:$C$20000,kokpit!$A$4:$A$20000,I53)-SUMIFS(kokpit!$D$4:$D$20000,kokpit!$A$4:$A$20000,I53),(SUMIFS(kokpit!$C$4:$C$20000,kokpit!$A$4:$A$20000,I53)-SUMIFS(kokpit!$D$4:$D$20000,kokpit!$A$4:$A$20000,I53))/1000)</f>
        <v>33785.81</v>
      </c>
      <c r="G53" s="31">
        <f>IF($G$2="ZŁ",SUMIFS('kokpit-1'!$C$4:$C$20000,'kokpit-1'!$A$4:$A$20000,I53)-SUMIFS('kokpit-1'!$D$4:$D$20000,'kokpit-1'!$A$4:$A$20000,I53),(SUMIFS('kokpit-1'!$C$4:$C$20000,'kokpit-1'!$A$4:$A$20000,I53)-SUMIFS('kokpit-1'!$D$4:$D$20000,'kokpit-1'!$A$4:$A$20000,I53))/1000)</f>
        <v>4521</v>
      </c>
      <c r="I53" s="32" t="str">
        <f>"A"&amp;A48&amp;B49&amp;C53</f>
        <v>ABI4</v>
      </c>
    </row>
    <row r="54" spans="2:9" x14ac:dyDescent="0.3">
      <c r="C54" s="200">
        <v>5</v>
      </c>
      <c r="D54" s="200"/>
      <c r="E54" s="21" t="s">
        <v>199</v>
      </c>
      <c r="F54" s="31">
        <f>IF($G$2="ZŁ",SUMIFS(kokpit!$C$4:$C$20000,kokpit!$A$4:$A$20000,I54)-SUMIFS(kokpit!$D$4:$D$20000,kokpit!$A$4:$A$20000,I54),(SUMIFS(kokpit!$C$4:$C$20000,kokpit!$A$4:$A$20000,I54)-SUMIFS(kokpit!$D$4:$D$20000,kokpit!$A$4:$A$20000,I54))/1000)</f>
        <v>356998.80000000005</v>
      </c>
      <c r="G54" s="31">
        <f>IF($G$2="ZŁ",SUMIFS('kokpit-1'!$C$4:$C$20000,'kokpit-1'!$A$4:$A$20000,I54)-SUMIFS('kokpit-1'!$D$4:$D$20000,'kokpit-1'!$A$4:$A$20000,I54),(SUMIFS('kokpit-1'!$C$4:$C$20000,'kokpit-1'!$A$4:$A$20000,I54)-SUMIFS('kokpit-1'!$D$4:$D$20000,'kokpit-1'!$A$4:$A$20000,I54))/1000)</f>
        <v>27489.95</v>
      </c>
      <c r="I54" s="32" t="str">
        <f>"A"&amp;A48&amp;B49&amp;C54</f>
        <v>ABI5</v>
      </c>
    </row>
    <row r="55" spans="2:9" x14ac:dyDescent="0.3">
      <c r="B55" s="194" t="s">
        <v>165</v>
      </c>
      <c r="C55" s="207"/>
      <c r="D55" s="195"/>
      <c r="E55" s="39" t="s">
        <v>180</v>
      </c>
      <c r="F55" s="33">
        <f>F56+F61+F66</f>
        <v>1231081.6700000004</v>
      </c>
      <c r="G55" s="33">
        <f>G56+G61+G66</f>
        <v>93659.55</v>
      </c>
      <c r="I55" s="30" t="s">
        <v>216</v>
      </c>
    </row>
    <row r="56" spans="2:9" x14ac:dyDescent="0.3">
      <c r="C56" s="217">
        <v>1</v>
      </c>
      <c r="D56" s="218"/>
      <c r="E56" s="34" t="s">
        <v>200</v>
      </c>
      <c r="F56" s="190">
        <f>F57+F60</f>
        <v>39139.99</v>
      </c>
      <c r="G56" s="190">
        <f>G57+G60</f>
        <v>24252.89</v>
      </c>
      <c r="I56" s="35" t="s">
        <v>217</v>
      </c>
    </row>
    <row r="57" spans="2:9" x14ac:dyDescent="0.3">
      <c r="D57" s="40" t="s">
        <v>184</v>
      </c>
      <c r="E57" s="43" t="s">
        <v>201</v>
      </c>
      <c r="F57" s="44">
        <f>SUM(F58:F59)</f>
        <v>39139.99</v>
      </c>
      <c r="G57" s="44">
        <f>SUM(G58:G59)</f>
        <v>24252.89</v>
      </c>
      <c r="I57" s="45" t="s">
        <v>219</v>
      </c>
    </row>
    <row r="58" spans="2:9" x14ac:dyDescent="0.3">
      <c r="D58" s="5">
        <v>1</v>
      </c>
      <c r="E58" s="21" t="s">
        <v>284</v>
      </c>
      <c r="F58" s="31">
        <f>IF($G$2="ZŁ",SUMIFS(kokpit!$C$4:$C$20000,kokpit!$A$4:$A$20000,I58),(SUMIFS(kokpit!$C$4:$C$20000,kokpit!$A$4:$A$20000,I58))/1000)</f>
        <v>32139.989999999998</v>
      </c>
      <c r="G58" s="31">
        <f>IF($G$2="ZŁ",SUMIFS('kokpit-1'!$C$4:$C$20000,'kokpit-1'!$A$4:$A$20000,I58),(SUMIFS('kokpit-1'!$C$4:$C$20000,'kokpit-1'!$A$4:$A$20000,I58))/1000)</f>
        <v>22752.89</v>
      </c>
      <c r="I58" s="32" t="str">
        <f>"A"&amp;A48&amp;B55&amp;C56&amp;D57&amp;D58</f>
        <v>ABII1a1</v>
      </c>
    </row>
    <row r="59" spans="2:9" x14ac:dyDescent="0.3">
      <c r="D59" s="5">
        <v>2</v>
      </c>
      <c r="E59" s="21" t="s">
        <v>285</v>
      </c>
      <c r="F59" s="31">
        <f>IF($G$2="ZŁ",SUMIFS(kokpit!$C$4:$C$20000,kokpit!$A$4:$A$20000,I59),(SUMIFS(kokpit!$C$4:$C$20000,kokpit!$A$4:$A$20000,I59))/1000)</f>
        <v>7000</v>
      </c>
      <c r="G59" s="31">
        <f>IF($G$2="ZŁ",SUMIFS('kokpit-1'!$C$4:$C$20000,'kokpit-1'!$A$4:$A$20000,I59),(SUMIFS('kokpit-1'!$C$4:$C$20000,'kokpit-1'!$A$4:$A$20000,I59))/1000)</f>
        <v>1500</v>
      </c>
      <c r="I59" s="32" t="str">
        <f>"A"&amp;A48&amp;B55&amp;C56&amp;D57&amp;D59</f>
        <v>ABII1a2</v>
      </c>
    </row>
    <row r="60" spans="2:9" x14ac:dyDescent="0.3">
      <c r="D60" s="36" t="s">
        <v>185</v>
      </c>
      <c r="E60" s="21" t="s">
        <v>202</v>
      </c>
      <c r="F60" s="31">
        <f>IF($G$2="ZŁ",SUMIFS(kokpit!$C$4:$C$20000,kokpit!$A$4:$A$20000,I60),(SUMIFS(kokpit!$C$4:$C$20000,kokpit!$A$4:$A$20000,I60))/1000)</f>
        <v>0</v>
      </c>
      <c r="G60" s="31">
        <f>IF($G$2="ZŁ",SUMIFS('kokpit-1'!$C$4:$C$20000,'kokpit-1'!$A$4:$A$20000,I60),(SUMIFS('kokpit-1'!$C$4:$C$20000,'kokpit-1'!$A$4:$A$20000,I60))/1000)</f>
        <v>0</v>
      </c>
      <c r="I60" s="32" t="str">
        <f>"A"&amp;A48&amp;B55&amp;C56&amp;D60</f>
        <v>ABII1b</v>
      </c>
    </row>
    <row r="61" spans="2:9" x14ac:dyDescent="0.3">
      <c r="C61" s="217">
        <v>2</v>
      </c>
      <c r="D61" s="218"/>
      <c r="E61" s="34" t="s">
        <v>203</v>
      </c>
      <c r="F61" s="190">
        <f>F62+F65</f>
        <v>0</v>
      </c>
      <c r="G61" s="190">
        <f>G62+G65</f>
        <v>0</v>
      </c>
      <c r="I61" s="35" t="s">
        <v>220</v>
      </c>
    </row>
    <row r="62" spans="2:9" x14ac:dyDescent="0.3">
      <c r="D62" s="47" t="s">
        <v>184</v>
      </c>
      <c r="E62" s="43" t="s">
        <v>201</v>
      </c>
      <c r="F62" s="44">
        <f>SUM(F63:F64)</f>
        <v>0</v>
      </c>
      <c r="G62" s="44">
        <f>SUM(G63:G64)</f>
        <v>0</v>
      </c>
      <c r="I62" s="45" t="s">
        <v>221</v>
      </c>
    </row>
    <row r="63" spans="2:9" x14ac:dyDescent="0.3">
      <c r="D63" s="5">
        <v>1</v>
      </c>
      <c r="E63" s="21" t="s">
        <v>284</v>
      </c>
      <c r="F63" s="31">
        <f>IF(G2="ZŁ",SUMIFS(kokpit!$C$4:$C$20000,kokpit!$A$4:$A$20000,I63),(SUMIFS(kokpit!$C$4:$C$20000,kokpit!$A$4:$A$20000,I63)/1000))</f>
        <v>0</v>
      </c>
      <c r="G63" s="31">
        <f>IF($G$2="ZŁ",SUMIFS('kokpit-1'!$C$4:$C$20000,'kokpit-1'!$A$4:$A$20000,I63),(SUMIFS('kokpit-1'!$C$4:$C$20000,'kokpit-1'!$A$4:$A$20000,I63))/1000)</f>
        <v>0</v>
      </c>
      <c r="I63" s="32" t="str">
        <f>"A"&amp;A48&amp;B55&amp;C61&amp;D62&amp;D63</f>
        <v>ABII2a1</v>
      </c>
    </row>
    <row r="64" spans="2:9" x14ac:dyDescent="0.3">
      <c r="D64" s="5">
        <v>2</v>
      </c>
      <c r="E64" s="21" t="s">
        <v>285</v>
      </c>
      <c r="F64" s="31">
        <f>IF(G3="ZŁ",SUMIFS(kokpit!$C$4:$C$20000,kokpit!$A$4:$A$20000,I64),(SUMIFS(kokpit!$C$4:$C$20000,kokpit!$A$4:$A$20000,I64)/1000))</f>
        <v>0</v>
      </c>
      <c r="G64" s="31">
        <f>IF($G$2="ZŁ",SUMIFS('kokpit-1'!$C$4:$C$20000,'kokpit-1'!$A$4:$A$20000,I64),(SUMIFS('kokpit-1'!$C$4:$C$20000,'kokpit-1'!$A$4:$A$20000,I64))/1000)</f>
        <v>0</v>
      </c>
      <c r="I64" s="32" t="str">
        <f>"A"&amp;A48&amp;B55&amp;C61&amp;D62&amp;D64</f>
        <v>ABII2a2</v>
      </c>
    </row>
    <row r="65" spans="2:9" x14ac:dyDescent="0.3">
      <c r="D65" s="36" t="s">
        <v>185</v>
      </c>
      <c r="E65" s="21" t="s">
        <v>202</v>
      </c>
      <c r="F65" s="31">
        <f>IF(G4="ZŁ",SUMIFS(kokpit!$C$4:$C$20000,kokpit!$A$4:$A$20000,I65),(SUMIFS(kokpit!$C$4:$C$20000,kokpit!$A$4:$A$20000,I65)/1000))</f>
        <v>0</v>
      </c>
      <c r="G65" s="31">
        <f>IF($G$2="ZŁ",SUMIFS('kokpit-1'!$C$4:$C$20000,'kokpit-1'!$A$4:$A$20000,I65),(SUMIFS('kokpit-1'!$C$4:$C$20000,'kokpit-1'!$A$4:$A$20000,I65))/1000)</f>
        <v>0</v>
      </c>
      <c r="I65" s="32" t="str">
        <f>"A"&amp;A48&amp;B55&amp;C61&amp;D65</f>
        <v>ABII2b</v>
      </c>
    </row>
    <row r="66" spans="2:9" x14ac:dyDescent="0.3">
      <c r="C66" s="217">
        <v>3</v>
      </c>
      <c r="D66" s="218"/>
      <c r="E66" s="34" t="s">
        <v>204</v>
      </c>
      <c r="F66" s="190">
        <f>F67+F70+F71+F72</f>
        <v>1191941.6800000004</v>
      </c>
      <c r="G66" s="190">
        <f>G67+G70+G71+G72</f>
        <v>69406.66</v>
      </c>
      <c r="I66" s="35" t="s">
        <v>223</v>
      </c>
    </row>
    <row r="67" spans="2:9" x14ac:dyDescent="0.3">
      <c r="D67" s="47" t="s">
        <v>184</v>
      </c>
      <c r="E67" s="43" t="s">
        <v>201</v>
      </c>
      <c r="F67" s="44">
        <f>SUM(F68:F69)</f>
        <v>1051604.2200000002</v>
      </c>
      <c r="G67" s="44">
        <f>SUM(G68:G69)</f>
        <v>43131.520000000004</v>
      </c>
      <c r="I67" s="45" t="s">
        <v>224</v>
      </c>
    </row>
    <row r="68" spans="2:9" x14ac:dyDescent="0.3">
      <c r="D68" s="5">
        <v>1</v>
      </c>
      <c r="E68" s="21" t="s">
        <v>284</v>
      </c>
      <c r="F68" s="31">
        <f>IF($G$2="ZŁ",SUMIFS(kokpit!$C$4:$C$20000,kokpit!$A$4:$A$20000,I68),(SUMIFS(kokpit!$C$4:$C$20000,kokpit!$A$4:$A$20000,I68))/1000)</f>
        <v>757604.22000000009</v>
      </c>
      <c r="G68" s="31">
        <f>IF($G$2="ZŁ",SUMIFS('kokpit-1'!$C$4:$C$20000,'kokpit-1'!$A$4:$A$20000,I68),(SUMIFS('kokpit-1'!$C$4:$C$20000,'kokpit-1'!$A$4:$A$20000,I68))/1000)</f>
        <v>43131.520000000004</v>
      </c>
      <c r="I68" s="32" t="str">
        <f>"A"&amp;A48&amp;B55&amp;C66&amp;D67&amp;D68</f>
        <v>ABII3a1</v>
      </c>
    </row>
    <row r="69" spans="2:9" x14ac:dyDescent="0.3">
      <c r="D69" s="5">
        <v>2</v>
      </c>
      <c r="E69" s="21" t="s">
        <v>285</v>
      </c>
      <c r="F69" s="31">
        <f>IF($G$2="ZŁ",SUMIFS(kokpit!$C$4:$C$20000,kokpit!$A$4:$A$20000,I69),(SUMIFS(kokpit!$C$4:$C$20000,kokpit!$A$4:$A$20000,I69))/1000)</f>
        <v>294000</v>
      </c>
      <c r="G69" s="31">
        <f>IF($G$2="ZŁ",SUMIFS('kokpit-1'!$C$4:$C$20000,'kokpit-1'!$A$4:$A$20000,I69),(SUMIFS('kokpit-1'!$C$4:$C$20000,'kokpit-1'!$A$4:$A$20000,I69))/1000)</f>
        <v>0</v>
      </c>
      <c r="I69" s="32" t="str">
        <f>"A"&amp;A48&amp;B55&amp;C66&amp;D67&amp;D69</f>
        <v>ABII3a2</v>
      </c>
    </row>
    <row r="70" spans="2:9" x14ac:dyDescent="0.3">
      <c r="D70" s="36" t="s">
        <v>185</v>
      </c>
      <c r="E70" s="21" t="s">
        <v>205</v>
      </c>
      <c r="F70" s="31">
        <f>IF($G$2="ZŁ",SUMIFS(kokpit!$C$4:$C$20000,kokpit!$A$4:$A$20000,I70),(SUMIFS(kokpit!$C$4:$C$20000,kokpit!$A$4:$A$20000,I70))/1000)</f>
        <v>125685.84</v>
      </c>
      <c r="G70" s="31">
        <f>IF($G$2="ZŁ",SUMIFS('kokpit-1'!$C$4:$C$20000,'kokpit-1'!$A$4:$A$20000,I70),(SUMIFS('kokpit-1'!$C$4:$C$20000,'kokpit-1'!$A$4:$A$20000,I70))/1000)</f>
        <v>24607.64</v>
      </c>
      <c r="I70" s="32" t="str">
        <f>"A"&amp;A48&amp;B55&amp;C66&amp;D70</f>
        <v>ABII3b</v>
      </c>
    </row>
    <row r="71" spans="2:9" x14ac:dyDescent="0.3">
      <c r="D71" s="36" t="s">
        <v>186</v>
      </c>
      <c r="E71" s="21" t="s">
        <v>202</v>
      </c>
      <c r="F71" s="31">
        <f>IF($G$2="ZŁ",SUMIFS(kokpit!$C$4:$C$20000,kokpit!$A$4:$A$20000,I71),(SUMIFS(kokpit!$C$4:$C$20000,kokpit!$A$4:$A$20000,I71))/1000)</f>
        <v>14651.619999999999</v>
      </c>
      <c r="G71" s="31">
        <f>IF($G$2="ZŁ",SUMIFS('kokpit-1'!$C$4:$C$20000,'kokpit-1'!$A$4:$A$20000,I71),(SUMIFS('kokpit-1'!$C$4:$C$20000,'kokpit-1'!$A$4:$A$20000,I71))/1000)</f>
        <v>1667.5</v>
      </c>
      <c r="I71" s="32" t="str">
        <f>"A"&amp;A48&amp;B55&amp;C66&amp;D71</f>
        <v>ABII3c</v>
      </c>
    </row>
    <row r="72" spans="2:9" x14ac:dyDescent="0.3">
      <c r="D72" s="36" t="s">
        <v>187</v>
      </c>
      <c r="E72" s="21" t="s">
        <v>206</v>
      </c>
      <c r="F72" s="31">
        <f>IF($G$2="ZŁ",SUMIFS(kokpit!$C$4:$C$20000,kokpit!$A$4:$A$20000,I72),(SUMIFS(kokpit!$C$4:$C$20000,kokpit!$A$4:$A$20000,I72))/1000)</f>
        <v>0</v>
      </c>
      <c r="G72" s="31">
        <f>IF($G$2="ZŁ",SUMIFS('kokpit-1'!$C$4:$C$20000,'kokpit-1'!$A$4:$A$20000,I72),(SUMIFS('kokpit-1'!$C$4:$C$20000,'kokpit-1'!$A$4:$A$20000,I72))/1000)</f>
        <v>0</v>
      </c>
      <c r="I72" s="32" t="str">
        <f>"A"&amp;A48&amp;B55&amp;C66&amp;D72</f>
        <v>ABII3d</v>
      </c>
    </row>
    <row r="73" spans="2:9" x14ac:dyDescent="0.3">
      <c r="B73" s="194" t="s">
        <v>162</v>
      </c>
      <c r="C73" s="207"/>
      <c r="D73" s="195"/>
      <c r="E73" s="39" t="s">
        <v>207</v>
      </c>
      <c r="F73" s="33">
        <f>F74+F89</f>
        <v>615366.64999999991</v>
      </c>
      <c r="G73" s="33">
        <f>G74+G89</f>
        <v>56007.13</v>
      </c>
      <c r="I73" s="11" t="s">
        <v>225</v>
      </c>
    </row>
    <row r="74" spans="2:9" x14ac:dyDescent="0.3">
      <c r="C74" s="217">
        <v>1</v>
      </c>
      <c r="D74" s="218"/>
      <c r="E74" s="34" t="s">
        <v>139</v>
      </c>
      <c r="F74" s="48">
        <f>F75+F80+F85</f>
        <v>615366.64999999991</v>
      </c>
      <c r="G74" s="48">
        <f>G75+G80+G85</f>
        <v>56007.13</v>
      </c>
      <c r="I74" s="35" t="s">
        <v>226</v>
      </c>
    </row>
    <row r="75" spans="2:9" x14ac:dyDescent="0.3">
      <c r="D75" s="40" t="s">
        <v>184</v>
      </c>
      <c r="E75" s="43" t="s">
        <v>124</v>
      </c>
      <c r="F75" s="44">
        <f>SUM(F76:F79)</f>
        <v>0</v>
      </c>
      <c r="G75" s="44">
        <f>SUM(G76:G79)</f>
        <v>0</v>
      </c>
      <c r="I75" s="45" t="s">
        <v>227</v>
      </c>
    </row>
    <row r="76" spans="2:9" x14ac:dyDescent="0.3">
      <c r="D76" s="5">
        <v>1</v>
      </c>
      <c r="E76" s="21" t="s">
        <v>125</v>
      </c>
      <c r="F76" s="31">
        <f>IF($G$2="ZŁ",SUMIFS(kokpit!$C$4:$C$20000,kokpit!$A$4:$A$20000,I76),(SUMIFS(kokpit!$C$4:$C$20000,kokpit!$A$4:$A$20000,I76))/1000)</f>
        <v>0</v>
      </c>
      <c r="G76" s="31">
        <f>IF($G$2="ZŁ",SUMIFS('kokpit-1'!$C$4:$C$20000,'kokpit-1'!$A$4:$A$20000,I76)-SUMIFS('kokpit-1'!$D$4:$D$20000,'kokpit-1'!$A$4:$A$20000,I76),(SUMIFS('kokpit-1'!$C$4:$C$20000,'kokpit-1'!$A$4:$A$20000,I76)-SUMIFS('kokpit-1'!$D$4:$D$20000,'kokpit-1'!$A$4:$A$20000,I76))/1000)</f>
        <v>0</v>
      </c>
      <c r="I76" s="32" t="str">
        <f>"A"&amp;A48&amp;B73&amp;C74&amp;D75&amp;D76</f>
        <v>ABIII1a1</v>
      </c>
    </row>
    <row r="77" spans="2:9" x14ac:dyDescent="0.3">
      <c r="D77" s="5">
        <v>2</v>
      </c>
      <c r="E77" s="21" t="s">
        <v>126</v>
      </c>
      <c r="F77" s="31">
        <f>IF($G$2="ZŁ",SUMIFS(kokpit!$C$4:$C$20000,kokpit!$A$4:$A$20000,I77),(SUMIFS(kokpit!$C$4:$C$20000,kokpit!$A$4:$A$20000,I77))/1000)</f>
        <v>0</v>
      </c>
      <c r="G77" s="31">
        <f>IF($G$2="ZŁ",SUMIFS('kokpit-1'!$C$4:$C$20000,'kokpit-1'!$A$4:$A$20000,I77)-SUMIFS('kokpit-1'!$D$4:$D$20000,'kokpit-1'!$A$4:$A$20000,I77),(SUMIFS('kokpit-1'!$C$4:$C$20000,'kokpit-1'!$A$4:$A$20000,I77)-SUMIFS('kokpit-1'!$D$4:$D$20000,'kokpit-1'!$A$4:$A$20000,I77))/1000)</f>
        <v>0</v>
      </c>
      <c r="I77" s="32" t="str">
        <f>"A"&amp;A48&amp;B73&amp;C74&amp;D75&amp;D77</f>
        <v>ABIII1a2</v>
      </c>
    </row>
    <row r="78" spans="2:9" x14ac:dyDescent="0.3">
      <c r="D78" s="5">
        <v>3</v>
      </c>
      <c r="E78" s="21" t="s">
        <v>127</v>
      </c>
      <c r="F78" s="31">
        <f>IF($G$2="ZŁ",SUMIFS(kokpit!$C$4:$C$20000,kokpit!$A$4:$A$20000,I78),(SUMIFS(kokpit!$C$4:$C$20000,kokpit!$A$4:$A$20000,I78))/1000)</f>
        <v>0</v>
      </c>
      <c r="G78" s="31">
        <f>IF($G$2="ZŁ",SUMIFS('kokpit-1'!$C$4:$C$20000,'kokpit-1'!$A$4:$A$20000,I78)-SUMIFS('kokpit-1'!$D$4:$D$20000,'kokpit-1'!$A$4:$A$20000,I78),(SUMIFS('kokpit-1'!$C$4:$C$20000,'kokpit-1'!$A$4:$A$20000,I78)-SUMIFS('kokpit-1'!$D$4:$D$20000,'kokpit-1'!$A$4:$A$20000,I78))/1000)</f>
        <v>0</v>
      </c>
      <c r="I78" s="32" t="str">
        <f>"A"&amp;A48&amp;B73&amp;C74&amp;D75&amp;D78</f>
        <v>ABIII1a3</v>
      </c>
    </row>
    <row r="79" spans="2:9" x14ac:dyDescent="0.3">
      <c r="D79" s="5">
        <v>4</v>
      </c>
      <c r="E79" s="21" t="s">
        <v>286</v>
      </c>
      <c r="F79" s="31">
        <f>IF($G$2="ZŁ",SUMIFS(kokpit!$C$4:$C$20000,kokpit!$A$4:$A$20000,I79),(SUMIFS(kokpit!$C$4:$C$20000,kokpit!$A$4:$A$20000,I79))/1000)</f>
        <v>0</v>
      </c>
      <c r="G79" s="31">
        <f>IF($G$2="ZŁ",SUMIFS('kokpit-1'!$C$4:$C$20000,'kokpit-1'!$A$4:$A$20000,I79)-SUMIFS('kokpit-1'!$D$4:$D$20000,'kokpit-1'!$A$4:$A$20000,I79),(SUMIFS('kokpit-1'!$C$4:$C$20000,'kokpit-1'!$A$4:$A$20000,I79)-SUMIFS('kokpit-1'!$D$4:$D$20000,'kokpit-1'!$A$4:$A$20000,I79))/1000)</f>
        <v>0</v>
      </c>
      <c r="I79" s="32" t="str">
        <f>"A"&amp;A48&amp;B73&amp;C74&amp;D75&amp;D79</f>
        <v>ABIII1a4</v>
      </c>
    </row>
    <row r="80" spans="2:9" x14ac:dyDescent="0.3">
      <c r="D80" s="40" t="s">
        <v>185</v>
      </c>
      <c r="E80" s="43" t="s">
        <v>181</v>
      </c>
      <c r="F80" s="44">
        <f>SUM(F81:F84)</f>
        <v>0</v>
      </c>
      <c r="G80" s="44">
        <f>SUM(G81:G84)</f>
        <v>0</v>
      </c>
      <c r="I80" s="45" t="s">
        <v>229</v>
      </c>
    </row>
    <row r="81" spans="1:9" x14ac:dyDescent="0.3">
      <c r="D81" s="5">
        <v>1</v>
      </c>
      <c r="E81" s="21" t="s">
        <v>125</v>
      </c>
      <c r="F81" s="31">
        <f>IF($G$2="ZŁ",SUMIFS(kokpit!$C$4:$C$20000,kokpit!$A$4:$A$20000,I81)-SUMIFS(kokpit!$D$4:$D$20000,kokpit!$A$4:$A$20000,I81),(SUMIFS(kokpit!$C$4:$C$20000,kokpit!$A$4:$A$20000,I81)-SUMIFS(kokpit!$D$4:$D$20000,kokpit!$A$4:$A$20000,I81))/1000)</f>
        <v>0</v>
      </c>
      <c r="G81" s="31">
        <f>IF($G$2="ZŁ",SUMIFS('kokpit-1'!$C$4:$C$20000,'kokpit-1'!$A$4:$A$20000,I81)-SUMIFS('kokpit-1'!$D$4:$D$20000,'kokpit-1'!$A$4:$A$20000,I81),(SUMIFS('kokpit-1'!$C$4:$C$20000,'kokpit-1'!$A$4:$A$20000,I81)-SUMIFS('kokpit-1'!$D$4:$D$20000,'kokpit-1'!$A$4:$A$20000,I81))/1000)</f>
        <v>0</v>
      </c>
      <c r="I81" s="32" t="str">
        <f>"A"&amp;A48&amp;B73&amp;C74&amp;D80&amp;D81</f>
        <v>ABIII1b1</v>
      </c>
    </row>
    <row r="82" spans="1:9" x14ac:dyDescent="0.3">
      <c r="D82" s="5">
        <v>2</v>
      </c>
      <c r="E82" s="21" t="s">
        <v>126</v>
      </c>
      <c r="F82" s="31">
        <f>IF($G$2="ZŁ",SUMIFS(kokpit!$C$4:$C$20000,kokpit!$A$4:$A$20000,I82)-SUMIFS(kokpit!$D$4:$D$20000,kokpit!$A$4:$A$20000,I82),(SUMIFS(kokpit!$C$4:$C$20000,kokpit!$A$4:$A$20000,I82)-SUMIFS(kokpit!$D$4:$D$20000,kokpit!$A$4:$A$20000,I82))/1000)</f>
        <v>0</v>
      </c>
      <c r="G82" s="31">
        <f>IF($G$2="ZŁ",SUMIFS('kokpit-1'!$C$4:$C$20000,'kokpit-1'!$A$4:$A$20000,I82)-SUMIFS('kokpit-1'!$D$4:$D$20000,'kokpit-1'!$A$4:$A$20000,I82),(SUMIFS('kokpit-1'!$C$4:$C$20000,'kokpit-1'!$A$4:$A$20000,I82)-SUMIFS('kokpit-1'!$D$4:$D$20000,'kokpit-1'!$A$4:$A$20000,I82))/1000)</f>
        <v>0</v>
      </c>
      <c r="I82" s="32" t="str">
        <f>"A"&amp;A48&amp;B73&amp;C74&amp;D80&amp;D82</f>
        <v>ABIII1b2</v>
      </c>
    </row>
    <row r="83" spans="1:9" x14ac:dyDescent="0.3">
      <c r="D83" s="5">
        <v>3</v>
      </c>
      <c r="E83" s="21" t="s">
        <v>127</v>
      </c>
      <c r="F83" s="31">
        <f>IF($G$2="ZŁ",SUMIFS(kokpit!$C$4:$C$20000,kokpit!$A$4:$A$20000,I83)-SUMIFS(kokpit!$D$4:$D$20000,kokpit!$A$4:$A$20000,I83),(SUMIFS(kokpit!$C$4:$C$20000,kokpit!$A$4:$A$20000,I83)-SUMIFS(kokpit!$D$4:$D$20000,kokpit!$A$4:$A$20000,I83))/1000)</f>
        <v>0</v>
      </c>
      <c r="G83" s="31">
        <f>IF($G$2="ZŁ",SUMIFS('kokpit-1'!$C$4:$C$20000,'kokpit-1'!$A$4:$A$20000,I83)-SUMIFS('kokpit-1'!$D$4:$D$20000,'kokpit-1'!$A$4:$A$20000,I83),(SUMIFS('kokpit-1'!$C$4:$C$20000,'kokpit-1'!$A$4:$A$20000,I83)-SUMIFS('kokpit-1'!$D$4:$D$20000,'kokpit-1'!$A$4:$A$20000,I83))/1000)</f>
        <v>0</v>
      </c>
      <c r="I83" s="32" t="str">
        <f>"A"&amp;A48&amp;B73&amp;C74&amp;D80&amp;D83</f>
        <v>ABIII1b3</v>
      </c>
    </row>
    <row r="84" spans="1:9" x14ac:dyDescent="0.3">
      <c r="D84" s="5">
        <v>4</v>
      </c>
      <c r="E84" s="21" t="s">
        <v>286</v>
      </c>
      <c r="F84" s="31">
        <f>IF($G$2="ZŁ",SUMIFS(kokpit!$C$4:$C$20000,kokpit!$A$4:$A$20000,I84)-SUMIFS(kokpit!$D$4:$D$20000,kokpit!$A$4:$A$20000,I84),(SUMIFS(kokpit!$C$4:$C$20000,kokpit!$A$4:$A$20000,I84)-SUMIFS(kokpit!$D$4:$D$20000,kokpit!$A$4:$A$20000,I84))/1000)</f>
        <v>0</v>
      </c>
      <c r="G84" s="31">
        <f>IF($G$2="ZŁ",SUMIFS('kokpit-1'!$C$4:$C$20000,'kokpit-1'!$A$4:$A$20000,I84)-SUMIFS('kokpit-1'!$D$4:$D$20000,'kokpit-1'!$A$4:$A$20000,I84),(SUMIFS('kokpit-1'!$C$4:$C$20000,'kokpit-1'!$A$4:$A$20000,I84)-SUMIFS('kokpit-1'!$D$4:$D$20000,'kokpit-1'!$A$4:$A$20000,I84))/1000)</f>
        <v>0</v>
      </c>
      <c r="I84" s="32" t="str">
        <f>"A"&amp;A48&amp;B73&amp;C74&amp;D80&amp;D84</f>
        <v>ABIII1b4</v>
      </c>
    </row>
    <row r="85" spans="1:9" x14ac:dyDescent="0.3">
      <c r="D85" s="40" t="s">
        <v>186</v>
      </c>
      <c r="E85" s="43" t="s">
        <v>210</v>
      </c>
      <c r="F85" s="44">
        <f>SUM(F86:F88)</f>
        <v>615366.64999999991</v>
      </c>
      <c r="G85" s="44">
        <f>SUM(G86:G88)</f>
        <v>56007.13</v>
      </c>
      <c r="I85" s="45" t="s">
        <v>230</v>
      </c>
    </row>
    <row r="86" spans="1:9" x14ac:dyDescent="0.3">
      <c r="D86" s="5">
        <v>1</v>
      </c>
      <c r="E86" s="21" t="s">
        <v>287</v>
      </c>
      <c r="F86" s="31">
        <f>IF($G$2="ZŁ",SUMIFS(kokpit!$C$4:$C$20000,kokpit!$A$4:$A$20000,I86)-SUMIFS(kokpit!$D$4:$D$20000,kokpit!$A$4:$A$20000,I86),(SUMIFS(kokpit!$C$4:$C$20000,kokpit!$A$4:$A$20000,I86)-SUMIFS(kokpit!$D$4:$D$20000,kokpit!$A$4:$A$20000,I86))/1000)</f>
        <v>541685.64999999991</v>
      </c>
      <c r="G86" s="31">
        <f>IF($G$2="ZŁ",SUMIFS('kokpit-1'!$C$4:$C$20000,'kokpit-1'!$A$4:$A$20000,I86)-SUMIFS('kokpit-1'!$D$4:$D$20000,'kokpit-1'!$A$4:$A$20000,I86),(SUMIFS('kokpit-1'!$C$4:$C$20000,'kokpit-1'!$A$4:$A$20000,I86)-SUMIFS('kokpit-1'!$D$4:$D$20000,'kokpit-1'!$A$4:$A$20000,I86))/1000)</f>
        <v>-18117.870000000003</v>
      </c>
      <c r="I86" s="32" t="str">
        <f>"A"&amp;A48&amp;B73&amp;C74&amp;D85&amp;D86</f>
        <v>ABIII1c1</v>
      </c>
    </row>
    <row r="87" spans="1:9" x14ac:dyDescent="0.3">
      <c r="D87" s="5">
        <v>2</v>
      </c>
      <c r="E87" s="21" t="s">
        <v>288</v>
      </c>
      <c r="F87" s="31">
        <f>IF($G$2="ZŁ",SUMIFS(kokpit!$C$4:$C$20000,kokpit!$A$4:$A$20000,I87)-SUMIFS(kokpit!$D$4:$D$20000,kokpit!$A$4:$A$20000,I87),(SUMIFS(kokpit!$C$4:$C$20000,kokpit!$A$4:$A$20000,I87)-SUMIFS(kokpit!$D$4:$D$20000,kokpit!$A$4:$A$20000,I87))/1000)</f>
        <v>73681</v>
      </c>
      <c r="G87" s="31">
        <f>IF($G$2="ZŁ",SUMIFS('kokpit-1'!$C$4:$C$20000,'kokpit-1'!$A$4:$A$20000,I87)-SUMIFS('kokpit-1'!$D$4:$D$20000,'kokpit-1'!$A$4:$A$20000,I87),(SUMIFS('kokpit-1'!$C$4:$C$20000,'kokpit-1'!$A$4:$A$20000,I87)-SUMIFS('kokpit-1'!$D$4:$D$20000,'kokpit-1'!$A$4:$A$20000,I87))/1000)</f>
        <v>74125</v>
      </c>
      <c r="I87" s="32" t="str">
        <f>"A"&amp;A48&amp;B73&amp;C74&amp;D85&amp;D87</f>
        <v>ABIII1c2</v>
      </c>
    </row>
    <row r="88" spans="1:9" x14ac:dyDescent="0.3">
      <c r="D88" s="5">
        <v>3</v>
      </c>
      <c r="E88" s="21" t="s">
        <v>289</v>
      </c>
      <c r="F88" s="31">
        <f>IF($G$2="ZŁ",SUMIFS(kokpit!$C$4:$C$20000,kokpit!$A$4:$A$20000,I88)-SUMIFS(kokpit!$D$4:$D$20000,kokpit!$A$4:$A$20000,I88),(SUMIFS(kokpit!$C$4:$C$20000,kokpit!$A$4:$A$20000,I88)-SUMIFS(kokpit!$D$4:$D$20000,kokpit!$A$4:$A$20000,I88))/1000)</f>
        <v>0</v>
      </c>
      <c r="G88" s="31">
        <f>IF($G$2="ZŁ",SUMIFS('kokpit-1'!$C$4:$C$20000,'kokpit-1'!$A$4:$A$20000,I88)-SUMIFS('kokpit-1'!$D$4:$D$20000,'kokpit-1'!$A$4:$A$20000,I88),(SUMIFS('kokpit-1'!$C$4:$C$20000,'kokpit-1'!$A$4:$A$20000,I88)-SUMIFS('kokpit-1'!$D$4:$D$20000,'kokpit-1'!$A$4:$A$20000,I88))/1000)</f>
        <v>0</v>
      </c>
      <c r="I88" s="32" t="str">
        <f>"A"&amp;A48&amp;B73&amp;C74&amp;D85&amp;D88</f>
        <v>ABIII1c3</v>
      </c>
    </row>
    <row r="89" spans="1:9" x14ac:dyDescent="0.3">
      <c r="C89" s="200">
        <v>2</v>
      </c>
      <c r="D89" s="200"/>
      <c r="E89" s="21" t="s">
        <v>211</v>
      </c>
      <c r="F89" s="31">
        <f>IF($G$2="ZŁ",SUMIFS(kokpit!$C$4:$C$20000,kokpit!$A$4:$A$20000,I89)-SUMIFS(kokpit!$D$4:$D$20000,kokpit!$A$4:$A$20000,I89),(SUMIFS(kokpit!$C$4:$C$20000,kokpit!$A$4:$A$20000,I89)-SUMIFS(kokpit!$D$4:$D$20000,kokpit!$A$4:$A$20000,I89))/1000)</f>
        <v>0</v>
      </c>
      <c r="G89" s="31">
        <f>IF($G$2="ZŁ",SUMIFS('kokpit-1'!$C$4:$C$20000,'kokpit-1'!$A$4:$A$20000,I89)-SUMIFS('kokpit-1'!$D$4:$D$20000,'kokpit-1'!$A$4:$A$20000,I89),(SUMIFS('kokpit-1'!$C$4:$C$20000,'kokpit-1'!$A$4:$A$20000,I89)-SUMIFS('kokpit-1'!$D$4:$D$20000,'kokpit-1'!$A$4:$A$20000,I89))/1000)</f>
        <v>0</v>
      </c>
      <c r="I89" s="32" t="str">
        <f>"A"&amp;A48&amp;B73&amp;C74&amp;D85&amp;D89</f>
        <v>ABIII1c</v>
      </c>
    </row>
    <row r="90" spans="1:9" x14ac:dyDescent="0.3">
      <c r="B90" s="194" t="s">
        <v>163</v>
      </c>
      <c r="C90" s="207"/>
      <c r="D90" s="195"/>
      <c r="E90" s="39" t="s">
        <v>212</v>
      </c>
      <c r="F90" s="33">
        <f>IF(G2="ZŁ",SUMIFS(kokpit!$C$4:$C$20000,kokpit!$A$4:$A$20000,I90),(SUMIFS(kokpit!$C$4:$C$20000,kokpit!$A$4:$A$20000,I90))/1000)</f>
        <v>528</v>
      </c>
      <c r="G90" s="33">
        <f>IF($G$2="ZŁ",SUMIFS('kokpit-1'!$C$4:$C$20000,'kokpit-1'!$A$4:$A$20000,I90)-SUMIFS('kokpit-1'!$D$4:$D$20000,'kokpit-1'!$A$4:$A$20000,I90),(SUMIFS('kokpit-1'!$C$4:$C$20000,'kokpit-1'!$A$4:$A$20000,I90)-SUMIFS('kokpit-1'!$D$4:$D$20000,'kokpit-1'!$A$4:$A$20000,I90))/1000)</f>
        <v>264</v>
      </c>
      <c r="I90" s="32" t="str">
        <f>"A"&amp;A48&amp;B90</f>
        <v>ABIV</v>
      </c>
    </row>
    <row r="91" spans="1:9" x14ac:dyDescent="0.3">
      <c r="A91" s="208" t="s">
        <v>208</v>
      </c>
      <c r="B91" s="209"/>
      <c r="C91" s="209"/>
      <c r="D91" s="210"/>
      <c r="E91" s="27" t="s">
        <v>213</v>
      </c>
      <c r="F91" s="192">
        <f>IF($G$2="ZŁ",SUMIFS(kokpit!$C$4:$C$20000,kokpit!$A$4:$A$20000,I91)-SUMIFS(kokpit!$D$4:$D$20000,kokpit!$A$4:$A$20000,I91),(SUMIFS(kokpit!$C$4:$C$20000,kokpit!$A$4:$A$20000,I91)-SUMIFS(kokpit!$D$4:$D$20000,kokpit!$A$4:$A$20000,I91))/1000)</f>
        <v>0</v>
      </c>
      <c r="G91" s="192">
        <f>IF($G$2="ZŁ",SUMIFS('kokpit-1'!$C$4:$C$20000,'kokpit-1'!$A$4:$A$20000,I91)-SUMIFS('kokpit-1'!$D$4:$D$20000,'kokpit-1'!$A$4:$A$20000,I91),(SUMIFS('kokpit-1'!$C$4:$C$20000,'kokpit-1'!$A$4:$A$20000,I91)-SUMIFS('kokpit-1'!$D$4:$D$20000,'kokpit-1'!$A$4:$A$20000,I91))/1000)</f>
        <v>0</v>
      </c>
      <c r="I91" s="32" t="str">
        <f>"A"&amp;A91</f>
        <v>AC</v>
      </c>
    </row>
    <row r="92" spans="1:9" ht="14.5" thickBot="1" x14ac:dyDescent="0.35">
      <c r="A92" s="208" t="s">
        <v>209</v>
      </c>
      <c r="B92" s="209"/>
      <c r="C92" s="209"/>
      <c r="D92" s="210"/>
      <c r="E92" s="27" t="s">
        <v>214</v>
      </c>
      <c r="F92" s="192">
        <f>IF($G$2="ZŁ",SUMIFS(kokpit!$C$4:$C$20000,kokpit!$A$4:$A$20000,I92)-SUMIFS(kokpit!$D$4:$D$20000,kokpit!$A$4:$A$20000,I92),(SUMIFS(kokpit!$C$4:$C$20000,kokpit!$A$4:$A$20000,I92)-SUMIFS(kokpit!$D$4:$D$20000,kokpit!$A$4:$A$20000,I92))/1000)</f>
        <v>0</v>
      </c>
      <c r="G92" s="192">
        <f>IF($G$2="ZŁ",SUMIFS('kokpit-1'!$C$4:$C$20000,'kokpit-1'!$A$4:$A$20000,I92)-SUMIFS('kokpit-1'!$D$4:$D$20000,'kokpit-1'!$A$4:$A$20000,I92),(SUMIFS('kokpit-1'!$C$4:$C$20000,'kokpit-1'!$A$4:$A$20000,I92)-SUMIFS('kokpit-1'!$D$4:$D$20000,'kokpit-1'!$A$4:$A$20000,I92))/1000)</f>
        <v>0</v>
      </c>
      <c r="I92" s="32" t="str">
        <f>"A"&amp;A92</f>
        <v>AD</v>
      </c>
    </row>
    <row r="93" spans="1:9" ht="14.5" thickBot="1" x14ac:dyDescent="0.35">
      <c r="E93" s="49" t="s">
        <v>182</v>
      </c>
      <c r="F93" s="50">
        <f>F48+F6</f>
        <v>2453302.5500000007</v>
      </c>
      <c r="G93" s="50">
        <f>G48+G6</f>
        <v>181941.63</v>
      </c>
      <c r="I93" s="51" t="s">
        <v>228</v>
      </c>
    </row>
    <row r="95" spans="1:9" ht="14.5" thickBot="1" x14ac:dyDescent="0.35"/>
    <row r="96" spans="1:9" ht="14.5" customHeight="1" thickBot="1" x14ac:dyDescent="0.35">
      <c r="A96" s="201" t="s">
        <v>192</v>
      </c>
      <c r="B96" s="202"/>
      <c r="C96" s="202"/>
      <c r="D96" s="202"/>
      <c r="E96" s="202"/>
      <c r="F96" s="202"/>
      <c r="G96" s="202"/>
      <c r="I96" s="25" t="s">
        <v>109</v>
      </c>
    </row>
    <row r="97" spans="1:9" ht="15" customHeight="1" x14ac:dyDescent="0.3">
      <c r="A97" s="208" t="s">
        <v>183</v>
      </c>
      <c r="B97" s="209"/>
      <c r="C97" s="209"/>
      <c r="D97" s="210"/>
      <c r="E97" s="52" t="s">
        <v>232</v>
      </c>
      <c r="F97" s="53">
        <f>F98+F99+F101+F103+F106+F107+F108</f>
        <v>704159.65999999992</v>
      </c>
      <c r="G97" s="53">
        <f>SUM(G98:G108)</f>
        <v>26248.960000000003</v>
      </c>
      <c r="I97" s="54" t="s">
        <v>269</v>
      </c>
    </row>
    <row r="98" spans="1:9" x14ac:dyDescent="0.3">
      <c r="B98" s="219" t="s">
        <v>164</v>
      </c>
      <c r="C98" s="220"/>
      <c r="D98" s="221"/>
      <c r="E98" s="55" t="s">
        <v>233</v>
      </c>
      <c r="F98" s="31">
        <f>IF($G$2="ZŁ",SUMIFS(kokpit!$H$4:$H$20000,kokpit!$E$4:$E$20000,I98)-SUMIFS(kokpit!$G$4:$G$20000,kokpit!$E$4:$E$20000,I98),(SUMIFS(kokpit!$H$4:$H$20000,kokpit!$E$4:$E$20000,I98)-SUMIFS(kokpit!$G$4:$G$20000,kokpit!$E$4:$E$20000,I98))/1000)</f>
        <v>600000</v>
      </c>
      <c r="G98" s="31">
        <f>IF($G$2="ZŁ",SUMIFS('kokpit-1'!$H$4:$H$20000,'kokpit-1'!$E$4:$E$20000,I98)-SUMIFS('kokpit-1'!$G$4:$G$20000,'kokpit-1'!$E$4:$E$20000,I98),(SUMIFS('kokpit-1'!$H$4:$H$20000,'kokpit-1'!$E$4:$E$20000,I98)-SUMIFS('kokpit-1'!$G$4:$G$20000,'kokpit-1'!$E$4:$E$20000,I98))/1000)</f>
        <v>0</v>
      </c>
      <c r="I98" s="32" t="str">
        <f>"P"&amp;A97&amp;B98</f>
        <v>PAI</v>
      </c>
    </row>
    <row r="99" spans="1:9" x14ac:dyDescent="0.3">
      <c r="B99" s="219" t="s">
        <v>165</v>
      </c>
      <c r="C99" s="220"/>
      <c r="D99" s="221"/>
      <c r="E99" s="55" t="s">
        <v>234</v>
      </c>
      <c r="F99" s="31">
        <f>IF($G$2="ZŁ",SUMIFS(kokpit!$H$4:$H$20000,kokpit!$E$4:$E$20000,I99)-SUMIFS(kokpit!$G$4:$G$20000,kokpit!$E$4:$E$20000,I99),(SUMIFS(kokpit!$H$4:$H$20000,kokpit!$E$4:$E$20000,I99)-SUMIFS(kokpit!$G$4:$G$20000,kokpit!$E$4:$E$20000,I99))/1000)</f>
        <v>0</v>
      </c>
      <c r="G99" s="31">
        <f>IF($G$2="ZŁ",SUMIFS('kokpit-1'!$H$4:$H$20000,'kokpit-1'!$E$4:$E$20000,I99)-SUMIFS('kokpit-1'!$G$4:$G$20000,'kokpit-1'!$E$4:$E$20000,I99),(SUMIFS('kokpit-1'!$H$4:$H$20000,'kokpit-1'!$E$4:$E$20000,I99)-SUMIFS('kokpit-1'!$G$4:$G$20000,'kokpit-1'!$E$4:$E$20000,I99))/1000)</f>
        <v>0</v>
      </c>
      <c r="I99" s="32" t="str">
        <f>"P"&amp;A97&amp;B99</f>
        <v>PAII</v>
      </c>
    </row>
    <row r="100" spans="1:9" x14ac:dyDescent="0.3">
      <c r="D100" s="5">
        <v>1</v>
      </c>
      <c r="E100" s="21" t="s">
        <v>290</v>
      </c>
      <c r="F100" s="31">
        <f>IF($G$2="ZŁ",SUMIFS(kokpit!$H$4:$H$20000,kokpit!$E$4:$E$20000,I100)-SUMIFS(kokpit!$G$4:$G$20000,kokpit!$E$4:$E$20000,I100),(SUMIFS(kokpit!$H$4:$H$20000,kokpit!$E$4:$E$20000,I100)-SUMIFS(kokpit!$G$4:$G$20000,kokpit!$E$4:$E$20000,I100))/1000)</f>
        <v>0</v>
      </c>
      <c r="G100" s="31">
        <f>IF($G$2="ZŁ",SUMIFS('kokpit-1'!$H$4:$H$20000,'kokpit-1'!$E$4:$E$20000,I100)-SUMIFS('kokpit-1'!$G$4:$G$20000,'kokpit-1'!$E$4:$E$20000,I100),(SUMIFS('kokpit-1'!$H$4:$H$20000,'kokpit-1'!$E$4:$E$20000,I100)-SUMIFS('kokpit-1'!$G$4:$G$20000,'kokpit-1'!$E$4:$E$20000,I100))/1000)</f>
        <v>0</v>
      </c>
      <c r="I100" s="32" t="str">
        <f>"P"&amp;A97&amp;B98&amp;D100</f>
        <v>PAI1</v>
      </c>
    </row>
    <row r="101" spans="1:9" x14ac:dyDescent="0.3">
      <c r="B101" s="219" t="s">
        <v>162</v>
      </c>
      <c r="C101" s="220"/>
      <c r="D101" s="221"/>
      <c r="E101" s="55" t="s">
        <v>235</v>
      </c>
      <c r="F101" s="31">
        <f>IF($G$2="ZŁ",SUMIFS(kokpit!$H$4:$H$20000,kokpit!$E$4:$E$20000,I101)-SUMIFS(kokpit!$G$4:$G$20000,kokpit!$E$4:$E$20000,I101),(SUMIFS(kokpit!$H$4:$H$20000,kokpit!$E$4:$E$20000,I101)-SUMIFS(kokpit!$G$4:$G$20000,kokpit!$E$4:$E$20000,I101))/1000)</f>
        <v>0</v>
      </c>
      <c r="G101" s="31">
        <f>IF($G$2="ZŁ",SUMIFS('kokpit-1'!$H$4:$H$20000,'kokpit-1'!$E$4:$E$20000,I101)-SUMIFS('kokpit-1'!$G$4:$G$20000,'kokpit-1'!$E$4:$E$20000,I101),(SUMIFS('kokpit-1'!$H$4:$H$20000,'kokpit-1'!$E$4:$E$20000,I101)-SUMIFS('kokpit-1'!$G$4:$G$20000,'kokpit-1'!$E$4:$E$20000,I101))/1000)</f>
        <v>0</v>
      </c>
      <c r="I101" s="32" t="str">
        <f>"P"&amp;A97&amp;B101</f>
        <v>PAIII</v>
      </c>
    </row>
    <row r="102" spans="1:9" x14ac:dyDescent="0.3">
      <c r="D102" s="5">
        <v>1</v>
      </c>
      <c r="E102" s="21" t="s">
        <v>291</v>
      </c>
      <c r="F102" s="31">
        <f>IF($G$2="ZŁ",SUMIFS(kokpit!$H$4:$H$20000,kokpit!$E$4:$E$20000,I102)-SUMIFS(kokpit!$G$4:$G$20000,kokpit!$E$4:$E$20000,I102),(SUMIFS(kokpit!$H$4:$H$20000,kokpit!$E$4:$E$20000,I102)-SUMIFS(kokpit!$G$4:$G$20000,kokpit!$E$4:$E$20000,I102))/1000)</f>
        <v>0</v>
      </c>
      <c r="G102" s="31">
        <f>IF($G$2="ZŁ",SUMIFS('kokpit-1'!$H$4:$H$20000,'kokpit-1'!$E$4:$E$20000,I102)-SUMIFS('kokpit-1'!$G$4:$G$20000,'kokpit-1'!$E$4:$E$20000,I102),(SUMIFS('kokpit-1'!$H$4:$H$20000,'kokpit-1'!$E$4:$E$20000,I102)-SUMIFS('kokpit-1'!$G$4:$G$20000,'kokpit-1'!$E$4:$E$20000,I102))/1000)</f>
        <v>0</v>
      </c>
      <c r="I102" s="32" t="str">
        <f>"P"&amp;A97&amp;B101&amp;D102</f>
        <v>PAIII1</v>
      </c>
    </row>
    <row r="103" spans="1:9" x14ac:dyDescent="0.3">
      <c r="B103" s="219" t="s">
        <v>163</v>
      </c>
      <c r="C103" s="220"/>
      <c r="D103" s="221"/>
      <c r="E103" s="55" t="s">
        <v>236</v>
      </c>
      <c r="F103" s="31">
        <f>IF($G$2="ZŁ",SUMIFS(kokpit!$H$4:$H$20000,kokpit!$E$4:$E$20000,I103)-SUMIFS(kokpit!$G$4:$G$20000,kokpit!$E$4:$E$20000,I103),(SUMIFS(kokpit!$H$4:$H$20000,kokpit!$E$4:$E$20000,I103)-SUMIFS(kokpit!$G$4:$G$20000,kokpit!$E$4:$E$20000,I103))/1000)</f>
        <v>0</v>
      </c>
      <c r="G103" s="31">
        <f>IF($G$2="ZŁ",SUMIFS('kokpit-1'!$H$4:$H$20000,'kokpit-1'!$E$4:$E$20000,I103)-SUMIFS('kokpit-1'!$G$4:$G$20000,'kokpit-1'!$E$4:$E$20000,I103),(SUMIFS('kokpit-1'!$H$4:$H$20000,'kokpit-1'!$E$4:$E$20000,I103)-SUMIFS('kokpit-1'!$G$4:$G$20000,'kokpit-1'!$E$4:$E$20000,I103))/1000)</f>
        <v>0</v>
      </c>
      <c r="I103" s="32" t="str">
        <f>"P"&amp;A97&amp;B103</f>
        <v>PAIV</v>
      </c>
    </row>
    <row r="104" spans="1:9" x14ac:dyDescent="0.3">
      <c r="D104" s="5">
        <v>1</v>
      </c>
      <c r="E104" s="21" t="s">
        <v>292</v>
      </c>
      <c r="F104" s="31">
        <f>IF($G$2="ZŁ",SUMIFS(kokpit!$H$4:$H$20000,kokpit!$E$4:$E$20000,I104)-SUMIFS(kokpit!$G$4:$G$20000,kokpit!$E$4:$E$20000,I104),(SUMIFS(kokpit!$H$4:$H$20000,kokpit!$E$4:$E$20000,I104)-SUMIFS(kokpit!$G$4:$G$20000,kokpit!$E$4:$E$20000,I104))/1000)</f>
        <v>0</v>
      </c>
      <c r="G104" s="31">
        <f>IF($G$2="ZŁ",SUMIFS('kokpit-1'!$H$4:$H$20000,'kokpit-1'!$E$4:$E$20000,I104)-SUMIFS('kokpit-1'!$G$4:$G$20000,'kokpit-1'!$E$4:$E$20000,I104),(SUMIFS('kokpit-1'!$H$4:$H$20000,'kokpit-1'!$E$4:$E$20000,I104)-SUMIFS('kokpit-1'!$G$4:$G$20000,'kokpit-1'!$E$4:$E$20000,I104))/1000)</f>
        <v>0</v>
      </c>
      <c r="I104" s="32" t="str">
        <f>"P"&amp;A97&amp;B103&amp;D104</f>
        <v>PAIV1</v>
      </c>
    </row>
    <row r="105" spans="1:9" x14ac:dyDescent="0.3">
      <c r="D105" s="5">
        <v>2</v>
      </c>
      <c r="E105" s="21" t="s">
        <v>293</v>
      </c>
      <c r="F105" s="31">
        <f>IF($G$2="ZŁ",SUMIFS(kokpit!$H$4:$H$20000,kokpit!$E$4:$E$20000,I105)-SUMIFS(kokpit!$G$4:$G$20000,kokpit!$E$4:$E$20000,I105),(SUMIFS(kokpit!$H$4:$H$20000,kokpit!$E$4:$E$20000,I105)-SUMIFS(kokpit!$G$4:$G$20000,kokpit!$E$4:$E$20000,I105))/1000)</f>
        <v>0</v>
      </c>
      <c r="G105" s="31">
        <f>IF($G$2="ZŁ",SUMIFS('kokpit-1'!$H$4:$H$20000,'kokpit-1'!$E$4:$E$20000,I105)-SUMIFS('kokpit-1'!$G$4:$G$20000,'kokpit-1'!$E$4:$E$20000,I105),(SUMIFS('kokpit-1'!$H$4:$H$20000,'kokpit-1'!$E$4:$E$20000,I105)-SUMIFS('kokpit-1'!$G$4:$G$20000,'kokpit-1'!$E$4:$E$20000,I105))/1000)</f>
        <v>0</v>
      </c>
      <c r="I105" s="32" t="str">
        <f>"P"&amp;A97&amp;B103&amp;D105</f>
        <v>PAIV2</v>
      </c>
    </row>
    <row r="106" spans="1:9" x14ac:dyDescent="0.3">
      <c r="B106" s="219" t="s">
        <v>166</v>
      </c>
      <c r="C106" s="220"/>
      <c r="D106" s="221"/>
      <c r="E106" s="55" t="s">
        <v>237</v>
      </c>
      <c r="F106" s="31">
        <f>IF($G$2="ZŁ",SUMIFS(kokpit!$H$4:$H$20000,kokpit!$E$4:$E$20000,I106)-SUMIFS(kokpit!$G$4:$G$20000,kokpit!$E$4:$E$20000,I106),(SUMIFS(kokpit!$H$4:$H$20000,kokpit!$E$4:$E$20000,I106)-SUMIFS(kokpit!$G$4:$G$20000,kokpit!$E$4:$E$20000,I106))/1000)</f>
        <v>25567.14</v>
      </c>
      <c r="G106" s="31">
        <f>IF($G$2="ZŁ",SUMIFS('kokpit-1'!$H$4:$H$20000,'kokpit-1'!$E$4:$E$20000,I106)-SUMIFS('kokpit-1'!$G$4:$G$20000,'kokpit-1'!$E$4:$E$20000,I106),(SUMIFS('kokpit-1'!$H$4:$H$20000,'kokpit-1'!$E$4:$E$20000,I106)-SUMIFS('kokpit-1'!$G$4:$G$20000,'kokpit-1'!$E$4:$E$20000,I106))/1000)</f>
        <v>0</v>
      </c>
      <c r="I106" s="32" t="str">
        <f>"P"&amp;A97&amp;B106</f>
        <v>PAV</v>
      </c>
    </row>
    <row r="107" spans="1:9" x14ac:dyDescent="0.3">
      <c r="B107" s="219" t="s">
        <v>167</v>
      </c>
      <c r="C107" s="220"/>
      <c r="D107" s="221"/>
      <c r="E107" s="55" t="s">
        <v>238</v>
      </c>
      <c r="F107" s="31">
        <f>IF(RZiS!E3="ZŁ",IF(G2="ZŁ",SUMIFS(kokpit!$H$4:$H$20000,kokpit!$E$4:$E$20000,I107)-SUMIFS(kokpit!$G$4:$G$20000,kokpit!$E$4:$E$20000,I107)+IF(RZiS!C3="wariant porównawczy",RZiS!C54,RZiS!C53),(SUMIFS(kokpit!$H$4:$H$20000,kokpit!$E$4:$E$20000,I107)-SUMIFS(kokpit!$G$4:$G$20000,kokpit!$E$4:$E$20000,I107)+IF(RZiS!C3="wariant porównawczy",RZiS!C54,RZiS!C53))/1000),(IF(G2="ZŁ",SUMIFS(kokpit!$H$4:$H$20000,kokpit!$E$4:$E$20000,I107)-SUMIFS(kokpit!$G$4:$G$20000,kokpit!$E$4:$E$20000,I107)+IF(RZiS!C3="wariant porównawczy",RZiS!C54,RZiS!C53),(SUMIFS(kokpit!$H$4:$H$20000,kokpit!$E$4:$E$20000,I107)-SUMIFS(kokpit!$G$4:$G$20000,kokpit!$E$4:$E$20000,I107)+IF(RZiS!C3="wariant porównawczy",RZiS!C54,RZiS!C53)))))</f>
        <v>78592.51999999996</v>
      </c>
      <c r="G107" s="31">
        <f>IF(RZiS!E3="ZŁ",IF(G2="ZŁ",SUMIFS('kokpit-1'!$H$4:$H$20000,'kokpit-1'!$E$4:$E$20000,I107)-SUMIFS('kokpit-1'!$G$4:$G$20000,'kokpit-1'!$E$4:$E$20000,I107)+IF(RZiS!C3="wariant porównawczy",RZiS!D54,RZiS!D53),(SUMIFS('kokpit-1'!$H$4:$H$20000,'kokpit-1'!$E$4:$E$20000,I107)-SUMIFS('kokpit-1'!$G$4:$G$20000,'kokpit-1'!$E$4:$E$20000,I107)+IF(RZiS!C3="wariant porównawczy",RZiS!D54,RZiS!D53))/1000),(IF(G2="ZŁ",SUMIFS('kokpit-1'!$H$4:$H$20000,'kokpit-1'!$E$4:$E$20000,I107)-SUMIFS('kokpit-1'!$G$4:$G$20000,'kokpit-1'!$E$4:$E$20000,I107)+IF(RZiS!C3="wariant porównawczy",RZiS!D54,RZiS!D53),(SUMIFS('kokpit-1'!$H$4:$H$20000,'kokpit-1'!$E$4:$E$20000,I107)-SUMIFS('kokpit-1'!$G$4:$G$20000,'kokpit-1'!$E$4:$E$20000,I107)+IF(RZiS!C3="wariant porównawczy",RZiS!D54,RZiS!D53)))))</f>
        <v>26248.960000000003</v>
      </c>
      <c r="I107" s="32" t="str">
        <f>"P"&amp;A97&amp;B107</f>
        <v>PAVI</v>
      </c>
    </row>
    <row r="108" spans="1:9" x14ac:dyDescent="0.3">
      <c r="B108" s="219" t="s">
        <v>168</v>
      </c>
      <c r="C108" s="220"/>
      <c r="D108" s="221"/>
      <c r="E108" s="55" t="s">
        <v>239</v>
      </c>
      <c r="F108" s="31">
        <f>IF(G2="ZŁ",SUMIFS(kokpit!$H$4:$H$20000,kokpit!$E$4:$E$20000,I108)-SUMIFS(kokpit!$G$4:$G$20000,kokpit!$E$4:$E$20000,I108),(SUMIFS(kokpit!$H$4:$H$20000,kokpit!$E$4:$E$20000,I108)-SUMIFS(kokpit!$G$4:$G$20000,kokpit!$E$4:$E$20000,I108))/1000)</f>
        <v>0</v>
      </c>
      <c r="G108" s="31">
        <f>IF(G2="ZŁ",SUMIFS('kokpit-1'!$H$4:$H$20000,'kokpit-1'!$E$4:$E$20000,I108)-SUMIFS('kokpit-1'!$G$4:$G$20000,'kokpit-1'!$E$4:$E$20000,I108),(SUMIFS('kokpit-1'!$H$4:$H$20000,'kokpit-1'!$E$4:$E$20000,I108)-SUMIFS('kokpit-1'!$G$4:$G$20000,'kokpit-1'!$E$4:$E$20000,I108))/1000)</f>
        <v>0</v>
      </c>
      <c r="I108" s="32" t="str">
        <f>"P"&amp;A97&amp;B108</f>
        <v>PAVII</v>
      </c>
    </row>
    <row r="109" spans="1:9" x14ac:dyDescent="0.3">
      <c r="A109" s="208" t="s">
        <v>191</v>
      </c>
      <c r="B109" s="209"/>
      <c r="C109" s="209"/>
      <c r="D109" s="210"/>
      <c r="E109" s="27" t="s">
        <v>242</v>
      </c>
      <c r="F109" s="56">
        <f>F110+F118+F127+F151</f>
        <v>1749142.89</v>
      </c>
      <c r="G109" s="56">
        <f>G110+G118+G127+G151</f>
        <v>155692.67000000001</v>
      </c>
      <c r="I109" s="57" t="s">
        <v>268</v>
      </c>
    </row>
    <row r="110" spans="1:9" x14ac:dyDescent="0.3">
      <c r="B110" s="194" t="s">
        <v>164</v>
      </c>
      <c r="C110" s="207"/>
      <c r="D110" s="195"/>
      <c r="E110" s="29" t="s">
        <v>245</v>
      </c>
      <c r="F110" s="33">
        <f>F111+F112+F115</f>
        <v>0</v>
      </c>
      <c r="G110" s="33">
        <f>G111+G112+G115</f>
        <v>0</v>
      </c>
      <c r="I110" s="30" t="s">
        <v>271</v>
      </c>
    </row>
    <row r="111" spans="1:9" x14ac:dyDescent="0.3">
      <c r="C111" s="200">
        <v>1</v>
      </c>
      <c r="D111" s="200"/>
      <c r="E111" s="21" t="s">
        <v>246</v>
      </c>
      <c r="F111" s="58">
        <f>IF(G2="ZŁ",SUMIFS(kokpit!$H$4:$H$20000,kokpit!$E$4:$E$20000,I111)-SUMIFS(kokpit!$G$4:$G$20000,kokpit!$E$4:$E$20000,I111),(SUMIFS(kokpit!$H$4:$H$20000,kokpit!$E$4:$E$20000,I111)-SUMIFS(kokpit!$G$4:$G$20000,kokpit!$E$4:$E$20000,I111))/1000)</f>
        <v>0</v>
      </c>
      <c r="G111" s="58">
        <f>IF(G2="ZŁ",SUMIFS('kokpit-1'!$H$4:$H$20000,'kokpit-1'!$E$4:$E$20000,I111)-SUMIFS('kokpit-1'!$G$4:$G$20000,'kokpit-1'!$E$4:$E$20000,I111),(SUMIFS('kokpit-1'!$H$4:$H$20000,'kokpit-1'!$E$4:$E$20000,I111)-SUMIFS('kokpit-1'!$G$4:$G$20000,'kokpit-1'!$E$4:$E$20000,I111))/1000)</f>
        <v>0</v>
      </c>
      <c r="I111" s="17" t="str">
        <f>"P"&amp;A109&amp;B110&amp;C111</f>
        <v>PBI1</v>
      </c>
    </row>
    <row r="112" spans="1:9" x14ac:dyDescent="0.3">
      <c r="C112" s="217">
        <v>2</v>
      </c>
      <c r="D112" s="218"/>
      <c r="E112" s="34" t="s">
        <v>247</v>
      </c>
      <c r="F112" s="48">
        <f>SUM(F113:F114)</f>
        <v>0</v>
      </c>
      <c r="G112" s="48">
        <f>SUM(G113:G114)</f>
        <v>0</v>
      </c>
      <c r="I112" s="35" t="s">
        <v>272</v>
      </c>
    </row>
    <row r="113" spans="2:9" x14ac:dyDescent="0.3">
      <c r="D113" s="5">
        <v>1</v>
      </c>
      <c r="E113" s="21" t="s">
        <v>240</v>
      </c>
      <c r="F113" s="58">
        <f>IF($G$2="ZŁ",SUMIFS(kokpit!$H$4:$H$20000,kokpit!$E$4:$E$20000,I113)-SUMIFS(kokpit!$G$4:$G$20000,kokpit!$E$4:$E$20000,I113),(SUMIFS(kokpit!$H$4:$H$20000,kokpit!$E$4:$E$20000,I113)-SUMIFS(kokpit!$G$4:$G$20000,kokpit!$E$4:$E$20000,I113))/1000)</f>
        <v>0</v>
      </c>
      <c r="G113" s="58">
        <f>IF($G$2="ZŁ",SUMIFS('kokpit-1'!$H$4:$H$20000,'kokpit-1'!$E$4:$E$20000,I113)-SUMIFS('kokpit-1'!$G$4:$G$20000,'kokpit-1'!$E$4:$E$20000,I113),(SUMIFS('kokpit-1'!$H$4:$H$20000,'kokpit-1'!$E$4:$E$20000,I113)-SUMIFS('kokpit-1'!$G$4:$G$20000,'kokpit-1'!$E$4:$E$20000,I113))/1000)</f>
        <v>0</v>
      </c>
      <c r="I113" s="17" t="str">
        <f>"P"&amp;A109&amp;B110&amp;C112&amp;D113</f>
        <v>PBI21</v>
      </c>
    </row>
    <row r="114" spans="2:9" x14ac:dyDescent="0.3">
      <c r="D114" s="5">
        <v>2</v>
      </c>
      <c r="E114" s="21" t="s">
        <v>241</v>
      </c>
      <c r="F114" s="58">
        <f>IF($G$2="ZŁ",SUMIFS(kokpit!$H$4:$H$20000,kokpit!$E$4:$E$20000,I114)-SUMIFS(kokpit!$G$4:$G$20000,kokpit!$E$4:$E$20000,I114),(SUMIFS(kokpit!$H$4:$H$20000,kokpit!$E$4:$E$20000,I114)-SUMIFS(kokpit!$G$4:$G$20000,kokpit!$E$4:$E$20000,I114))/1000)</f>
        <v>0</v>
      </c>
      <c r="G114" s="58">
        <f>IF($G$2="ZŁ",SUMIFS('kokpit-1'!$H$4:$H$20000,'kokpit-1'!$E$4:$E$20000,I114)-SUMIFS('kokpit-1'!$G$4:$G$20000,'kokpit-1'!$E$4:$E$20000,I114),(SUMIFS('kokpit-1'!$H$4:$H$20000,'kokpit-1'!$E$4:$E$20000,I114)-SUMIFS('kokpit-1'!$G$4:$G$20000,'kokpit-1'!$E$4:$E$20000,I114))/1000)</f>
        <v>0</v>
      </c>
      <c r="I114" s="17" t="str">
        <f>"P"&amp;A109&amp;B110&amp;C112&amp;D114</f>
        <v>PBI22</v>
      </c>
    </row>
    <row r="115" spans="2:9" x14ac:dyDescent="0.3">
      <c r="C115" s="217">
        <v>3</v>
      </c>
      <c r="D115" s="218"/>
      <c r="E115" s="34" t="s">
        <v>248</v>
      </c>
      <c r="F115" s="48">
        <f>SUM(F116:F117)</f>
        <v>0</v>
      </c>
      <c r="G115" s="48">
        <f>SUM(G116:G117)</f>
        <v>0</v>
      </c>
      <c r="I115" s="35" t="s">
        <v>273</v>
      </c>
    </row>
    <row r="116" spans="2:9" x14ac:dyDescent="0.3">
      <c r="D116" s="5">
        <v>1</v>
      </c>
      <c r="E116" s="21" t="s">
        <v>243</v>
      </c>
      <c r="F116" s="58">
        <f>IF($G$2="ZŁ",SUMIFS(kokpit!$H$4:$H$20000,kokpit!$E$4:$E$20000,I116)-SUMIFS(kokpit!$G$4:$G$20000,kokpit!$E$4:$E$20000,I116),(SUMIFS(kokpit!$H$4:$H$20000,kokpit!$E$4:$E$20000,I116)-SUMIFS(kokpit!$G$4:$G$20000,kokpit!$E$4:$E$20000,I116))/1000)</f>
        <v>0</v>
      </c>
      <c r="G116" s="58">
        <f>IF($G$2="ZŁ",SUMIFS('kokpit-1'!$H$4:$H$20000,'kokpit-1'!$E$4:$E$20000,I116)-SUMIFS('kokpit-1'!$G$4:$G$20000,'kokpit-1'!$E$4:$E$20000,I116),(SUMIFS('kokpit-1'!$H$4:$H$20000,'kokpit-1'!$E$4:$E$20000,I116)-SUMIFS('kokpit-1'!$G$4:$G$20000,'kokpit-1'!$E$4:$E$20000,I116))/1000)</f>
        <v>0</v>
      </c>
      <c r="I116" s="32" t="str">
        <f>"P"&amp;A109&amp;B110&amp;C115&amp;D116</f>
        <v>PBI31</v>
      </c>
    </row>
    <row r="117" spans="2:9" x14ac:dyDescent="0.3">
      <c r="D117" s="5">
        <v>2</v>
      </c>
      <c r="E117" s="21" t="s">
        <v>244</v>
      </c>
      <c r="F117" s="58">
        <f>IF($G$2="ZŁ",SUMIFS(kokpit!$H$4:$H$20000,kokpit!$E$4:$E$20000,I117)-SUMIFS(kokpit!$G$4:$G$20000,kokpit!$E$4:$E$20000,I117),(SUMIFS(kokpit!$H$4:$H$20000,kokpit!$E$4:$E$20000,I117)-SUMIFS(kokpit!$G$4:$G$20000,kokpit!$E$4:$E$20000,I117))/1000)</f>
        <v>0</v>
      </c>
      <c r="G117" s="58">
        <f>IF($G$2="ZŁ",SUMIFS('kokpit-1'!$H$4:$H$20000,'kokpit-1'!$E$4:$E$20000,I117)-SUMIFS('kokpit-1'!$G$4:$G$20000,'kokpit-1'!$E$4:$E$20000,I117),(SUMIFS('kokpit-1'!$H$4:$H$20000,'kokpit-1'!$E$4:$E$20000,I117)-SUMIFS('kokpit-1'!$G$4:$G$20000,'kokpit-1'!$E$4:$E$20000,I117))/1000)</f>
        <v>0</v>
      </c>
      <c r="I117" s="32" t="str">
        <f>"P"&amp;A109&amp;B110&amp;C115&amp;D117</f>
        <v>PBI32</v>
      </c>
    </row>
    <row r="118" spans="2:9" x14ac:dyDescent="0.3">
      <c r="B118" s="194" t="s">
        <v>165</v>
      </c>
      <c r="C118" s="207"/>
      <c r="D118" s="195"/>
      <c r="E118" s="29" t="s">
        <v>249</v>
      </c>
      <c r="F118" s="33">
        <f>F119+F120+F121</f>
        <v>750000</v>
      </c>
      <c r="G118" s="33">
        <f>G119+G120+G121</f>
        <v>0</v>
      </c>
      <c r="I118" s="30" t="s">
        <v>274</v>
      </c>
    </row>
    <row r="119" spans="2:9" x14ac:dyDescent="0.3">
      <c r="C119" s="200">
        <v>1</v>
      </c>
      <c r="D119" s="200"/>
      <c r="E119" s="21" t="s">
        <v>250</v>
      </c>
      <c r="F119" s="58">
        <f>IF($G$2="ZŁ",SUMIFS(kokpit!$H$4:$H$20000,kokpit!$E$4:$E$20000,I119)-SUMIFS(kokpit!$G$4:$G$20000,kokpit!$E$4:$E$20000,I119),(SUMIFS(kokpit!$H$4:$H$20000,kokpit!$E$4:$E$20000,I119)-SUMIFS(kokpit!$G$4:$G$20000,kokpit!$E$4:$E$20000,I119))/1000)</f>
        <v>0</v>
      </c>
      <c r="G119" s="58">
        <f>IF($G$2="ZŁ",SUMIFS('kokpit-1'!$H$4:$H$20000,'kokpit-1'!$E$4:$E$20000,I119)-SUMIFS('kokpit-1'!$G$4:$G$20000,'kokpit-1'!$E$4:$E$20000,I119),(SUMIFS('kokpit-1'!$H$4:$H$20000,'kokpit-1'!$E$4:$E$20000,I119)-SUMIFS('kokpit-1'!$G$4:$G$20000,'kokpit-1'!$E$4:$E$20000,I119))/1000)</f>
        <v>0</v>
      </c>
      <c r="I119" s="32" t="str">
        <f>"P"&amp;A109&amp;B118&amp;C119</f>
        <v>PBII1</v>
      </c>
    </row>
    <row r="120" spans="2:9" x14ac:dyDescent="0.3">
      <c r="C120" s="200">
        <v>2</v>
      </c>
      <c r="D120" s="200"/>
      <c r="E120" s="21" t="s">
        <v>251</v>
      </c>
      <c r="F120" s="58">
        <f>IF($G$2="ZŁ",SUMIFS(kokpit!$H$4:$H$20000,kokpit!$E$4:$E$20000,I120)-SUMIFS(kokpit!$G$4:$G$20000,kokpit!$E$4:$E$20000,I120),(SUMIFS(kokpit!$H$4:$H$20000,kokpit!$E$4:$E$20000,I120)-SUMIFS(kokpit!$G$4:$G$20000,kokpit!$E$4:$E$20000,I120))/1000)</f>
        <v>0</v>
      </c>
      <c r="G120" s="58">
        <f>IF($G$2="ZŁ",SUMIFS('kokpit-1'!$H$4:$H$20000,'kokpit-1'!$E$4:$E$20000,I120)-SUMIFS('kokpit-1'!$G$4:$G$20000,'kokpit-1'!$E$4:$E$20000,I120),(SUMIFS('kokpit-1'!$H$4:$H$20000,'kokpit-1'!$E$4:$E$20000,I120)-SUMIFS('kokpit-1'!$G$4:$G$20000,'kokpit-1'!$E$4:$E$20000,I120))/1000)</f>
        <v>0</v>
      </c>
      <c r="I120" s="32" t="str">
        <f>"P"&amp;A109&amp;B118&amp;C120</f>
        <v>PBII2</v>
      </c>
    </row>
    <row r="121" spans="2:9" x14ac:dyDescent="0.3">
      <c r="C121" s="217">
        <v>3</v>
      </c>
      <c r="D121" s="218"/>
      <c r="E121" s="34" t="s">
        <v>252</v>
      </c>
      <c r="F121" s="48">
        <f>SUM(F122:F126)</f>
        <v>750000</v>
      </c>
      <c r="G121" s="48">
        <f>SUM(G122:G126)</f>
        <v>0</v>
      </c>
      <c r="I121" s="35" t="s">
        <v>275</v>
      </c>
    </row>
    <row r="122" spans="2:9" x14ac:dyDescent="0.3">
      <c r="D122" s="36" t="s">
        <v>184</v>
      </c>
      <c r="E122" s="21" t="s">
        <v>253</v>
      </c>
      <c r="F122" s="58">
        <f>IF($G$2="ZŁ",SUMIFS(kokpit!$H$4:$H$20000,kokpit!$E$4:$E$20000,I122)-SUMIFS(kokpit!$G$4:$G$20000,kokpit!$E$4:$E$20000,I122),(SUMIFS(kokpit!$H$4:$H$20000,kokpit!$E$4:$E$20000,I122)-SUMIFS(kokpit!$G$4:$G$20000,kokpit!$E$4:$E$20000,I122))/1000)</f>
        <v>750000</v>
      </c>
      <c r="G122" s="58">
        <f>IF($G$2="ZŁ",SUMIFS('kokpit-1'!$H$4:$H$20000,'kokpit-1'!$E$4:$E$20000,I122)-SUMIFS('kokpit-1'!$G$4:$G$20000,'kokpit-1'!$E$4:$E$20000,I122),(SUMIFS('kokpit-1'!$H$4:$H$20000,'kokpit-1'!$E$4:$E$20000,I122)-SUMIFS('kokpit-1'!$G$4:$G$20000,'kokpit-1'!$E$4:$E$20000,I122))/1000)</f>
        <v>0</v>
      </c>
      <c r="I122" s="32" t="str">
        <f>"P"&amp;A109&amp;B118&amp;C121&amp;D122</f>
        <v>PBII3a</v>
      </c>
    </row>
    <row r="123" spans="2:9" x14ac:dyDescent="0.3">
      <c r="D123" s="36" t="s">
        <v>185</v>
      </c>
      <c r="E123" s="21" t="s">
        <v>254</v>
      </c>
      <c r="F123" s="58">
        <f>IF($G$2="ZŁ",SUMIFS(kokpit!$H$4:$H$20000,kokpit!$E$4:$E$20000,I123)-SUMIFS(kokpit!$G$4:$G$20000,kokpit!$E$4:$E$20000,I123),(SUMIFS(kokpit!$H$4:$H$20000,kokpit!$E$4:$E$20000,I123)-SUMIFS(kokpit!$G$4:$G$20000,kokpit!$E$4:$E$20000,I123))/1000)</f>
        <v>0</v>
      </c>
      <c r="G123" s="58">
        <f>IF($G$2="ZŁ",SUMIFS('kokpit-1'!$H$4:$H$20000,'kokpit-1'!$E$4:$E$20000,I123)-SUMIFS('kokpit-1'!$G$4:$G$20000,'kokpit-1'!$E$4:$E$20000,I123),(SUMIFS('kokpit-1'!$H$4:$H$20000,'kokpit-1'!$E$4:$E$20000,I123)-SUMIFS('kokpit-1'!$G$4:$G$20000,'kokpit-1'!$E$4:$E$20000,I123))/1000)</f>
        <v>0</v>
      </c>
      <c r="I123" s="32" t="str">
        <f>"P"&amp;A109&amp;B118&amp;C121&amp;D123</f>
        <v>PBII3b</v>
      </c>
    </row>
    <row r="124" spans="2:9" x14ac:dyDescent="0.3">
      <c r="D124" s="36" t="s">
        <v>186</v>
      </c>
      <c r="E124" s="21" t="s">
        <v>255</v>
      </c>
      <c r="F124" s="58">
        <f>IF($G$2="ZŁ",SUMIFS(kokpit!$H$4:$H$20000,kokpit!$E$4:$E$20000,I124)-SUMIFS(kokpit!$G$4:$G$20000,kokpit!$E$4:$E$20000,I124),(SUMIFS(kokpit!$H$4:$H$20000,kokpit!$E$4:$E$20000,I124)-SUMIFS(kokpit!$G$4:$G$20000,kokpit!$E$4:$E$20000,I124))/1000)</f>
        <v>0</v>
      </c>
      <c r="G124" s="58">
        <f>IF($G$2="ZŁ",SUMIFS('kokpit-1'!$H$4:$H$20000,'kokpit-1'!$E$4:$E$20000,I124)-SUMIFS('kokpit-1'!$G$4:$G$20000,'kokpit-1'!$E$4:$E$20000,I124),(SUMIFS('kokpit-1'!$H$4:$H$20000,'kokpit-1'!$E$4:$E$20000,I124)-SUMIFS('kokpit-1'!$G$4:$G$20000,'kokpit-1'!$E$4:$E$20000,I124))/1000)</f>
        <v>0</v>
      </c>
      <c r="I124" s="32" t="str">
        <f>"P"&amp;A109&amp;B118&amp;C121&amp;D124</f>
        <v>PBII3c</v>
      </c>
    </row>
    <row r="125" spans="2:9" x14ac:dyDescent="0.3">
      <c r="D125" s="36" t="s">
        <v>187</v>
      </c>
      <c r="E125" s="21" t="s">
        <v>256</v>
      </c>
      <c r="F125" s="58">
        <f>IF($G$2="ZŁ",SUMIFS(kokpit!$H$4:$H$20000,kokpit!$E$4:$E$20000,I125)-SUMIFS(kokpit!$G$4:$G$20000,kokpit!$E$4:$E$20000,I125),(SUMIFS(kokpit!$H$4:$H$20000,kokpit!$E$4:$E$20000,I125)-SUMIFS(kokpit!$G$4:$G$20000,kokpit!$E$4:$E$20000,I125))/1000)</f>
        <v>0</v>
      </c>
      <c r="G125" s="58">
        <f>IF($G$2="ZŁ",SUMIFS('kokpit-1'!$H$4:$H$20000,'kokpit-1'!$E$4:$E$20000,I125)-SUMIFS('kokpit-1'!$G$4:$G$20000,'kokpit-1'!$E$4:$E$20000,I125),(SUMIFS('kokpit-1'!$H$4:$H$20000,'kokpit-1'!$E$4:$E$20000,I125)-SUMIFS('kokpit-1'!$G$4:$G$20000,'kokpit-1'!$E$4:$E$20000,I125))/1000)</f>
        <v>0</v>
      </c>
      <c r="I125" s="32" t="str">
        <f>"P"&amp;A109&amp;B118&amp;C121&amp;D125</f>
        <v>PBII3d</v>
      </c>
    </row>
    <row r="126" spans="2:9" x14ac:dyDescent="0.3">
      <c r="D126" s="36" t="s">
        <v>188</v>
      </c>
      <c r="E126" s="21" t="s">
        <v>202</v>
      </c>
      <c r="F126" s="58">
        <f>IF($G$2="ZŁ",SUMIFS(kokpit!$H$4:$H$20000,kokpit!$E$4:$E$20000,I126)-SUMIFS(kokpit!$G$4:$G$20000,kokpit!$E$4:$E$20000,I126),(SUMIFS(kokpit!$H$4:$H$20000,kokpit!$E$4:$E$20000,I126)-SUMIFS(kokpit!$G$4:$G$20000,kokpit!$E$4:$E$20000,I126))/1000)</f>
        <v>0</v>
      </c>
      <c r="G126" s="58">
        <f>IF($G$2="ZŁ",SUMIFS('kokpit-1'!$H$4:$H$20000,'kokpit-1'!$E$4:$E$20000,I126)-SUMIFS('kokpit-1'!$G$4:$G$20000,'kokpit-1'!$E$4:$E$20000,I126),(SUMIFS('kokpit-1'!$H$4:$H$20000,'kokpit-1'!$E$4:$E$20000,I126)-SUMIFS('kokpit-1'!$G$4:$G$20000,'kokpit-1'!$E$4:$E$20000,I126))/1000)</f>
        <v>0</v>
      </c>
      <c r="I126" s="32" t="str">
        <f>"P"&amp;A109&amp;B118&amp;C121&amp;D126</f>
        <v>PBII3e</v>
      </c>
    </row>
    <row r="127" spans="2:9" x14ac:dyDescent="0.3">
      <c r="B127" s="194" t="s">
        <v>162</v>
      </c>
      <c r="C127" s="207"/>
      <c r="D127" s="195"/>
      <c r="E127" s="29" t="s">
        <v>257</v>
      </c>
      <c r="F127" s="33">
        <f>F128+F133+F138+F150</f>
        <v>998005.22999999986</v>
      </c>
      <c r="G127" s="33">
        <f>G128+G133+G138+G150</f>
        <v>154145.17000000001</v>
      </c>
      <c r="I127" s="30" t="s">
        <v>276</v>
      </c>
    </row>
    <row r="128" spans="2:9" x14ac:dyDescent="0.3">
      <c r="C128" s="217">
        <v>1</v>
      </c>
      <c r="D128" s="218"/>
      <c r="E128" s="34" t="s">
        <v>250</v>
      </c>
      <c r="F128" s="48">
        <f>F129+F132</f>
        <v>247816.77</v>
      </c>
      <c r="G128" s="48">
        <f>G129+G132</f>
        <v>16021.710000000001</v>
      </c>
      <c r="I128" s="35" t="s">
        <v>277</v>
      </c>
    </row>
    <row r="129" spans="3:9" x14ac:dyDescent="0.3">
      <c r="D129" s="40" t="s">
        <v>184</v>
      </c>
      <c r="E129" s="43" t="s">
        <v>260</v>
      </c>
      <c r="F129" s="44">
        <f>SUM(F130:F131)</f>
        <v>247816.77</v>
      </c>
      <c r="G129" s="44">
        <f>SUM(G130:G131)</f>
        <v>16021.710000000001</v>
      </c>
      <c r="I129" s="45" t="s">
        <v>278</v>
      </c>
    </row>
    <row r="130" spans="3:9" x14ac:dyDescent="0.3">
      <c r="D130" s="5">
        <v>1</v>
      </c>
      <c r="E130" s="21" t="s">
        <v>284</v>
      </c>
      <c r="F130" s="58">
        <f>IF($G$2="ZŁ",SUMIFS(kokpit!$H$4:$H$20000,kokpit!$E$4:$E$20000,I130),(SUMIFS(kokpit!$H$4:$H$20000,kokpit!$E$4:$E$20000,I130))/1000)</f>
        <v>247816.77</v>
      </c>
      <c r="G130" s="58">
        <f>IF($G$2="ZŁ",SUMIFS('kokpit-1'!$H$4:$H$20000,'kokpit-1'!$E$4:$E$20000,I130),(SUMIFS('kokpit-1'!$H$4:$H$20000,'kokpit-1'!$E$4:$E$20000,I130))/1000)</f>
        <v>16021.710000000001</v>
      </c>
      <c r="I130" s="32" t="str">
        <f>"P"&amp;A109&amp;B127&amp;C128&amp;D129&amp;D130</f>
        <v>PBIII1a1</v>
      </c>
    </row>
    <row r="131" spans="3:9" x14ac:dyDescent="0.3">
      <c r="D131" s="5">
        <v>2</v>
      </c>
      <c r="E131" s="21" t="s">
        <v>285</v>
      </c>
      <c r="F131" s="58">
        <f>IF($G$2="ZŁ",SUMIFS(kokpit!$H$4:$H$20000,kokpit!$E$4:$E$20000,I131),(SUMIFS(kokpit!$H$4:$H$20000,kokpit!$E$4:$E$20000,I131))/1000)</f>
        <v>0</v>
      </c>
      <c r="G131" s="58">
        <f>IF($G$2="ZŁ",SUMIFS('kokpit-1'!$H$4:$H$20000,'kokpit-1'!$E$4:$E$20000,I131),(SUMIFS('kokpit-1'!$H$4:$H$20000,'kokpit-1'!$E$4:$E$20000,I131))/1000)</f>
        <v>0</v>
      </c>
      <c r="I131" s="32" t="str">
        <f>"P"&amp;A109&amp;B127&amp;C128&amp;D129&amp;D131</f>
        <v>PBIII1a2</v>
      </c>
    </row>
    <row r="132" spans="3:9" x14ac:dyDescent="0.3">
      <c r="D132" s="36" t="s">
        <v>185</v>
      </c>
      <c r="E132" s="21" t="s">
        <v>202</v>
      </c>
      <c r="F132" s="58">
        <f>IF($G$2="ZŁ",SUMIFS(kokpit!$H$4:$H$20000,kokpit!$E$4:$E$20000,I132),(SUMIFS(kokpit!$H$4:$H$20000,kokpit!$E$4:$E$20000,I132))/1000)</f>
        <v>0</v>
      </c>
      <c r="G132" s="58">
        <f>IF($G$2="ZŁ",SUMIFS('kokpit-1'!$H$4:$H$20000,'kokpit-1'!$E$4:$E$20000,I132),(SUMIFS('kokpit-1'!$H$4:$H$20000,'kokpit-1'!$E$4:$E$20000,I132))/1000)</f>
        <v>0</v>
      </c>
      <c r="I132" s="32" t="str">
        <f>"P"&amp;A109&amp;B127&amp;C128&amp;D132</f>
        <v>PBIII1b</v>
      </c>
    </row>
    <row r="133" spans="3:9" x14ac:dyDescent="0.3">
      <c r="C133" s="217">
        <v>2</v>
      </c>
      <c r="D133" s="218"/>
      <c r="E133" s="34" t="s">
        <v>261</v>
      </c>
      <c r="F133" s="48">
        <f>F134+F137</f>
        <v>0</v>
      </c>
      <c r="G133" s="48">
        <f>G134+G137</f>
        <v>0</v>
      </c>
      <c r="I133" s="35" t="s">
        <v>280</v>
      </c>
    </row>
    <row r="134" spans="3:9" x14ac:dyDescent="0.3">
      <c r="D134" s="40" t="s">
        <v>184</v>
      </c>
      <c r="E134" s="43" t="s">
        <v>260</v>
      </c>
      <c r="F134" s="44">
        <f>SUM(F135:F136)</f>
        <v>0</v>
      </c>
      <c r="G134" s="44">
        <f>SUM(G135:G136)</f>
        <v>0</v>
      </c>
      <c r="I134" s="45" t="s">
        <v>279</v>
      </c>
    </row>
    <row r="135" spans="3:9" x14ac:dyDescent="0.3">
      <c r="D135" s="5">
        <v>1</v>
      </c>
      <c r="E135" s="21" t="s">
        <v>284</v>
      </c>
      <c r="F135" s="58">
        <f>IF($G$2="ZŁ",SUMIFS(kokpit!$H$4:$H$20000,kokpit!$E$4:$E$20000,I135),(SUMIFS(kokpit!$H$4:$H$20000,kokpit!$E$4:$E$20000,I135))/1000)</f>
        <v>0</v>
      </c>
      <c r="G135" s="58">
        <f>IF($G$2="ZŁ",SUMIFS('kokpit-1'!$H$4:$H$20000,'kokpit-1'!$E$4:$E$20000,I135),(SUMIFS('kokpit-1'!$H$4:$H$20000,'kokpit-1'!$E$4:$E$20000,I135))/1000)</f>
        <v>0</v>
      </c>
      <c r="I135" s="32" t="str">
        <f>"P"&amp;A109&amp;B127&amp;C133&amp;D134&amp;D135</f>
        <v>PBIII2a1</v>
      </c>
    </row>
    <row r="136" spans="3:9" x14ac:dyDescent="0.3">
      <c r="D136" s="5">
        <v>2</v>
      </c>
      <c r="E136" s="21" t="s">
        <v>285</v>
      </c>
      <c r="F136" s="58">
        <f>IF($G$2="ZŁ",SUMIFS(kokpit!$H$4:$H$20000,kokpit!$E$4:$E$20000,I136),(SUMIFS(kokpit!$H$4:$H$20000,kokpit!$E$4:$E$20000,I136))/1000)</f>
        <v>0</v>
      </c>
      <c r="G136" s="58">
        <f>IF($G$2="ZŁ",SUMIFS('kokpit-1'!$H$4:$H$20000,'kokpit-1'!$E$4:$E$20000,I136),(SUMIFS('kokpit-1'!$H$4:$H$20000,'kokpit-1'!$E$4:$E$20000,I136))/1000)</f>
        <v>0</v>
      </c>
      <c r="I136" s="32" t="str">
        <f>"P"&amp;A109&amp;B127&amp;C133&amp;D134&amp;D136</f>
        <v>PBIII2a2</v>
      </c>
    </row>
    <row r="137" spans="3:9" x14ac:dyDescent="0.3">
      <c r="D137" s="36" t="s">
        <v>185</v>
      </c>
      <c r="E137" s="21" t="s">
        <v>202</v>
      </c>
      <c r="F137" s="58">
        <f>IF($G$2="ZŁ",SUMIFS(kokpit!$H$4:$H$20000,kokpit!$E$4:$E$20000,I137),(SUMIFS(kokpit!$H$4:$H$20000,kokpit!$E$4:$E$20000,I137))/1000)</f>
        <v>0</v>
      </c>
      <c r="G137" s="58">
        <f>IF($G$2="ZŁ",SUMIFS('kokpit-1'!$H$4:$H$20000,'kokpit-1'!$E$4:$E$20000,I137),(SUMIFS('kokpit-1'!$H$4:$H$20000,'kokpit-1'!$E$4:$E$20000,I137))/1000)</f>
        <v>0</v>
      </c>
      <c r="I137" s="32" t="str">
        <f>"P"&amp;A109&amp;B127&amp;C133&amp;D137</f>
        <v>PBIII2b</v>
      </c>
    </row>
    <row r="138" spans="3:9" x14ac:dyDescent="0.3">
      <c r="C138" s="217">
        <v>3</v>
      </c>
      <c r="D138" s="218"/>
      <c r="E138" s="34" t="s">
        <v>252</v>
      </c>
      <c r="F138" s="48">
        <f>F139+F140+F141+F142+F145+F146+F147+F148+F149</f>
        <v>750188.45999999985</v>
      </c>
      <c r="G138" s="48">
        <f>G139+G140+G141+G142+G145+G146+G147+G148+G149</f>
        <v>138123.46000000002</v>
      </c>
      <c r="I138" s="35" t="s">
        <v>281</v>
      </c>
    </row>
    <row r="139" spans="3:9" x14ac:dyDescent="0.3">
      <c r="D139" s="36" t="s">
        <v>184</v>
      </c>
      <c r="E139" s="21" t="s">
        <v>253</v>
      </c>
      <c r="F139" s="58">
        <f>IF($G$2="ZŁ",SUMIFS(kokpit!$H$4:$H$20000,kokpit!$E$4:$E$20000,I139)-SUMIFS(kokpit!$G$4:$G$20000,kokpit!$E$4:$E$20000,I139),(SUMIFS(kokpit!$H$4:$H$20000,kokpit!$E$4:$E$20000,I139)-SUMIFS(kokpit!$G$4:$G$20000,kokpit!$E$4:$E$20000,I139))/1000)</f>
        <v>0</v>
      </c>
      <c r="G139" s="58">
        <f>IF($G$2="ZŁ",SUMIFS('kokpit-1'!$H$4:$H$20000,'kokpit-1'!$E$4:$E$20000,I139)-SUMIFS('kokpit-1'!$G$4:$G$20000,'kokpit-1'!$E$4:$E$20000,I139),(SUMIFS('kokpit-1'!$H$4:$H$20000,'kokpit-1'!$E$4:$E$20000,I139)-SUMIFS('kokpit-1'!$G$4:$G$20000,'kokpit-1'!$E$4:$E$20000,I139))/1000)</f>
        <v>0</v>
      </c>
      <c r="I139" s="32" t="str">
        <f>"P"&amp;A109&amp;B127&amp;C138&amp;D139</f>
        <v>PBIII3a</v>
      </c>
    </row>
    <row r="140" spans="3:9" x14ac:dyDescent="0.3">
      <c r="D140" s="36" t="s">
        <v>185</v>
      </c>
      <c r="E140" s="21" t="s">
        <v>254</v>
      </c>
      <c r="F140" s="58">
        <f>IF($G$2="ZŁ",SUMIFS(kokpit!$H$4:$H$20000,kokpit!$E$4:$E$20000,I140)-SUMIFS(kokpit!$G$4:$G$20000,kokpit!$E$4:$E$20000,I140),(SUMIFS(kokpit!$H$4:$H$20000,kokpit!$E$4:$E$20000,I140)-SUMIFS(kokpit!$G$4:$G$20000,kokpit!$E$4:$E$20000,I140))/1000)</f>
        <v>0</v>
      </c>
      <c r="G140" s="58">
        <f>IF($G$2="ZŁ",SUMIFS('kokpit-1'!$H$4:$H$20000,'kokpit-1'!$E$4:$E$20000,I140)-SUMIFS('kokpit-1'!$G$4:$G$20000,'kokpit-1'!$E$4:$E$20000,I140),(SUMIFS('kokpit-1'!$H$4:$H$20000,'kokpit-1'!$E$4:$E$20000,I140)-SUMIFS('kokpit-1'!$G$4:$G$20000,'kokpit-1'!$E$4:$E$20000,I140))/1000)</f>
        <v>0</v>
      </c>
      <c r="I140" s="32" t="str">
        <f>"P"&amp;A109&amp;B127&amp;C138&amp;D140</f>
        <v>PBIII3b</v>
      </c>
    </row>
    <row r="141" spans="3:9" x14ac:dyDescent="0.3">
      <c r="D141" s="36" t="s">
        <v>186</v>
      </c>
      <c r="E141" s="21" t="s">
        <v>255</v>
      </c>
      <c r="F141" s="58">
        <f>IF($G$2="ZŁ",SUMIFS(kokpit!$H$4:$H$20000,kokpit!$E$4:$E$20000,I141)-SUMIFS(kokpit!$G$4:$G$20000,kokpit!$E$4:$E$20000,I141),(SUMIFS(kokpit!$H$4:$H$20000,kokpit!$E$4:$E$20000,I141)-SUMIFS(kokpit!$G$4:$G$20000,kokpit!$E$4:$E$20000,I141))/1000)</f>
        <v>0</v>
      </c>
      <c r="G141" s="58">
        <f>IF($G$2="ZŁ",SUMIFS('kokpit-1'!$H$4:$H$20000,'kokpit-1'!$E$4:$E$20000,I141)-SUMIFS('kokpit-1'!$G$4:$G$20000,'kokpit-1'!$E$4:$E$20000,I141),(SUMIFS('kokpit-1'!$H$4:$H$20000,'kokpit-1'!$E$4:$E$20000,I141)-SUMIFS('kokpit-1'!$G$4:$G$20000,'kokpit-1'!$E$4:$E$20000,I141))/1000)</f>
        <v>0</v>
      </c>
      <c r="I141" s="32" t="str">
        <f>"P"&amp;A109&amp;B127&amp;C138&amp;D141</f>
        <v>PBIII3c</v>
      </c>
    </row>
    <row r="142" spans="3:9" x14ac:dyDescent="0.3">
      <c r="D142" s="40" t="s">
        <v>187</v>
      </c>
      <c r="E142" s="43" t="s">
        <v>260</v>
      </c>
      <c r="F142" s="44">
        <f>SUM(F143:F144)</f>
        <v>644451.39999999991</v>
      </c>
      <c r="G142" s="44">
        <f>SUM(G143:G144)</f>
        <v>113901.40000000001</v>
      </c>
      <c r="I142" s="45" t="s">
        <v>282</v>
      </c>
    </row>
    <row r="143" spans="3:9" x14ac:dyDescent="0.3">
      <c r="D143" s="5">
        <v>1</v>
      </c>
      <c r="E143" s="21" t="s">
        <v>284</v>
      </c>
      <c r="F143" s="58">
        <f>IF($G$2="ZŁ",SUMIFS(kokpit!$H$4:$H$20000,kokpit!$E$4:$E$20000,I143),(SUMIFS(kokpit!$H$4:$H$20000,kokpit!$E$4:$E$20000,I143))/1000)</f>
        <v>644451.39999999991</v>
      </c>
      <c r="G143" s="58">
        <f>IF($G$2="ZŁ",SUMIFS('kokpit-1'!$H$4:$H$20000,'kokpit-1'!$E$4:$E$20000,I143),(SUMIFS('kokpit-1'!$H$4:$H$20000,'kokpit-1'!$E$4:$E$20000,I143))/1000)</f>
        <v>113901.40000000001</v>
      </c>
      <c r="I143" s="32" t="str">
        <f>"P"&amp;A109&amp;B127&amp;C138&amp;D142&amp;D143</f>
        <v>PBIII3d1</v>
      </c>
    </row>
    <row r="144" spans="3:9" x14ac:dyDescent="0.3">
      <c r="D144" s="5">
        <v>2</v>
      </c>
      <c r="E144" s="21" t="s">
        <v>285</v>
      </c>
      <c r="F144" s="58">
        <f>IF($G$2="ZŁ",SUMIFS(kokpit!$H$4:$H$20000,kokpit!$E$4:$E$20000,I144),(SUMIFS(kokpit!$H$4:$H$20000,kokpit!$E$4:$E$20000,I144))/1000)</f>
        <v>0</v>
      </c>
      <c r="G144" s="58">
        <f>IF($G$2="ZŁ",SUMIFS('kokpit-1'!$H$4:$H$20000,'kokpit-1'!$E$4:$E$20000,I144),(SUMIFS('kokpit-1'!$H$4:$H$20000,'kokpit-1'!$E$4:$E$20000,I144))/1000)</f>
        <v>0</v>
      </c>
      <c r="I144" s="32" t="str">
        <f>"P"&amp;A109&amp;B127&amp;C138&amp;D142&amp;D144</f>
        <v>PBIII3d2</v>
      </c>
    </row>
    <row r="145" spans="2:9" x14ac:dyDescent="0.3">
      <c r="D145" s="36" t="s">
        <v>188</v>
      </c>
      <c r="E145" s="21" t="s">
        <v>262</v>
      </c>
      <c r="F145" s="58">
        <f>IF($G$2="ZŁ",SUMIFS(kokpit!$H$4:$H$20000,kokpit!$E$4:$E$20000,I145),(SUMIFS(kokpit!$H$4:$H$20000,kokpit!$E$4:$E$20000,I145))/1000)</f>
        <v>0</v>
      </c>
      <c r="G145" s="58">
        <f>IF($G$2="ZŁ",SUMIFS('kokpit-1'!$H$4:$H$20000,'kokpit-1'!$E$4:$E$20000,I145),(SUMIFS('kokpit-1'!$H$4:$H$20000,'kokpit-1'!$E$4:$E$20000,I145))/1000)</f>
        <v>0</v>
      </c>
      <c r="I145" s="32" t="str">
        <f>"P"&amp;A109&amp;B127&amp;C138&amp;D145</f>
        <v>PBIII3e</v>
      </c>
    </row>
    <row r="146" spans="2:9" x14ac:dyDescent="0.3">
      <c r="D146" s="36" t="s">
        <v>258</v>
      </c>
      <c r="E146" s="21" t="s">
        <v>256</v>
      </c>
      <c r="F146" s="58">
        <f>IF($G$2="ZŁ",SUMIFS(kokpit!$H$4:$H$20000,kokpit!$E$4:$E$20000,I146),(SUMIFS(kokpit!$H$4:$H$20000,kokpit!$E$4:$E$20000,I146))/1000)</f>
        <v>0</v>
      </c>
      <c r="G146" s="58">
        <f>IF($G$2="ZŁ",SUMIFS('kokpit-1'!$H$4:$H$20000,'kokpit-1'!$E$4:$E$20000,I146),(SUMIFS('kokpit-1'!$H$4:$H$20000,'kokpit-1'!$E$4:$E$20000,I146))/1000)</f>
        <v>0</v>
      </c>
      <c r="I146" s="32" t="str">
        <f>"P"&amp;A109&amp;B127&amp;C138&amp;D146</f>
        <v>PBIII3f</v>
      </c>
    </row>
    <row r="147" spans="2:9" x14ac:dyDescent="0.3">
      <c r="D147" s="36" t="s">
        <v>190</v>
      </c>
      <c r="E147" s="21" t="s">
        <v>263</v>
      </c>
      <c r="F147" s="58">
        <f>IF($G$2="ZŁ",SUMIFS(kokpit!$H$4:$H$20000,kokpit!$E$4:$E$20000,I147),(SUMIFS(kokpit!$H$4:$H$20000,kokpit!$E$4:$E$20000,I147))/1000)</f>
        <v>96533.72</v>
      </c>
      <c r="G147" s="58">
        <f>IF($G$2="ZŁ",SUMIFS('kokpit-1'!$H$4:$H$20000,'kokpit-1'!$E$4:$E$20000,I147),(SUMIFS('kokpit-1'!$H$4:$H$20000,'kokpit-1'!$E$4:$E$20000,I147))/1000)</f>
        <v>23222.06</v>
      </c>
      <c r="I147" s="32" t="str">
        <f>"P"&amp;A109&amp;B127&amp;C138&amp;D147</f>
        <v>PBIII3g</v>
      </c>
    </row>
    <row r="148" spans="2:9" x14ac:dyDescent="0.3">
      <c r="D148" s="36" t="s">
        <v>259</v>
      </c>
      <c r="E148" s="21" t="s">
        <v>264</v>
      </c>
      <c r="F148" s="58">
        <f>IF($G$2="ZŁ",SUMIFS(kokpit!$H$4:$H$20000,kokpit!$E$4:$E$20000,I148),(SUMIFS(kokpit!$H$4:$H$20000,kokpit!$E$4:$E$20000,I148))/1000)</f>
        <v>0</v>
      </c>
      <c r="G148" s="58">
        <f>IF($G$2="ZŁ",SUMIFS('kokpit-1'!$H$4:$H$20000,'kokpit-1'!$E$4:$E$20000,I148),(SUMIFS('kokpit-1'!$H$4:$H$20000,'kokpit-1'!$E$4:$E$20000,I148))/1000)</f>
        <v>0</v>
      </c>
      <c r="I148" s="32" t="str">
        <f>"P"&amp;A109&amp;B127&amp;C138&amp;D148</f>
        <v>PBIII3h</v>
      </c>
    </row>
    <row r="149" spans="2:9" x14ac:dyDescent="0.3">
      <c r="D149" s="37" t="s">
        <v>189</v>
      </c>
      <c r="E149" s="21" t="s">
        <v>202</v>
      </c>
      <c r="F149" s="58">
        <f>IF($G$2="ZŁ",SUMIFS(kokpit!$H$4:$H$20000,kokpit!$E$4:$E$20000,I149),(SUMIFS(kokpit!$H$4:$H$20000,kokpit!$E$4:$E$20000,I149))/1000)</f>
        <v>9203.340000000002</v>
      </c>
      <c r="G149" s="58">
        <f>IF($G$2="ZŁ",SUMIFS('kokpit-1'!$H$4:$H$20000,'kokpit-1'!$E$4:$E$20000,I149),(SUMIFS('kokpit-1'!$H$4:$H$20000,'kokpit-1'!$E$4:$E$20000,I149))/1000)</f>
        <v>1000</v>
      </c>
      <c r="I149" s="32" t="str">
        <f>"P"&amp;A109&amp;B127&amp;C138&amp;D149</f>
        <v>PBIII3i</v>
      </c>
    </row>
    <row r="150" spans="2:9" x14ac:dyDescent="0.3">
      <c r="C150" s="200">
        <v>4</v>
      </c>
      <c r="D150" s="200"/>
      <c r="E150" s="21" t="s">
        <v>265</v>
      </c>
      <c r="F150" s="58">
        <f>IF($G$2="ZŁ",SUMIFS(kokpit!$H$4:$H$20000,kokpit!$E$4:$E$20000,I150),(SUMIFS(kokpit!$H$4:$H$20000,kokpit!$E$4:$E$20000,I150))/1000)</f>
        <v>0</v>
      </c>
      <c r="G150" s="58">
        <f>IF($G$2="ZŁ",SUMIFS('kokpit-1'!$H$4:$H$20000,'kokpit-1'!$E$4:$E$20000,I150),(SUMIFS('kokpit-1'!$H$4:$H$20000,'kokpit-1'!$E$4:$E$20000,I150))/1000)</f>
        <v>0</v>
      </c>
      <c r="I150" s="32" t="str">
        <f>"P"&amp;A109&amp;B127&amp;C150</f>
        <v>PBIII4</v>
      </c>
    </row>
    <row r="151" spans="2:9" x14ac:dyDescent="0.3">
      <c r="B151" s="222" t="s">
        <v>163</v>
      </c>
      <c r="C151" s="222"/>
      <c r="D151" s="222"/>
      <c r="E151" s="29" t="s">
        <v>266</v>
      </c>
      <c r="F151" s="33">
        <f>SUM(F152:F153)</f>
        <v>1137.6599999999999</v>
      </c>
      <c r="G151" s="33">
        <f>SUM(G152:G153)</f>
        <v>1547.5</v>
      </c>
      <c r="I151" s="11" t="s">
        <v>283</v>
      </c>
    </row>
    <row r="152" spans="2:9" x14ac:dyDescent="0.3">
      <c r="C152" s="200">
        <v>1</v>
      </c>
      <c r="D152" s="200"/>
      <c r="E152" s="21" t="s">
        <v>267</v>
      </c>
      <c r="F152" s="58">
        <f>IF($G$2="ZŁ",SUMIFS(kokpit!$H$4:$H$20000,kokpit!$E$4:$E$20000,I152)-SUMIFS(kokpit!$G$4:$G$20000,kokpit!$E$4:$E$20000,I152),(SUMIFS(kokpit!$H$4:$H$20000,kokpit!$E$4:$E$20000,I152)-SUMIFS(kokpit!$G$4:$G$20000,kokpit!$E$4:$E$20000,I152))/1000)</f>
        <v>0</v>
      </c>
      <c r="G152" s="58">
        <f>IF($G$2="ZŁ",SUMIFS('kokpit-1'!$H$4:$H$20000,'kokpit-1'!$E$4:$E$20000,I152)-SUMIFS('kokpit-1'!$G$4:$G$20000,'kokpit-1'!$E$4:$E$20000,I152),(SUMIFS('kokpit-1'!$H$4:$H$20000,'kokpit-1'!$E$4:$E$20000,I152)-SUMIFS('kokpit-1'!$G$4:$G$20000,'kokpit-1'!$E$4:$E$20000,I152))/1000)</f>
        <v>0</v>
      </c>
      <c r="I152" s="32" t="str">
        <f>"P"&amp;A109&amp;B151&amp;C152</f>
        <v>PBIV1</v>
      </c>
    </row>
    <row r="153" spans="2:9" ht="14.5" thickBot="1" x14ac:dyDescent="0.35">
      <c r="C153" s="200">
        <v>2</v>
      </c>
      <c r="D153" s="200"/>
      <c r="E153" s="21" t="s">
        <v>157</v>
      </c>
      <c r="F153" s="58">
        <f>IF($G$2="ZŁ",SUMIFS(kokpit!$H$4:$H$20000,kokpit!$E$4:$E$20000,I153)-SUMIFS(kokpit!$G$4:$G$20000,kokpit!$E$4:$E$20000,I153),(SUMIFS(kokpit!$H$4:$H$20000,kokpit!$E$4:$E$20000,I153)-SUMIFS(kokpit!$G$4:$G$20000,kokpit!$E$4:$E$20000,I153))/1000)</f>
        <v>1137.6599999999999</v>
      </c>
      <c r="G153" s="58">
        <f>IF($G$2="ZŁ",SUMIFS('kokpit-1'!$H$4:$H$20000,'kokpit-1'!$E$4:$E$20000,I153)-SUMIFS('kokpit-1'!$G$4:$G$20000,'kokpit-1'!$E$4:$E$20000,I153),(SUMIFS('kokpit-1'!$H$4:$H$20000,'kokpit-1'!$E$4:$E$20000,I153)-SUMIFS('kokpit-1'!$G$4:$G$20000,'kokpit-1'!$E$4:$E$20000,I153))/1000)</f>
        <v>1547.5</v>
      </c>
      <c r="I153" s="38" t="str">
        <f>"P"&amp;A109&amp;B151&amp;C153</f>
        <v>PBIV2</v>
      </c>
    </row>
    <row r="154" spans="2:9" ht="14.5" thickBot="1" x14ac:dyDescent="0.35">
      <c r="E154" s="49" t="s">
        <v>193</v>
      </c>
      <c r="F154" s="50">
        <f>F97+F109</f>
        <v>2453302.5499999998</v>
      </c>
      <c r="G154" s="50">
        <f>G97+G109</f>
        <v>181941.63</v>
      </c>
      <c r="I154" s="59" t="s">
        <v>270</v>
      </c>
    </row>
  </sheetData>
  <mergeCells count="67">
    <mergeCell ref="C120:D120"/>
    <mergeCell ref="C121:D121"/>
    <mergeCell ref="B127:D127"/>
    <mergeCell ref="C128:D128"/>
    <mergeCell ref="C153:D153"/>
    <mergeCell ref="C133:D133"/>
    <mergeCell ref="C138:D138"/>
    <mergeCell ref="C150:D150"/>
    <mergeCell ref="B151:D151"/>
    <mergeCell ref="C152:D152"/>
    <mergeCell ref="B118:D118"/>
    <mergeCell ref="C111:D111"/>
    <mergeCell ref="C112:D112"/>
    <mergeCell ref="C115:D115"/>
    <mergeCell ref="C119:D119"/>
    <mergeCell ref="B106:D106"/>
    <mergeCell ref="B107:D107"/>
    <mergeCell ref="B108:D108"/>
    <mergeCell ref="A109:D109"/>
    <mergeCell ref="B110:D110"/>
    <mergeCell ref="A97:D97"/>
    <mergeCell ref="B98:D98"/>
    <mergeCell ref="B99:D99"/>
    <mergeCell ref="B101:D101"/>
    <mergeCell ref="B103:D103"/>
    <mergeCell ref="C54:D54"/>
    <mergeCell ref="B55:D55"/>
    <mergeCell ref="C56:D56"/>
    <mergeCell ref="C61:D61"/>
    <mergeCell ref="C66:D66"/>
    <mergeCell ref="A91:D91"/>
    <mergeCell ref="A92:D92"/>
    <mergeCell ref="B73:D73"/>
    <mergeCell ref="C74:D74"/>
    <mergeCell ref="C89:D89"/>
    <mergeCell ref="A4:E4"/>
    <mergeCell ref="B7:D7"/>
    <mergeCell ref="B49:D49"/>
    <mergeCell ref="C50:D50"/>
    <mergeCell ref="C51:D51"/>
    <mergeCell ref="C28:D28"/>
    <mergeCell ref="C22:D22"/>
    <mergeCell ref="C23:D23"/>
    <mergeCell ref="C24:D24"/>
    <mergeCell ref="B25:D25"/>
    <mergeCell ref="C26:D26"/>
    <mergeCell ref="B12:D12"/>
    <mergeCell ref="C13:D13"/>
    <mergeCell ref="C19:D19"/>
    <mergeCell ref="C20:D20"/>
    <mergeCell ref="B21:D21"/>
    <mergeCell ref="C27:D27"/>
    <mergeCell ref="A96:G96"/>
    <mergeCell ref="A5:G5"/>
    <mergeCell ref="C9:D9"/>
    <mergeCell ref="C10:D10"/>
    <mergeCell ref="C11:D11"/>
    <mergeCell ref="A6:D6"/>
    <mergeCell ref="C8:D8"/>
    <mergeCell ref="C44:D44"/>
    <mergeCell ref="B45:D45"/>
    <mergeCell ref="C46:D46"/>
    <mergeCell ref="C47:D47"/>
    <mergeCell ref="A48:D48"/>
    <mergeCell ref="C52:D52"/>
    <mergeCell ref="C53:D53"/>
    <mergeCell ref="B90:D90"/>
  </mergeCells>
  <conditionalFormatting sqref="M2">
    <cfRule type="cellIs" dxfId="31" priority="4" operator="equal">
      <formula>"UWAGA! Niespójne zaokrąglenie"</formula>
    </cfRule>
    <cfRule type="cellIs" dxfId="30" priority="5" operator="equal">
      <formula>"OK"</formula>
    </cfRule>
    <cfRule type="cellIs" dxfId="29" priority="6" operator="equal">
      <formula>"BŁĄD"</formula>
    </cfRule>
  </conditionalFormatting>
  <conditionalFormatting sqref="N2">
    <cfRule type="cellIs" dxfId="28" priority="1" operator="equal">
      <formula>"UWAGA! Niespójne zaokrąglenie"</formula>
    </cfRule>
    <cfRule type="cellIs" dxfId="27" priority="2" operator="equal">
      <formula>"OK"</formula>
    </cfRule>
    <cfRule type="cellIs" dxfId="26" priority="3" operator="equal">
      <formula>"BŁĄD"</formula>
    </cfRule>
  </conditionalFormatting>
  <dataValidations count="1">
    <dataValidation type="list" allowBlank="1" showInputMessage="1" showErrorMessage="1" sqref="G2">
      <formula1>Rzad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60"/>
  <sheetViews>
    <sheetView showGridLines="0" zoomScale="75" zoomScaleNormal="75" workbookViewId="0">
      <pane ySplit="5" topLeftCell="A6" activePane="bottomLeft" state="frozen"/>
      <selection pane="bottomLeft" activeCell="C3" sqref="C3"/>
    </sheetView>
  </sheetViews>
  <sheetFormatPr defaultRowHeight="14" x14ac:dyDescent="0.3"/>
  <cols>
    <col min="1" max="1" width="8.6328125" style="5" customWidth="1"/>
    <col min="2" max="2" width="77.26953125" style="5" customWidth="1"/>
    <col min="3" max="3" width="22.7265625" style="5" customWidth="1"/>
    <col min="4" max="4" width="20.7265625" style="5" customWidth="1"/>
    <col min="5" max="5" width="8.90625" style="5" bestFit="1" customWidth="1"/>
    <col min="6" max="6" width="12.36328125" style="17" customWidth="1"/>
    <col min="7" max="16384" width="8.7265625" style="5"/>
  </cols>
  <sheetData>
    <row r="1" spans="1:6" ht="15" x14ac:dyDescent="0.3">
      <c r="A1" s="14" t="str">
        <f>JPK_KR!L2</f>
        <v>Firma Demonstracyjna</v>
      </c>
      <c r="B1" s="14"/>
      <c r="C1" s="60" t="str">
        <f>"NIP:"&amp;" "&amp;JPK_KR!K2</f>
        <v>NIP: 0</v>
      </c>
    </row>
    <row r="2" spans="1:6" x14ac:dyDescent="0.3">
      <c r="B2" s="61"/>
      <c r="C2" s="61"/>
    </row>
    <row r="3" spans="1:6" ht="15" x14ac:dyDescent="0.3">
      <c r="A3" s="62"/>
      <c r="B3" s="63" t="str">
        <f>"RACHUNEK ZYSKÓW I STRAT za  "&amp;C5&amp;"  rok"</f>
        <v>RACHUNEK ZYSKÓW I STRAT za  2013  rok</v>
      </c>
      <c r="C3" s="63" t="s">
        <v>169</v>
      </c>
      <c r="D3" s="22" t="s">
        <v>325</v>
      </c>
      <c r="E3" s="23" t="s">
        <v>324</v>
      </c>
    </row>
    <row r="4" spans="1:6" ht="14.5" thickBot="1" x14ac:dyDescent="0.35"/>
    <row r="5" spans="1:6" ht="14.5" customHeight="1" thickBot="1" x14ac:dyDescent="0.35">
      <c r="A5" s="64" t="s">
        <v>159</v>
      </c>
      <c r="B5" s="64" t="s">
        <v>160</v>
      </c>
      <c r="C5" s="65">
        <f>YEAR(JPK_KR!G2)</f>
        <v>2013</v>
      </c>
      <c r="D5" s="66">
        <f>YEAR('JPK_KR-1'!G2)</f>
        <v>2012</v>
      </c>
      <c r="F5" s="67" t="s">
        <v>295</v>
      </c>
    </row>
    <row r="6" spans="1:6" x14ac:dyDescent="0.3">
      <c r="A6" s="68" t="s">
        <v>183</v>
      </c>
      <c r="B6" s="69" t="s">
        <v>171</v>
      </c>
      <c r="C6" s="70">
        <f>IF($C$3="wariant porównawczy",SUM(C8:C11),SUM(C8:C9))</f>
        <v>364670.54</v>
      </c>
      <c r="D6" s="70">
        <f>IF($C$3="wariant porównawczy",SUM(D8:D11),SUM(D8:D9))</f>
        <v>38857.800000000003</v>
      </c>
      <c r="F6" s="71" t="str">
        <f>IF(C3="wariant porównawczy","SUMA A","SUMA A")</f>
        <v>SUMA A</v>
      </c>
    </row>
    <row r="7" spans="1:6" x14ac:dyDescent="0.3">
      <c r="A7" s="72" t="s">
        <v>99</v>
      </c>
      <c r="B7" s="73" t="s">
        <v>172</v>
      </c>
      <c r="C7" s="70">
        <f>IF($E$3="ZŁ",SUMIFS(kokpit!$L$4:$L$20000,kokpit!$I$4:$I$20000,F7)-SUMIFS(kokpit!$K$4:$K$20000,kokpit!$I$4:$I$20000,F7),(SUMIFS(kokpit!$L$4:$L$20000,kokpit!$I$4:$I$20000,F7)-SUMIFS(kokpit!$K$4:$K$20000,kokpit!$I$4:$I$20000,F7))/1000)</f>
        <v>0</v>
      </c>
      <c r="D7" s="70">
        <f>IF($E$3="ZŁ",SUMIFS('kokpit-1'!$L$4:$L$20000,'kokpit-1'!$I$4:$I$20000,F7)-SUMIFS('kokpit-1'!$K$4:$K$20000,'kokpit-1'!$I$4:$I$20000,F7),(SUMIFS('kokpit-1'!$L$4:$L$20000,'kokpit-1'!$I$4:$I$20000,F7)-SUMIFS('kokpit-1'!$K$4:$K$20000,'kokpit-1'!$I$4:$I$20000,F7))/1000)</f>
        <v>0</v>
      </c>
      <c r="F7" s="32" t="str">
        <f>IF(C3="wariant porównawczy","A1","A1")</f>
        <v>A1</v>
      </c>
    </row>
    <row r="8" spans="1:6" x14ac:dyDescent="0.3">
      <c r="A8" s="68" t="s">
        <v>164</v>
      </c>
      <c r="B8" s="69" t="s">
        <v>161</v>
      </c>
      <c r="C8" s="70">
        <f>IF($E$3="ZŁ",SUMIFS(kokpit!$L$4:$L$20000,kokpit!$I$4:$I$20000,F8)-SUMIFS(kokpit!$K$4:$K$20000,kokpit!$I$4:$I$20000,F8),(SUMIFS(kokpit!$L$4:$L$20000,kokpit!$I$4:$I$20000,F8)-SUMIFS(kokpit!$K$4:$K$20000,kokpit!$I$4:$I$20000,F8))/1000)</f>
        <v>90733.07</v>
      </c>
      <c r="D8" s="70">
        <f>IF($E$3="ZŁ",SUMIFS('kokpit-1'!$L$4:$L$20000,'kokpit-1'!$I$4:$I$20000,F8)-SUMIFS('kokpit-1'!$K$4:$K$20000,'kokpit-1'!$I$4:$I$20000,F8),(SUMIFS('kokpit-1'!$L$4:$L$20000,'kokpit-1'!$I$4:$I$20000,F8)-SUMIFS('kokpit-1'!$K$4:$K$20000,'kokpit-1'!$I$4:$I$20000,F8))/1000)</f>
        <v>1850</v>
      </c>
      <c r="F8" s="32" t="str">
        <f>IF(C3="wariant porównawczy",A6&amp;A8,A6&amp;A8)</f>
        <v>AI</v>
      </c>
    </row>
    <row r="9" spans="1:6" ht="14.5" customHeight="1" x14ac:dyDescent="0.3">
      <c r="A9" s="68" t="s">
        <v>165</v>
      </c>
      <c r="B9" s="69" t="str">
        <f>IF(C3="wariant porównawczy","Zmiana stanu produktów (zwiększenie - wartość dodatnia, zmniejszenie - wartość ujemna)","Przychody netto ze sprzedaży towarów i materiałów")</f>
        <v>Zmiana stanu produktów (zwiększenie - wartość dodatnia, zmniejszenie - wartość ujemna)</v>
      </c>
      <c r="C9" s="70">
        <f>IF($E$3="ZŁ",SUMIFS(kokpit!$L$4:$L$20000,kokpit!$I$4:$I$20000,F9)-SUMIFS(kokpit!$K$4:$K$20000,kokpit!$I$4:$I$20000,F9),(SUMIFS(kokpit!$L$4:$L$20000,kokpit!$I$4:$I$20000,F9)-SUMIFS(kokpit!$K$4:$K$20000,kokpit!$I$4:$I$20000,F9))/1000)</f>
        <v>0</v>
      </c>
      <c r="D9" s="70">
        <f>IF($E$3="ZŁ",SUMIFS('kokpit-1'!$L$4:$L$20000,'kokpit-1'!$I$4:$I$20000,F9)-SUMIFS('kokpit-1'!$K$4:$K$20000,'kokpit-1'!$I$4:$I$20000,F9),(SUMIFS('kokpit-1'!$L$4:$L$20000,'kokpit-1'!$I$4:$I$20000,F9)-SUMIFS('kokpit-1'!$K$4:$K$20000,'kokpit-1'!$I$4:$I$20000,F9))/1000)</f>
        <v>0</v>
      </c>
      <c r="F9" s="32" t="str">
        <f>IF(C3="wariant porównawczy",A6&amp;A9,A6&amp;A9)</f>
        <v>AII</v>
      </c>
    </row>
    <row r="10" spans="1:6" x14ac:dyDescent="0.3">
      <c r="A10" s="68" t="str">
        <f>IF(C3="wariant porównawczy","III","B")</f>
        <v>III</v>
      </c>
      <c r="B10" s="69" t="str">
        <f>IF(C3="wariant porównawczy","Koszt wytworzenia produktów na własne potrzeby jednostki","Koszty sprzedanych produktów, towarów i materiałów, w tym:")</f>
        <v>Koszt wytworzenia produktów na własne potrzeby jednostki</v>
      </c>
      <c r="C10" s="70">
        <f>IF(E3="ZŁ",IF($C$3="wariant porównawczy",SUMIFS(kokpit!$L$4:$L$20000,kokpit!$I$4:$I$20000,F10)-SUMIFS(kokpit!$K$4:$K$20000,kokpit!$I$4:$I$20000,F10),C12+C13),(IF($C$3="wariant porównawczy",(SUMIFS(kokpit!$L$4:$L$20000,kokpit!$I$4:$I$20000,F10)-SUMIFS(kokpit!$K$4:$K$20000,kokpit!$I$4:$I$20000,F10))/1000,C12+C13)))</f>
        <v>0</v>
      </c>
      <c r="D10" s="70">
        <f>IF(E3="ZŁ",IF($C$3="wariant porównawczy",SUMIFS('kokpit-1'!$L$4:$L$20000,'kokpit-1'!$I$4:$I$20000,F10)-SUMIFS('kokpit-1'!$K$4:$K$20000,'kokpit-1'!$I$4:$I$20000,F10),D12+D13),(IF($C$3="wariant porównawczy",(SUMIFS('kokpit-1'!$L$4:$L$20000,'kokpit-1'!$I$4:$I$20000,F10)-SUMIFS('kokpit-1'!$K$4:$K$20000,'kokpit-1'!$I$4:$I$20000,F10))/1000,D12+D13)))</f>
        <v>0</v>
      </c>
      <c r="F10" s="32" t="str">
        <f>IF(C3="wariant porównawczy",A6&amp;A10,"SUMA"&amp;" "&amp;A10)</f>
        <v>AIII</v>
      </c>
    </row>
    <row r="11" spans="1:6" x14ac:dyDescent="0.3">
      <c r="A11" s="68" t="str">
        <f>IF(C3="wariant porównawczy","IV","-")</f>
        <v>IV</v>
      </c>
      <c r="B11" s="69" t="str">
        <f>IF(C3="wariant porównawczy","Przychody netto ze sprzedaży towarów i materiałów","jednostkom powiązanym")</f>
        <v>Przychody netto ze sprzedaży towarów i materiałów</v>
      </c>
      <c r="C11" s="70">
        <f>IF(E3="ZŁ",SUMIFS(kokpit!$L$4:$L$20000,kokpit!$I$4:$I$20000,F11)-SUMIFS(kokpit!$K$4:$K$20000,kokpit!$I$4:$I$20000,F11),(SUMIFS(kokpit!$L$4:$L$20000,kokpit!$I$4:$I$20000,F11)-SUMIFS(kokpit!$K$4:$K$20000,kokpit!$I$4:$I$20000,F11))/1000)</f>
        <v>273937.46999999997</v>
      </c>
      <c r="D11" s="70">
        <f>IF(E3="ZŁ",SUMIFS('kokpit-1'!$L$4:$L$20000,'kokpit-1'!$I$4:$I$20000,F11)-SUMIFS('kokpit-1'!$K$4:$K$20000,'kokpit-1'!$I$4:$I$20000,F11),(SUMIFS('kokpit-1'!$L$4:$L$20000,'kokpit-1'!$I$4:$I$20000,F11)-SUMIFS('kokpit-1'!$K$4:$K$20000,'kokpit-1'!$I$4:$I$20000,F11))/1000)</f>
        <v>37007.800000000003</v>
      </c>
      <c r="F11" s="32" t="str">
        <f>IF(C3="wariant porównawczy",A6&amp;A11,A10&amp;"1")</f>
        <v>AIV</v>
      </c>
    </row>
    <row r="12" spans="1:6" x14ac:dyDescent="0.3">
      <c r="A12" s="68" t="str">
        <f>IF(C3="wariant porównawczy","B","I")</f>
        <v>B</v>
      </c>
      <c r="B12" s="69" t="str">
        <f>IF(C3="wariant porównawczy","Koszty działalności operacyjnej","Koszt wytworzenia sprzedanych produktów")</f>
        <v>Koszty działalności operacyjnej</v>
      </c>
      <c r="C12" s="70">
        <f>IF(E3="ZŁ",IF($C$3="wariant porównawczy",SUM(C13+C14+C15+C16+C18+C19+C21+C22),SUMIFS(kokpit!$K$4:$K$20000,kokpit!$I$4:$I$20000,F12)-SUMIFS(kokpit!$L$4:$L$20000,kokpit!$I$4:$I$20000,F12)),IF($C$3="wariant porównawczy",SUM(C13+C14+C15+C16+C18+C19+C21+C22),(SUMIFS(kokpit!$K$4:$K$20000,kokpit!$I$4:$I$20000,F12)-SUMIFS(kokpit!$L$4:$L$20000,kokpit!$I$4:$I$20000,F12))/1000))</f>
        <v>290411.21000000002</v>
      </c>
      <c r="D12" s="70">
        <f>IF(E3="ZŁ",IF($C$3="wariant porównawczy",SUM(D13+D14+D15+D16+D18+D19+D21+D22),SUMIFS('kokpit-1'!$K$4:$K$20000,'kokpit-1'!$I$4:$I$20000,F12)-SUMIFS('kokpit-1'!$L$4:$L$20000,'kokpit-1'!$I$4:$I$20000,F12)),IF($C$3="wariant porównawczy",SUM(D13+D14+D15+D16+D18+D19+D21+D22),(SUMIFS('kokpit-1'!$K$4:$K$20000,'kokpit-1'!$I$4:$I$20000,F12)-SUMIFS('kokpit-1'!$L$4:$L$20000,'kokpit-1'!$I$4:$I$20000,F12))/1000))</f>
        <v>20646.86</v>
      </c>
      <c r="F12" s="32" t="str">
        <f>IF(C3="wariant porównawczy","SUMA"&amp;" "&amp;A12,A10&amp;A12)</f>
        <v>SUMA B</v>
      </c>
    </row>
    <row r="13" spans="1:6" x14ac:dyDescent="0.3">
      <c r="A13" s="68" t="str">
        <f>IF(C3="wariant porównawczy","I","II")</f>
        <v>I</v>
      </c>
      <c r="B13" s="69" t="str">
        <f>IF(C3="wariant porównawczy","Amortyzacja","Wartość sprzedanych towarów i materiałów")</f>
        <v>Amortyzacja</v>
      </c>
      <c r="C13" s="70">
        <f>IF(E3="ZŁ",SUMIFS(kokpit!$K$4:$K$20000,kokpit!$I$4:$I$20000,F13)-SUMIFS(kokpit!$L$4:$L$20000,kokpit!$I$4:$I$20000,F13),(SUMIFS(kokpit!$K$4:$K$20000,kokpit!$I$4:$I$20000,F13)-SUMIFS(kokpit!$L$4:$L$20000,kokpit!$I$4:$I$20000,F13))/1000)</f>
        <v>20154.38</v>
      </c>
      <c r="D13" s="70">
        <f>IF(E3="ZŁ",SUMIFS('kokpit-1'!$K$4:$K$20000,'kokpit-1'!$I$4:$I$20000,F13)-SUMIFS('kokpit-1'!$L$4:$L$20000,'kokpit-1'!$I$4:$I$20000,F13),(SUMIFS('kokpit-1'!$K$4:$K$20000,'kokpit-1'!$I$4:$I$20000,F13)-SUMIFS('kokpit-1'!$L$4:$L$20000,'kokpit-1'!$I$4:$I$20000,F13))/1000)</f>
        <v>0</v>
      </c>
      <c r="F13" s="32" t="str">
        <f>IF(C3="wariant porównawczy",A12&amp;A13,A10&amp;A13)</f>
        <v>BI</v>
      </c>
    </row>
    <row r="14" spans="1:6" x14ac:dyDescent="0.3">
      <c r="A14" s="68" t="str">
        <f>IF(C3="wariant porównawczy","II","C")</f>
        <v>II</v>
      </c>
      <c r="B14" s="69" t="str">
        <f>IF(C3="wariant porównawczy","Zużycie materiałów i energii","Zysk (strata) brutto ze sprzedaży (A-B)")</f>
        <v>Zużycie materiałów i energii</v>
      </c>
      <c r="C14" s="70">
        <f>IF(E3="ZŁ",IF(C3="wariant porównawczy",SUMIFS(kokpit!$K$4:$K$20000,kokpit!$I$4:$I$20000,F14)-SUMIFS(kokpit!$L$4:$L$20000,kokpit!$I$4:$I$20000,F14),C6-C10),(IF(C3="wariant porównawczy",(SUMIFS(kokpit!$K$4:$K$20000,kokpit!$I$4:$I$20000,F14)-SUMIFS(kokpit!$L$4:$L$20000,kokpit!$I$4:$I$20000,F14))/1000,C6-C10)))</f>
        <v>0</v>
      </c>
      <c r="D14" s="70">
        <f>IF(E3="ZŁ",IF(C3="wariant porównawczy",SUMIFS('kokpit-1'!$K$4:$K$20000,'kokpit-1'!$I$4:$I$20000,F14)-SUMIFS('kokpit-1'!$L$4:$L$20000,'kokpit-1'!$I$4:$I$20000,F14),D6-D10),(IF(C3="wariant porównawczy",(SUMIFS('kokpit-1'!$K$4:$K$20000,'kokpit-1'!$I$4:$I$20000,F14)-SUMIFS('kokpit-1'!$L$4:$L$20000,'kokpit-1'!$I$4:$I$20000,F14))/1000,D6-D10)))</f>
        <v>4790</v>
      </c>
      <c r="F14" s="32" t="str">
        <f>IF(C3="wariant porównawczy",A12&amp;A14,A14)</f>
        <v>BII</v>
      </c>
    </row>
    <row r="15" spans="1:6" x14ac:dyDescent="0.3">
      <c r="A15" s="68" t="str">
        <f>IF(C3="wariant porównawczy","III","D")</f>
        <v>III</v>
      </c>
      <c r="B15" s="69" t="str">
        <f>IF(C3="wariant porównawczy","Usługi obce","Koszty sprzedaży")</f>
        <v>Usługi obce</v>
      </c>
      <c r="C15" s="70">
        <f>IF(E3="ZŁ",SUMIFS(kokpit!$K$4:$K$20000,kokpit!$I$4:$I$20000,F15)-SUMIFS(kokpit!$L$4:$L$20000,kokpit!$I$4:$I$20000,F15),(SUMIFS(kokpit!$K$4:$K$20000,kokpit!$I$4:$I$20000,F15)-SUMIFS(kokpit!$L$4:$L$20000,kokpit!$I$4:$I$20000,F15))/1000)</f>
        <v>265482.68</v>
      </c>
      <c r="D15" s="70">
        <f>IF(E3="ZŁ",SUMIFS('kokpit-1'!$K$4:$K$20000,'kokpit-1'!$I$4:$I$20000,F15)-SUMIFS('kokpit-1'!$L$4:$L$20000,'kokpit-1'!$I$4:$I$20000,F15),(SUMIFS('kokpit-1'!$K$4:$K$20000,'kokpit-1'!$I$4:$I$20000,F15)-SUMIFS('kokpit-1'!$L$4:$L$20000,'kokpit-1'!$I$4:$I$20000,F15))/1000)</f>
        <v>14856.86</v>
      </c>
      <c r="F15" s="32" t="str">
        <f>IF(C3="wariant porównawczy",A12&amp;A15,A15)</f>
        <v>BIII</v>
      </c>
    </row>
    <row r="16" spans="1:6" x14ac:dyDescent="0.3">
      <c r="A16" s="68" t="str">
        <f>IF(C3="wariant porównawczy","IV","E")</f>
        <v>IV</v>
      </c>
      <c r="B16" s="69" t="str">
        <f>IF(C3="wariant porównawczy","Podatki i opłaty, w tym:","Koszty ogólnego zarządu")</f>
        <v>Podatki i opłaty, w tym:</v>
      </c>
      <c r="C16" s="70">
        <f>IF(E3="ZŁ",SUMIFS(kokpit!$K$4:$K$20000,kokpit!$I$4:$I$20000,F16)-SUMIFS(kokpit!$L$4:$L$20000,kokpit!$I$4:$I$20000,F16),(SUMIFS(kokpit!$K$4:$K$20000,kokpit!$I$4:$I$20000,F16)-SUMIFS(kokpit!$L$4:$L$20000,kokpit!$I$4:$I$20000,F16))/1000)</f>
        <v>50</v>
      </c>
      <c r="D16" s="70">
        <f>IF(E3="ZŁ",SUMIFS('kokpit-1'!$K$4:$K$20000,'kokpit-1'!$I$4:$I$20000,F16)-SUMIFS('kokpit-1'!$L$4:$L$20000,'kokpit-1'!$I$4:$I$20000,F16),(SUMIFS('kokpit-1'!$K$4:$K$20000,'kokpit-1'!$I$4:$I$20000,F16)-SUMIFS('kokpit-1'!$L$4:$L$20000,'kokpit-1'!$I$4:$I$20000,F16))/1000)</f>
        <v>50</v>
      </c>
      <c r="F16" s="32" t="str">
        <f>IF(C3="wariant porównawczy",A12&amp;A16,A16)</f>
        <v>BIV</v>
      </c>
    </row>
    <row r="17" spans="1:6" x14ac:dyDescent="0.3">
      <c r="A17" s="68" t="str">
        <f>IF(C3="wariant porównawczy","-","F")</f>
        <v>-</v>
      </c>
      <c r="B17" s="69" t="str">
        <f>IF(C3="wariant porównawczy","podatek akcyzowy","Zysk (strata) ze sprzedaży (C-D-E)")</f>
        <v>podatek akcyzowy</v>
      </c>
      <c r="C17" s="70">
        <f>IF(E3="ZŁ",IF(C3="wariant porównawczy",SUMIFS(kokpit!$K$4:$K$20000,kokpit!$I$4:$I$20000,F17)-SUMIFS(kokpit!$L$4:$L$20000,kokpit!$I$4:$I$20000,F17),C14-C15-C16),(IF(C3="wariant porównawczy",(SUMIFS(kokpit!$K$4:$K$20000,kokpit!$I$4:$I$20000,F17)-SUMIFS(kokpit!$L$4:$L$20000,kokpit!$I$4:$I$20000,F17))/1000,C14-C15-C16)))</f>
        <v>0</v>
      </c>
      <c r="D17" s="70">
        <f>IF(E3="ZŁ",IF(C3="wariant porównawczy",SUMIFS('kokpit-1'!$K$4:$K$20000,'kokpit-1'!$I$4:$I$20000,F17)-SUMIFS('kokpit-1'!$L$4:$L$20000,'kokpit-1'!$I$4:$I$20000,F17),D14-D15-D16),(IF(C3="wariant porównawczy",(SUMIFS('kokpit-1'!$K$4:$K$20000,'kokpit-1'!$I$4:$I$20000,F17)-SUMIFS('kokpit-1'!$L$4:$L$20000,'kokpit-1'!$I$4:$I$20000,F17))/1000,D14-D15-D16)))</f>
        <v>0</v>
      </c>
      <c r="F17" s="32" t="str">
        <f>IF(C3="wariant porównawczy",A12&amp;A16&amp;"1",A17)</f>
        <v>BIV1</v>
      </c>
    </row>
    <row r="18" spans="1:6" x14ac:dyDescent="0.3">
      <c r="A18" s="68" t="str">
        <f>IF(C3="wariant porównawczy","V","G")</f>
        <v>V</v>
      </c>
      <c r="B18" s="69" t="str">
        <f>IF(C3="wariant porównawczy","Wynagrodzenia","Pozostałe przychody operacyjne")</f>
        <v>Wynagrodzenia</v>
      </c>
      <c r="C18" s="70">
        <f>IF(E3="ZŁ",IF(C3="wariant porównawczy",SUMIFS(kokpit!$K$4:$K$20000,kokpit!$I$4:$I$20000,F18)-SUMIFS(kokpit!$L$4:$L$20000,kokpit!$I$4:$I$20000,F18),SUM(C19:C22)),(IF(C3="wariant porównawczy",(SUMIFS(kokpit!$K$4:$K$20000,kokpit!$I$4:$I$20000,F18)-SUMIFS(kokpit!$L$4:$L$20000,kokpit!$I$4:$I$20000,F18))/1000,SUM(C19:C22))))</f>
        <v>0</v>
      </c>
      <c r="D18" s="70">
        <f>IF(E3="ZŁ",IF(C3="wariant porównawczy",SUMIFS('kokpit-1'!$K$4:$K$20000,'kokpit-1'!$I$4:$I$20000,F18)-SUMIFS('kokpit-1'!$L$4:$L$20000,'kokpit-1'!$I$4:$I$20000,F18),SUM(D19:D22)),(IF(C3="wariant porównawczy",(SUMIFS('kokpit-1'!$K$4:$K$20000,'kokpit-1'!$I$4:$I$20000,F18)-SUMIFS('kokpit-1'!$L$4:$L$20000,'kokpit-1'!$I$4:$I$20000,F18))/1000,SUM(D19:D22))))</f>
        <v>0</v>
      </c>
      <c r="F18" s="32" t="str">
        <f>IF(C3="wariant porównawczy",A12&amp;A18,"SUMA"&amp;" "&amp;A18)</f>
        <v>BV</v>
      </c>
    </row>
    <row r="19" spans="1:6" x14ac:dyDescent="0.3">
      <c r="A19" s="68" t="str">
        <f>IF(C3="wariant porównawczy","VI","I")</f>
        <v>VI</v>
      </c>
      <c r="B19" s="69" t="str">
        <f>IF(C3="wariant porównawczy","Ubezpieczenia społeczne i inne świadczenia, w tym:","Zysk z tytułu rozchodu niefinansowych aktywów trwałych")</f>
        <v>Ubezpieczenia społeczne i inne świadczenia, w tym:</v>
      </c>
      <c r="C19" s="70">
        <f>IF(E3="ZŁ",SUMIFS(kokpit!$L$4:$L$20000,kokpit!$I$4:$I$20000,F19)-SUMIFS(kokpit!$K$4:$K$20000,kokpit!$I$4:$I$20000,F19),(SUMIFS(kokpit!$L$4:$L$20000,kokpit!$I$4:$I$20000,F19)-SUMIFS(kokpit!$K$4:$K$20000,kokpit!$I$4:$I$20000,F19))/1000)</f>
        <v>0</v>
      </c>
      <c r="D19" s="70">
        <f>IF(E3="ZŁ",SUMIFS('kokpit-1'!$L$4:$L$20000,'kokpit-1'!$I$4:$I$20000,F19)-SUMIFS('kokpit-1'!$K$4:$K$20000,'kokpit-1'!$I$4:$I$20000,F19),(SUMIFS('kokpit-1'!$L$4:$L$20000,'kokpit-1'!$I$4:$I$20000,F19)-SUMIFS('kokpit-1'!$K$4:$K$20000,'kokpit-1'!$I$4:$I$20000,F19))/1000)</f>
        <v>0</v>
      </c>
      <c r="F19" s="32" t="str">
        <f>IF(C3="wariant porównawczy",A12&amp;A19,A18&amp;A19)</f>
        <v>BVI</v>
      </c>
    </row>
    <row r="20" spans="1:6" x14ac:dyDescent="0.3">
      <c r="A20" s="68" t="str">
        <f>IF(C3="wariant porównawczy","-","II")</f>
        <v>-</v>
      </c>
      <c r="B20" s="69" t="str">
        <f>IF(C3="wariant porównawczy","emerytalne","Dotacje")</f>
        <v>emerytalne</v>
      </c>
      <c r="C20" s="70">
        <f>IF(E3="ZŁ",SUMIFS(kokpit!$L$4:$L$20000,kokpit!$I$4:$I$20000,F20)-SUMIFS(kokpit!$K$4:$K$20000,kokpit!$I$4:$I$20000,F20),(SUMIFS(kokpit!$L$4:$L$20000,kokpit!$I$4:$I$20000,F20)-SUMIFS(kokpit!$K$4:$K$20000,kokpit!$I$4:$I$20000,F20))/1000)</f>
        <v>0</v>
      </c>
      <c r="D20" s="70">
        <f>IF(E3="ZŁ",SUMIFS('kokpit-1'!$L$4:$L$20000,'kokpit-1'!$I$4:$I$20000,F20)-SUMIFS('kokpit-1'!$K$4:$K$20000,'kokpit-1'!$I$4:$I$20000,F20),(SUMIFS('kokpit-1'!$L$4:$L$20000,'kokpit-1'!$I$4:$I$20000,F20)-SUMIFS('kokpit-1'!$K$4:$K$20000,'kokpit-1'!$I$4:$I$20000,F20))/1000)</f>
        <v>0</v>
      </c>
      <c r="F20" s="32" t="str">
        <f>IF(C3="wariant porównawczy",A12&amp;A19&amp;"1",A18&amp;A20)</f>
        <v>BVI1</v>
      </c>
    </row>
    <row r="21" spans="1:6" x14ac:dyDescent="0.3">
      <c r="A21" s="68" t="str">
        <f>IF(C3="wariant porównawczy","VII","III")</f>
        <v>VII</v>
      </c>
      <c r="B21" s="69" t="str">
        <f>IF(C3="wariant porównawczy","Pozostałe koszty rodzajowe","Aktualizacja wartości aktywów niefinansowych")</f>
        <v>Pozostałe koszty rodzajowe</v>
      </c>
      <c r="C21" s="70">
        <f>IF(E3="ZŁ",IF(C3="wariant porównawczy",SUMIFS(kokpit!$K$4:$K$20000,kokpit!$I$4:$I$20000,F21)-SUMIFS(kokpit!$L$4:$L$20000,kokpit!$I$4:$I$20000,F21),SUMIFS(kokpit!$L$4:$L$20000,kokpit!$I$4:$I$20000,F21)-SUMIFS(kokpit!$K$4:$K$20000,kokpit!$I$4:$I$20000,F21)),(IF(C3="wariant porównawczy",SUMIFS(kokpit!$K$4:$K$20000,kokpit!$I$4:$I$20000,F21)-SUMIFS(kokpit!$L$4:$L$20000,kokpit!$I$4:$I$20000,F21),SUMIFS(kokpit!$L$4:$L$20000,kokpit!$I$4:$I$20000,F21)-SUMIFS(kokpit!$K$4:$K$20000,kokpit!$I$4:$I$20000,F21)))/1000)</f>
        <v>5598</v>
      </c>
      <c r="D21" s="70">
        <f>IF(E3="ZŁ",IF(C3="wariant porównawczy",SUMIFS('kokpit-1'!$K$4:$K$20000,'kokpit-1'!$I$4:$I$20000,F21)-SUMIFS('kokpit-1'!$L$4:$L$20000,'kokpit-1'!$I$4:$I$20000,F21),SUMIFS('kokpit-1'!$L$4:$L$20000,'kokpit-1'!$I$4:$I$20000,F21)-SUMIFS('kokpit-1'!$K$4:$K$20000,'kokpit-1'!$I$4:$I$20000,F21)),(IF(C3="wariant porównawczy",SUMIFS('kokpit-1'!$K$4:$K$20000,'kokpit-1'!$I$4:$I$20000,F21)-SUMIFS('kokpit-1'!$L$4:$L$20000,'kokpit-1'!$I$4:$I$20000,F21),SUMIFS('kokpit-1'!$L$4:$L$20000,'kokpit-1'!$I$4:$I$20000,F21)-SUMIFS('kokpit-1'!$K$4:$K$20000,'kokpit-1'!$I$4:$I$20000,F21)))/1000)</f>
        <v>950</v>
      </c>
      <c r="F21" s="32" t="str">
        <f>IF(C3="wariant porównawczy",A12&amp;A21,A18&amp;A21)</f>
        <v>BVII</v>
      </c>
    </row>
    <row r="22" spans="1:6" x14ac:dyDescent="0.3">
      <c r="A22" s="68" t="str">
        <f>IF(C3="wariant porównawczy","VIII","IV")</f>
        <v>VIII</v>
      </c>
      <c r="B22" s="69" t="str">
        <f>IF(C3="wariant porównawczy","Wartość sprzedanych towarów i materiałów","Inne przychody operacyjne")</f>
        <v>Wartość sprzedanych towarów i materiałów</v>
      </c>
      <c r="C22" s="70">
        <f>IF(E3="ZŁ",IF(C3="wariant porównawczy",SUMIFS(kokpit!$K$4:$K$20000,kokpit!$I$4:$I$20000,F22)-SUMIFS(kokpit!$L$4:$L$20000,kokpit!$I$4:$I$20000,F22),SUMIFS(kokpit!$L$4:$L$20000,kokpit!$I$4:$I$20000,F22)-SUMIFS(kokpit!$K$4:$K$20000,kokpit!$I$4:$I$20000,F22)),(IF(C3="wariant porównawczy",SUMIFS(kokpit!$K$4:$K$20000,kokpit!$I$4:$I$20000,F22)-SUMIFS(kokpit!$L$4:$L$20000,kokpit!$I$4:$I$20000,F22),SUMIFS(kokpit!$L$4:$L$20000,kokpit!$I$4:$I$20000,F22)-SUMIFS(kokpit!$K$4:$K$20000,kokpit!$I$4:$I$20000,F22)))/1000)</f>
        <v>-873.85</v>
      </c>
      <c r="D22" s="70">
        <f>IF(E3="ZŁ",IF(C3="wariant porównawczy",SUMIFS('kokpit-1'!$K$4:$K$20000,'kokpit-1'!$I$4:$I$20000,F22)-SUMIFS('kokpit-1'!$L$4:$L$20000,'kokpit-1'!$I$4:$I$20000,F22),SUMIFS('kokpit-1'!$L$4:$L$20000,'kokpit-1'!$I$4:$I$20000,F22)-SUMIFS('kokpit-1'!$K$4:$K$20000,'kokpit-1'!$I$4:$I$20000,F22)),(IF(C3="wariant porównawczy",SUMIFS('kokpit-1'!$K$4:$K$20000,'kokpit-1'!$I$4:$I$20000,F22)-SUMIFS('kokpit-1'!$L$4:$L$20000,'kokpit-1'!$I$4:$I$20000,F22),SUMIFS('kokpit-1'!$L$4:$L$20000,'kokpit-1'!$I$4:$I$20000,F22)-SUMIFS('kokpit-1'!$K$4:$K$20000,'kokpit-1'!$I$4:$I$20000,F22)))/1000)</f>
        <v>0</v>
      </c>
      <c r="F22" s="32" t="str">
        <f>IF(C3="wariant porównawczy",A12&amp;A22,A18&amp;A22)</f>
        <v>BVIII</v>
      </c>
    </row>
    <row r="23" spans="1:6" x14ac:dyDescent="0.3">
      <c r="A23" s="68" t="str">
        <f>IF(C3="wariant porównawczy","C","H")</f>
        <v>C</v>
      </c>
      <c r="B23" s="69" t="str">
        <f>IF(C3="wariant porównawczy","Zysk (strata) na sprzedaży (A-B)","Pozostałe koszty operacyjne")</f>
        <v>Zysk (strata) na sprzedaży (A-B)</v>
      </c>
      <c r="C23" s="70">
        <f>IF($C$3="wariant porównawczy",C6-C12,SUM(C24:C27))</f>
        <v>74259.329999999958</v>
      </c>
      <c r="D23" s="70">
        <f>IF($C$3="wariant porównawczy",D6-D12,SUM(D24:D27))</f>
        <v>18210.940000000002</v>
      </c>
      <c r="F23" s="32" t="str">
        <f>IF(C3="wariant porównawczy",A23,"SUMA"&amp;" "&amp;A23)</f>
        <v>C</v>
      </c>
    </row>
    <row r="24" spans="1:6" x14ac:dyDescent="0.3">
      <c r="A24" s="68" t="str">
        <f>IF(C3="wariant porównawczy","D","I")</f>
        <v>D</v>
      </c>
      <c r="B24" s="69" t="str">
        <f>IF(C3="wariant porównawczy","Pozostałe przychody operacyjne","Strata z tytułu rozchodu niefinansowych aktywów trwałych")</f>
        <v>Pozostałe przychody operacyjne</v>
      </c>
      <c r="C24" s="70">
        <f>IF(E3="ZŁ",IF($C$3="wariant porównawczy",SUM(C25:C27),SUMIFS(kokpit!$K$4:$K$20000,kokpit!$I$4:$I$20000,F24)-SUMIFS(kokpit!$L$4:$L$20000,kokpit!$I$4:$I$20000,F24)),(IF($C$3="wariant porównawczy",SUM(C25:C27),(SUMIFS(kokpit!$K$4:$K$20000,kokpit!$I$4:$I$20000,F24)-SUMIFS(kokpit!$L$4:$L$20000,kokpit!$I$4:$I$20000,F24))/1000)))</f>
        <v>0</v>
      </c>
      <c r="D24" s="70">
        <f>IF(E3="ZŁ",IF($C$3="wariant porównawczy",SUM(D25:D27),SUMIFS('kokpit-1'!$K$4:$K$20000,'kokpit-1'!$I$4:$I$20000,F24)-SUMIFS('kokpit-1'!$L$4:$L$20000,'kokpit-1'!$I$4:$I$20000,F24)),(IF($C$3="wariant porównawczy",SUM(D25:D27),(SUMIFS('kokpit-1'!$K$4:$K$20000,'kokpit-1'!$I$4:$I$20000,F24)-SUMIFS('kokpit-1'!$L$4:$L$20000,'kokpit-1'!$I$4:$I$20000,F24))/1000)))</f>
        <v>-470</v>
      </c>
      <c r="F24" s="32" t="str">
        <f>IF(C3="wariant porównawczy","SUMA"&amp;" "&amp;A24,A23&amp;A24)</f>
        <v>SUMA D</v>
      </c>
    </row>
    <row r="25" spans="1:6" x14ac:dyDescent="0.3">
      <c r="A25" s="68" t="str">
        <f>IF(C3="wariant porównawczy","I","II")</f>
        <v>I</v>
      </c>
      <c r="B25" s="69" t="str">
        <f>IF(C3="wariant porównawczy","Zysk ze zbycia niefinansowych aktywów trwałych","Aktualizacja wartości aktywów niefinansowych")</f>
        <v>Zysk ze zbycia niefinansowych aktywów trwałych</v>
      </c>
      <c r="C25" s="70">
        <f>IF(E3="ZŁ",IF(C3="wariant porównawczy",SUMIFS(kokpit!$L$4:$L$20000,kokpit!$I$4:$I$20000,F25)-SUMIFS(kokpit!$K$4:$K$20000,kokpit!$I$4:$I$20000,F25),SUMIFS(kokpit!$K$4:$K$20000,kokpit!$I$4:$I$20000,F25)-SUMIFS(kokpit!$L$4:$L$20000,kokpit!$I$4:$I$20000,F25)),(IF(C3="wariant porównawczy",SUMIFS(kokpit!$L$4:$L$20000,kokpit!$I$4:$I$20000,F25)-SUMIFS(kokpit!$K$4:$K$20000,kokpit!$I$4:$I$20000,F25),SUMIFS(kokpit!$K$4:$K$20000,kokpit!$I$4:$I$20000,F25)-SUMIFS(kokpit!$L$4:$L$20000,kokpit!$I$4:$I$20000,F25)))/1000)</f>
        <v>0</v>
      </c>
      <c r="D25" s="70">
        <f>IF(E3="ZŁ",IF(C3="wariant porównawczy",SUMIFS(kokpit!$L$4:$L$20000,kokpit!$I$4:$I$20000,F25)-SUMIFS(kokpit!$K$4:$K$20000,kokpit!$I$4:$I$20000,F25),SUMIFS(kokpit!$K$4:$K$20000,kokpit!$I$4:$I$20000,F25)-SUMIFS(kokpit!$L$4:$L$20000,kokpit!$I$4:$I$20000,F25)),(IF(C3="wariant porównawczy",SUMIFS(kokpit!$L$4:$L$20000,kokpit!$I$4:$I$20000,F25)-SUMIFS(kokpit!$K$4:$K$20000,kokpit!$I$4:$I$20000,F25),SUMIFS(kokpit!$K$4:$K$20000,kokpit!$I$4:$I$20000,F25)-SUMIFS(kokpit!$L$4:$L$20000,kokpit!$I$4:$I$20000,F25)))/1000)</f>
        <v>0</v>
      </c>
      <c r="F25" s="32" t="str">
        <f>IF(C3="wariant porównawczy",A24&amp;A25,A23&amp;A25)</f>
        <v>DI</v>
      </c>
    </row>
    <row r="26" spans="1:6" x14ac:dyDescent="0.3">
      <c r="A26" s="68" t="str">
        <f>IF(C3="wariant porównawczy","II","III")</f>
        <v>II</v>
      </c>
      <c r="B26" s="69" t="str">
        <f>IF(C3="wariant porównawczy","Dotacje","Inne koszty operacyjne")</f>
        <v>Dotacje</v>
      </c>
      <c r="C26" s="70">
        <f>IF(E3="ZŁ",IF(C3="wariant porównawczy",SUMIFS(kokpit!$L$4:$L$20000,kokpit!$I$4:$I$20000,F26)-SUMIFS(kokpit!$K$4:$K$20000,kokpit!$I$4:$I$20000,F26),SUMIFS(kokpit!$K$4:$K$20000,kokpit!$I$4:$I$20000,F26)-SUMIFS(kokpit!$L$4:$L$20000,kokpit!$I$4:$I$20000,F26)),(IF(C3="wariant porównawczy",SUMIFS(kokpit!$L$4:$L$20000,kokpit!$I$4:$I$20000,F26)-SUMIFS(kokpit!$K$4:$K$20000,kokpit!$I$4:$I$20000,F26),SUMIFS(kokpit!$K$4:$K$20000,kokpit!$I$4:$I$20000,F26)-SUMIFS(kokpit!$L$4:$L$20000,kokpit!$I$4:$I$20000,F26)))/1000)</f>
        <v>0</v>
      </c>
      <c r="D26" s="70">
        <f>IF(E3="ZŁ",IF(C3="wariant porównawczy",SUMIFS('kokpit-1'!$L$4:$L$20000,'kokpit-1'!$I$4:$I$20000,F26)-SUMIFS('kokpit-1'!$K$4:$K$20000,'kokpit-1'!$I$4:$I$20000,F26),SUMIFS('kokpit-1'!$K$4:$K$20000,'kokpit-1'!$I$4:$I$20000,F26)-SUMIFS('kokpit-1'!$L$4:$L$20000,'kokpit-1'!$I$4:$I$20000,F26)),(IF(C3="wariant porównawczy",SUMIFS('kokpit-1'!$L$4:$L$20000,'kokpit-1'!$I$4:$I$20000,F26)-SUMIFS('kokpit-1'!$K$4:$K$20000,'kokpit-1'!$I$4:$I$20000,F26),SUMIFS('kokpit-1'!$K$4:$K$20000,'kokpit-1'!$I$4:$I$20000,F26)-SUMIFS('kokpit-1'!$L$4:$L$20000,'kokpit-1'!$I$4:$I$20000,F26)))/1000)</f>
        <v>0</v>
      </c>
      <c r="F26" s="32" t="str">
        <f>IF(C3="wariant porównawczy",A24&amp;A26,A23&amp;A26)</f>
        <v>DII</v>
      </c>
    </row>
    <row r="27" spans="1:6" x14ac:dyDescent="0.3">
      <c r="A27" s="68" t="str">
        <f>IF(C3="wariant porównawczy","III","IV")</f>
        <v>III</v>
      </c>
      <c r="B27" s="73" t="str">
        <f>IF(C3="wariant porównawczy","Inne przychody operacyjne","Rozliczenie zespołu 4")</f>
        <v>Inne przychody operacyjne</v>
      </c>
      <c r="C27" s="70">
        <f>IF(E3="ZŁ",IF(C3="wariant porównawczy",SUMIFS(kokpit!$L$4:$L$20000,kokpit!$I$4:$I$20000,F27)-SUMIFS(kokpit!$K$4:$K$20000,kokpit!$I$4:$I$20000,F27),SUMIFS(kokpit!$K$4:$K$20000,kokpit!$I$4:$I$20000,F27)-SUMIFS(kokpit!$L$4:$L$20000,kokpit!$I$4:$I$20000,F27)),(IF(C3="wariant porównawczy",SUMIFS(kokpit!$L$4:$L$20000,kokpit!$I$4:$I$20000,F27)-SUMIFS(kokpit!$K$4:$K$20000,kokpit!$I$4:$I$20000,F27),SUMIFS(kokpit!$K$4:$K$20000,kokpit!$I$4:$I$20000,F27)-SUMIFS(kokpit!$L$4:$L$20000,kokpit!$I$4:$I$20000,F27)))/1000)</f>
        <v>0</v>
      </c>
      <c r="D27" s="70">
        <f>IF(E3="ZŁ",IF(C3="wariant porównawczy",SUMIFS('kokpit-1'!$L$4:$L$20000,'kokpit-1'!$I$4:$I$20000,F27)-SUMIFS('kokpit-1'!$K$4:$K$20000,'kokpit-1'!$I$4:$I$20000,F27),SUMIFS('kokpit-1'!$K$4:$K$20000,'kokpit-1'!$I$4:$I$20000,F27)-SUMIFS('kokpit-1'!$L$4:$L$20000,'kokpit-1'!$I$4:$I$20000,F27)),(IF(C3="wariant porównawczy",SUMIFS('kokpit-1'!$L$4:$L$20000,'kokpit-1'!$I$4:$I$20000,F27)-SUMIFS('kokpit-1'!$K$4:$K$20000,'kokpit-1'!$I$4:$I$20000,F27),SUMIFS('kokpit-1'!$K$4:$K$20000,'kokpit-1'!$I$4:$I$20000,F27)-SUMIFS('kokpit-1'!$L$4:$L$20000,'kokpit-1'!$I$4:$I$20000,F27)))/1000)</f>
        <v>-470</v>
      </c>
      <c r="F27" s="32" t="str">
        <f>IF(C3="wariant porównawczy",A24&amp;A27,A23&amp;A27)</f>
        <v>DIII</v>
      </c>
    </row>
    <row r="28" spans="1:6" x14ac:dyDescent="0.3">
      <c r="A28" s="68" t="str">
        <f>IF(C3="wariant porównawczy","E","I.")</f>
        <v>E</v>
      </c>
      <c r="B28" s="69" t="str">
        <f>IF(C3="wariant porównawczy","Pozostałe koszty operacyjne","Zysk (strata) z działalności operacyjnej (F+G-H)")</f>
        <v>Pozostałe koszty operacyjne</v>
      </c>
      <c r="C28" s="74">
        <f>IF($C$3="wariant porównawczy",SUM(C29:C31),C17+C18-C23)</f>
        <v>0</v>
      </c>
      <c r="D28" s="74">
        <f>IF($C$3="wariant porównawczy",SUM(D29:D31),D17+D18-D23)</f>
        <v>0</v>
      </c>
      <c r="F28" s="32" t="str">
        <f>IF(C3="wariant porównawczy","SUMA"&amp;" "&amp;A28,A28)</f>
        <v>SUMA E</v>
      </c>
    </row>
    <row r="29" spans="1:6" x14ac:dyDescent="0.3">
      <c r="A29" s="68" t="str">
        <f>IF(C3="wariant porównawczy","I","J")</f>
        <v>I</v>
      </c>
      <c r="B29" s="69" t="str">
        <f>IF(C3="wariant porównawczy","Strata ze zbycia niefinansowych aktywów trwałych","Przychody finansowe")</f>
        <v>Strata ze zbycia niefinansowych aktywów trwałych</v>
      </c>
      <c r="C29" s="75">
        <f>IF(E3="ZŁ",IF($C$3="wariant porównawczy",SUMIFS(kokpit!$K$4:$K$20000,kokpit!$I$4:$I$20000,F29)-SUMIFS(kokpit!$L$4:$L$20000,kokpit!$I$4:$I$20000,F29),C30+C35+C37+C39+C40),(IF($C$3="wariant porównawczy",(SUMIFS(kokpit!$K$4:$K$20000,kokpit!$I$4:$I$20000,F29)-SUMIFS(kokpit!$L$4:$L$20000,kokpit!$I$4:$I$20000,F29))/1000,C30+C35+C37+C39+C40)))</f>
        <v>0</v>
      </c>
      <c r="D29" s="75">
        <f>IF(E3="ZŁ",IF($C$3="wariant porównawczy",SUMIFS('kokpit-1'!$K$4:$K$20000,'kokpit-1'!$I$4:$I$20000,F29)-SUMIFS('kokpit-1'!$L$4:$L$20000,'kokpit-1'!$I$4:$I$20000,F29),D30+D35+D37+D39+D40),(IF($C$3="wariant porównawczy",(SUMIFS('kokpit-1'!$K$4:$K$20000,'kokpit-1'!$I$4:$I$20000,F29)-SUMIFS('kokpit-1'!$L$4:$L$20000,'kokpit-1'!$I$4:$I$20000,F29))/1000,D30+D35+D37+D39+D40)))</f>
        <v>0</v>
      </c>
      <c r="F29" s="32" t="str">
        <f>IF(C3="wariant porównawczy",A28&amp;A29,"SUMA"&amp;" "&amp;A29)</f>
        <v>EI</v>
      </c>
    </row>
    <row r="30" spans="1:6" x14ac:dyDescent="0.3">
      <c r="A30" s="68" t="str">
        <f>IF(C3="wariant porównawczy","II","I")</f>
        <v>II</v>
      </c>
      <c r="B30" s="69" t="str">
        <f>IF(C3="wariant porównawczy","Aktualizacja wartości aktywów niefinansowych","Dywidendy i udziały w zyskach, w tym:")</f>
        <v>Aktualizacja wartości aktywów niefinansowych</v>
      </c>
      <c r="C30" s="75">
        <f>IF(E3="ZŁ",SUMIFS(kokpit!$L$4:$L$20000,kokpit!$I$4:$I$20000,F30)-SUMIFS(kokpit!$K$4:$K$20000,kokpit!$I$4:$I$20000,F30),(SUMIFS(kokpit!$L$4:$L$20000,kokpit!$I$4:$I$20000,F30)-SUMIFS(kokpit!$K$4:$K$20000,kokpit!$I$4:$I$20000,F30))/1000)</f>
        <v>0</v>
      </c>
      <c r="D30" s="75">
        <f>IF(E3="ZŁ",SUMIFS('kokpit-1'!$L$4:$L$20000,'kokpit-1'!$I$4:$I$20000,F30)-SUMIFS('kokpit-1'!$K$4:$K$20000,'kokpit-1'!$I$4:$I$20000,F30),(SUMIFS('kokpit-1'!$L$4:$L$20000,'kokpit-1'!$I$4:$I$20000,F30)-SUMIFS('kokpit-1'!$K$4:$K$20000,'kokpit-1'!$I$4:$I$20000,F30))/1000)</f>
        <v>0</v>
      </c>
      <c r="F30" s="32" t="str">
        <f>IF(C3="wariant porównawczy",A28&amp;A30,A29&amp;A30)</f>
        <v>EII</v>
      </c>
    </row>
    <row r="31" spans="1:6" x14ac:dyDescent="0.3">
      <c r="A31" s="68" t="str">
        <f>IF(C3="wariant porównawczy","III","a)")</f>
        <v>III</v>
      </c>
      <c r="B31" s="69" t="str">
        <f>IF(C3="wariant porównawczy","Inne koszty operacyjne","od jednostek powiązanych, w tym:")</f>
        <v>Inne koszty operacyjne</v>
      </c>
      <c r="C31" s="75">
        <f>IF(E3="ZŁ",SUMIFS(kokpit!$L$4:$L$20000,kokpit!$I$4:$I$20000,F31)-SUMIFS(kokpit!$K$4:$K$20000,kokpit!$I$4:$I$20000,F31),(SUMIFS(kokpit!$L$4:$L$20000,kokpit!$I$4:$I$20000,F31)-SUMIFS(kokpit!$K$4:$K$20000,kokpit!$I$4:$I$20000,F31))/1000)</f>
        <v>0</v>
      </c>
      <c r="D31" s="75">
        <f>IF(E3="ZŁ",SUMIFS('kokpit-1'!$L$4:$L$20000,'kokpit-1'!$I$4:$I$20000,F31)-SUMIFS('kokpit-1'!$K$4:$K$20000,'kokpit-1'!$I$4:$I$20000,F31),(SUMIFS('kokpit-1'!$L$4:$L$20000,'kokpit-1'!$I$4:$I$20000,F31)-SUMIFS('kokpit-1'!$K$4:$K$20000,'kokpit-1'!$I$4:$I$20000,F31))/1000)</f>
        <v>0</v>
      </c>
      <c r="F31" s="32" t="str">
        <f>IF(C3="wariant porównawczy",A28&amp;A31,A29&amp;A30&amp;A31)</f>
        <v>EIII</v>
      </c>
    </row>
    <row r="32" spans="1:6" x14ac:dyDescent="0.3">
      <c r="A32" s="68" t="str">
        <f>IF(C3="wariant porównawczy","F","-")</f>
        <v>F</v>
      </c>
      <c r="B32" s="69" t="str">
        <f>IF(C3="wariant porównawczy","Zysk (strata) na działalności operacyjnej (C+D-E)","w których jednostka posiada zaangażowanie w kapitale")</f>
        <v>Zysk (strata) na działalności operacyjnej (C+D-E)</v>
      </c>
      <c r="C32" s="75">
        <f>IF(E3="ZŁ",IF($C$3="wariant porównawczy",C23+C24-C28,SUMIFS(kokpit!$L$4:$L$20000,kokpit!$I$4:$I$20000,F32)-SUMIFS(kokpit!$K$4:$K$20000,kokpit!$I$4:$I$20000,F32)),(IF($C$3="wariant porównawczy",C23+C24-C28,(SUMIFS(kokpit!$L$4:$L$20000,kokpit!$I$4:$I$20000,F32)-SUMIFS(kokpit!$K$4:$K$20000,kokpit!$I$4:$I$20000,F32))/1000)))</f>
        <v>74259.329999999958</v>
      </c>
      <c r="D32" s="75">
        <f>IF(E3="ZŁ",IF($C$3="wariant porównawczy",D23+D24-D28,SUMIFS('kokpit-1'!$L$4:$L$20000,'kokpit-1'!$I$4:$I$20000,F32)-SUMIFS('kokpit-1'!$K$4:$K$20000,'kokpit-1'!$I$4:$I$20000,F32)),(IF($C$3="wariant porównawczy",D23+D24-D28,(SUMIFS('kokpit-1'!$L$4:$L$20000,'kokpit-1'!$I$4:$I$20000,F32)-SUMIFS('kokpit-1'!$K$4:$K$20000,'kokpit-1'!$I$4:$I$20000,F32))/1000)))</f>
        <v>17740.940000000002</v>
      </c>
      <c r="F32" s="32" t="str">
        <f>IF(C3="wariant porównawczy",A32,A29&amp;A30&amp;A31&amp;"1")</f>
        <v>F</v>
      </c>
    </row>
    <row r="33" spans="1:6" x14ac:dyDescent="0.3">
      <c r="A33" s="68" t="str">
        <f>IF(C3="wariant porównawczy","G","b)")</f>
        <v>G</v>
      </c>
      <c r="B33" s="69" t="str">
        <f>IF(C3="wariant porównawczy","Przychody finansowe","od jednostek pozostałych")</f>
        <v>Przychody finansowe</v>
      </c>
      <c r="C33" s="75">
        <f>IF(E3="ZŁ",IF($C$3="wariant porównawczy",C34+C36+C38+C40+C41+C42,SUMIFS(kokpit!$L$4:$L$20000,kokpit!$I$4:$I$20000,F33)-SUMIFS(kokpit!$K$4:$K$20000,kokpit!$I$4:$I$20000,F33)),(IF($C$3="wariant porównawczy",C34+C36+C38+C40+C41+C42,(SUMIFS(kokpit!$L$4:$L$20000,kokpit!$I$4:$I$20000,F33)-SUMIFS(kokpit!$K$4:$K$20000,kokpit!$I$4:$I$20000,F33))/1000)))</f>
        <v>4333.1900000000005</v>
      </c>
      <c r="D33" s="75">
        <f>IF(E3="ZŁ",IF($C$3="wariant porównawczy",D34+D36+D38+D40+D41+D42,SUMIFS('kokpit-1'!$L$4:$L$20000,'kokpit-1'!$I$4:$I$20000,F33)-SUMIFS('kokpit-1'!$K$4:$K$20000,'kokpit-1'!$I$4:$I$20000,F33)),(IF($C$3="wariant porównawczy",D34+D36+D38+D40+D41+D42,(SUMIFS('kokpit-1'!$L$4:$L$20000,'kokpit-1'!$I$4:$I$20000,F33)-SUMIFS('kokpit-1'!$K$4:$K$20000,'kokpit-1'!$I$4:$I$20000,F33))/1000)))</f>
        <v>8508.02</v>
      </c>
      <c r="F33" s="32" t="str">
        <f>IF(C3="wariant porównawczy","SUMA"&amp;" "&amp;A33,A29&amp;A30&amp;A33)</f>
        <v>SUMA G</v>
      </c>
    </row>
    <row r="34" spans="1:6" x14ac:dyDescent="0.3">
      <c r="A34" s="76" t="str">
        <f>IF(C3="wariant porównawczy","I","-")</f>
        <v>I</v>
      </c>
      <c r="B34" s="69" t="str">
        <f>IF(C3="wariant porównawczy","Dywidendy i udziały w zyskach, w tym:","w których jednostka ma zaangażowanie w kapitale")</f>
        <v>Dywidendy i udziały w zyskach, w tym:</v>
      </c>
      <c r="C34" s="75">
        <f>IF(E3="ZŁ",SUMIFS(kokpit!$L$4:$L$20000,kokpit!$I$4:$I$20000,F34)-SUMIFS(kokpit!$K$4:$K$20000,kokpit!$I$4:$I$20000,F34),(SUMIFS(kokpit!$L$4:$L$20000,kokpit!$I$4:$I$20000,F34)-SUMIFS(kokpit!$K$4:$K$20000,kokpit!$I$4:$I$20000,F34))/1000)</f>
        <v>0</v>
      </c>
      <c r="D34" s="75">
        <f>IF(E3="ZŁ",SUMIFS('kokpit-1'!$L$4:$L$20000,'kokpit-1'!$I$4:$I$20000,F34)-SUMIFS('kokpit-1'!$K$4:$K$20000,'kokpit-1'!$I$4:$I$20000,F34),(SUMIFS('kokpit-1'!$L$4:$L$20000,'kokpit-1'!$I$4:$I$20000,F34)-SUMIFS('kokpit-1'!$K$4:$K$20000,'kokpit-1'!$I$4:$I$20000,F34))/1000)</f>
        <v>0</v>
      </c>
      <c r="F34" s="32" t="str">
        <f>IF(C3="wariant porównawczy",A33&amp;A34,A29&amp;A30&amp;A33&amp;"1")</f>
        <v>GI</v>
      </c>
    </row>
    <row r="35" spans="1:6" x14ac:dyDescent="0.3">
      <c r="A35" s="76" t="str">
        <f>IF(C3="wariant porównawczy","-","II")</f>
        <v>-</v>
      </c>
      <c r="B35" s="69" t="str">
        <f>IF(C3="wariant porównawczy","od jednostek powiązanych","Odsetki, w tym:")</f>
        <v>od jednostek powiązanych</v>
      </c>
      <c r="C35" s="75">
        <f>IF(E3="ZŁ",SUMIFS(kokpit!$L$4:$L$20000,kokpit!$I$4:$I$20000,F35)-SUMIFS(kokpit!$K$4:$K$20000,kokpit!$I$4:$I$20000,F35),(SUMIFS(kokpit!$L$4:$L$20000,kokpit!$I$4:$I$20000,F35)-SUMIFS(kokpit!$K$4:$K$20000,kokpit!$I$4:$I$20000,F35))/1000)</f>
        <v>0</v>
      </c>
      <c r="D35" s="75">
        <f>IF(E3="ZŁ",SUMIFS('kokpit-1'!$L$4:$L$20000,'kokpit-1'!$I$4:$I$20000,F35)-SUMIFS('kokpit-1'!$K$4:$K$20000,'kokpit-1'!$I$4:$I$20000,F35),(SUMIFS('kokpit-1'!$L$4:$L$20000,'kokpit-1'!$I$4:$I$20000,F35)-SUMIFS('kokpit-1'!$K$4:$K$20000,'kokpit-1'!$I$4:$I$20000,F35))/1000)</f>
        <v>0</v>
      </c>
      <c r="F35" s="32" t="str">
        <f>IF(C3="wariant porównawczy",A33&amp;A34&amp;"1",A29&amp;A35)</f>
        <v>GI1</v>
      </c>
    </row>
    <row r="36" spans="1:6" x14ac:dyDescent="0.3">
      <c r="A36" s="76" t="str">
        <f>IF(C3="wariant porównawczy","II","-")</f>
        <v>II</v>
      </c>
      <c r="B36" s="69" t="str">
        <f>IF(C3="wariant porównawczy","Odsetki, w tym:","od jednostek powiązanych")</f>
        <v>Odsetki, w tym:</v>
      </c>
      <c r="C36" s="75">
        <f>IF(E3="ZŁ",SUMIFS(kokpit!$L$4:$L$20000,kokpit!$I$4:$I$20000,F36)-SUMIFS(kokpit!$K$4:$K$20000,kokpit!$I$4:$I$20000,F36),(SUMIFS(kokpit!$L$4:$L$20000,kokpit!$I$4:$I$20000,F36)-SUMIFS(kokpit!$K$4:$K$20000,kokpit!$I$4:$I$20000,F36))/1000)</f>
        <v>0</v>
      </c>
      <c r="D36" s="75">
        <f>IF(E3="ZŁ",SUMIFS('kokpit-1'!$L$4:$L$20000,'kokpit-1'!$I$4:$I$20000,F36)-SUMIFS('kokpit-1'!$K$4:$K$20000,'kokpit-1'!$I$4:$I$20000,F36),(SUMIFS('kokpit-1'!$L$4:$L$20000,'kokpit-1'!$I$4:$I$20000,F36)-SUMIFS('kokpit-1'!$K$4:$K$20000,'kokpit-1'!$I$4:$I$20000,F36))/1000)</f>
        <v>8480.33</v>
      </c>
      <c r="F36" s="32" t="str">
        <f>IF(C3="wariant porównawczy",A33&amp;A36,A29&amp;A35&amp;"1")</f>
        <v>GII</v>
      </c>
    </row>
    <row r="37" spans="1:6" x14ac:dyDescent="0.3">
      <c r="A37" s="76" t="str">
        <f>IF(C3="wariant porównawczy","-","III")</f>
        <v>-</v>
      </c>
      <c r="B37" s="69" t="str">
        <f>IF(C3="wariant porównawczy","od jednostek powiązanych","Zysk z tytułu rozchodu aktywów finansowych, w tym:")</f>
        <v>od jednostek powiązanych</v>
      </c>
      <c r="C37" s="75">
        <f>IF(E3="ZŁ",SUMIFS(kokpit!$L$4:$L$20000,kokpit!$I$4:$I$20000,F37)-SUMIFS(kokpit!$K$4:$K$20000,kokpit!$I$4:$I$20000,F37),(SUMIFS(kokpit!$L$4:$L$20000,kokpit!$I$4:$I$20000,F37)-SUMIFS(kokpit!$K$4:$K$20000,kokpit!$I$4:$I$20000,F37))/1000)</f>
        <v>0</v>
      </c>
      <c r="D37" s="75">
        <f>IF(E3="ZŁ",SUMIFS('kokpit-1'!$L$4:$L$20000,'kokpit-1'!$I$4:$I$20000,F37)-SUMIFS('kokpit-1'!$K$4:$K$20000,'kokpit-1'!$I$4:$I$20000,F37),(SUMIFS('kokpit-1'!$L$4:$L$20000,'kokpit-1'!$I$4:$I$20000,F37)-SUMIFS('kokpit-1'!$K$4:$K$20000,'kokpit-1'!$I$4:$I$20000,F37))/1000)</f>
        <v>0</v>
      </c>
      <c r="F37" s="32" t="str">
        <f>IF(C3="wariant porównawczy",A33&amp;A36&amp;"1",A29&amp;A37)</f>
        <v>GII1</v>
      </c>
    </row>
    <row r="38" spans="1:6" x14ac:dyDescent="0.3">
      <c r="A38" s="76" t="str">
        <f>IF(C3="wariant porównawczy","III","-")</f>
        <v>III</v>
      </c>
      <c r="B38" s="69" t="str">
        <f>IF(C3="wariant porównawczy","Zysk ze zbycia inwestycji","w jednostkach powiązanych")</f>
        <v>Zysk ze zbycia inwestycji</v>
      </c>
      <c r="C38" s="75">
        <f>IF(E3="ZŁ",SUMIFS(kokpit!$L$4:$L$20000,kokpit!$I$4:$I$20000,F38)-SUMIFS(kokpit!$K$4:$K$20000,kokpit!$I$4:$I$20000,F38),(SUMIFS(kokpit!$L$4:$L$20000,kokpit!$I$4:$I$20000,F38)-SUMIFS(kokpit!$K$4:$K$20000,kokpit!$I$4:$I$20000,F38))/1000)</f>
        <v>0</v>
      </c>
      <c r="D38" s="75">
        <f>IF(E3="ZŁ",SUMIFS('kokpit-1'!$L$4:$L$20000,'kokpit-1'!$I$4:$I$20000,F38)-SUMIFS('kokpit-1'!$K$4:$K$20000,'kokpit-1'!$I$4:$I$20000,F38),(SUMIFS('kokpit-1'!$L$4:$L$20000,'kokpit-1'!$I$4:$I$20000,F38)-SUMIFS('kokpit-1'!$K$4:$K$20000,'kokpit-1'!$I$4:$I$20000,F38))/1000)</f>
        <v>0</v>
      </c>
      <c r="F38" s="32" t="str">
        <f>IF(C3="wariant porównawczy",A33&amp;A38,A29&amp;A37&amp;"1")</f>
        <v>GIII</v>
      </c>
    </row>
    <row r="39" spans="1:6" x14ac:dyDescent="0.3">
      <c r="A39" s="76" t="str">
        <f>IF(C3="wariant porównawczy","-","IV")</f>
        <v>-</v>
      </c>
      <c r="B39" s="69" t="str">
        <f>IF(C3="wariant porównawczy","w jednostkach powiązanych","Aktualizacja wartości aktywów finansowych")</f>
        <v>w jednostkach powiązanych</v>
      </c>
      <c r="C39" s="75">
        <f>IF(E3="ZŁ",SUMIFS(kokpit!$L$4:$L$20000,kokpit!$I$4:$I$20000,F39)-SUMIFS(kokpit!$K$4:$K$20000,kokpit!$I$4:$I$20000,F39),(SUMIFS(kokpit!$L$4:$L$20000,kokpit!$I$4:$I$20000,F39)-SUMIFS(kokpit!$K$4:$K$20000,kokpit!$I$4:$I$20000,F39))/1000)</f>
        <v>0</v>
      </c>
      <c r="D39" s="75">
        <f>IF(E3="ZŁ",SUMIFS('kokpit-1'!$L$4:$L$20000,'kokpit-1'!$I$4:$I$20000,F39)-SUMIFS('kokpit-1'!$K$4:$K$20000,'kokpit-1'!$I$4:$I$20000,F39),(SUMIFS('kokpit-1'!$L$4:$L$20000,'kokpit-1'!$I$4:$I$20000,F39)-SUMIFS('kokpit-1'!$K$4:$K$20000,'kokpit-1'!$I$4:$I$20000,F39))/1000)</f>
        <v>0</v>
      </c>
      <c r="F39" s="32" t="str">
        <f>IF(C3="wariant porównawczy",A33&amp;A38&amp;"1",A29&amp;A39)</f>
        <v>GIII1</v>
      </c>
    </row>
    <row r="40" spans="1:6" x14ac:dyDescent="0.3">
      <c r="A40" s="76" t="str">
        <f>IF(C3="wariant porównawczy","IV","V")</f>
        <v>IV</v>
      </c>
      <c r="B40" s="69" t="str">
        <f>IF(C3="wariant porównawczy","Aktualizacja wartości inwestycji","Inne")</f>
        <v>Aktualizacja wartości inwestycji</v>
      </c>
      <c r="C40" s="75">
        <f>IF(E3="ZŁ",SUMIFS(kokpit!$L$4:$L$20000,kokpit!$I$4:$I$20000,F40)-SUMIFS(kokpit!$K$4:$K$20000,kokpit!$I$4:$I$20000,F40),(SUMIFS(kokpit!$L$4:$L$20000,kokpit!$I$4:$I$20000,F40)-SUMIFS(kokpit!$K$4:$K$20000,kokpit!$I$4:$I$20000,F40))/1000)</f>
        <v>0</v>
      </c>
      <c r="D40" s="75">
        <f>IF(E3="ZŁ",SUMIFS('kokpit-1'!$L$4:$L$20000,'kokpit-1'!$I$4:$I$20000,F40)-SUMIFS('kokpit-1'!$K$4:$K$20000,'kokpit-1'!$I$4:$I$20000,F40),(SUMIFS('kokpit-1'!$L$4:$L$20000,'kokpit-1'!$I$4:$I$20000,F40)-SUMIFS('kokpit-1'!$K$4:$K$20000,'kokpit-1'!$I$4:$I$20000,F40))/1000)</f>
        <v>0</v>
      </c>
      <c r="F40" s="32" t="str">
        <f>IF(C3="wariant porównawczy",A33&amp;A40,A29&amp;A40)</f>
        <v>GIV</v>
      </c>
    </row>
    <row r="41" spans="1:6" x14ac:dyDescent="0.3">
      <c r="A41" s="76" t="str">
        <f>IF(C3="wariant porównawczy","V","Vi")</f>
        <v>V</v>
      </c>
      <c r="B41" s="69" t="str">
        <f>IF(C3="wariant porównawczy","Inne","Inne - Różnice kuroswe")</f>
        <v>Inne</v>
      </c>
      <c r="C41" s="75">
        <f>IF(E3="ZŁ",IF(C3="wariant porównawczy",SUMIFS(kokpit!$L$4:$L$20000,kokpit!$I$4:$I$20000,F41)-SUMIFS(kokpit!$K$4:$K$20000,kokpit!$I$4:$I$20000,F41),IF(SUMIFS(kokpit!$L$4:$L$20000,kokpit!$I$4:$I$20000,F41)-SUMIFS(kokpit!$K$4:$K$20000,kokpit!$I$4:$I$20000,F41)&lt;0,0,SUMIFS(kokpit!$L$4:$L$20000,kokpit!$I$4:$I$20000,F41)-SUMIFS(kokpit!$K$4:$K$20000,kokpit!$I$4:$I$20000,F41))),(IF(C3="wariant porównawczy",SUMIFS(kokpit!$L$4:$L$20000,kokpit!$I$4:$I$20000,F41)-SUMIFS(kokpit!$K$4:$K$20000,kokpit!$I$4:$I$20000,F41),IF(SUMIFS(kokpit!$L$4:$L$20000,kokpit!$I$4:$I$20000,F41)-SUMIFS(kokpit!$K$4:$K$20000,kokpit!$I$4:$I$20000,F41)&lt;0,0,SUMIFS(kokpit!$L$4:$L$20000,kokpit!$I$4:$I$20000,F41)-SUMIFS(kokpit!$K$4:$K$20000,kokpit!$I$4:$I$20000,F41))))/1000)</f>
        <v>93.13</v>
      </c>
      <c r="D41" s="75">
        <f>IF(E3="ZŁ",IF(C3="wariant porównawczy",SUMIFS('kokpit-1'!$L$4:$L$20000,'kokpit-1'!$I$4:$I$20000,F41)-SUMIFS('kokpit-1'!$K$4:$K$20000,'kokpit-1'!$I$4:$I$20000,F41),IF(SUMIFS('kokpit-1'!$L$4:$L$20000,'kokpit-1'!$I$4:$I$20000,F41)-SUMIFS('kokpit-1'!$K$4:$K$20000,'kokpit-1'!$I$4:$I$20000,F41)&lt;0,0,SUMIFS('kokpit-1'!$L$4:$L$20000,'kokpit-1'!$I$4:$I$20000,F41)-SUMIFS('kokpit-1'!$K$4:$K$20000,'kokpit-1'!$I$4:$I$20000,F41))),(IF(C3="wariant porównawczy",SUMIFS('kokpit-1'!$L$4:$L$20000,'kokpit-1'!$I$4:$I$20000,F41)-SUMIFS('kokpit-1'!$K$4:$K$20000,'kokpit-1'!$I$4:$I$20000,F41),IF(SUMIFS('kokpit-1'!$L$4:$L$20000,'kokpit-1'!$I$4:$I$20000,F41)-SUMIFS('kokpit-1'!$K$4:$K$20000,'kokpit-1'!$I$4:$I$20000,F41)&lt;0,0,SUMIFS('kokpit-1'!$L$4:$L$20000,'kokpit-1'!$I$4:$I$20000,F41)-SUMIFS('kokpit-1'!$K$4:$K$20000,'kokpit-1'!$I$4:$I$20000,F41))))/1000)</f>
        <v>2.69</v>
      </c>
      <c r="F41" s="32" t="str">
        <f>IF(C3="wariant porównawczy",A33&amp;A41,A29&amp;A41)</f>
        <v>GV</v>
      </c>
    </row>
    <row r="42" spans="1:6" x14ac:dyDescent="0.3">
      <c r="A42" s="76" t="str">
        <f>IF(C3="wariant porównawczy","Vi","K")</f>
        <v>Vi</v>
      </c>
      <c r="B42" s="69" t="str">
        <f>IF(C3="wariant porównawczy","Inne-Różnice kursowe","Koszty finansowe")</f>
        <v>Inne-Różnice kursowe</v>
      </c>
      <c r="C42" s="77">
        <f>IF(E3="ZŁ",IF($C$3="wariant porównawczy",IF(SUMIFS(kokpit!$L$4:$L$20000,kokpit!$I$4:$I$20000,F42)-SUMIFS(kokpit!$K$4:$K$20000,kokpit!$I$4:$I$20000,F42)&lt;0,0,SUMIFS(kokpit!$L$4:$L$20000,kokpit!$I$4:$I$20000,F42)-SUMIFS(kokpit!$K$4:$K$20000,kokpit!$I$4:$I$20000,F42)),C43+C45+C47),(IF($C$3="wariant porównawczy",IF(SUMIFS(kokpit!$L$4:$L$20000,kokpit!$I$4:$I$20000,F42)-SUMIFS(kokpit!$K$4:$K$20000,kokpit!$I$4:$I$20000,F42)&lt;0,0,(SUMIFS(kokpit!$L$4:$L$20000,kokpit!$I$4:$I$20000,F42)-SUMIFS(kokpit!$K$4:$K$20000,kokpit!$I$4:$I$20000,F42)))/1000,C43+C45+C47)))</f>
        <v>4240.0600000000004</v>
      </c>
      <c r="D42" s="77">
        <f>IF(E3="ZŁ",IF($C$3="wariant porównawczy",IF(SUMIFS('kokpit-1'!$L$4:$L$20000,'kokpit-1'!$I$4:$I$20000,F42)-SUMIFS('kokpit-1'!$K$4:$K$20000,'kokpit-1'!$I$4:$I$20000,F42)&lt;0,0,SUMIFS('kokpit-1'!$L$4:$L$20000,'kokpit-1'!$I$4:$I$20000,F42)-SUMIFS('kokpit-1'!$K$4:$K$20000,'kokpit-1'!$I$4:$I$20000,F42)),D43+D45+D47),(IF($C$3="wariant porównawczy",IF(SUMIFS('kokpit-1'!$L$4:$L$20000,'kokpit-1'!$I$4:$I$20000,F42)-SUMIFS('kokpit-1'!$K$4:$K$20000,'kokpit-1'!$I$4:$I$20000,F42)&lt;0,0,(SUMIFS('kokpit-1'!$L$4:$L$20000,'kokpit-1'!$I$4:$I$20000,F42)-SUMIFS('kokpit-1'!$K$4:$K$20000,'kokpit-1'!$I$4:$I$20000,F42)))/1000,D43+D45+D47)))</f>
        <v>25</v>
      </c>
      <c r="F42" s="32" t="str">
        <f>IF(C3="wariant porównawczy",A33&amp;A42,"SUMA"&amp;" "&amp;A42)</f>
        <v>GVi</v>
      </c>
    </row>
    <row r="43" spans="1:6" x14ac:dyDescent="0.3">
      <c r="A43" s="68" t="str">
        <f>IF(C3="wariant porównawczy","H","I")</f>
        <v>H</v>
      </c>
      <c r="B43" s="69" t="str">
        <f>IF(C3="wariant porównawczy","Koszty finansowe","Odsetki, w tym:")</f>
        <v>Koszty finansowe</v>
      </c>
      <c r="C43" s="74">
        <f>IF(E3="ZŁ",IF($C$3="wariant porównawczy",C44+C46+C50,SUMIFS(kokpit!$K$4:$K$20000,kokpit!$I$4:$I$20000,F43)-SUMIFS(kokpit!$L$4:$L$20000,kokpit!$I$4:$I$20000,F43)),(IF($C$3="wariant porównawczy",C44+C46+C50,(SUMIFS(kokpit!$K$4:$K$20000,kokpit!$I$4:$I$20000,F43)-SUMIFS(kokpit!$L$4:$L$20000,kokpit!$I$4:$I$20000,F43)))/1000))</f>
        <v>0</v>
      </c>
      <c r="D43" s="74">
        <f>IF(E3="ZŁ",IF($C$3="wariant porównawczy",D44+D46+D50,SUMIFS('kokpit-1'!$K$4:$K$20000,'kokpit-1'!$I$4:$I$20000,F43)-SUMIFS('kokpit-1'!$L$4:$L$20000,'kokpit-1'!$I$4:$I$20000,F43)),(IF($C$3="wariant porównawczy",D44+D46+D50,(SUMIFS('kokpit-1'!$K$4:$K$20000,'kokpit-1'!$I$4:$I$20000,F43)-SUMIFS('kokpit-1'!$L$4:$L$20000,'kokpit-1'!$I$4:$I$20000,F43)))/1000))</f>
        <v>0</v>
      </c>
      <c r="F43" s="32" t="str">
        <f>IF(C3="wariant porównawczy","SUMA"&amp;" " &amp;A43,A42&amp;A43)</f>
        <v>SUMA H</v>
      </c>
    </row>
    <row r="44" spans="1:6" x14ac:dyDescent="0.3">
      <c r="A44" s="76" t="str">
        <f>IF(C3="wariant porównawczy","I","-")</f>
        <v>I</v>
      </c>
      <c r="B44" s="69" t="str">
        <f>IF(C3="wariant porównawczy","Odsetki, w tym:","dla jednostek powiązanych")</f>
        <v>Odsetki, w tym:</v>
      </c>
      <c r="C44" s="74">
        <f>IF($E$3="ZŁ",SUMIFS(kokpit!$K$4:$K$20000,kokpit!$I$4:$I$20000,F44)-SUMIFS(kokpit!$L$4:$L$20000,kokpit!$I$4:$I$20000,F44),(SUMIFS(kokpit!$K$4:$K$20000,kokpit!$I$4:$I$20000,F44)-SUMIFS(kokpit!$L$4:$L$20000,kokpit!$I$4:$I$20000,F44))/1000)</f>
        <v>0</v>
      </c>
      <c r="D44" s="74">
        <f>IF($E$3="ZŁ",SUMIFS('kokpit-1'!$K$4:$K$20000,'kokpit-1'!$I$4:$I$20000,F44)-SUMIFS('kokpit-1'!$L$4:$L$20000,'kokpit-1'!$I$4:$I$20000,F44),(SUMIFS('kokpit-1'!$K$4:$K$20000,'kokpit-1'!$I$4:$I$20000,F44)-SUMIFS('kokpit-1'!$L$4:$L$20000,'kokpit-1'!$I$4:$I$20000,F44))/1000)</f>
        <v>0</v>
      </c>
      <c r="F44" s="32" t="str">
        <f>IF(C3="wariant porównawczy",A43&amp;A44,A42&amp;A43&amp;"1")</f>
        <v>HI</v>
      </c>
    </row>
    <row r="45" spans="1:6" x14ac:dyDescent="0.3">
      <c r="A45" s="76" t="str">
        <f>IF(C3="wariant porównawczy","-","II")</f>
        <v>-</v>
      </c>
      <c r="B45" s="69" t="str">
        <f>IF(C3="wariant porównawczy","dla jednostek powiązanych","Strata z tytułu rozchodu aktywów finansowych, w tym:")</f>
        <v>dla jednostek powiązanych</v>
      </c>
      <c r="C45" s="74">
        <f>IF($E$3="ZŁ",SUMIFS(kokpit!$K$4:$K$20000,kokpit!$I$4:$I$20000,F45)-SUMIFS(kokpit!$L$4:$L$20000,kokpit!$I$4:$I$20000,F45),(SUMIFS(kokpit!$K$4:$K$20000,kokpit!$I$4:$I$20000,F45)-SUMIFS(kokpit!$L$4:$L$20000,kokpit!$I$4:$I$20000,F45))/1000)</f>
        <v>0</v>
      </c>
      <c r="D45" s="74">
        <f>IF($E$3="ZŁ",SUMIFS('kokpit-1'!$K$4:$K$20000,'kokpit-1'!$I$4:$I$20000,F45)-SUMIFS('kokpit-1'!$L$4:$L$20000,'kokpit-1'!$I$4:$I$20000,F45),(SUMIFS('kokpit-1'!$K$4:$K$20000,'kokpit-1'!$I$4:$I$20000,F45)-SUMIFS('kokpit-1'!$L$4:$L$20000,'kokpit-1'!$I$4:$I$20000,F45))/1000)</f>
        <v>0</v>
      </c>
      <c r="F45" s="32" t="str">
        <f>IF(C3="wariant porównawczy",A43&amp;A44&amp;"1",A42&amp;A45)</f>
        <v>HI1</v>
      </c>
    </row>
    <row r="46" spans="1:6" x14ac:dyDescent="0.3">
      <c r="A46" s="76" t="str">
        <f>IF(C3="wariant porównawczy","II","-")</f>
        <v>II</v>
      </c>
      <c r="B46" s="69" t="str">
        <f>IF(C3="wariant porównawczy","Strata ze zbycia inwestycji, w tym:","w jednostkach powiązanych")</f>
        <v>Strata ze zbycia inwestycji, w tym:</v>
      </c>
      <c r="C46" s="74">
        <f>IF($E$3="ZŁ",SUMIFS(kokpit!$K$4:$K$20000,kokpit!$I$4:$I$20000,F46)-SUMIFS(kokpit!$L$4:$L$20000,kokpit!$I$4:$I$20000,F46),(SUMIFS(kokpit!$K$4:$K$20000,kokpit!$I$4:$I$20000,F46)-SUMIFS(kokpit!$L$4:$L$20000,kokpit!$I$4:$I$20000,F46))/1000)</f>
        <v>0</v>
      </c>
      <c r="D46" s="74">
        <f>IF($E$3="ZŁ",SUMIFS('kokpit-1'!$K$4:$K$20000,'kokpit-1'!$I$4:$I$20000,F46)-SUMIFS('kokpit-1'!$L$4:$L$20000,'kokpit-1'!$I$4:$I$20000,F46),(SUMIFS('kokpit-1'!$K$4:$K$20000,'kokpit-1'!$I$4:$I$20000,F46)-SUMIFS('kokpit-1'!$L$4:$L$20000,'kokpit-1'!$I$4:$I$20000,F46))/1000)</f>
        <v>0</v>
      </c>
      <c r="F46" s="32" t="str">
        <f>IF(C3="wariant porównawczy",A43&amp;A46,A42&amp;A45&amp;"1")</f>
        <v>HII</v>
      </c>
    </row>
    <row r="47" spans="1:6" x14ac:dyDescent="0.3">
      <c r="A47" s="76" t="str">
        <f>IF(C3="wariant porównawczy","-","III")</f>
        <v>-</v>
      </c>
      <c r="B47" s="69" t="str">
        <f>IF(C3="wariant porównawczy","w jednostkach powiązanych","Aktualizacja wartości aktywów finansowych")</f>
        <v>w jednostkach powiązanych</v>
      </c>
      <c r="C47" s="74">
        <f>IF($E$3="ZŁ",SUMIFS(kokpit!$K$4:$K$20000,kokpit!$I$4:$I$20000,F47)-SUMIFS(kokpit!$L$4:$L$20000,kokpit!$I$4:$I$20000,F47),(SUMIFS(kokpit!$K$4:$K$20000,kokpit!$I$4:$I$20000,F47)-SUMIFS(kokpit!$L$4:$L$20000,kokpit!$I$4:$I$20000,F47))/1000)</f>
        <v>0</v>
      </c>
      <c r="D47" s="74">
        <f>IF($E$3="ZŁ",SUMIFS('kokpit-1'!$K$4:$K$20000,'kokpit-1'!$I$4:$I$20000,F47)-SUMIFS('kokpit-1'!$L$4:$L$20000,'kokpit-1'!$I$4:$I$20000,F47),(SUMIFS('kokpit-1'!$K$4:$K$20000,'kokpit-1'!$I$4:$I$20000,F47)-SUMIFS('kokpit-1'!$L$4:$L$20000,'kokpit-1'!$I$4:$I$20000,F47))/1000)</f>
        <v>0</v>
      </c>
      <c r="F47" s="32" t="str">
        <f>IF(C3="wariant porównawczy",A43&amp;A46&amp;"1",A42&amp;A47)</f>
        <v>HII1</v>
      </c>
    </row>
    <row r="48" spans="1:6" x14ac:dyDescent="0.3">
      <c r="A48" s="76" t="str">
        <f>IF(C3="wariant porównawczy","III","IV")</f>
        <v>III</v>
      </c>
      <c r="B48" s="69" t="str">
        <f>IF(C3="wariant porównawczy","Aktualizacja wartości inwestycji","Inne")</f>
        <v>Aktualizacja wartości inwestycji</v>
      </c>
      <c r="C48" s="74">
        <f>IF($E$3="ZŁ",SUMIFS(kokpit!$K$4:$K$20000,kokpit!$I$4:$I$20000,F48)-SUMIFS(kokpit!$L$4:$L$20000,kokpit!$I$4:$I$20000,F48),(SUMIFS(kokpit!$K$4:$K$20000,kokpit!$I$4:$I$20000,F48)-SUMIFS(kokpit!$L$4:$L$20000,kokpit!$I$4:$I$20000,F48))/1000)</f>
        <v>0</v>
      </c>
      <c r="D48" s="74">
        <f>IF($E$3="ZŁ",SUMIFS('kokpit-1'!$K$4:$K$20000,'kokpit-1'!$I$4:$I$20000,F48)-SUMIFS('kokpit-1'!$L$4:$L$20000,'kokpit-1'!$I$4:$I$20000,F48),(SUMIFS('kokpit-1'!$K$4:$K$20000,'kokpit-1'!$I$4:$I$20000,F48)-SUMIFS('kokpit-1'!$L$4:$L$20000,'kokpit-1'!$I$4:$I$20000,F48))/1000)</f>
        <v>0</v>
      </c>
      <c r="F48" s="32" t="str">
        <f>IF(C3="wariant porównawczy",A43&amp;A48,A42&amp;A48)</f>
        <v>HIII</v>
      </c>
    </row>
    <row r="49" spans="1:6" x14ac:dyDescent="0.3">
      <c r="A49" s="76" t="str">
        <f>IF(C3="wariant porównawczy","IV","L")</f>
        <v>IV</v>
      </c>
      <c r="B49" s="69" t="str">
        <f>IF(C3="wariant porównawczy","Inne","Zysk (strata) brutto (I+J-K)")</f>
        <v>Inne</v>
      </c>
      <c r="C49" s="74">
        <f>IF(E3="ZŁ",IF(C3="wariant porównawczy",(SUMIFS(kokpit!$K$4:$K$20000,kokpit!$I$4:$I$20000,F49)-SUMIFS(kokpit!$L$4:$L$20000,kokpit!$I$4:$I$20000,F49)),C28+C29-C42),(IF(C3="wariant porównawczy",(SUMIFS(kokpit!$K$4:$K$20000,kokpit!$I$4:$I$20000,F49)-SUMIFS(kokpit!$L$4:$L$20000,kokpit!$I$4:$I$20000,F49))/1000,C28+C29-C42)))</f>
        <v>0</v>
      </c>
      <c r="D49" s="74">
        <f>IF(E3="ZŁ",IF(C3="wariant porównawczy",(SUMIFS('kokpit-1'!$K$4:$K$20000,'kokpit-1'!$I$4:$I$20000,F49)-SUMIFS('kokpit-1'!$L$4:$L$20000,'kokpit-1'!$I$4:$I$20000,F49)),D28+D29-D42),(IF(C3="wariant porównawczy",(SUMIFS('kokpit-1'!$K$4:$K$20000,'kokpit-1'!$I$4:$I$20000,F49)-SUMIFS('kokpit-1'!$L$4:$L$20000,'kokpit-1'!$I$4:$I$20000,F49))/1000,D28+D29-D42)))</f>
        <v>0</v>
      </c>
      <c r="F49" s="32" t="str">
        <f>IF(C3="wariant porównawczy",A43&amp;A49,A49)</f>
        <v>HIV</v>
      </c>
    </row>
    <row r="50" spans="1:6" x14ac:dyDescent="0.3">
      <c r="A50" s="76" t="str">
        <f>IF(C3="wariant porównawczy","IVi","L")</f>
        <v>IVi</v>
      </c>
      <c r="B50" s="69" t="str">
        <f>IF(C3="wariant porównawczy","Inne-Różnice kursowe","Zysk (strata) brutto (I+J-K)")</f>
        <v>Inne-Różnice kursowe</v>
      </c>
      <c r="C50" s="77">
        <f>IF(E3="ZŁ",IF($C$3="wariant porównawczy",IF(SUMIFS(kokpit!$K$4:$K$20000,kokpit!$I$4:$I$20000,F50)-SUMIFS(kokpit!$L$4:$L$20000,kokpit!$I$4:$I$20000,F50)&lt;0,0,SUMIFS(kokpit!$K$4:$K$20000,kokpit!$I$4:$I$20000,F50)-SUMIFS(kokpit!$L$4:$L$20000,kokpit!$I$4:$I$20000,F50)),C28+C29-C42),(IF($C$3="wariant porównawczy",IF(SUMIFS(kokpit!$K$4:$K$20000,kokpit!$I$4:$I$20000,F50)-SUMIFS(kokpit!$L$4:$L$20000,kokpit!$I$4:$I$20000,F50)&lt;0,0,(SUMIFS(kokpit!$K$4:$K$20000,kokpit!$I$4:$I$20000,F50)-SUMIFS(kokpit!$L$4:$L$20000,kokpit!$I$4:$I$20000,F50)))/1000,C28+C29-C42)))</f>
        <v>0</v>
      </c>
      <c r="D50" s="77">
        <f>IF(E3="ZŁ",IF($C$3="wariant porównawczy",IF(SUMIFS('kokpit-1'!$K$4:$K$20000,'kokpit-1'!$I$4:$I$20000,F50)-SUMIFS('kokpit-1'!$L$4:$L$20000,'kokpit-1'!$I$4:$I$20000,F50)&lt;0,0,SUMIFS('kokpit-1'!$K$4:$K$20000,'kokpit-1'!$I$4:$I$20000,F50)-SUMIFS('kokpit-1'!$L$4:$L$20000,'kokpit-1'!$I$4:$I$20000,F50)),D28+D29-D42),(IF($C$3="wariant porównawczy",IF(SUMIFS('kokpit-1'!$K$4:$K$20000,'kokpit-1'!$I$4:$I$20000,F50)-SUMIFS('kokpit-1'!$L$4:$L$20000,'kokpit-1'!$I$4:$I$20000,F50)&lt;0,0,(SUMIFS('kokpit-1'!$K$4:$K$20000,'kokpit-1'!$I$4:$I$20000,F50)-SUMIFS('kokpit-1'!$L$4:$L$20000,'kokpit-1'!$I$4:$I$20000,F50)))/1000,D28+D29-D42)))</f>
        <v>0</v>
      </c>
      <c r="F50" s="32" t="str">
        <f>IF(C3="wariant porównawczy",A43&amp;A50,A50)</f>
        <v>HIVi</v>
      </c>
    </row>
    <row r="51" spans="1:6" x14ac:dyDescent="0.3">
      <c r="A51" s="68" t="str">
        <f>IF(C3="wariant porównawczy","I.","M")</f>
        <v>I.</v>
      </c>
      <c r="B51" s="69" t="str">
        <f>IF(C3="wariant porównawczy","Zysk (strata) brutto (F+G-H)","Podatek dochodowy")</f>
        <v>Zysk (strata) brutto (F+G-H)</v>
      </c>
      <c r="C51" s="74">
        <f>IF(E3="ZŁ",IF(C3="wariant porównawczy",C32+C33-C43,SUMIFS(kokpit!$K$4:$K$20000,kokpit!$I$4:$I$20000,F51)-SUMIFS(kokpit!$L$4:$L$20000,kokpit!$I$4:$I$20000,F51)),(IF(C3="wariant porównawczy",C32+C33-C43,(SUMIFS(kokpit!$K$4:$K$20000,kokpit!$I$4:$I$20000,F51)-SUMIFS(kokpit!$L$4:$L$20000,kokpit!$I$4:$I$20000,F51))/1000)))</f>
        <v>78592.51999999996</v>
      </c>
      <c r="D51" s="74">
        <f>IF(C3="wariant porównawczy",D32+D33-D43,SUMIFS('kokpit-1'!$K$4:$K$20000,'kokpit-1'!$I$4:$I$20000,F51)-SUMIFS('kokpit-1'!$L$4:$L$20000,'kokpit-1'!$I$4:$I$20000,F51))</f>
        <v>26248.960000000003</v>
      </c>
      <c r="F51" s="32" t="str">
        <f>IF(C3="wariant porównawczy",A51,A51)</f>
        <v>I.</v>
      </c>
    </row>
    <row r="52" spans="1:6" x14ac:dyDescent="0.3">
      <c r="A52" s="160" t="str">
        <f>IF(C3="wariant porównawczy","J","N")</f>
        <v>J</v>
      </c>
      <c r="B52" s="161" t="str">
        <f>IF(C3="wariant porównawczy","Podatek dochodowy","Pozostałe obowiązkowe zmniejszenia zysku (zwiększenia straty)")</f>
        <v>Podatek dochodowy</v>
      </c>
      <c r="C52" s="75">
        <f>IF(E3="ZŁ",SUMIFS(kokpit!$K$4:$K$20000,kokpit!$I$4:$I$20000,F52)-SUMIFS(kokpit!$L$4:$L$20000,kokpit!$I$4:$I$20000,F52),(SUMIFS(kokpit!$K$4:$K$20000,kokpit!$I$4:$I$20000,F52)-SUMIFS(kokpit!$L$4:$L$20000,kokpit!$I$4:$I$20000,F52))/1000)</f>
        <v>0</v>
      </c>
      <c r="D52" s="75">
        <f>IF(E3="ZŁ",SUMIFS('kokpit-1'!$K$4:$K$20000,'kokpit-1'!$I$4:$I$20000,F52)-SUMIFS('kokpit-1'!$L$4:$L$20000,'kokpit-1'!$I$4:$I$20000,F52),(SUMIFS('kokpit-1'!$K$4:$K$20000,'kokpit-1'!$I$4:$I$20000,F52)-SUMIFS('kokpit-1'!$L$4:$L$20000,'kokpit-1'!$I$4:$I$20000,F52))/1000)</f>
        <v>0</v>
      </c>
      <c r="F52" s="32" t="str">
        <f>IF(C3="wariant porównawczy",A52,A52)</f>
        <v>J</v>
      </c>
    </row>
    <row r="53" spans="1:6" x14ac:dyDescent="0.3">
      <c r="A53" s="165" t="str">
        <f>IF(C3="wariant porównawczy","K","O")</f>
        <v>K</v>
      </c>
      <c r="B53" s="163" t="str">
        <f>IF(C3="wariant porównawczy","Pozostałe obowiązkowe zmniejszenia zysku (zwiększenia straty)","Zysk (strata) netto (L-M-N)")</f>
        <v>Pozostałe obowiązkowe zmniejszenia zysku (zwiększenia straty)</v>
      </c>
      <c r="C53" s="166">
        <f>IF(E3="ZŁ",IF(C3="wariant porównawczy",SUMIFS(kokpit!$K$4:$K$20000,kokpit!$I$4:$I$20000,F53)-SUMIFS(kokpit!$L$4:$L$20000,kokpit!$I$4:$I$20000,F53),C50-C51-C52),(IF(C3="wariant porównawczy",(SUMIFS(kokpit!$K$4:$K$20000,kokpit!$I$4:$I$20000,F53)-SUMIFS(kokpit!$L$4:$L$20000,kokpit!$I$4:$I$20000,F53))/1000,C50-C51-C52)))</f>
        <v>0</v>
      </c>
      <c r="D53" s="166">
        <f>IF(E3="ZŁ",IF(C3="wariant porównawczy",SUMIFS('kokpit-1'!$K$4:$K$20000,'kokpit-1'!$I$4:$I$20000,F53)-SUMIFS('kokpit-1'!$L$4:$L$20000,'kokpit-1'!$I$4:$I$20000,F53),D50-D51-D52),(IF(C3="wariant porównawczy",(SUMIFS('kokpit-1'!$K$4:$K$20000,'kokpit-1'!$I$4:$I$20000,F53)-SUMIFS('kokpit-1'!$L$4:$L$20000,'kokpit-1'!$I$4:$I$20000,F53))/1000,D50-D51-D52)))</f>
        <v>0</v>
      </c>
      <c r="F53" s="38" t="str">
        <f>IF(C3="wariant porównawczy",A53,A53)</f>
        <v>K</v>
      </c>
    </row>
    <row r="54" spans="1:6" x14ac:dyDescent="0.3">
      <c r="A54" s="162" t="str">
        <f>IF(C3="wariant porównawczy","L","")</f>
        <v>L</v>
      </c>
      <c r="B54" s="163" t="str">
        <f>IF(C3="wariant porównawczy","Zysk (strata) netto (I-J-K)","")</f>
        <v>Zysk (strata) netto (I-J-K)</v>
      </c>
      <c r="C54" s="164">
        <f>IF($C$3="wariant porównawczy",C51-C52-C53,"")</f>
        <v>78592.51999999996</v>
      </c>
      <c r="D54" s="164">
        <f>IF($C$3="wariant porównawczy",D51-D52-D53,"")</f>
        <v>26248.960000000003</v>
      </c>
      <c r="F54" s="167" t="str">
        <f>IF(C3="wariant porównawczy",A54,A54)</f>
        <v>L</v>
      </c>
    </row>
    <row r="55" spans="1:6" x14ac:dyDescent="0.3">
      <c r="C55" s="24"/>
      <c r="D55" s="24"/>
    </row>
    <row r="56" spans="1:6" ht="15.5" x14ac:dyDescent="0.35">
      <c r="A56" s="61"/>
      <c r="B56" s="78"/>
      <c r="C56" s="79"/>
      <c r="D56" s="24"/>
    </row>
    <row r="57" spans="1:6" ht="15.5" x14ac:dyDescent="0.35">
      <c r="A57" s="80"/>
      <c r="B57" s="61"/>
      <c r="C57" s="79"/>
      <c r="D57" s="24"/>
    </row>
    <row r="60" spans="1:6" x14ac:dyDescent="0.3">
      <c r="D60" s="24"/>
    </row>
  </sheetData>
  <conditionalFormatting sqref="F6:F58 A6:D58">
    <cfRule type="expression" dxfId="25" priority="1">
      <formula>$A6&lt;&gt;""</formula>
    </cfRule>
    <cfRule type="expression" dxfId="24" priority="2">
      <formula>$A6="O"</formula>
    </cfRule>
    <cfRule type="expression" dxfId="23" priority="3">
      <formula>$A6="N"</formula>
    </cfRule>
    <cfRule type="expression" dxfId="22" priority="4">
      <formula>$A6="M"</formula>
    </cfRule>
    <cfRule type="expression" dxfId="21" priority="5">
      <formula>$A6="L"</formula>
    </cfRule>
    <cfRule type="expression" dxfId="20" priority="6">
      <formula>$A6="K"</formula>
    </cfRule>
    <cfRule type="expression" dxfId="19" priority="7">
      <formula>$A6="J"</formula>
    </cfRule>
    <cfRule type="expression" dxfId="18" priority="8">
      <formula>$A6="I."</formula>
    </cfRule>
    <cfRule type="expression" dxfId="17" priority="9">
      <formula>$A6="H"</formula>
    </cfRule>
    <cfRule type="expression" dxfId="16" priority="10">
      <formula>$A6="G"</formula>
    </cfRule>
    <cfRule type="expression" dxfId="15" priority="11">
      <formula>$A6="F"</formula>
    </cfRule>
    <cfRule type="expression" dxfId="14" priority="12">
      <formula>$A6="E"</formula>
    </cfRule>
    <cfRule type="expression" dxfId="13" priority="13">
      <formula>$A6="D"</formula>
    </cfRule>
    <cfRule type="expression" dxfId="12" priority="14">
      <formula>$A6="-"</formula>
    </cfRule>
    <cfRule type="expression" dxfId="11" priority="15">
      <formula>$A6="C"</formula>
    </cfRule>
    <cfRule type="expression" dxfId="10" priority="16">
      <formula>$A6="B"</formula>
    </cfRule>
    <cfRule type="expression" dxfId="9" priority="17">
      <formula>$A6="A"</formula>
    </cfRule>
  </conditionalFormatting>
  <dataValidations count="2">
    <dataValidation type="list" allowBlank="1" showInputMessage="1" showErrorMessage="1" sqref="C3">
      <formula1>RZiS</formula1>
    </dataValidation>
    <dataValidation type="list" allowBlank="1" showInputMessage="1" showErrorMessage="1" sqref="E3">
      <formula1>Rzad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196"/>
  <sheetViews>
    <sheetView showGridLines="0" zoomScale="75" zoomScaleNormal="75" workbookViewId="0">
      <pane ySplit="5" topLeftCell="A6" activePane="bottomLeft" state="frozen"/>
      <selection pane="bottomLeft" activeCell="I7" sqref="I7"/>
    </sheetView>
  </sheetViews>
  <sheetFormatPr defaultColWidth="7.81640625" defaultRowHeight="14" x14ac:dyDescent="0.3"/>
  <cols>
    <col min="1" max="1" width="3.81640625" style="81" customWidth="1"/>
    <col min="2" max="2" width="3.36328125" style="81" bestFit="1" customWidth="1"/>
    <col min="3" max="3" width="3.26953125" style="81" customWidth="1"/>
    <col min="4" max="4" width="86.36328125" style="84" customWidth="1"/>
    <col min="5" max="5" width="18" style="156" customWidth="1"/>
    <col min="6" max="6" width="16.1796875" style="154" customWidth="1"/>
    <col min="7" max="7" width="6.36328125" style="82" customWidth="1"/>
    <col min="8" max="8" width="11.7265625" style="83" customWidth="1"/>
    <col min="9" max="9" width="8.81640625" style="137" bestFit="1" customWidth="1"/>
    <col min="10" max="10" width="42.1796875" style="82" customWidth="1"/>
    <col min="11" max="11" width="18.7265625" style="82" customWidth="1"/>
    <col min="12" max="12" width="23.7265625" style="82" customWidth="1"/>
    <col min="13" max="14" width="14.26953125" style="82" hidden="1" customWidth="1"/>
    <col min="15" max="16" width="13.08984375" style="82" hidden="1" customWidth="1"/>
    <col min="17" max="17" width="7.81640625" style="82" hidden="1" customWidth="1"/>
    <col min="18" max="18" width="12" style="82" hidden="1" customWidth="1"/>
    <col min="19" max="21" width="13.08984375" style="82" hidden="1" customWidth="1"/>
    <col min="22" max="260" width="7.81640625" style="82"/>
    <col min="261" max="261" width="63.54296875" style="82" customWidth="1"/>
    <col min="262" max="262" width="14.1796875" style="82" customWidth="1"/>
    <col min="263" max="263" width="14.453125" style="82" customWidth="1"/>
    <col min="264" max="264" width="2.453125" style="82" customWidth="1"/>
    <col min="265" max="265" width="15.7265625" style="82" customWidth="1"/>
    <col min="266" max="266" width="42.1796875" style="82" customWidth="1"/>
    <col min="267" max="267" width="18.7265625" style="82" customWidth="1"/>
    <col min="268" max="268" width="23.7265625" style="82" customWidth="1"/>
    <col min="269" max="516" width="7.81640625" style="82"/>
    <col min="517" max="517" width="63.54296875" style="82" customWidth="1"/>
    <col min="518" max="518" width="14.1796875" style="82" customWidth="1"/>
    <col min="519" max="519" width="14.453125" style="82" customWidth="1"/>
    <col min="520" max="520" width="2.453125" style="82" customWidth="1"/>
    <col min="521" max="521" width="15.7265625" style="82" customWidth="1"/>
    <col min="522" max="522" width="42.1796875" style="82" customWidth="1"/>
    <col min="523" max="523" width="18.7265625" style="82" customWidth="1"/>
    <col min="524" max="524" width="23.7265625" style="82" customWidth="1"/>
    <col min="525" max="772" width="7.81640625" style="82"/>
    <col min="773" max="773" width="63.54296875" style="82" customWidth="1"/>
    <col min="774" max="774" width="14.1796875" style="82" customWidth="1"/>
    <col min="775" max="775" width="14.453125" style="82" customWidth="1"/>
    <col min="776" max="776" width="2.453125" style="82" customWidth="1"/>
    <col min="777" max="777" width="15.7265625" style="82" customWidth="1"/>
    <col min="778" max="778" width="42.1796875" style="82" customWidth="1"/>
    <col min="779" max="779" width="18.7265625" style="82" customWidth="1"/>
    <col min="780" max="780" width="23.7265625" style="82" customWidth="1"/>
    <col min="781" max="1028" width="7.81640625" style="82"/>
    <col min="1029" max="1029" width="63.54296875" style="82" customWidth="1"/>
    <col min="1030" max="1030" width="14.1796875" style="82" customWidth="1"/>
    <col min="1031" max="1031" width="14.453125" style="82" customWidth="1"/>
    <col min="1032" max="1032" width="2.453125" style="82" customWidth="1"/>
    <col min="1033" max="1033" width="15.7265625" style="82" customWidth="1"/>
    <col min="1034" max="1034" width="42.1796875" style="82" customWidth="1"/>
    <col min="1035" max="1035" width="18.7265625" style="82" customWidth="1"/>
    <col min="1036" max="1036" width="23.7265625" style="82" customWidth="1"/>
    <col min="1037" max="1284" width="7.81640625" style="82"/>
    <col min="1285" max="1285" width="63.54296875" style="82" customWidth="1"/>
    <col min="1286" max="1286" width="14.1796875" style="82" customWidth="1"/>
    <col min="1287" max="1287" width="14.453125" style="82" customWidth="1"/>
    <col min="1288" max="1288" width="2.453125" style="82" customWidth="1"/>
    <col min="1289" max="1289" width="15.7265625" style="82" customWidth="1"/>
    <col min="1290" max="1290" width="42.1796875" style="82" customWidth="1"/>
    <col min="1291" max="1291" width="18.7265625" style="82" customWidth="1"/>
    <col min="1292" max="1292" width="23.7265625" style="82" customWidth="1"/>
    <col min="1293" max="1540" width="7.81640625" style="82"/>
    <col min="1541" max="1541" width="63.54296875" style="82" customWidth="1"/>
    <col min="1542" max="1542" width="14.1796875" style="82" customWidth="1"/>
    <col min="1543" max="1543" width="14.453125" style="82" customWidth="1"/>
    <col min="1544" max="1544" width="2.453125" style="82" customWidth="1"/>
    <col min="1545" max="1545" width="15.7265625" style="82" customWidth="1"/>
    <col min="1546" max="1546" width="42.1796875" style="82" customWidth="1"/>
    <col min="1547" max="1547" width="18.7265625" style="82" customWidth="1"/>
    <col min="1548" max="1548" width="23.7265625" style="82" customWidth="1"/>
    <col min="1549" max="1796" width="7.81640625" style="82"/>
    <col min="1797" max="1797" width="63.54296875" style="82" customWidth="1"/>
    <col min="1798" max="1798" width="14.1796875" style="82" customWidth="1"/>
    <col min="1799" max="1799" width="14.453125" style="82" customWidth="1"/>
    <col min="1800" max="1800" width="2.453125" style="82" customWidth="1"/>
    <col min="1801" max="1801" width="15.7265625" style="82" customWidth="1"/>
    <col min="1802" max="1802" width="42.1796875" style="82" customWidth="1"/>
    <col min="1803" max="1803" width="18.7265625" style="82" customWidth="1"/>
    <col min="1804" max="1804" width="23.7265625" style="82" customWidth="1"/>
    <col min="1805" max="2052" width="7.81640625" style="82"/>
    <col min="2053" max="2053" width="63.54296875" style="82" customWidth="1"/>
    <col min="2054" max="2054" width="14.1796875" style="82" customWidth="1"/>
    <col min="2055" max="2055" width="14.453125" style="82" customWidth="1"/>
    <col min="2056" max="2056" width="2.453125" style="82" customWidth="1"/>
    <col min="2057" max="2057" width="15.7265625" style="82" customWidth="1"/>
    <col min="2058" max="2058" width="42.1796875" style="82" customWidth="1"/>
    <col min="2059" max="2059" width="18.7265625" style="82" customWidth="1"/>
    <col min="2060" max="2060" width="23.7265625" style="82" customWidth="1"/>
    <col min="2061" max="2308" width="7.81640625" style="82"/>
    <col min="2309" max="2309" width="63.54296875" style="82" customWidth="1"/>
    <col min="2310" max="2310" width="14.1796875" style="82" customWidth="1"/>
    <col min="2311" max="2311" width="14.453125" style="82" customWidth="1"/>
    <col min="2312" max="2312" width="2.453125" style="82" customWidth="1"/>
    <col min="2313" max="2313" width="15.7265625" style="82" customWidth="1"/>
    <col min="2314" max="2314" width="42.1796875" style="82" customWidth="1"/>
    <col min="2315" max="2315" width="18.7265625" style="82" customWidth="1"/>
    <col min="2316" max="2316" width="23.7265625" style="82" customWidth="1"/>
    <col min="2317" max="2564" width="7.81640625" style="82"/>
    <col min="2565" max="2565" width="63.54296875" style="82" customWidth="1"/>
    <col min="2566" max="2566" width="14.1796875" style="82" customWidth="1"/>
    <col min="2567" max="2567" width="14.453125" style="82" customWidth="1"/>
    <col min="2568" max="2568" width="2.453125" style="82" customWidth="1"/>
    <col min="2569" max="2569" width="15.7265625" style="82" customWidth="1"/>
    <col min="2570" max="2570" width="42.1796875" style="82" customWidth="1"/>
    <col min="2571" max="2571" width="18.7265625" style="82" customWidth="1"/>
    <col min="2572" max="2572" width="23.7265625" style="82" customWidth="1"/>
    <col min="2573" max="2820" width="7.81640625" style="82"/>
    <col min="2821" max="2821" width="63.54296875" style="82" customWidth="1"/>
    <col min="2822" max="2822" width="14.1796875" style="82" customWidth="1"/>
    <col min="2823" max="2823" width="14.453125" style="82" customWidth="1"/>
    <col min="2824" max="2824" width="2.453125" style="82" customWidth="1"/>
    <col min="2825" max="2825" width="15.7265625" style="82" customWidth="1"/>
    <col min="2826" max="2826" width="42.1796875" style="82" customWidth="1"/>
    <col min="2827" max="2827" width="18.7265625" style="82" customWidth="1"/>
    <col min="2828" max="2828" width="23.7265625" style="82" customWidth="1"/>
    <col min="2829" max="3076" width="7.81640625" style="82"/>
    <col min="3077" max="3077" width="63.54296875" style="82" customWidth="1"/>
    <col min="3078" max="3078" width="14.1796875" style="82" customWidth="1"/>
    <col min="3079" max="3079" width="14.453125" style="82" customWidth="1"/>
    <col min="3080" max="3080" width="2.453125" style="82" customWidth="1"/>
    <col min="3081" max="3081" width="15.7265625" style="82" customWidth="1"/>
    <col min="3082" max="3082" width="42.1796875" style="82" customWidth="1"/>
    <col min="3083" max="3083" width="18.7265625" style="82" customWidth="1"/>
    <col min="3084" max="3084" width="23.7265625" style="82" customWidth="1"/>
    <col min="3085" max="3332" width="7.81640625" style="82"/>
    <col min="3333" max="3333" width="63.54296875" style="82" customWidth="1"/>
    <col min="3334" max="3334" width="14.1796875" style="82" customWidth="1"/>
    <col min="3335" max="3335" width="14.453125" style="82" customWidth="1"/>
    <col min="3336" max="3336" width="2.453125" style="82" customWidth="1"/>
    <col min="3337" max="3337" width="15.7265625" style="82" customWidth="1"/>
    <col min="3338" max="3338" width="42.1796875" style="82" customWidth="1"/>
    <col min="3339" max="3339" width="18.7265625" style="82" customWidth="1"/>
    <col min="3340" max="3340" width="23.7265625" style="82" customWidth="1"/>
    <col min="3341" max="3588" width="7.81640625" style="82"/>
    <col min="3589" max="3589" width="63.54296875" style="82" customWidth="1"/>
    <col min="3590" max="3590" width="14.1796875" style="82" customWidth="1"/>
    <col min="3591" max="3591" width="14.453125" style="82" customWidth="1"/>
    <col min="3592" max="3592" width="2.453125" style="82" customWidth="1"/>
    <col min="3593" max="3593" width="15.7265625" style="82" customWidth="1"/>
    <col min="3594" max="3594" width="42.1796875" style="82" customWidth="1"/>
    <col min="3595" max="3595" width="18.7265625" style="82" customWidth="1"/>
    <col min="3596" max="3596" width="23.7265625" style="82" customWidth="1"/>
    <col min="3597" max="3844" width="7.81640625" style="82"/>
    <col min="3845" max="3845" width="63.54296875" style="82" customWidth="1"/>
    <col min="3846" max="3846" width="14.1796875" style="82" customWidth="1"/>
    <col min="3847" max="3847" width="14.453125" style="82" customWidth="1"/>
    <col min="3848" max="3848" width="2.453125" style="82" customWidth="1"/>
    <col min="3849" max="3849" width="15.7265625" style="82" customWidth="1"/>
    <col min="3850" max="3850" width="42.1796875" style="82" customWidth="1"/>
    <col min="3851" max="3851" width="18.7265625" style="82" customWidth="1"/>
    <col min="3852" max="3852" width="23.7265625" style="82" customWidth="1"/>
    <col min="3853" max="4100" width="7.81640625" style="82"/>
    <col min="4101" max="4101" width="63.54296875" style="82" customWidth="1"/>
    <col min="4102" max="4102" width="14.1796875" style="82" customWidth="1"/>
    <col min="4103" max="4103" width="14.453125" style="82" customWidth="1"/>
    <col min="4104" max="4104" width="2.453125" style="82" customWidth="1"/>
    <col min="4105" max="4105" width="15.7265625" style="82" customWidth="1"/>
    <col min="4106" max="4106" width="42.1796875" style="82" customWidth="1"/>
    <col min="4107" max="4107" width="18.7265625" style="82" customWidth="1"/>
    <col min="4108" max="4108" width="23.7265625" style="82" customWidth="1"/>
    <col min="4109" max="4356" width="7.81640625" style="82"/>
    <col min="4357" max="4357" width="63.54296875" style="82" customWidth="1"/>
    <col min="4358" max="4358" width="14.1796875" style="82" customWidth="1"/>
    <col min="4359" max="4359" width="14.453125" style="82" customWidth="1"/>
    <col min="4360" max="4360" width="2.453125" style="82" customWidth="1"/>
    <col min="4361" max="4361" width="15.7265625" style="82" customWidth="1"/>
    <col min="4362" max="4362" width="42.1796875" style="82" customWidth="1"/>
    <col min="4363" max="4363" width="18.7265625" style="82" customWidth="1"/>
    <col min="4364" max="4364" width="23.7265625" style="82" customWidth="1"/>
    <col min="4365" max="4612" width="7.81640625" style="82"/>
    <col min="4613" max="4613" width="63.54296875" style="82" customWidth="1"/>
    <col min="4614" max="4614" width="14.1796875" style="82" customWidth="1"/>
    <col min="4615" max="4615" width="14.453125" style="82" customWidth="1"/>
    <col min="4616" max="4616" width="2.453125" style="82" customWidth="1"/>
    <col min="4617" max="4617" width="15.7265625" style="82" customWidth="1"/>
    <col min="4618" max="4618" width="42.1796875" style="82" customWidth="1"/>
    <col min="4619" max="4619" width="18.7265625" style="82" customWidth="1"/>
    <col min="4620" max="4620" width="23.7265625" style="82" customWidth="1"/>
    <col min="4621" max="4868" width="7.81640625" style="82"/>
    <col min="4869" max="4869" width="63.54296875" style="82" customWidth="1"/>
    <col min="4870" max="4870" width="14.1796875" style="82" customWidth="1"/>
    <col min="4871" max="4871" width="14.453125" style="82" customWidth="1"/>
    <col min="4872" max="4872" width="2.453125" style="82" customWidth="1"/>
    <col min="4873" max="4873" width="15.7265625" style="82" customWidth="1"/>
    <col min="4874" max="4874" width="42.1796875" style="82" customWidth="1"/>
    <col min="4875" max="4875" width="18.7265625" style="82" customWidth="1"/>
    <col min="4876" max="4876" width="23.7265625" style="82" customWidth="1"/>
    <col min="4877" max="5124" width="7.81640625" style="82"/>
    <col min="5125" max="5125" width="63.54296875" style="82" customWidth="1"/>
    <col min="5126" max="5126" width="14.1796875" style="82" customWidth="1"/>
    <col min="5127" max="5127" width="14.453125" style="82" customWidth="1"/>
    <col min="5128" max="5128" width="2.453125" style="82" customWidth="1"/>
    <col min="5129" max="5129" width="15.7265625" style="82" customWidth="1"/>
    <col min="5130" max="5130" width="42.1796875" style="82" customWidth="1"/>
    <col min="5131" max="5131" width="18.7265625" style="82" customWidth="1"/>
    <col min="5132" max="5132" width="23.7265625" style="82" customWidth="1"/>
    <col min="5133" max="5380" width="7.81640625" style="82"/>
    <col min="5381" max="5381" width="63.54296875" style="82" customWidth="1"/>
    <col min="5382" max="5382" width="14.1796875" style="82" customWidth="1"/>
    <col min="5383" max="5383" width="14.453125" style="82" customWidth="1"/>
    <col min="5384" max="5384" width="2.453125" style="82" customWidth="1"/>
    <col min="5385" max="5385" width="15.7265625" style="82" customWidth="1"/>
    <col min="5386" max="5386" width="42.1796875" style="82" customWidth="1"/>
    <col min="5387" max="5387" width="18.7265625" style="82" customWidth="1"/>
    <col min="5388" max="5388" width="23.7265625" style="82" customWidth="1"/>
    <col min="5389" max="5636" width="7.81640625" style="82"/>
    <col min="5637" max="5637" width="63.54296875" style="82" customWidth="1"/>
    <col min="5638" max="5638" width="14.1796875" style="82" customWidth="1"/>
    <col min="5639" max="5639" width="14.453125" style="82" customWidth="1"/>
    <col min="5640" max="5640" width="2.453125" style="82" customWidth="1"/>
    <col min="5641" max="5641" width="15.7265625" style="82" customWidth="1"/>
    <col min="5642" max="5642" width="42.1796875" style="82" customWidth="1"/>
    <col min="5643" max="5643" width="18.7265625" style="82" customWidth="1"/>
    <col min="5644" max="5644" width="23.7265625" style="82" customWidth="1"/>
    <col min="5645" max="5892" width="7.81640625" style="82"/>
    <col min="5893" max="5893" width="63.54296875" style="82" customWidth="1"/>
    <col min="5894" max="5894" width="14.1796875" style="82" customWidth="1"/>
    <col min="5895" max="5895" width="14.453125" style="82" customWidth="1"/>
    <col min="5896" max="5896" width="2.453125" style="82" customWidth="1"/>
    <col min="5897" max="5897" width="15.7265625" style="82" customWidth="1"/>
    <col min="5898" max="5898" width="42.1796875" style="82" customWidth="1"/>
    <col min="5899" max="5899" width="18.7265625" style="82" customWidth="1"/>
    <col min="5900" max="5900" width="23.7265625" style="82" customWidth="1"/>
    <col min="5901" max="6148" width="7.81640625" style="82"/>
    <col min="6149" max="6149" width="63.54296875" style="82" customWidth="1"/>
    <col min="6150" max="6150" width="14.1796875" style="82" customWidth="1"/>
    <col min="6151" max="6151" width="14.453125" style="82" customWidth="1"/>
    <col min="6152" max="6152" width="2.453125" style="82" customWidth="1"/>
    <col min="6153" max="6153" width="15.7265625" style="82" customWidth="1"/>
    <col min="6154" max="6154" width="42.1796875" style="82" customWidth="1"/>
    <col min="6155" max="6155" width="18.7265625" style="82" customWidth="1"/>
    <col min="6156" max="6156" width="23.7265625" style="82" customWidth="1"/>
    <col min="6157" max="6404" width="7.81640625" style="82"/>
    <col min="6405" max="6405" width="63.54296875" style="82" customWidth="1"/>
    <col min="6406" max="6406" width="14.1796875" style="82" customWidth="1"/>
    <col min="6407" max="6407" width="14.453125" style="82" customWidth="1"/>
    <col min="6408" max="6408" width="2.453125" style="82" customWidth="1"/>
    <col min="6409" max="6409" width="15.7265625" style="82" customWidth="1"/>
    <col min="6410" max="6410" width="42.1796875" style="82" customWidth="1"/>
    <col min="6411" max="6411" width="18.7265625" style="82" customWidth="1"/>
    <col min="6412" max="6412" width="23.7265625" style="82" customWidth="1"/>
    <col min="6413" max="6660" width="7.81640625" style="82"/>
    <col min="6661" max="6661" width="63.54296875" style="82" customWidth="1"/>
    <col min="6662" max="6662" width="14.1796875" style="82" customWidth="1"/>
    <col min="6663" max="6663" width="14.453125" style="82" customWidth="1"/>
    <col min="6664" max="6664" width="2.453125" style="82" customWidth="1"/>
    <col min="6665" max="6665" width="15.7265625" style="82" customWidth="1"/>
    <col min="6666" max="6666" width="42.1796875" style="82" customWidth="1"/>
    <col min="6667" max="6667" width="18.7265625" style="82" customWidth="1"/>
    <col min="6668" max="6668" width="23.7265625" style="82" customWidth="1"/>
    <col min="6669" max="6916" width="7.81640625" style="82"/>
    <col min="6917" max="6917" width="63.54296875" style="82" customWidth="1"/>
    <col min="6918" max="6918" width="14.1796875" style="82" customWidth="1"/>
    <col min="6919" max="6919" width="14.453125" style="82" customWidth="1"/>
    <col min="6920" max="6920" width="2.453125" style="82" customWidth="1"/>
    <col min="6921" max="6921" width="15.7265625" style="82" customWidth="1"/>
    <col min="6922" max="6922" width="42.1796875" style="82" customWidth="1"/>
    <col min="6923" max="6923" width="18.7265625" style="82" customWidth="1"/>
    <col min="6924" max="6924" width="23.7265625" style="82" customWidth="1"/>
    <col min="6925" max="7172" width="7.81640625" style="82"/>
    <col min="7173" max="7173" width="63.54296875" style="82" customWidth="1"/>
    <col min="7174" max="7174" width="14.1796875" style="82" customWidth="1"/>
    <col min="7175" max="7175" width="14.453125" style="82" customWidth="1"/>
    <col min="7176" max="7176" width="2.453125" style="82" customWidth="1"/>
    <col min="7177" max="7177" width="15.7265625" style="82" customWidth="1"/>
    <col min="7178" max="7178" width="42.1796875" style="82" customWidth="1"/>
    <col min="7179" max="7179" width="18.7265625" style="82" customWidth="1"/>
    <col min="7180" max="7180" width="23.7265625" style="82" customWidth="1"/>
    <col min="7181" max="7428" width="7.81640625" style="82"/>
    <col min="7429" max="7429" width="63.54296875" style="82" customWidth="1"/>
    <col min="7430" max="7430" width="14.1796875" style="82" customWidth="1"/>
    <col min="7431" max="7431" width="14.453125" style="82" customWidth="1"/>
    <col min="7432" max="7432" width="2.453125" style="82" customWidth="1"/>
    <col min="7433" max="7433" width="15.7265625" style="82" customWidth="1"/>
    <col min="7434" max="7434" width="42.1796875" style="82" customWidth="1"/>
    <col min="7435" max="7435" width="18.7265625" style="82" customWidth="1"/>
    <col min="7436" max="7436" width="23.7265625" style="82" customWidth="1"/>
    <col min="7437" max="7684" width="7.81640625" style="82"/>
    <col min="7685" max="7685" width="63.54296875" style="82" customWidth="1"/>
    <col min="7686" max="7686" width="14.1796875" style="82" customWidth="1"/>
    <col min="7687" max="7687" width="14.453125" style="82" customWidth="1"/>
    <col min="7688" max="7688" width="2.453125" style="82" customWidth="1"/>
    <col min="7689" max="7689" width="15.7265625" style="82" customWidth="1"/>
    <col min="7690" max="7690" width="42.1796875" style="82" customWidth="1"/>
    <col min="7691" max="7691" width="18.7265625" style="82" customWidth="1"/>
    <col min="7692" max="7692" width="23.7265625" style="82" customWidth="1"/>
    <col min="7693" max="7940" width="7.81640625" style="82"/>
    <col min="7941" max="7941" width="63.54296875" style="82" customWidth="1"/>
    <col min="7942" max="7942" width="14.1796875" style="82" customWidth="1"/>
    <col min="7943" max="7943" width="14.453125" style="82" customWidth="1"/>
    <col min="7944" max="7944" width="2.453125" style="82" customWidth="1"/>
    <col min="7945" max="7945" width="15.7265625" style="82" customWidth="1"/>
    <col min="7946" max="7946" width="42.1796875" style="82" customWidth="1"/>
    <col min="7947" max="7947" width="18.7265625" style="82" customWidth="1"/>
    <col min="7948" max="7948" width="23.7265625" style="82" customWidth="1"/>
    <col min="7949" max="8196" width="7.81640625" style="82"/>
    <col min="8197" max="8197" width="63.54296875" style="82" customWidth="1"/>
    <col min="8198" max="8198" width="14.1796875" style="82" customWidth="1"/>
    <col min="8199" max="8199" width="14.453125" style="82" customWidth="1"/>
    <col min="8200" max="8200" width="2.453125" style="82" customWidth="1"/>
    <col min="8201" max="8201" width="15.7265625" style="82" customWidth="1"/>
    <col min="8202" max="8202" width="42.1796875" style="82" customWidth="1"/>
    <col min="8203" max="8203" width="18.7265625" style="82" customWidth="1"/>
    <col min="8204" max="8204" width="23.7265625" style="82" customWidth="1"/>
    <col min="8205" max="8452" width="7.81640625" style="82"/>
    <col min="8453" max="8453" width="63.54296875" style="82" customWidth="1"/>
    <col min="8454" max="8454" width="14.1796875" style="82" customWidth="1"/>
    <col min="8455" max="8455" width="14.453125" style="82" customWidth="1"/>
    <col min="8456" max="8456" width="2.453125" style="82" customWidth="1"/>
    <col min="8457" max="8457" width="15.7265625" style="82" customWidth="1"/>
    <col min="8458" max="8458" width="42.1796875" style="82" customWidth="1"/>
    <col min="8459" max="8459" width="18.7265625" style="82" customWidth="1"/>
    <col min="8460" max="8460" width="23.7265625" style="82" customWidth="1"/>
    <col min="8461" max="8708" width="7.81640625" style="82"/>
    <col min="8709" max="8709" width="63.54296875" style="82" customWidth="1"/>
    <col min="8710" max="8710" width="14.1796875" style="82" customWidth="1"/>
    <col min="8711" max="8711" width="14.453125" style="82" customWidth="1"/>
    <col min="8712" max="8712" width="2.453125" style="82" customWidth="1"/>
    <col min="8713" max="8713" width="15.7265625" style="82" customWidth="1"/>
    <col min="8714" max="8714" width="42.1796875" style="82" customWidth="1"/>
    <col min="8715" max="8715" width="18.7265625" style="82" customWidth="1"/>
    <col min="8716" max="8716" width="23.7265625" style="82" customWidth="1"/>
    <col min="8717" max="8964" width="7.81640625" style="82"/>
    <col min="8965" max="8965" width="63.54296875" style="82" customWidth="1"/>
    <col min="8966" max="8966" width="14.1796875" style="82" customWidth="1"/>
    <col min="8967" max="8967" width="14.453125" style="82" customWidth="1"/>
    <col min="8968" max="8968" width="2.453125" style="82" customWidth="1"/>
    <col min="8969" max="8969" width="15.7265625" style="82" customWidth="1"/>
    <col min="8970" max="8970" width="42.1796875" style="82" customWidth="1"/>
    <col min="8971" max="8971" width="18.7265625" style="82" customWidth="1"/>
    <col min="8972" max="8972" width="23.7265625" style="82" customWidth="1"/>
    <col min="8973" max="9220" width="7.81640625" style="82"/>
    <col min="9221" max="9221" width="63.54296875" style="82" customWidth="1"/>
    <col min="9222" max="9222" width="14.1796875" style="82" customWidth="1"/>
    <col min="9223" max="9223" width="14.453125" style="82" customWidth="1"/>
    <col min="9224" max="9224" width="2.453125" style="82" customWidth="1"/>
    <col min="9225" max="9225" width="15.7265625" style="82" customWidth="1"/>
    <col min="9226" max="9226" width="42.1796875" style="82" customWidth="1"/>
    <col min="9227" max="9227" width="18.7265625" style="82" customWidth="1"/>
    <col min="9228" max="9228" width="23.7265625" style="82" customWidth="1"/>
    <col min="9229" max="9476" width="7.81640625" style="82"/>
    <col min="9477" max="9477" width="63.54296875" style="82" customWidth="1"/>
    <col min="9478" max="9478" width="14.1796875" style="82" customWidth="1"/>
    <col min="9479" max="9479" width="14.453125" style="82" customWidth="1"/>
    <col min="9480" max="9480" width="2.453125" style="82" customWidth="1"/>
    <col min="9481" max="9481" width="15.7265625" style="82" customWidth="1"/>
    <col min="9482" max="9482" width="42.1796875" style="82" customWidth="1"/>
    <col min="9483" max="9483" width="18.7265625" style="82" customWidth="1"/>
    <col min="9484" max="9484" width="23.7265625" style="82" customWidth="1"/>
    <col min="9485" max="9732" width="7.81640625" style="82"/>
    <col min="9733" max="9733" width="63.54296875" style="82" customWidth="1"/>
    <col min="9734" max="9734" width="14.1796875" style="82" customWidth="1"/>
    <col min="9735" max="9735" width="14.453125" style="82" customWidth="1"/>
    <col min="9736" max="9736" width="2.453125" style="82" customWidth="1"/>
    <col min="9737" max="9737" width="15.7265625" style="82" customWidth="1"/>
    <col min="9738" max="9738" width="42.1796875" style="82" customWidth="1"/>
    <col min="9739" max="9739" width="18.7265625" style="82" customWidth="1"/>
    <col min="9740" max="9740" width="23.7265625" style="82" customWidth="1"/>
    <col min="9741" max="9988" width="7.81640625" style="82"/>
    <col min="9989" max="9989" width="63.54296875" style="82" customWidth="1"/>
    <col min="9990" max="9990" width="14.1796875" style="82" customWidth="1"/>
    <col min="9991" max="9991" width="14.453125" style="82" customWidth="1"/>
    <col min="9992" max="9992" width="2.453125" style="82" customWidth="1"/>
    <col min="9993" max="9993" width="15.7265625" style="82" customWidth="1"/>
    <col min="9994" max="9994" width="42.1796875" style="82" customWidth="1"/>
    <col min="9995" max="9995" width="18.7265625" style="82" customWidth="1"/>
    <col min="9996" max="9996" width="23.7265625" style="82" customWidth="1"/>
    <col min="9997" max="10244" width="7.81640625" style="82"/>
    <col min="10245" max="10245" width="63.54296875" style="82" customWidth="1"/>
    <col min="10246" max="10246" width="14.1796875" style="82" customWidth="1"/>
    <col min="10247" max="10247" width="14.453125" style="82" customWidth="1"/>
    <col min="10248" max="10248" width="2.453125" style="82" customWidth="1"/>
    <col min="10249" max="10249" width="15.7265625" style="82" customWidth="1"/>
    <col min="10250" max="10250" width="42.1796875" style="82" customWidth="1"/>
    <col min="10251" max="10251" width="18.7265625" style="82" customWidth="1"/>
    <col min="10252" max="10252" width="23.7265625" style="82" customWidth="1"/>
    <col min="10253" max="10500" width="7.81640625" style="82"/>
    <col min="10501" max="10501" width="63.54296875" style="82" customWidth="1"/>
    <col min="10502" max="10502" width="14.1796875" style="82" customWidth="1"/>
    <col min="10503" max="10503" width="14.453125" style="82" customWidth="1"/>
    <col min="10504" max="10504" width="2.453125" style="82" customWidth="1"/>
    <col min="10505" max="10505" width="15.7265625" style="82" customWidth="1"/>
    <col min="10506" max="10506" width="42.1796875" style="82" customWidth="1"/>
    <col min="10507" max="10507" width="18.7265625" style="82" customWidth="1"/>
    <col min="10508" max="10508" width="23.7265625" style="82" customWidth="1"/>
    <col min="10509" max="10756" width="7.81640625" style="82"/>
    <col min="10757" max="10757" width="63.54296875" style="82" customWidth="1"/>
    <col min="10758" max="10758" width="14.1796875" style="82" customWidth="1"/>
    <col min="10759" max="10759" width="14.453125" style="82" customWidth="1"/>
    <col min="10760" max="10760" width="2.453125" style="82" customWidth="1"/>
    <col min="10761" max="10761" width="15.7265625" style="82" customWidth="1"/>
    <col min="10762" max="10762" width="42.1796875" style="82" customWidth="1"/>
    <col min="10763" max="10763" width="18.7265625" style="82" customWidth="1"/>
    <col min="10764" max="10764" width="23.7265625" style="82" customWidth="1"/>
    <col min="10765" max="11012" width="7.81640625" style="82"/>
    <col min="11013" max="11013" width="63.54296875" style="82" customWidth="1"/>
    <col min="11014" max="11014" width="14.1796875" style="82" customWidth="1"/>
    <col min="11015" max="11015" width="14.453125" style="82" customWidth="1"/>
    <col min="11016" max="11016" width="2.453125" style="82" customWidth="1"/>
    <col min="11017" max="11017" width="15.7265625" style="82" customWidth="1"/>
    <col min="11018" max="11018" width="42.1796875" style="82" customWidth="1"/>
    <col min="11019" max="11019" width="18.7265625" style="82" customWidth="1"/>
    <col min="11020" max="11020" width="23.7265625" style="82" customWidth="1"/>
    <col min="11021" max="11268" width="7.81640625" style="82"/>
    <col min="11269" max="11269" width="63.54296875" style="82" customWidth="1"/>
    <col min="11270" max="11270" width="14.1796875" style="82" customWidth="1"/>
    <col min="11271" max="11271" width="14.453125" style="82" customWidth="1"/>
    <col min="11272" max="11272" width="2.453125" style="82" customWidth="1"/>
    <col min="11273" max="11273" width="15.7265625" style="82" customWidth="1"/>
    <col min="11274" max="11274" width="42.1796875" style="82" customWidth="1"/>
    <col min="11275" max="11275" width="18.7265625" style="82" customWidth="1"/>
    <col min="11276" max="11276" width="23.7265625" style="82" customWidth="1"/>
    <col min="11277" max="11524" width="7.81640625" style="82"/>
    <col min="11525" max="11525" width="63.54296875" style="82" customWidth="1"/>
    <col min="11526" max="11526" width="14.1796875" style="82" customWidth="1"/>
    <col min="11527" max="11527" width="14.453125" style="82" customWidth="1"/>
    <col min="11528" max="11528" width="2.453125" style="82" customWidth="1"/>
    <col min="11529" max="11529" width="15.7265625" style="82" customWidth="1"/>
    <col min="11530" max="11530" width="42.1796875" style="82" customWidth="1"/>
    <col min="11531" max="11531" width="18.7265625" style="82" customWidth="1"/>
    <col min="11532" max="11532" width="23.7265625" style="82" customWidth="1"/>
    <col min="11533" max="11780" width="7.81640625" style="82"/>
    <col min="11781" max="11781" width="63.54296875" style="82" customWidth="1"/>
    <col min="11782" max="11782" width="14.1796875" style="82" customWidth="1"/>
    <col min="11783" max="11783" width="14.453125" style="82" customWidth="1"/>
    <col min="11784" max="11784" width="2.453125" style="82" customWidth="1"/>
    <col min="11785" max="11785" width="15.7265625" style="82" customWidth="1"/>
    <col min="11786" max="11786" width="42.1796875" style="82" customWidth="1"/>
    <col min="11787" max="11787" width="18.7265625" style="82" customWidth="1"/>
    <col min="11788" max="11788" width="23.7265625" style="82" customWidth="1"/>
    <col min="11789" max="12036" width="7.81640625" style="82"/>
    <col min="12037" max="12037" width="63.54296875" style="82" customWidth="1"/>
    <col min="12038" max="12038" width="14.1796875" style="82" customWidth="1"/>
    <col min="12039" max="12039" width="14.453125" style="82" customWidth="1"/>
    <col min="12040" max="12040" width="2.453125" style="82" customWidth="1"/>
    <col min="12041" max="12041" width="15.7265625" style="82" customWidth="1"/>
    <col min="12042" max="12042" width="42.1796875" style="82" customWidth="1"/>
    <col min="12043" max="12043" width="18.7265625" style="82" customWidth="1"/>
    <col min="12044" max="12044" width="23.7265625" style="82" customWidth="1"/>
    <col min="12045" max="12292" width="7.81640625" style="82"/>
    <col min="12293" max="12293" width="63.54296875" style="82" customWidth="1"/>
    <col min="12294" max="12294" width="14.1796875" style="82" customWidth="1"/>
    <col min="12295" max="12295" width="14.453125" style="82" customWidth="1"/>
    <col min="12296" max="12296" width="2.453125" style="82" customWidth="1"/>
    <col min="12297" max="12297" width="15.7265625" style="82" customWidth="1"/>
    <col min="12298" max="12298" width="42.1796875" style="82" customWidth="1"/>
    <col min="12299" max="12299" width="18.7265625" style="82" customWidth="1"/>
    <col min="12300" max="12300" width="23.7265625" style="82" customWidth="1"/>
    <col min="12301" max="12548" width="7.81640625" style="82"/>
    <col min="12549" max="12549" width="63.54296875" style="82" customWidth="1"/>
    <col min="12550" max="12550" width="14.1796875" style="82" customWidth="1"/>
    <col min="12551" max="12551" width="14.453125" style="82" customWidth="1"/>
    <col min="12552" max="12552" width="2.453125" style="82" customWidth="1"/>
    <col min="12553" max="12553" width="15.7265625" style="82" customWidth="1"/>
    <col min="12554" max="12554" width="42.1796875" style="82" customWidth="1"/>
    <col min="12555" max="12555" width="18.7265625" style="82" customWidth="1"/>
    <col min="12556" max="12556" width="23.7265625" style="82" customWidth="1"/>
    <col min="12557" max="12804" width="7.81640625" style="82"/>
    <col min="12805" max="12805" width="63.54296875" style="82" customWidth="1"/>
    <col min="12806" max="12806" width="14.1796875" style="82" customWidth="1"/>
    <col min="12807" max="12807" width="14.453125" style="82" customWidth="1"/>
    <col min="12808" max="12808" width="2.453125" style="82" customWidth="1"/>
    <col min="12809" max="12809" width="15.7265625" style="82" customWidth="1"/>
    <col min="12810" max="12810" width="42.1796875" style="82" customWidth="1"/>
    <col min="12811" max="12811" width="18.7265625" style="82" customWidth="1"/>
    <col min="12812" max="12812" width="23.7265625" style="82" customWidth="1"/>
    <col min="12813" max="13060" width="7.81640625" style="82"/>
    <col min="13061" max="13061" width="63.54296875" style="82" customWidth="1"/>
    <col min="13062" max="13062" width="14.1796875" style="82" customWidth="1"/>
    <col min="13063" max="13063" width="14.453125" style="82" customWidth="1"/>
    <col min="13064" max="13064" width="2.453125" style="82" customWidth="1"/>
    <col min="13065" max="13065" width="15.7265625" style="82" customWidth="1"/>
    <col min="13066" max="13066" width="42.1796875" style="82" customWidth="1"/>
    <col min="13067" max="13067" width="18.7265625" style="82" customWidth="1"/>
    <col min="13068" max="13068" width="23.7265625" style="82" customWidth="1"/>
    <col min="13069" max="13316" width="7.81640625" style="82"/>
    <col min="13317" max="13317" width="63.54296875" style="82" customWidth="1"/>
    <col min="13318" max="13318" width="14.1796875" style="82" customWidth="1"/>
    <col min="13319" max="13319" width="14.453125" style="82" customWidth="1"/>
    <col min="13320" max="13320" width="2.453125" style="82" customWidth="1"/>
    <col min="13321" max="13321" width="15.7265625" style="82" customWidth="1"/>
    <col min="13322" max="13322" width="42.1796875" style="82" customWidth="1"/>
    <col min="13323" max="13323" width="18.7265625" style="82" customWidth="1"/>
    <col min="13324" max="13324" width="23.7265625" style="82" customWidth="1"/>
    <col min="13325" max="13572" width="7.81640625" style="82"/>
    <col min="13573" max="13573" width="63.54296875" style="82" customWidth="1"/>
    <col min="13574" max="13574" width="14.1796875" style="82" customWidth="1"/>
    <col min="13575" max="13575" width="14.453125" style="82" customWidth="1"/>
    <col min="13576" max="13576" width="2.453125" style="82" customWidth="1"/>
    <col min="13577" max="13577" width="15.7265625" style="82" customWidth="1"/>
    <col min="13578" max="13578" width="42.1796875" style="82" customWidth="1"/>
    <col min="13579" max="13579" width="18.7265625" style="82" customWidth="1"/>
    <col min="13580" max="13580" width="23.7265625" style="82" customWidth="1"/>
    <col min="13581" max="13828" width="7.81640625" style="82"/>
    <col min="13829" max="13829" width="63.54296875" style="82" customWidth="1"/>
    <col min="13830" max="13830" width="14.1796875" style="82" customWidth="1"/>
    <col min="13831" max="13831" width="14.453125" style="82" customWidth="1"/>
    <col min="13832" max="13832" width="2.453125" style="82" customWidth="1"/>
    <col min="13833" max="13833" width="15.7265625" style="82" customWidth="1"/>
    <col min="13834" max="13834" width="42.1796875" style="82" customWidth="1"/>
    <col min="13835" max="13835" width="18.7265625" style="82" customWidth="1"/>
    <col min="13836" max="13836" width="23.7265625" style="82" customWidth="1"/>
    <col min="13837" max="14084" width="7.81640625" style="82"/>
    <col min="14085" max="14085" width="63.54296875" style="82" customWidth="1"/>
    <col min="14086" max="14086" width="14.1796875" style="82" customWidth="1"/>
    <col min="14087" max="14087" width="14.453125" style="82" customWidth="1"/>
    <col min="14088" max="14088" width="2.453125" style="82" customWidth="1"/>
    <col min="14089" max="14089" width="15.7265625" style="82" customWidth="1"/>
    <col min="14090" max="14090" width="42.1796875" style="82" customWidth="1"/>
    <col min="14091" max="14091" width="18.7265625" style="82" customWidth="1"/>
    <col min="14092" max="14092" width="23.7265625" style="82" customWidth="1"/>
    <col min="14093" max="14340" width="7.81640625" style="82"/>
    <col min="14341" max="14341" width="63.54296875" style="82" customWidth="1"/>
    <col min="14342" max="14342" width="14.1796875" style="82" customWidth="1"/>
    <col min="14343" max="14343" width="14.453125" style="82" customWidth="1"/>
    <col min="14344" max="14344" width="2.453125" style="82" customWidth="1"/>
    <col min="14345" max="14345" width="15.7265625" style="82" customWidth="1"/>
    <col min="14346" max="14346" width="42.1796875" style="82" customWidth="1"/>
    <col min="14347" max="14347" width="18.7265625" style="82" customWidth="1"/>
    <col min="14348" max="14348" width="23.7265625" style="82" customWidth="1"/>
    <col min="14349" max="14596" width="7.81640625" style="82"/>
    <col min="14597" max="14597" width="63.54296875" style="82" customWidth="1"/>
    <col min="14598" max="14598" width="14.1796875" style="82" customWidth="1"/>
    <col min="14599" max="14599" width="14.453125" style="82" customWidth="1"/>
    <col min="14600" max="14600" width="2.453125" style="82" customWidth="1"/>
    <col min="14601" max="14601" width="15.7265625" style="82" customWidth="1"/>
    <col min="14602" max="14602" width="42.1796875" style="82" customWidth="1"/>
    <col min="14603" max="14603" width="18.7265625" style="82" customWidth="1"/>
    <col min="14604" max="14604" width="23.7265625" style="82" customWidth="1"/>
    <col min="14605" max="14852" width="7.81640625" style="82"/>
    <col min="14853" max="14853" width="63.54296875" style="82" customWidth="1"/>
    <col min="14854" max="14854" width="14.1796875" style="82" customWidth="1"/>
    <col min="14855" max="14855" width="14.453125" style="82" customWidth="1"/>
    <col min="14856" max="14856" width="2.453125" style="82" customWidth="1"/>
    <col min="14857" max="14857" width="15.7265625" style="82" customWidth="1"/>
    <col min="14858" max="14858" width="42.1796875" style="82" customWidth="1"/>
    <col min="14859" max="14859" width="18.7265625" style="82" customWidth="1"/>
    <col min="14860" max="14860" width="23.7265625" style="82" customWidth="1"/>
    <col min="14861" max="15108" width="7.81640625" style="82"/>
    <col min="15109" max="15109" width="63.54296875" style="82" customWidth="1"/>
    <col min="15110" max="15110" width="14.1796875" style="82" customWidth="1"/>
    <col min="15111" max="15111" width="14.453125" style="82" customWidth="1"/>
    <col min="15112" max="15112" width="2.453125" style="82" customWidth="1"/>
    <col min="15113" max="15113" width="15.7265625" style="82" customWidth="1"/>
    <col min="15114" max="15114" width="42.1796875" style="82" customWidth="1"/>
    <col min="15115" max="15115" width="18.7265625" style="82" customWidth="1"/>
    <col min="15116" max="15116" width="23.7265625" style="82" customWidth="1"/>
    <col min="15117" max="15364" width="7.81640625" style="82"/>
    <col min="15365" max="15365" width="63.54296875" style="82" customWidth="1"/>
    <col min="15366" max="15366" width="14.1796875" style="82" customWidth="1"/>
    <col min="15367" max="15367" width="14.453125" style="82" customWidth="1"/>
    <col min="15368" max="15368" width="2.453125" style="82" customWidth="1"/>
    <col min="15369" max="15369" width="15.7265625" style="82" customWidth="1"/>
    <col min="15370" max="15370" width="42.1796875" style="82" customWidth="1"/>
    <col min="15371" max="15371" width="18.7265625" style="82" customWidth="1"/>
    <col min="15372" max="15372" width="23.7265625" style="82" customWidth="1"/>
    <col min="15373" max="15620" width="7.81640625" style="82"/>
    <col min="15621" max="15621" width="63.54296875" style="82" customWidth="1"/>
    <col min="15622" max="15622" width="14.1796875" style="82" customWidth="1"/>
    <col min="15623" max="15623" width="14.453125" style="82" customWidth="1"/>
    <col min="15624" max="15624" width="2.453125" style="82" customWidth="1"/>
    <col min="15625" max="15625" width="15.7265625" style="82" customWidth="1"/>
    <col min="15626" max="15626" width="42.1796875" style="82" customWidth="1"/>
    <col min="15627" max="15627" width="18.7265625" style="82" customWidth="1"/>
    <col min="15628" max="15628" width="23.7265625" style="82" customWidth="1"/>
    <col min="15629" max="15876" width="7.81640625" style="82"/>
    <col min="15877" max="15877" width="63.54296875" style="82" customWidth="1"/>
    <col min="15878" max="15878" width="14.1796875" style="82" customWidth="1"/>
    <col min="15879" max="15879" width="14.453125" style="82" customWidth="1"/>
    <col min="15880" max="15880" width="2.453125" style="82" customWidth="1"/>
    <col min="15881" max="15881" width="15.7265625" style="82" customWidth="1"/>
    <col min="15882" max="15882" width="42.1796875" style="82" customWidth="1"/>
    <col min="15883" max="15883" width="18.7265625" style="82" customWidth="1"/>
    <col min="15884" max="15884" width="23.7265625" style="82" customWidth="1"/>
    <col min="15885" max="16132" width="7.81640625" style="82"/>
    <col min="16133" max="16133" width="63.54296875" style="82" customWidth="1"/>
    <col min="16134" max="16134" width="14.1796875" style="82" customWidth="1"/>
    <col min="16135" max="16135" width="14.453125" style="82" customWidth="1"/>
    <col min="16136" max="16136" width="2.453125" style="82" customWidth="1"/>
    <col min="16137" max="16137" width="15.7265625" style="82" customWidth="1"/>
    <col min="16138" max="16138" width="42.1796875" style="82" customWidth="1"/>
    <col min="16139" max="16139" width="18.7265625" style="82" customWidth="1"/>
    <col min="16140" max="16140" width="23.7265625" style="82" customWidth="1"/>
    <col min="16141" max="16384" width="7.81640625" style="82"/>
  </cols>
  <sheetData>
    <row r="1" spans="1:21" ht="15" x14ac:dyDescent="0.3">
      <c r="D1" s="14" t="str">
        <f>JPK_KR!L2</f>
        <v>Firma Demonstracyjna</v>
      </c>
      <c r="E1" s="150" t="s">
        <v>296</v>
      </c>
      <c r="F1" s="157">
        <f>JPK_KR!K2</f>
        <v>0</v>
      </c>
    </row>
    <row r="3" spans="1:21" x14ac:dyDescent="0.3">
      <c r="E3" s="151" t="s">
        <v>325</v>
      </c>
      <c r="F3" s="168" t="s">
        <v>324</v>
      </c>
      <c r="M3" s="230">
        <f>E5</f>
        <v>2013</v>
      </c>
      <c r="N3" s="230"/>
      <c r="O3" s="230"/>
      <c r="P3" s="230"/>
      <c r="R3" s="230">
        <f>F5</f>
        <v>2012</v>
      </c>
      <c r="S3" s="230"/>
      <c r="T3" s="230"/>
      <c r="U3" s="230"/>
    </row>
    <row r="5" spans="1:21" x14ac:dyDescent="0.3">
      <c r="D5" s="85" t="s">
        <v>302</v>
      </c>
      <c r="E5" s="172">
        <f>YEAR(JPK_KR!G2)</f>
        <v>2013</v>
      </c>
      <c r="F5" s="172">
        <f>YEAR('JPK_KR-1'!G2)</f>
        <v>2012</v>
      </c>
      <c r="H5" s="86" t="s">
        <v>109</v>
      </c>
      <c r="I5" s="86" t="s">
        <v>1637</v>
      </c>
      <c r="M5" s="82" t="s">
        <v>174</v>
      </c>
      <c r="N5" s="82" t="s">
        <v>175</v>
      </c>
      <c r="O5" s="82" t="s">
        <v>1635</v>
      </c>
      <c r="P5" s="82" t="s">
        <v>1636</v>
      </c>
      <c r="R5" s="82" t="s">
        <v>174</v>
      </c>
      <c r="S5" s="82" t="s">
        <v>175</v>
      </c>
      <c r="T5" s="82" t="s">
        <v>1635</v>
      </c>
      <c r="U5" s="82" t="s">
        <v>1636</v>
      </c>
    </row>
    <row r="6" spans="1:21" x14ac:dyDescent="0.3">
      <c r="A6" s="223" t="s">
        <v>164</v>
      </c>
      <c r="B6" s="223"/>
      <c r="C6" s="223"/>
      <c r="D6" s="87" t="s">
        <v>326</v>
      </c>
      <c r="E6" s="173" t="str">
        <f>IFERROR(IF($F$3="ZŁ",IF(I6="Wn",M6,IF(I6="Ma",N6,IF(I6="Wn-Ma",O6,IF(I6="Ma-Wn",P6,"")))),(IF(I6="Wn",M6,IF(I6="Ma",N6,IF(I6="Wn-Ma",O6,IF(I6="Ma-Wn",P6,"")))))/1000),"")</f>
        <v/>
      </c>
      <c r="F6" s="173" t="str">
        <f>IFERROR(IF($F$3="ZŁ",IF(I6="Wn",R6,IF(I6="Ma",S6,IF(I6="Wn-Ma",T6,IF(I6="Ma-Wn",U6,"")))),(IF(I6="Wn",R6,IF(I6="Ma",S6,IF(I6="Wn-Ma",T6,IF(I6="Ma-Wn",U6,"")))))/1000),"")</f>
        <v/>
      </c>
      <c r="H6" s="88" t="str">
        <f>A6</f>
        <v>I</v>
      </c>
      <c r="I6" s="138"/>
      <c r="M6" s="82">
        <f>SUMIFS(kokpit!$P$4:$P$2000,kokpit!$M$4:$M$2000,H6)</f>
        <v>0</v>
      </c>
      <c r="N6" s="82">
        <f>SUMIFS(kokpit!$Q$4:$Q$2000,kokpit!$M$4:$M$2000,H6)</f>
        <v>0</v>
      </c>
      <c r="O6" s="82">
        <f>SUMIFS(kokpit!$P$4:$P$2000,kokpit!$M$4:$M$2000,H6)-SUMIFS(kokpit!$Q$4:$Q$2000,kokpit!$M$4:$M$2000,H6)</f>
        <v>0</v>
      </c>
      <c r="P6" s="82">
        <f>SUMIFS(kokpit!$Q$4:$Q$2000,kokpit!$M$4:$M$2000,H6)-SUMIFS(kokpit!$P$4:$P$2000,kokpit!$M$4:$M$2000,H6)</f>
        <v>0</v>
      </c>
    </row>
    <row r="7" spans="1:21" x14ac:dyDescent="0.3">
      <c r="C7" s="81" t="s">
        <v>88</v>
      </c>
      <c r="D7" s="89" t="s">
        <v>340</v>
      </c>
      <c r="E7" s="174" t="str">
        <f>IFERROR(IF($F$3="ZŁ",IF(I7="Wn",M7,IF(I7="Ma",N7,IF(I7="Wn-Ma",O7,IF(I7="Ma-Wn",P7,"")))),(IF(I7="Wn",M7,IF(I7="Ma",N7,IF(I7="Wn-Ma",O7,IF(I7="Ma-Wn",P7,"")))))/1000),"")</f>
        <v/>
      </c>
      <c r="F7" s="174" t="str">
        <f>IFERROR(IF($F$3="ZŁ",IF(I7="Wn",R7,IF(I7="Ma",S7,IF(I7="Wn-Ma",T7,IF(I7="Ma-Wn",U7,"")))),(IF(I7="Wn",R7,IF(I7="Ma",S7,IF(I7="Wn-Ma",T7,IF(I7="Ma-Wn",U7,"")))))/1000),"")</f>
        <v/>
      </c>
      <c r="H7" s="90" t="str">
        <f>A6&amp;C7</f>
        <v>I1</v>
      </c>
      <c r="I7" s="138"/>
      <c r="M7" s="82">
        <f>SUMIFS(kokpit!$P$4:$P$2000,kokpit!$M$4:$M$2000,H7)</f>
        <v>0</v>
      </c>
      <c r="N7" s="82">
        <f>SUMIFS(kokpit!$Q$4:$Q$2000,kokpit!$M$4:$M$2000,H7)</f>
        <v>0</v>
      </c>
      <c r="O7" s="82">
        <f>SUMIFS(kokpit!$P$4:$P$2000,kokpit!$M$4:$M$2000,H7)-SUMIFS(kokpit!$Q$4:$Q$2000,kokpit!$M$4:$M$2000,H7)</f>
        <v>0</v>
      </c>
      <c r="P7" s="82">
        <f>SUMIFS(kokpit!$Q$4:$Q$2000,kokpit!$M$4:$M$2000,H7)-SUMIFS(kokpit!$P$4:$P$2000,kokpit!$M$4:$M$2000,H7)</f>
        <v>0</v>
      </c>
      <c r="R7" s="82">
        <f>SUMIFS('kokpit-1'!$P$4:$P$2000,'kokpit-1'!$M$4:$M$2000,H7)</f>
        <v>0</v>
      </c>
      <c r="S7" s="82">
        <f>SUMIFS('kokpit-1'!$Q$4:$Q$2000,'kokpit-1'!$M$4:$M$2000,H7)</f>
        <v>0</v>
      </c>
      <c r="T7" s="82">
        <f>SUMIFS('kokpit-1'!$P$4:$P$2000,'kokpit-1'!$M$4:$M$2000,H7)-SUMIFS('kokpit-1'!$Q$4:$Q$2000,'kokpit-1'!$M$4:$M$2000,H7)</f>
        <v>0</v>
      </c>
      <c r="U7" s="82">
        <f>SUMIFS('kokpit-1'!$Q$4:$Q$2000,'kokpit-1'!$M$4:$M$2000,H7)-SUMIFS('kokpit-1'!$P$4:$P$2000,'kokpit-1'!$M$4:$M$2000,H7)</f>
        <v>0</v>
      </c>
    </row>
    <row r="8" spans="1:21" x14ac:dyDescent="0.3">
      <c r="C8" s="81" t="s">
        <v>89</v>
      </c>
      <c r="D8" s="89" t="s">
        <v>341</v>
      </c>
      <c r="E8" s="174" t="str">
        <f>IFERROR(IF($F$3="ZŁ",IF(I8="Wn",M8,IF(I8="Ma",N8,IF(I8="Wn-Ma",O8,IF(I8="Ma-Wn",P8,"")))),(IF(I8="Wn",M8,IF(I8="Ma",N8,IF(I8="Wn-Ma",O8,IF(I8="Ma-Wn",P8,"")))))/1000),"")</f>
        <v/>
      </c>
      <c r="F8" s="174" t="str">
        <f t="shared" ref="F8:F10" si="0">IFERROR(IF($F$3="ZŁ",IF(I8="Wn",R8,IF(I8="Ma",S8,IF(I8="Wn-Ma",T8,IF(I8="Ma-Wn",U8,"")))),(IF(I8="Wn",R8,IF(I8="Ma",S8,IF(I8="Wn-Ma",T8,IF(I8="Ma-Wn",U8,"")))))/1000),"")</f>
        <v/>
      </c>
      <c r="H8" s="90" t="str">
        <f>A6&amp;C8</f>
        <v>I2</v>
      </c>
      <c r="I8" s="138"/>
      <c r="M8" s="82">
        <f>SUMIFS(kokpit!$P$4:$P$2000,kokpit!$M$4:$M$2000,H8)</f>
        <v>0</v>
      </c>
      <c r="N8" s="82">
        <f>SUMIFS(kokpit!$Q$4:$Q$2000,kokpit!$M$4:$M$2000,H8)</f>
        <v>0</v>
      </c>
      <c r="O8" s="82">
        <f>SUMIFS(kokpit!$P$4:$P$2000,kokpit!$M$4:$M$2000,H8)-SUMIFS(kokpit!$Q$4:$Q$2000,kokpit!$M$4:$M$2000,H8)</f>
        <v>0</v>
      </c>
      <c r="P8" s="82">
        <f>SUMIFS(kokpit!$Q$4:$Q$2000,kokpit!$M$4:$M$2000,H8)-SUMIFS(kokpit!$P$4:$P$2000,kokpit!$M$4:$M$2000,H8)</f>
        <v>0</v>
      </c>
      <c r="R8" s="82">
        <f>SUMIFS('kokpit-1'!$P$4:$P$2000,'kokpit-1'!$M$4:$M$2000,H8)</f>
        <v>0</v>
      </c>
      <c r="S8" s="82">
        <f>SUMIFS('kokpit-1'!$Q$4:$Q$2000,'kokpit-1'!$M$4:$M$2000,H8)</f>
        <v>0</v>
      </c>
      <c r="T8" s="82">
        <f>SUMIFS('kokpit-1'!$P$4:$P$2000,'kokpit-1'!$M$4:$M$2000,H8)-SUMIFS('kokpit-1'!$Q$4:$Q$2000,'kokpit-1'!$M$4:$M$2000,H8)</f>
        <v>0</v>
      </c>
      <c r="U8" s="82">
        <f>SUMIFS('kokpit-1'!$Q$4:$Q$2000,'kokpit-1'!$M$4:$M$2000,H8)-SUMIFS('kokpit-1'!$P$4:$P$2000,'kokpit-1'!$M$4:$M$2000,H8)</f>
        <v>0</v>
      </c>
    </row>
    <row r="9" spans="1:21" x14ac:dyDescent="0.3">
      <c r="A9" s="223" t="s">
        <v>303</v>
      </c>
      <c r="B9" s="223"/>
      <c r="C9" s="223"/>
      <c r="D9" s="87" t="s">
        <v>327</v>
      </c>
      <c r="E9" s="175">
        <f>SUM(E6:E8)</f>
        <v>0</v>
      </c>
      <c r="F9" s="175">
        <f>SUM(F6:F8)</f>
        <v>0</v>
      </c>
      <c r="H9" s="88" t="str">
        <f>A9</f>
        <v>I.a.</v>
      </c>
      <c r="I9" s="138"/>
      <c r="M9" s="82">
        <f>SUMIFS(kokpit!$P$4:$P$2000,kokpit!$M$4:$M$2000,H9)</f>
        <v>0</v>
      </c>
      <c r="N9" s="82">
        <f>SUMIFS(kokpit!$Q$4:$Q$2000,kokpit!$M$4:$M$2000,H9)</f>
        <v>0</v>
      </c>
      <c r="O9" s="82">
        <f>SUMIFS(kokpit!$P$4:$P$2000,kokpit!$M$4:$M$2000,H9)-SUMIFS(kokpit!$Q$4:$Q$2000,kokpit!$M$4:$M$2000,H9)</f>
        <v>0</v>
      </c>
      <c r="P9" s="82">
        <f>SUMIFS(kokpit!$Q$4:$Q$2000,kokpit!$M$4:$M$2000,H9)-SUMIFS(kokpit!$P$4:$P$2000,kokpit!$M$4:$M$2000,H9)</f>
        <v>0</v>
      </c>
      <c r="R9" s="82">
        <f>SUMIFS('kokpit-1'!$P$4:$P$2000,'kokpit-1'!$M$4:$M$2000,H9)</f>
        <v>0</v>
      </c>
      <c r="S9" s="82">
        <f>SUMIFS('kokpit-1'!$Q$4:$Q$2000,'kokpit-1'!$M$4:$M$2000,H9)</f>
        <v>0</v>
      </c>
      <c r="T9" s="82">
        <f>SUMIFS('kokpit-1'!$P$4:$P$2000,'kokpit-1'!$M$4:$M$2000,H9)-SUMIFS('kokpit-1'!$Q$4:$Q$2000,'kokpit-1'!$M$4:$M$2000,H9)</f>
        <v>0</v>
      </c>
      <c r="U9" s="82">
        <f>SUMIFS('kokpit-1'!$Q$4:$Q$2000,'kokpit-1'!$M$4:$M$2000,H9)-SUMIFS('kokpit-1'!$P$4:$P$2000,'kokpit-1'!$M$4:$M$2000,H9)</f>
        <v>0</v>
      </c>
    </row>
    <row r="10" spans="1:21" x14ac:dyDescent="0.3">
      <c r="B10" s="224">
        <v>1</v>
      </c>
      <c r="C10" s="224"/>
      <c r="D10" s="91" t="s">
        <v>328</v>
      </c>
      <c r="E10" s="176" t="str">
        <f>IFERROR(IF($F$3="ZŁ",IF(I10="Wn",M10,IF(I10="Ma",N10,IF(I10="Wn-Ma",O10,IF(I10="Ma-Wn",P10,"")))),(IF(I10="Wn",M10,IF(I10="Ma",N10,IF(I10="Wn-Ma",O10,IF(I10="Ma-Wn",P10,"")))))/1000),"")</f>
        <v/>
      </c>
      <c r="F10" s="176" t="str">
        <f t="shared" si="0"/>
        <v/>
      </c>
      <c r="H10" s="92" t="str">
        <f>A9&amp;B10</f>
        <v>I.a.1</v>
      </c>
      <c r="I10" s="138"/>
      <c r="M10" s="82">
        <f>SUMIFS(kokpit!$P$4:$P$2000,kokpit!$M$4:$M$2000,H10)</f>
        <v>0</v>
      </c>
      <c r="N10" s="82">
        <f>SUMIFS(kokpit!$Q$4:$Q$2000,kokpit!$M$4:$M$2000,H10)</f>
        <v>0</v>
      </c>
      <c r="O10" s="82">
        <f>SUMIFS(kokpit!$P$4:$P$2000,kokpit!$M$4:$M$2000,H10)-SUMIFS(kokpit!$Q$4:$Q$2000,kokpit!$M$4:$M$2000,H10)</f>
        <v>0</v>
      </c>
      <c r="P10" s="82">
        <f>SUMIFS(kokpit!$Q$4:$Q$2000,kokpit!$M$4:$M$2000,H10)-SUMIFS(kokpit!$P$4:$P$2000,kokpit!$M$4:$M$2000,H10)</f>
        <v>0</v>
      </c>
      <c r="R10" s="82">
        <f>SUMIFS('kokpit-1'!$P$4:$P$2000,'kokpit-1'!$M$4:$M$2000,H10)</f>
        <v>0</v>
      </c>
      <c r="S10" s="82">
        <f>SUMIFS('kokpit-1'!$Q$4:$Q$2000,'kokpit-1'!$M$4:$M$2000,H10)</f>
        <v>0</v>
      </c>
      <c r="T10" s="82">
        <f>SUMIFS('kokpit-1'!$P$4:$P$2000,'kokpit-1'!$M$4:$M$2000,H10)-SUMIFS('kokpit-1'!$Q$4:$Q$2000,'kokpit-1'!$M$4:$M$2000,H10)</f>
        <v>0</v>
      </c>
      <c r="U10" s="82">
        <f>SUMIFS('kokpit-1'!$Q$4:$Q$2000,'kokpit-1'!$M$4:$M$2000,H10)-SUMIFS('kokpit-1'!$P$4:$P$2000,'kokpit-1'!$M$4:$M$2000,H10)</f>
        <v>0</v>
      </c>
    </row>
    <row r="11" spans="1:21" x14ac:dyDescent="0.3">
      <c r="B11" s="225" t="s">
        <v>304</v>
      </c>
      <c r="C11" s="226"/>
      <c r="D11" s="89" t="s">
        <v>329</v>
      </c>
      <c r="E11" s="177">
        <f>E12-E16</f>
        <v>0</v>
      </c>
      <c r="F11" s="177" t="str">
        <f>IFERROR(IF($F$3="ZŁ",IF(I11="Wn",R11,IF(I11="Ma",S11,IF(I11="Wn-Ma",T11,IF(I11="Ma-Wn",U11,"")))),(IF(I11="Wn",R11,IF(I11="Ma",S11,IF(I11="Wn-Ma",T11,IF(I11="Ma-Wn",U11,"")))))/1000),"")</f>
        <v/>
      </c>
      <c r="H11" s="90" t="str">
        <f>A9&amp;B11</f>
        <v>I.a.1.1</v>
      </c>
      <c r="I11" s="138"/>
      <c r="M11" s="82">
        <f>SUMIFS(kokpit!$P$4:$P$2000,kokpit!$M$4:$M$2000,H11)</f>
        <v>0</v>
      </c>
      <c r="N11" s="82">
        <f>SUMIFS(kokpit!$Q$4:$Q$2000,kokpit!$M$4:$M$2000,H11)</f>
        <v>0</v>
      </c>
      <c r="O11" s="82">
        <f>SUMIFS(kokpit!$P$4:$P$2000,kokpit!$M$4:$M$2000,H11)-SUMIFS(kokpit!$Q$4:$Q$2000,kokpit!$M$4:$M$2000,H11)</f>
        <v>0</v>
      </c>
      <c r="P11" s="82">
        <f>SUMIFS(kokpit!$Q$4:$Q$2000,kokpit!$M$4:$M$2000,H11)-SUMIFS(kokpit!$P$4:$P$2000,kokpit!$M$4:$M$2000,H11)</f>
        <v>0</v>
      </c>
      <c r="R11" s="82">
        <f>SUMIFS('kokpit-1'!$P$4:$P$2000,'kokpit-1'!$M$4:$M$2000,H11)</f>
        <v>0</v>
      </c>
      <c r="S11" s="82">
        <f>SUMIFS('kokpit-1'!$Q$4:$Q$2000,'kokpit-1'!$M$4:$M$2000,H11)</f>
        <v>0</v>
      </c>
      <c r="T11" s="82">
        <f>SUMIFS('kokpit-1'!$P$4:$P$2000,'kokpit-1'!$M$4:$M$2000,H11)-SUMIFS('kokpit-1'!$Q$4:$Q$2000,'kokpit-1'!$M$4:$M$2000,H11)</f>
        <v>0</v>
      </c>
      <c r="U11" s="82">
        <f>SUMIFS('kokpit-1'!$Q$4:$Q$2000,'kokpit-1'!$M$4:$M$2000,H11)-SUMIFS('kokpit-1'!$P$4:$P$2000,'kokpit-1'!$M$4:$M$2000,H11)</f>
        <v>0</v>
      </c>
    </row>
    <row r="12" spans="1:21" x14ac:dyDescent="0.3">
      <c r="C12" s="93" t="s">
        <v>184</v>
      </c>
      <c r="D12" s="179" t="s">
        <v>330</v>
      </c>
      <c r="E12" s="180">
        <f>SUM(E13:E15)</f>
        <v>0</v>
      </c>
      <c r="F12" s="180">
        <f>SUM(F13:F15)</f>
        <v>0</v>
      </c>
      <c r="H12" s="90" t="str">
        <f>A9&amp;B11&amp;C12</f>
        <v>I.a.1.1a</v>
      </c>
      <c r="I12" s="138"/>
      <c r="M12" s="82">
        <f>SUMIFS(kokpit!$P$4:$P$2000,kokpit!$M$4:$M$2000,H12)</f>
        <v>0</v>
      </c>
      <c r="N12" s="82">
        <f>SUMIFS(kokpit!$Q$4:$Q$2000,kokpit!$M$4:$M$2000,H12)</f>
        <v>0</v>
      </c>
      <c r="O12" s="82">
        <f>SUMIFS(kokpit!$P$4:$P$2000,kokpit!$M$4:$M$2000,H12)-SUMIFS(kokpit!$Q$4:$Q$2000,kokpit!$M$4:$M$2000,H12)</f>
        <v>0</v>
      </c>
      <c r="P12" s="82">
        <f>SUMIFS(kokpit!$Q$4:$Q$2000,kokpit!$M$4:$M$2000,H12)-SUMIFS(kokpit!$P$4:$P$2000,kokpit!$M$4:$M$2000,H12)</f>
        <v>0</v>
      </c>
      <c r="R12" s="82">
        <f>SUMIFS('kokpit-1'!$P$4:$P$2000,'kokpit-1'!$M$4:$M$2000,H12)</f>
        <v>0</v>
      </c>
      <c r="S12" s="82">
        <f>SUMIFS('kokpit-1'!$Q$4:$Q$2000,'kokpit-1'!$M$4:$M$2000,H12)</f>
        <v>0</v>
      </c>
      <c r="T12" s="82">
        <f>SUMIFS('kokpit-1'!$P$4:$P$2000,'kokpit-1'!$M$4:$M$2000,H12)-SUMIFS('kokpit-1'!$Q$4:$Q$2000,'kokpit-1'!$M$4:$M$2000,H12)</f>
        <v>0</v>
      </c>
      <c r="U12" s="82">
        <f>SUMIFS('kokpit-1'!$Q$4:$Q$2000,'kokpit-1'!$M$4:$M$2000,H12)-SUMIFS('kokpit-1'!$P$4:$P$2000,'kokpit-1'!$M$4:$M$2000,H12)</f>
        <v>0</v>
      </c>
    </row>
    <row r="13" spans="1:21" x14ac:dyDescent="0.3">
      <c r="C13" s="81" t="s">
        <v>88</v>
      </c>
      <c r="D13" s="89" t="s">
        <v>99</v>
      </c>
      <c r="E13" s="177" t="str">
        <f t="shared" ref="E13:E21" si="1">IFERROR(IF($F$3="ZŁ",IF(I13="Wn",M13,IF(I13="Ma",N13,IF(I13="Wn-Ma",O13,IF(I13="Ma-Wn",P13,"")))),(IF(I13="Wn",M13,IF(I13="Ma",N13,IF(I13="Wn-Ma",O13,IF(I13="Ma-Wn",P13,"")))))/1000),"")</f>
        <v/>
      </c>
      <c r="F13" s="177" t="str">
        <f t="shared" ref="F13:F21" si="2">IFERROR(IF($F$3="ZŁ",IF(I13="Wn",R13,IF(I13="Ma",S13,IF(I13="Wn-Ma",T13,IF(I13="Ma-Wn",U13,"")))),(IF(I13="Wn",R13,IF(I13="Ma",S13,IF(I13="Wn-Ma",T13,IF(I13="Ma-Wn",U13,"")))))/1000),"")</f>
        <v/>
      </c>
      <c r="H13" s="90" t="str">
        <f>A9&amp;B11&amp;C12&amp;C13</f>
        <v>I.a.1.1a1</v>
      </c>
      <c r="I13" s="138"/>
      <c r="M13" s="82">
        <f>SUMIFS(kokpit!$P$4:$P$2000,kokpit!$M$4:$M$2000,H13)</f>
        <v>0</v>
      </c>
      <c r="N13" s="82">
        <f>SUMIFS(kokpit!$Q$4:$Q$2000,kokpit!$M$4:$M$2000,H13)</f>
        <v>0</v>
      </c>
      <c r="O13" s="82">
        <f>SUMIFS(kokpit!$P$4:$P$2000,kokpit!$M$4:$M$2000,H13)-SUMIFS(kokpit!$Q$4:$Q$2000,kokpit!$M$4:$M$2000,H13)</f>
        <v>0</v>
      </c>
      <c r="P13" s="82">
        <f>SUMIFS(kokpit!$Q$4:$Q$2000,kokpit!$M$4:$M$2000,H13)-SUMIFS(kokpit!$P$4:$P$2000,kokpit!$M$4:$M$2000,H13)</f>
        <v>0</v>
      </c>
      <c r="R13" s="82">
        <f>SUMIFS('kokpit-1'!$P$4:$P$2000,'kokpit-1'!$M$4:$M$2000,H13)</f>
        <v>0</v>
      </c>
      <c r="S13" s="82">
        <f>SUMIFS('kokpit-1'!$Q$4:$Q$2000,'kokpit-1'!$M$4:$M$2000,H13)</f>
        <v>0</v>
      </c>
      <c r="T13" s="82">
        <f>SUMIFS('kokpit-1'!$P$4:$P$2000,'kokpit-1'!$M$4:$M$2000,H13)-SUMIFS('kokpit-1'!$Q$4:$Q$2000,'kokpit-1'!$M$4:$M$2000,H13)</f>
        <v>0</v>
      </c>
      <c r="U13" s="82">
        <f>SUMIFS('kokpit-1'!$Q$4:$Q$2000,'kokpit-1'!$M$4:$M$2000,H13)-SUMIFS('kokpit-1'!$P$4:$P$2000,'kokpit-1'!$M$4:$M$2000,H13)</f>
        <v>0</v>
      </c>
    </row>
    <row r="14" spans="1:21" x14ac:dyDescent="0.3">
      <c r="C14" s="81" t="s">
        <v>89</v>
      </c>
      <c r="D14" s="89" t="s">
        <v>99</v>
      </c>
      <c r="E14" s="177" t="str">
        <f t="shared" si="1"/>
        <v/>
      </c>
      <c r="F14" s="177" t="str">
        <f t="shared" si="2"/>
        <v/>
      </c>
      <c r="H14" s="90" t="str">
        <f>A9&amp;B11&amp;C12&amp;C14</f>
        <v>I.a.1.1a2</v>
      </c>
      <c r="I14" s="138"/>
      <c r="M14" s="82">
        <f>SUMIFS(kokpit!$P$4:$P$2000,kokpit!$M$4:$M$2000,H14)</f>
        <v>0</v>
      </c>
      <c r="N14" s="82">
        <f>SUMIFS(kokpit!$Q$4:$Q$2000,kokpit!$M$4:$M$2000,H14)</f>
        <v>0</v>
      </c>
      <c r="O14" s="82">
        <f>SUMIFS(kokpit!$P$4:$P$2000,kokpit!$M$4:$M$2000,H14)-SUMIFS(kokpit!$Q$4:$Q$2000,kokpit!$M$4:$M$2000,H14)</f>
        <v>0</v>
      </c>
      <c r="P14" s="82">
        <f>SUMIFS(kokpit!$Q$4:$Q$2000,kokpit!$M$4:$M$2000,H14)-SUMIFS(kokpit!$P$4:$P$2000,kokpit!$M$4:$M$2000,H14)</f>
        <v>0</v>
      </c>
      <c r="R14" s="82">
        <f>SUMIFS('kokpit-1'!$P$4:$P$2000,'kokpit-1'!$M$4:$M$2000,H14)</f>
        <v>0</v>
      </c>
      <c r="S14" s="82">
        <f>SUMIFS('kokpit-1'!$Q$4:$Q$2000,'kokpit-1'!$M$4:$M$2000,H14)</f>
        <v>0</v>
      </c>
      <c r="T14" s="82">
        <f>SUMIFS('kokpit-1'!$P$4:$P$2000,'kokpit-1'!$M$4:$M$2000,H14)-SUMIFS('kokpit-1'!$Q$4:$Q$2000,'kokpit-1'!$M$4:$M$2000,H14)</f>
        <v>0</v>
      </c>
      <c r="U14" s="82">
        <f>SUMIFS('kokpit-1'!$Q$4:$Q$2000,'kokpit-1'!$M$4:$M$2000,H14)-SUMIFS('kokpit-1'!$P$4:$P$2000,'kokpit-1'!$M$4:$M$2000,H14)</f>
        <v>0</v>
      </c>
    </row>
    <row r="15" spans="1:21" x14ac:dyDescent="0.3">
      <c r="C15" s="81" t="s">
        <v>93</v>
      </c>
      <c r="D15" s="89" t="s">
        <v>99</v>
      </c>
      <c r="E15" s="177" t="str">
        <f t="shared" si="1"/>
        <v/>
      </c>
      <c r="F15" s="177" t="str">
        <f t="shared" si="2"/>
        <v/>
      </c>
      <c r="H15" s="90" t="str">
        <f>A9&amp;B11&amp;C12&amp;C15</f>
        <v>I.a.1.1a3</v>
      </c>
      <c r="I15" s="138"/>
      <c r="M15" s="82">
        <f>SUMIFS(kokpit!$P$4:$P$2000,kokpit!$M$4:$M$2000,H15)</f>
        <v>0</v>
      </c>
      <c r="N15" s="82">
        <f>SUMIFS(kokpit!$Q$4:$Q$2000,kokpit!$M$4:$M$2000,H15)</f>
        <v>0</v>
      </c>
      <c r="O15" s="82">
        <f>SUMIFS(kokpit!$P$4:$P$2000,kokpit!$M$4:$M$2000,H15)-SUMIFS(kokpit!$Q$4:$Q$2000,kokpit!$M$4:$M$2000,H15)</f>
        <v>0</v>
      </c>
      <c r="P15" s="82">
        <f>SUMIFS(kokpit!$Q$4:$Q$2000,kokpit!$M$4:$M$2000,H15)-SUMIFS(kokpit!$P$4:$P$2000,kokpit!$M$4:$M$2000,H15)</f>
        <v>0</v>
      </c>
      <c r="R15" s="82">
        <f>SUMIFS('kokpit-1'!$P$4:$P$2000,'kokpit-1'!$M$4:$M$2000,H15)</f>
        <v>0</v>
      </c>
      <c r="S15" s="82">
        <f>SUMIFS('kokpit-1'!$Q$4:$Q$2000,'kokpit-1'!$M$4:$M$2000,H15)</f>
        <v>0</v>
      </c>
      <c r="T15" s="82">
        <f>SUMIFS('kokpit-1'!$P$4:$P$2000,'kokpit-1'!$M$4:$M$2000,H15)-SUMIFS('kokpit-1'!$Q$4:$Q$2000,'kokpit-1'!$M$4:$M$2000,H15)</f>
        <v>0</v>
      </c>
      <c r="U15" s="82">
        <f>SUMIFS('kokpit-1'!$Q$4:$Q$2000,'kokpit-1'!$M$4:$M$2000,H15)-SUMIFS('kokpit-1'!$P$4:$P$2000,'kokpit-1'!$M$4:$M$2000,H15)</f>
        <v>0</v>
      </c>
    </row>
    <row r="16" spans="1:21" s="97" customFormat="1" x14ac:dyDescent="0.3">
      <c r="A16" s="94"/>
      <c r="B16" s="94"/>
      <c r="C16" s="95" t="s">
        <v>185</v>
      </c>
      <c r="D16" s="96" t="s">
        <v>331</v>
      </c>
      <c r="E16" s="180">
        <f>SUM(E17:E19)</f>
        <v>0</v>
      </c>
      <c r="F16" s="180">
        <f>SUM(F17:F19)</f>
        <v>0</v>
      </c>
      <c r="H16" s="90" t="str">
        <f>A9&amp;B11&amp;C16</f>
        <v>I.a.1.1b</v>
      </c>
      <c r="I16" s="138"/>
      <c r="M16" s="82">
        <f>SUMIFS(kokpit!$P$4:$P$2000,kokpit!$M$4:$M$2000,H16)</f>
        <v>0</v>
      </c>
      <c r="N16" s="82">
        <f>SUMIFS(kokpit!$Q$4:$Q$2000,kokpit!$M$4:$M$2000,H16)</f>
        <v>0</v>
      </c>
      <c r="O16" s="82">
        <f>SUMIFS(kokpit!$P$4:$P$2000,kokpit!$M$4:$M$2000,H16)-SUMIFS(kokpit!$Q$4:$Q$2000,kokpit!$M$4:$M$2000,H16)</f>
        <v>0</v>
      </c>
      <c r="P16" s="82">
        <f>SUMIFS(kokpit!$Q$4:$Q$2000,kokpit!$M$4:$M$2000,H16)-SUMIFS(kokpit!$P$4:$P$2000,kokpit!$M$4:$M$2000,H16)</f>
        <v>0</v>
      </c>
      <c r="R16" s="82">
        <f>SUMIFS('kokpit-1'!$P$4:$P$2000,'kokpit-1'!$M$4:$M$2000,H16)</f>
        <v>0</v>
      </c>
      <c r="S16" s="82">
        <f>SUMIFS('kokpit-1'!$Q$4:$Q$2000,'kokpit-1'!$M$4:$M$2000,H16)</f>
        <v>0</v>
      </c>
      <c r="T16" s="82">
        <f>SUMIFS('kokpit-1'!$P$4:$P$2000,'kokpit-1'!$M$4:$M$2000,H16)-SUMIFS('kokpit-1'!$Q$4:$Q$2000,'kokpit-1'!$M$4:$M$2000,H16)</f>
        <v>0</v>
      </c>
      <c r="U16" s="82">
        <f>SUMIFS('kokpit-1'!$Q$4:$Q$2000,'kokpit-1'!$M$4:$M$2000,H16)-SUMIFS('kokpit-1'!$P$4:$P$2000,'kokpit-1'!$M$4:$M$2000,H16)</f>
        <v>0</v>
      </c>
    </row>
    <row r="17" spans="1:21" s="97" customFormat="1" x14ac:dyDescent="0.3">
      <c r="A17" s="94"/>
      <c r="B17" s="94"/>
      <c r="C17" s="94" t="s">
        <v>88</v>
      </c>
      <c r="D17" s="96" t="s">
        <v>99</v>
      </c>
      <c r="E17" s="177" t="str">
        <f t="shared" si="1"/>
        <v/>
      </c>
      <c r="F17" s="177" t="str">
        <f t="shared" si="2"/>
        <v/>
      </c>
      <c r="H17" s="90" t="str">
        <f>A9&amp;B11&amp;C16&amp;C17</f>
        <v>I.a.1.1b1</v>
      </c>
      <c r="I17" s="138"/>
      <c r="M17" s="82">
        <f>SUMIFS(kokpit!$P$4:$P$2000,kokpit!$M$4:$M$2000,H17)</f>
        <v>0</v>
      </c>
      <c r="N17" s="82">
        <f>SUMIFS(kokpit!$Q$4:$Q$2000,kokpit!$M$4:$M$2000,H17)</f>
        <v>0</v>
      </c>
      <c r="O17" s="82">
        <f>SUMIFS(kokpit!$P$4:$P$2000,kokpit!$M$4:$M$2000,H17)-SUMIFS(kokpit!$Q$4:$Q$2000,kokpit!$M$4:$M$2000,H17)</f>
        <v>0</v>
      </c>
      <c r="P17" s="82">
        <f>SUMIFS(kokpit!$Q$4:$Q$2000,kokpit!$M$4:$M$2000,H17)-SUMIFS(kokpit!$P$4:$P$2000,kokpit!$M$4:$M$2000,H17)</f>
        <v>0</v>
      </c>
      <c r="R17" s="82">
        <f>SUMIFS('kokpit-1'!$P$4:$P$2000,'kokpit-1'!$M$4:$M$2000,H17)</f>
        <v>0</v>
      </c>
      <c r="S17" s="82">
        <f>SUMIFS('kokpit-1'!$Q$4:$Q$2000,'kokpit-1'!$M$4:$M$2000,H17)</f>
        <v>0</v>
      </c>
      <c r="T17" s="82">
        <f>SUMIFS('kokpit-1'!$P$4:$P$2000,'kokpit-1'!$M$4:$M$2000,H17)-SUMIFS('kokpit-1'!$Q$4:$Q$2000,'kokpit-1'!$M$4:$M$2000,H17)</f>
        <v>0</v>
      </c>
      <c r="U17" s="82">
        <f>SUMIFS('kokpit-1'!$Q$4:$Q$2000,'kokpit-1'!$M$4:$M$2000,H17)-SUMIFS('kokpit-1'!$P$4:$P$2000,'kokpit-1'!$M$4:$M$2000,H17)</f>
        <v>0</v>
      </c>
    </row>
    <row r="18" spans="1:21" s="97" customFormat="1" x14ac:dyDescent="0.3">
      <c r="A18" s="94"/>
      <c r="B18" s="94"/>
      <c r="C18" s="94" t="s">
        <v>89</v>
      </c>
      <c r="D18" s="96" t="s">
        <v>99</v>
      </c>
      <c r="E18" s="177" t="str">
        <f t="shared" si="1"/>
        <v/>
      </c>
      <c r="F18" s="177" t="str">
        <f t="shared" si="2"/>
        <v/>
      </c>
      <c r="H18" s="90" t="str">
        <f>A9&amp;B11&amp;C16&amp;C18</f>
        <v>I.a.1.1b2</v>
      </c>
      <c r="I18" s="138"/>
      <c r="M18" s="82">
        <f>SUMIFS(kokpit!$P$4:$P$2000,kokpit!$M$4:$M$2000,H18)</f>
        <v>0</v>
      </c>
      <c r="N18" s="82">
        <f>SUMIFS(kokpit!$Q$4:$Q$2000,kokpit!$M$4:$M$2000,H18)</f>
        <v>0</v>
      </c>
      <c r="O18" s="82">
        <f>SUMIFS(kokpit!$P$4:$P$2000,kokpit!$M$4:$M$2000,H18)-SUMIFS(kokpit!$Q$4:$Q$2000,kokpit!$M$4:$M$2000,H18)</f>
        <v>0</v>
      </c>
      <c r="P18" s="82">
        <f>SUMIFS(kokpit!$Q$4:$Q$2000,kokpit!$M$4:$M$2000,H18)-SUMIFS(kokpit!$P$4:$P$2000,kokpit!$M$4:$M$2000,H18)</f>
        <v>0</v>
      </c>
      <c r="R18" s="82">
        <f>SUMIFS('kokpit-1'!$P$4:$P$2000,'kokpit-1'!$M$4:$M$2000,H18)</f>
        <v>0</v>
      </c>
      <c r="S18" s="82">
        <f>SUMIFS('kokpit-1'!$Q$4:$Q$2000,'kokpit-1'!$M$4:$M$2000,H18)</f>
        <v>0</v>
      </c>
      <c r="T18" s="82">
        <f>SUMIFS('kokpit-1'!$P$4:$P$2000,'kokpit-1'!$M$4:$M$2000,H18)-SUMIFS('kokpit-1'!$Q$4:$Q$2000,'kokpit-1'!$M$4:$M$2000,H18)</f>
        <v>0</v>
      </c>
      <c r="U18" s="82">
        <f>SUMIFS('kokpit-1'!$Q$4:$Q$2000,'kokpit-1'!$M$4:$M$2000,H18)-SUMIFS('kokpit-1'!$P$4:$P$2000,'kokpit-1'!$M$4:$M$2000,H18)</f>
        <v>0</v>
      </c>
    </row>
    <row r="19" spans="1:21" s="97" customFormat="1" x14ac:dyDescent="0.3">
      <c r="A19" s="94"/>
      <c r="B19" s="94"/>
      <c r="C19" s="94" t="s">
        <v>93</v>
      </c>
      <c r="D19" s="96" t="s">
        <v>337</v>
      </c>
      <c r="E19" s="177" t="str">
        <f t="shared" si="1"/>
        <v/>
      </c>
      <c r="F19" s="177" t="str">
        <f t="shared" si="2"/>
        <v/>
      </c>
      <c r="H19" s="98" t="str">
        <f>A9&amp;B11&amp;C16&amp;C19</f>
        <v>I.a.1.1b3</v>
      </c>
      <c r="I19" s="138"/>
      <c r="M19" s="82">
        <f>SUMIFS(kokpit!$P$4:$P$2000,kokpit!$M$4:$M$2000,H19)</f>
        <v>0</v>
      </c>
      <c r="N19" s="82">
        <f>SUMIFS(kokpit!$Q$4:$Q$2000,kokpit!$M$4:$M$2000,H19)</f>
        <v>0</v>
      </c>
      <c r="O19" s="82">
        <f>SUMIFS(kokpit!$P$4:$P$2000,kokpit!$M$4:$M$2000,H19)-SUMIFS(kokpit!$Q$4:$Q$2000,kokpit!$M$4:$M$2000,H19)</f>
        <v>0</v>
      </c>
      <c r="P19" s="82">
        <f>SUMIFS(kokpit!$Q$4:$Q$2000,kokpit!$M$4:$M$2000,H19)-SUMIFS(kokpit!$P$4:$P$2000,kokpit!$M$4:$M$2000,H19)</f>
        <v>0</v>
      </c>
      <c r="R19" s="82">
        <f>SUMIFS('kokpit-1'!$P$4:$P$2000,'kokpit-1'!$M$4:$M$2000,H19)</f>
        <v>0</v>
      </c>
      <c r="S19" s="82">
        <f>SUMIFS('kokpit-1'!$Q$4:$Q$2000,'kokpit-1'!$M$4:$M$2000,H19)</f>
        <v>0</v>
      </c>
      <c r="T19" s="82">
        <f>SUMIFS('kokpit-1'!$P$4:$P$2000,'kokpit-1'!$M$4:$M$2000,H19)-SUMIFS('kokpit-1'!$Q$4:$Q$2000,'kokpit-1'!$M$4:$M$2000,H19)</f>
        <v>0</v>
      </c>
      <c r="U19" s="82">
        <f>SUMIFS('kokpit-1'!$Q$4:$Q$2000,'kokpit-1'!$M$4:$M$2000,H19)-SUMIFS('kokpit-1'!$P$4:$P$2000,'kokpit-1'!$M$4:$M$2000,H19)</f>
        <v>0</v>
      </c>
    </row>
    <row r="20" spans="1:21" x14ac:dyDescent="0.3">
      <c r="B20" s="227" t="s">
        <v>305</v>
      </c>
      <c r="C20" s="227"/>
      <c r="D20" s="99" t="s">
        <v>332</v>
      </c>
      <c r="E20" s="177" t="str">
        <f t="shared" si="1"/>
        <v/>
      </c>
      <c r="F20" s="177" t="str">
        <f t="shared" si="2"/>
        <v/>
      </c>
      <c r="H20" s="100" t="str">
        <f>A9&amp;B20</f>
        <v>I.a.1.2</v>
      </c>
      <c r="I20" s="138"/>
      <c r="M20" s="82">
        <f>SUMIFS(kokpit!$P$4:$P$2000,kokpit!$M$4:$M$2000,H20)</f>
        <v>0</v>
      </c>
      <c r="N20" s="82">
        <f>SUMIFS(kokpit!$Q$4:$Q$2000,kokpit!$M$4:$M$2000,H20)</f>
        <v>0</v>
      </c>
      <c r="O20" s="82">
        <f>SUMIFS(kokpit!$P$4:$P$2000,kokpit!$M$4:$M$2000,H20)-SUMIFS(kokpit!$Q$4:$Q$2000,kokpit!$M$4:$M$2000,H20)</f>
        <v>0</v>
      </c>
      <c r="P20" s="82">
        <f>SUMIFS(kokpit!$Q$4:$Q$2000,kokpit!$M$4:$M$2000,H20)-SUMIFS(kokpit!$P$4:$P$2000,kokpit!$M$4:$M$2000,H20)</f>
        <v>0</v>
      </c>
      <c r="R20" s="82">
        <f>SUMIFS('kokpit-1'!$P$4:$P$2000,'kokpit-1'!$M$4:$M$2000,H20)</f>
        <v>0</v>
      </c>
      <c r="S20" s="82">
        <f>SUMIFS('kokpit-1'!$Q$4:$Q$2000,'kokpit-1'!$M$4:$M$2000,H20)</f>
        <v>0</v>
      </c>
      <c r="T20" s="82">
        <f>SUMIFS('kokpit-1'!$P$4:$P$2000,'kokpit-1'!$M$4:$M$2000,H20)-SUMIFS('kokpit-1'!$Q$4:$Q$2000,'kokpit-1'!$M$4:$M$2000,H20)</f>
        <v>0</v>
      </c>
      <c r="U20" s="82">
        <f>SUMIFS('kokpit-1'!$Q$4:$Q$2000,'kokpit-1'!$M$4:$M$2000,H20)-SUMIFS('kokpit-1'!$P$4:$P$2000,'kokpit-1'!$M$4:$M$2000,H20)</f>
        <v>0</v>
      </c>
    </row>
    <row r="21" spans="1:21" x14ac:dyDescent="0.3">
      <c r="B21" s="224" t="s">
        <v>89</v>
      </c>
      <c r="C21" s="224"/>
      <c r="D21" s="91" t="s">
        <v>333</v>
      </c>
      <c r="E21" s="176" t="str">
        <f t="shared" si="1"/>
        <v/>
      </c>
      <c r="F21" s="176" t="str">
        <f t="shared" si="2"/>
        <v/>
      </c>
      <c r="H21" s="92" t="str">
        <f>A9&amp;B21</f>
        <v>I.a.2</v>
      </c>
      <c r="I21" s="138"/>
      <c r="M21" s="82">
        <f>SUMIFS(kokpit!$P$4:$P$2000,kokpit!$M$4:$M$2000,H21)</f>
        <v>0</v>
      </c>
      <c r="N21" s="82">
        <f>SUMIFS(kokpit!$Q$4:$Q$2000,kokpit!$M$4:$M$2000,H21)</f>
        <v>0</v>
      </c>
      <c r="O21" s="82">
        <f>SUMIFS(kokpit!$P$4:$P$2000,kokpit!$M$4:$M$2000,H21)-SUMIFS(kokpit!$Q$4:$Q$2000,kokpit!$M$4:$M$2000,H21)</f>
        <v>0</v>
      </c>
      <c r="P21" s="82">
        <f>SUMIFS(kokpit!$Q$4:$Q$2000,kokpit!$M$4:$M$2000,H21)-SUMIFS(kokpit!$P$4:$P$2000,kokpit!$M$4:$M$2000,H21)</f>
        <v>0</v>
      </c>
      <c r="R21" s="82">
        <f>SUMIFS('kokpit-1'!$P$4:$P$2000,'kokpit-1'!$M$4:$M$2000,H21)</f>
        <v>0</v>
      </c>
      <c r="S21" s="82">
        <f>SUMIFS('kokpit-1'!$Q$4:$Q$2000,'kokpit-1'!$M$4:$M$2000,H21)</f>
        <v>0</v>
      </c>
      <c r="T21" s="82">
        <f>SUMIFS('kokpit-1'!$P$4:$P$2000,'kokpit-1'!$M$4:$M$2000,H21)-SUMIFS('kokpit-1'!$Q$4:$Q$2000,'kokpit-1'!$M$4:$M$2000,H21)</f>
        <v>0</v>
      </c>
      <c r="U21" s="82">
        <f>SUMIFS('kokpit-1'!$Q$4:$Q$2000,'kokpit-1'!$M$4:$M$2000,H21)-SUMIFS('kokpit-1'!$P$4:$P$2000,'kokpit-1'!$M$4:$M$2000,H21)</f>
        <v>0</v>
      </c>
    </row>
    <row r="22" spans="1:21" x14ac:dyDescent="0.3">
      <c r="B22" s="227" t="s">
        <v>306</v>
      </c>
      <c r="C22" s="227"/>
      <c r="D22" s="101" t="s">
        <v>334</v>
      </c>
      <c r="E22" s="178">
        <f>E23-E27</f>
        <v>0</v>
      </c>
      <c r="F22" s="178">
        <f>F23-F27</f>
        <v>0</v>
      </c>
      <c r="H22" s="102" t="str">
        <f>A9&amp;B22</f>
        <v>I.a.2.1</v>
      </c>
      <c r="I22" s="138"/>
      <c r="M22" s="82">
        <f>SUMIFS(kokpit!$P$4:$P$2000,kokpit!$M$4:$M$2000,H22)</f>
        <v>0</v>
      </c>
      <c r="N22" s="82">
        <f>SUMIFS(kokpit!$Q$4:$Q$2000,kokpit!$M$4:$M$2000,H22)</f>
        <v>0</v>
      </c>
      <c r="O22" s="82">
        <f>SUMIFS(kokpit!$P$4:$P$2000,kokpit!$M$4:$M$2000,H22)-SUMIFS(kokpit!$Q$4:$Q$2000,kokpit!$M$4:$M$2000,H22)</f>
        <v>0</v>
      </c>
      <c r="P22" s="82">
        <f>SUMIFS(kokpit!$Q$4:$Q$2000,kokpit!$M$4:$M$2000,H22)-SUMIFS(kokpit!$P$4:$P$2000,kokpit!$M$4:$M$2000,H22)</f>
        <v>0</v>
      </c>
      <c r="R22" s="82">
        <f>SUMIFS('kokpit-1'!$P$4:$P$2000,'kokpit-1'!$M$4:$M$2000,H22)</f>
        <v>0</v>
      </c>
      <c r="S22" s="82">
        <f>SUMIFS('kokpit-1'!$Q$4:$Q$2000,'kokpit-1'!$M$4:$M$2000,H22)</f>
        <v>0</v>
      </c>
      <c r="T22" s="82">
        <f>SUMIFS('kokpit-1'!$P$4:$P$2000,'kokpit-1'!$M$4:$M$2000,H22)-SUMIFS('kokpit-1'!$Q$4:$Q$2000,'kokpit-1'!$M$4:$M$2000,H22)</f>
        <v>0</v>
      </c>
      <c r="U22" s="82">
        <f>SUMIFS('kokpit-1'!$Q$4:$Q$2000,'kokpit-1'!$M$4:$M$2000,H22)-SUMIFS('kokpit-1'!$P$4:$P$2000,'kokpit-1'!$M$4:$M$2000,H22)</f>
        <v>0</v>
      </c>
    </row>
    <row r="23" spans="1:21" x14ac:dyDescent="0.3">
      <c r="C23" s="93" t="s">
        <v>184</v>
      </c>
      <c r="D23" s="89" t="s">
        <v>335</v>
      </c>
      <c r="E23" s="180">
        <f>SUM(E24:E26)</f>
        <v>0</v>
      </c>
      <c r="F23" s="180">
        <f>SUM(F24:F26)</f>
        <v>0</v>
      </c>
      <c r="H23" s="90" t="str">
        <f>A9&amp;B22&amp;C23</f>
        <v>I.a.2.1a</v>
      </c>
      <c r="I23" s="138"/>
      <c r="M23" s="82">
        <f>SUMIFS(kokpit!$P$4:$P$2000,kokpit!$M$4:$M$2000,H23)</f>
        <v>0</v>
      </c>
      <c r="N23" s="82">
        <f>SUMIFS(kokpit!$Q$4:$Q$2000,kokpit!$M$4:$M$2000,H23)</f>
        <v>0</v>
      </c>
      <c r="O23" s="82">
        <f>SUMIFS(kokpit!$P$4:$P$2000,kokpit!$M$4:$M$2000,H23)-SUMIFS(kokpit!$Q$4:$Q$2000,kokpit!$M$4:$M$2000,H23)</f>
        <v>0</v>
      </c>
      <c r="P23" s="82">
        <f>SUMIFS(kokpit!$Q$4:$Q$2000,kokpit!$M$4:$M$2000,H23)-SUMIFS(kokpit!$P$4:$P$2000,kokpit!$M$4:$M$2000,H23)</f>
        <v>0</v>
      </c>
      <c r="R23" s="82">
        <f>SUMIFS('kokpit-1'!$P$4:$P$2000,'kokpit-1'!$M$4:$M$2000,H23)</f>
        <v>0</v>
      </c>
      <c r="S23" s="82">
        <f>SUMIFS('kokpit-1'!$Q$4:$Q$2000,'kokpit-1'!$M$4:$M$2000,H23)</f>
        <v>0</v>
      </c>
      <c r="T23" s="82">
        <f>SUMIFS('kokpit-1'!$P$4:$P$2000,'kokpit-1'!$M$4:$M$2000,H23)-SUMIFS('kokpit-1'!$Q$4:$Q$2000,'kokpit-1'!$M$4:$M$2000,H23)</f>
        <v>0</v>
      </c>
      <c r="U23" s="82">
        <f>SUMIFS('kokpit-1'!$Q$4:$Q$2000,'kokpit-1'!$M$4:$M$2000,H23)-SUMIFS('kokpit-1'!$P$4:$P$2000,'kokpit-1'!$M$4:$M$2000,H23)</f>
        <v>0</v>
      </c>
    </row>
    <row r="24" spans="1:21" x14ac:dyDescent="0.3">
      <c r="C24" s="81" t="s">
        <v>88</v>
      </c>
      <c r="D24" s="89" t="s">
        <v>99</v>
      </c>
      <c r="E24" s="178" t="str">
        <f t="shared" ref="E24:E32" si="3">IFERROR(IF($F$3="ZŁ",IF(I24="Wn",M24,IF(I24="Ma",N24,IF(I24="Wn-Ma",O24,IF(I24="Ma-Wn",P24,"")))),(IF(I24="Wn",M24,IF(I24="Ma",N24,IF(I24="Wn-Ma",O24,IF(I24="Ma-Wn",P24,"")))))/1000),"")</f>
        <v/>
      </c>
      <c r="F24" s="178" t="str">
        <f t="shared" ref="F24:F86" si="4">IFERROR(IF($F$3="ZŁ",IF(I24="Wn",R24,IF(I24="Ma",S24,IF(I24="Wn-Ma",T24,IF(I24="Ma-Wn",U24,"")))),(IF(I24="Wn",R24,IF(I24="Ma",S24,IF(I24="Wn-Ma",T24,IF(I24="Ma-Wn",U24,"")))))/1000),"")</f>
        <v/>
      </c>
      <c r="H24" s="90" t="str">
        <f>A9&amp;B22&amp;C23&amp;C24</f>
        <v>I.a.2.1a1</v>
      </c>
      <c r="I24" s="138"/>
      <c r="M24" s="82">
        <f>SUMIFS(kokpit!$P$4:$P$2000,kokpit!$M$4:$M$2000,H24)</f>
        <v>0</v>
      </c>
      <c r="N24" s="82">
        <f>SUMIFS(kokpit!$Q$4:$Q$2000,kokpit!$M$4:$M$2000,H24)</f>
        <v>0</v>
      </c>
      <c r="O24" s="82">
        <f>SUMIFS(kokpit!$P$4:$P$2000,kokpit!$M$4:$M$2000,H24)-SUMIFS(kokpit!$Q$4:$Q$2000,kokpit!$M$4:$M$2000,H24)</f>
        <v>0</v>
      </c>
      <c r="P24" s="82">
        <f>SUMIFS(kokpit!$Q$4:$Q$2000,kokpit!$M$4:$M$2000,H24)-SUMIFS(kokpit!$P$4:$P$2000,kokpit!$M$4:$M$2000,H24)</f>
        <v>0</v>
      </c>
      <c r="R24" s="82">
        <f>SUMIFS('kokpit-1'!$P$4:$P$2000,'kokpit-1'!$M$4:$M$2000,H24)</f>
        <v>0</v>
      </c>
      <c r="S24" s="82">
        <f>SUMIFS('kokpit-1'!$Q$4:$Q$2000,'kokpit-1'!$M$4:$M$2000,H24)</f>
        <v>0</v>
      </c>
      <c r="T24" s="82">
        <f>SUMIFS('kokpit-1'!$P$4:$P$2000,'kokpit-1'!$M$4:$M$2000,H24)-SUMIFS('kokpit-1'!$Q$4:$Q$2000,'kokpit-1'!$M$4:$M$2000,H24)</f>
        <v>0</v>
      </c>
      <c r="U24" s="82">
        <f>SUMIFS('kokpit-1'!$Q$4:$Q$2000,'kokpit-1'!$M$4:$M$2000,H24)-SUMIFS('kokpit-1'!$P$4:$P$2000,'kokpit-1'!$M$4:$M$2000,H24)</f>
        <v>0</v>
      </c>
    </row>
    <row r="25" spans="1:21" x14ac:dyDescent="0.3">
      <c r="C25" s="81" t="s">
        <v>89</v>
      </c>
      <c r="D25" s="89" t="s">
        <v>99</v>
      </c>
      <c r="E25" s="178" t="str">
        <f t="shared" si="3"/>
        <v/>
      </c>
      <c r="F25" s="178" t="str">
        <f t="shared" si="4"/>
        <v/>
      </c>
      <c r="H25" s="90" t="str">
        <f>A9&amp;B22&amp;C23&amp;C25</f>
        <v>I.a.2.1a2</v>
      </c>
      <c r="I25" s="138"/>
      <c r="M25" s="82">
        <f>SUMIFS(kokpit!$P$4:$P$2000,kokpit!$M$4:$M$2000,H25)</f>
        <v>0</v>
      </c>
      <c r="N25" s="82">
        <f>SUMIFS(kokpit!$Q$4:$Q$2000,kokpit!$M$4:$M$2000,H25)</f>
        <v>0</v>
      </c>
      <c r="O25" s="82">
        <f>SUMIFS(kokpit!$P$4:$P$2000,kokpit!$M$4:$M$2000,H25)-SUMIFS(kokpit!$Q$4:$Q$2000,kokpit!$M$4:$M$2000,H25)</f>
        <v>0</v>
      </c>
      <c r="P25" s="82">
        <f>SUMIFS(kokpit!$Q$4:$Q$2000,kokpit!$M$4:$M$2000,H25)-SUMIFS(kokpit!$P$4:$P$2000,kokpit!$M$4:$M$2000,H25)</f>
        <v>0</v>
      </c>
      <c r="R25" s="82">
        <f>SUMIFS('kokpit-1'!$P$4:$P$2000,'kokpit-1'!$M$4:$M$2000,H25)</f>
        <v>0</v>
      </c>
      <c r="S25" s="82">
        <f>SUMIFS('kokpit-1'!$Q$4:$Q$2000,'kokpit-1'!$M$4:$M$2000,H25)</f>
        <v>0</v>
      </c>
      <c r="T25" s="82">
        <f>SUMIFS('kokpit-1'!$P$4:$P$2000,'kokpit-1'!$M$4:$M$2000,H25)-SUMIFS('kokpit-1'!$Q$4:$Q$2000,'kokpit-1'!$M$4:$M$2000,H25)</f>
        <v>0</v>
      </c>
      <c r="U25" s="82">
        <f>SUMIFS('kokpit-1'!$Q$4:$Q$2000,'kokpit-1'!$M$4:$M$2000,H25)-SUMIFS('kokpit-1'!$P$4:$P$2000,'kokpit-1'!$M$4:$M$2000,H25)</f>
        <v>0</v>
      </c>
    </row>
    <row r="26" spans="1:21" x14ac:dyDescent="0.3">
      <c r="C26" s="81" t="s">
        <v>93</v>
      </c>
      <c r="D26" s="89" t="s">
        <v>99</v>
      </c>
      <c r="E26" s="178" t="str">
        <f t="shared" si="3"/>
        <v/>
      </c>
      <c r="F26" s="178" t="str">
        <f t="shared" si="4"/>
        <v/>
      </c>
      <c r="H26" s="90" t="str">
        <f>A9&amp;B22&amp;C23&amp;C26</f>
        <v>I.a.2.1a3</v>
      </c>
      <c r="I26" s="138"/>
      <c r="M26" s="82">
        <f>SUMIFS(kokpit!$P$4:$P$2000,kokpit!$M$4:$M$2000,H26)</f>
        <v>0</v>
      </c>
      <c r="N26" s="82">
        <f>SUMIFS(kokpit!$Q$4:$Q$2000,kokpit!$M$4:$M$2000,H26)</f>
        <v>0</v>
      </c>
      <c r="O26" s="82">
        <f>SUMIFS(kokpit!$P$4:$P$2000,kokpit!$M$4:$M$2000,H26)-SUMIFS(kokpit!$Q$4:$Q$2000,kokpit!$M$4:$M$2000,H26)</f>
        <v>0</v>
      </c>
      <c r="P26" s="82">
        <f>SUMIFS(kokpit!$Q$4:$Q$2000,kokpit!$M$4:$M$2000,H26)-SUMIFS(kokpit!$P$4:$P$2000,kokpit!$M$4:$M$2000,H26)</f>
        <v>0</v>
      </c>
      <c r="R26" s="82">
        <f>SUMIFS('kokpit-1'!$P$4:$P$2000,'kokpit-1'!$M$4:$M$2000,H26)</f>
        <v>0</v>
      </c>
      <c r="S26" s="82">
        <f>SUMIFS('kokpit-1'!$Q$4:$Q$2000,'kokpit-1'!$M$4:$M$2000,H26)</f>
        <v>0</v>
      </c>
      <c r="T26" s="82">
        <f>SUMIFS('kokpit-1'!$P$4:$P$2000,'kokpit-1'!$M$4:$M$2000,H26)-SUMIFS('kokpit-1'!$Q$4:$Q$2000,'kokpit-1'!$M$4:$M$2000,H26)</f>
        <v>0</v>
      </c>
      <c r="U26" s="82">
        <f>SUMIFS('kokpit-1'!$Q$4:$Q$2000,'kokpit-1'!$M$4:$M$2000,H26)-SUMIFS('kokpit-1'!$P$4:$P$2000,'kokpit-1'!$M$4:$M$2000,H26)</f>
        <v>0</v>
      </c>
    </row>
    <row r="27" spans="1:21" s="97" customFormat="1" x14ac:dyDescent="0.3">
      <c r="A27" s="94"/>
      <c r="B27" s="94"/>
      <c r="C27" s="95" t="s">
        <v>185</v>
      </c>
      <c r="D27" s="96" t="s">
        <v>336</v>
      </c>
      <c r="E27" s="180">
        <f>SUM(E28:E30)</f>
        <v>0</v>
      </c>
      <c r="F27" s="180">
        <f>SUM(F28:F30)</f>
        <v>0</v>
      </c>
      <c r="H27" s="90" t="str">
        <f>A9&amp;B22&amp;C27</f>
        <v>I.a.2.1b</v>
      </c>
      <c r="I27" s="138"/>
      <c r="M27" s="82">
        <f>SUMIFS(kokpit!$P$4:$P$2000,kokpit!$M$4:$M$2000,H27)</f>
        <v>0</v>
      </c>
      <c r="N27" s="82">
        <f>SUMIFS(kokpit!$Q$4:$Q$2000,kokpit!$M$4:$M$2000,H27)</f>
        <v>0</v>
      </c>
      <c r="O27" s="82">
        <f>SUMIFS(kokpit!$P$4:$P$2000,kokpit!$M$4:$M$2000,H27)-SUMIFS(kokpit!$Q$4:$Q$2000,kokpit!$M$4:$M$2000,H27)</f>
        <v>0</v>
      </c>
      <c r="P27" s="82">
        <f>SUMIFS(kokpit!$Q$4:$Q$2000,kokpit!$M$4:$M$2000,H27)-SUMIFS(kokpit!$P$4:$P$2000,kokpit!$M$4:$M$2000,H27)</f>
        <v>0</v>
      </c>
      <c r="R27" s="82">
        <f>SUMIFS('kokpit-1'!$P$4:$P$2000,'kokpit-1'!$M$4:$M$2000,H27)</f>
        <v>0</v>
      </c>
      <c r="S27" s="82">
        <f>SUMIFS('kokpit-1'!$Q$4:$Q$2000,'kokpit-1'!$M$4:$M$2000,H27)</f>
        <v>0</v>
      </c>
      <c r="T27" s="82">
        <f>SUMIFS('kokpit-1'!$P$4:$P$2000,'kokpit-1'!$M$4:$M$2000,H27)-SUMIFS('kokpit-1'!$Q$4:$Q$2000,'kokpit-1'!$M$4:$M$2000,H27)</f>
        <v>0</v>
      </c>
      <c r="U27" s="82">
        <f>SUMIFS('kokpit-1'!$Q$4:$Q$2000,'kokpit-1'!$M$4:$M$2000,H27)-SUMIFS('kokpit-1'!$P$4:$P$2000,'kokpit-1'!$M$4:$M$2000,H27)</f>
        <v>0</v>
      </c>
    </row>
    <row r="28" spans="1:21" s="97" customFormat="1" x14ac:dyDescent="0.3">
      <c r="A28" s="94"/>
      <c r="B28" s="94"/>
      <c r="C28" s="94" t="s">
        <v>88</v>
      </c>
      <c r="D28" s="96" t="s">
        <v>99</v>
      </c>
      <c r="E28" s="178" t="str">
        <f t="shared" si="3"/>
        <v/>
      </c>
      <c r="F28" s="178" t="str">
        <f t="shared" si="4"/>
        <v/>
      </c>
      <c r="H28" s="90" t="str">
        <f>A9&amp;B22&amp;C27&amp;C28</f>
        <v>I.a.2.1b1</v>
      </c>
      <c r="I28" s="138"/>
      <c r="M28" s="82">
        <f>SUMIFS(kokpit!$P$4:$P$2000,kokpit!$M$4:$M$2000,H28)</f>
        <v>0</v>
      </c>
      <c r="N28" s="82">
        <f>SUMIFS(kokpit!$Q$4:$Q$2000,kokpit!$M$4:$M$2000,H28)</f>
        <v>0</v>
      </c>
      <c r="O28" s="82">
        <f>SUMIFS(kokpit!$P$4:$P$2000,kokpit!$M$4:$M$2000,H28)-SUMIFS(kokpit!$Q$4:$Q$2000,kokpit!$M$4:$M$2000,H28)</f>
        <v>0</v>
      </c>
      <c r="P28" s="82">
        <f>SUMIFS(kokpit!$Q$4:$Q$2000,kokpit!$M$4:$M$2000,H28)-SUMIFS(kokpit!$P$4:$P$2000,kokpit!$M$4:$M$2000,H28)</f>
        <v>0</v>
      </c>
      <c r="R28" s="82">
        <f>SUMIFS('kokpit-1'!$P$4:$P$2000,'kokpit-1'!$M$4:$M$2000,H28)</f>
        <v>0</v>
      </c>
      <c r="S28" s="82">
        <f>SUMIFS('kokpit-1'!$Q$4:$Q$2000,'kokpit-1'!$M$4:$M$2000,H28)</f>
        <v>0</v>
      </c>
      <c r="T28" s="82">
        <f>SUMIFS('kokpit-1'!$P$4:$P$2000,'kokpit-1'!$M$4:$M$2000,H28)-SUMIFS('kokpit-1'!$Q$4:$Q$2000,'kokpit-1'!$M$4:$M$2000,H28)</f>
        <v>0</v>
      </c>
      <c r="U28" s="82">
        <f>SUMIFS('kokpit-1'!$Q$4:$Q$2000,'kokpit-1'!$M$4:$M$2000,H28)-SUMIFS('kokpit-1'!$P$4:$P$2000,'kokpit-1'!$M$4:$M$2000,H28)</f>
        <v>0</v>
      </c>
    </row>
    <row r="29" spans="1:21" s="97" customFormat="1" x14ac:dyDescent="0.3">
      <c r="A29" s="94"/>
      <c r="B29" s="94"/>
      <c r="C29" s="94" t="s">
        <v>89</v>
      </c>
      <c r="D29" s="96" t="s">
        <v>99</v>
      </c>
      <c r="E29" s="178" t="str">
        <f t="shared" si="3"/>
        <v/>
      </c>
      <c r="F29" s="178" t="str">
        <f t="shared" si="4"/>
        <v/>
      </c>
      <c r="H29" s="90" t="str">
        <f>A9&amp;B22&amp;C27&amp;C29</f>
        <v>I.a.2.1b2</v>
      </c>
      <c r="I29" s="138"/>
      <c r="M29" s="82">
        <f>SUMIFS(kokpit!$P$4:$P$2000,kokpit!$M$4:$M$2000,H29)</f>
        <v>0</v>
      </c>
      <c r="N29" s="82">
        <f>SUMIFS(kokpit!$Q$4:$Q$2000,kokpit!$M$4:$M$2000,H29)</f>
        <v>0</v>
      </c>
      <c r="O29" s="82">
        <f>SUMIFS(kokpit!$P$4:$P$2000,kokpit!$M$4:$M$2000,H29)-SUMIFS(kokpit!$Q$4:$Q$2000,kokpit!$M$4:$M$2000,H29)</f>
        <v>0</v>
      </c>
      <c r="P29" s="82">
        <f>SUMIFS(kokpit!$Q$4:$Q$2000,kokpit!$M$4:$M$2000,H29)-SUMIFS(kokpit!$P$4:$P$2000,kokpit!$M$4:$M$2000,H29)</f>
        <v>0</v>
      </c>
      <c r="R29" s="82">
        <f>SUMIFS('kokpit-1'!$P$4:$P$2000,'kokpit-1'!$M$4:$M$2000,H29)</f>
        <v>0</v>
      </c>
      <c r="S29" s="82">
        <f>SUMIFS('kokpit-1'!$Q$4:$Q$2000,'kokpit-1'!$M$4:$M$2000,H29)</f>
        <v>0</v>
      </c>
      <c r="T29" s="82">
        <f>SUMIFS('kokpit-1'!$P$4:$P$2000,'kokpit-1'!$M$4:$M$2000,H29)-SUMIFS('kokpit-1'!$Q$4:$Q$2000,'kokpit-1'!$M$4:$M$2000,H29)</f>
        <v>0</v>
      </c>
      <c r="U29" s="82">
        <f>SUMIFS('kokpit-1'!$Q$4:$Q$2000,'kokpit-1'!$M$4:$M$2000,H29)-SUMIFS('kokpit-1'!$P$4:$P$2000,'kokpit-1'!$M$4:$M$2000,H29)</f>
        <v>0</v>
      </c>
    </row>
    <row r="30" spans="1:21" s="97" customFormat="1" x14ac:dyDescent="0.3">
      <c r="A30" s="94"/>
      <c r="B30" s="94"/>
      <c r="C30" s="94" t="s">
        <v>93</v>
      </c>
      <c r="D30" s="96" t="s">
        <v>99</v>
      </c>
      <c r="E30" s="178" t="str">
        <f t="shared" si="3"/>
        <v/>
      </c>
      <c r="F30" s="178" t="str">
        <f t="shared" si="4"/>
        <v/>
      </c>
      <c r="H30" s="98" t="str">
        <f>A9&amp;B22&amp;C27&amp;C30</f>
        <v>I.a.2.1b3</v>
      </c>
      <c r="I30" s="138"/>
      <c r="M30" s="82">
        <f>SUMIFS(kokpit!$P$4:$P$2000,kokpit!$M$4:$M$2000,H30)</f>
        <v>0</v>
      </c>
      <c r="N30" s="82">
        <f>SUMIFS(kokpit!$Q$4:$Q$2000,kokpit!$M$4:$M$2000,H30)</f>
        <v>0</v>
      </c>
      <c r="O30" s="82">
        <f>SUMIFS(kokpit!$P$4:$P$2000,kokpit!$M$4:$M$2000,H30)-SUMIFS(kokpit!$Q$4:$Q$2000,kokpit!$M$4:$M$2000,H30)</f>
        <v>0</v>
      </c>
      <c r="P30" s="82">
        <f>SUMIFS(kokpit!$Q$4:$Q$2000,kokpit!$M$4:$M$2000,H30)-SUMIFS(kokpit!$P$4:$P$2000,kokpit!$M$4:$M$2000,H30)</f>
        <v>0</v>
      </c>
      <c r="R30" s="82">
        <f>SUMIFS('kokpit-1'!$P$4:$P$2000,'kokpit-1'!$M$4:$M$2000,H30)</f>
        <v>0</v>
      </c>
      <c r="S30" s="82">
        <f>SUMIFS('kokpit-1'!$Q$4:$Q$2000,'kokpit-1'!$M$4:$M$2000,H30)</f>
        <v>0</v>
      </c>
      <c r="T30" s="82">
        <f>SUMIFS('kokpit-1'!$P$4:$P$2000,'kokpit-1'!$M$4:$M$2000,H30)-SUMIFS('kokpit-1'!$Q$4:$Q$2000,'kokpit-1'!$M$4:$M$2000,H30)</f>
        <v>0</v>
      </c>
      <c r="U30" s="82">
        <f>SUMIFS('kokpit-1'!$Q$4:$Q$2000,'kokpit-1'!$M$4:$M$2000,H30)-SUMIFS('kokpit-1'!$P$4:$P$2000,'kokpit-1'!$M$4:$M$2000,H30)</f>
        <v>0</v>
      </c>
    </row>
    <row r="31" spans="1:21" ht="14.5" customHeight="1" x14ac:dyDescent="0.3">
      <c r="B31" s="227" t="s">
        <v>307</v>
      </c>
      <c r="C31" s="227"/>
      <c r="D31" s="89" t="s">
        <v>342</v>
      </c>
      <c r="E31" s="178" t="str">
        <f t="shared" si="3"/>
        <v/>
      </c>
      <c r="F31" s="178" t="str">
        <f t="shared" si="4"/>
        <v/>
      </c>
      <c r="H31" s="98" t="str">
        <f>A9&amp;B22&amp;C31</f>
        <v>I.a.2.1</v>
      </c>
      <c r="I31" s="138"/>
      <c r="M31" s="82">
        <f>SUMIFS(kokpit!$P$4:$P$2000,kokpit!$M$4:$M$2000,H31)</f>
        <v>0</v>
      </c>
      <c r="N31" s="82">
        <f>SUMIFS(kokpit!$Q$4:$Q$2000,kokpit!$M$4:$M$2000,H31)</f>
        <v>0</v>
      </c>
      <c r="O31" s="82">
        <f>SUMIFS(kokpit!$P$4:$P$2000,kokpit!$M$4:$M$2000,H31)-SUMIFS(kokpit!$Q$4:$Q$2000,kokpit!$M$4:$M$2000,H31)</f>
        <v>0</v>
      </c>
      <c r="P31" s="82">
        <f>SUMIFS(kokpit!$Q$4:$Q$2000,kokpit!$M$4:$M$2000,H31)-SUMIFS(kokpit!$P$4:$P$2000,kokpit!$M$4:$M$2000,H31)</f>
        <v>0</v>
      </c>
      <c r="R31" s="82">
        <f>SUMIFS('kokpit-1'!$P$4:$P$2000,'kokpit-1'!$M$4:$M$2000,H31)</f>
        <v>0</v>
      </c>
      <c r="S31" s="82">
        <f>SUMIFS('kokpit-1'!$Q$4:$Q$2000,'kokpit-1'!$M$4:$M$2000,H31)</f>
        <v>0</v>
      </c>
      <c r="T31" s="82">
        <f>SUMIFS('kokpit-1'!$P$4:$P$2000,'kokpit-1'!$M$4:$M$2000,H31)-SUMIFS('kokpit-1'!$Q$4:$Q$2000,'kokpit-1'!$M$4:$M$2000,H31)</f>
        <v>0</v>
      </c>
      <c r="U31" s="82">
        <f>SUMIFS('kokpit-1'!$Q$4:$Q$2000,'kokpit-1'!$M$4:$M$2000,H31)-SUMIFS('kokpit-1'!$P$4:$P$2000,'kokpit-1'!$M$4:$M$2000,H31)</f>
        <v>0</v>
      </c>
    </row>
    <row r="32" spans="1:21" x14ac:dyDescent="0.3">
      <c r="B32" s="224" t="s">
        <v>93</v>
      </c>
      <c r="C32" s="224"/>
      <c r="D32" s="91" t="s">
        <v>343</v>
      </c>
      <c r="E32" s="176" t="str">
        <f t="shared" si="3"/>
        <v/>
      </c>
      <c r="F32" s="176" t="str">
        <f t="shared" si="4"/>
        <v/>
      </c>
      <c r="H32" s="92" t="str">
        <f>A9&amp;B32</f>
        <v>I.a.3</v>
      </c>
      <c r="I32" s="138"/>
      <c r="M32" s="82">
        <f>SUMIFS(kokpit!$P$4:$P$2000,kokpit!$M$4:$M$2000,H32)</f>
        <v>0</v>
      </c>
      <c r="N32" s="82">
        <f>SUMIFS(kokpit!$Q$4:$Q$2000,kokpit!$M$4:$M$2000,H32)</f>
        <v>0</v>
      </c>
      <c r="O32" s="82">
        <f>SUMIFS(kokpit!$P$4:$P$2000,kokpit!$M$4:$M$2000,H32)-SUMIFS(kokpit!$Q$4:$Q$2000,kokpit!$M$4:$M$2000,H32)</f>
        <v>0</v>
      </c>
      <c r="P32" s="82">
        <f>SUMIFS(kokpit!$Q$4:$Q$2000,kokpit!$M$4:$M$2000,H32)-SUMIFS(kokpit!$P$4:$P$2000,kokpit!$M$4:$M$2000,H32)</f>
        <v>0</v>
      </c>
      <c r="R32" s="82">
        <f>SUMIFS('kokpit-1'!$P$4:$P$2000,'kokpit-1'!$M$4:$M$2000,H32)</f>
        <v>0</v>
      </c>
      <c r="S32" s="82">
        <f>SUMIFS('kokpit-1'!$Q$4:$Q$2000,'kokpit-1'!$M$4:$M$2000,H32)</f>
        <v>0</v>
      </c>
      <c r="T32" s="82">
        <f>SUMIFS('kokpit-1'!$P$4:$P$2000,'kokpit-1'!$M$4:$M$2000,H32)-SUMIFS('kokpit-1'!$Q$4:$Q$2000,'kokpit-1'!$M$4:$M$2000,H32)</f>
        <v>0</v>
      </c>
      <c r="U32" s="82">
        <f>SUMIFS('kokpit-1'!$Q$4:$Q$2000,'kokpit-1'!$M$4:$M$2000,H32)-SUMIFS('kokpit-1'!$P$4:$P$2000,'kokpit-1'!$M$4:$M$2000,H32)</f>
        <v>0</v>
      </c>
    </row>
    <row r="33" spans="1:21" x14ac:dyDescent="0.3">
      <c r="B33" s="227" t="s">
        <v>308</v>
      </c>
      <c r="C33" s="227"/>
      <c r="D33" s="103" t="s">
        <v>344</v>
      </c>
      <c r="E33" s="177">
        <f>E34-E37</f>
        <v>0</v>
      </c>
      <c r="F33" s="177">
        <f>F34-F37</f>
        <v>0</v>
      </c>
      <c r="H33" s="90" t="str">
        <f>A9&amp;B33</f>
        <v>I.a.3.1</v>
      </c>
      <c r="I33" s="138"/>
      <c r="M33" s="82">
        <f>SUMIFS(kokpit!$P$4:$P$2000,kokpit!$M$4:$M$2000,H33)</f>
        <v>0</v>
      </c>
      <c r="N33" s="82">
        <f>SUMIFS(kokpit!$Q$4:$Q$2000,kokpit!$M$4:$M$2000,H33)</f>
        <v>0</v>
      </c>
      <c r="O33" s="82">
        <f>SUMIFS(kokpit!$P$4:$P$2000,kokpit!$M$4:$M$2000,H33)-SUMIFS(kokpit!$Q$4:$Q$2000,kokpit!$M$4:$M$2000,H33)</f>
        <v>0</v>
      </c>
      <c r="P33" s="82">
        <f>SUMIFS(kokpit!$Q$4:$Q$2000,kokpit!$M$4:$M$2000,H33)-SUMIFS(kokpit!$P$4:$P$2000,kokpit!$M$4:$M$2000,H33)</f>
        <v>0</v>
      </c>
      <c r="R33" s="82">
        <f>SUMIFS('kokpit-1'!$P$4:$P$2000,'kokpit-1'!$M$4:$M$2000,H33)</f>
        <v>0</v>
      </c>
      <c r="S33" s="82">
        <f>SUMIFS('kokpit-1'!$Q$4:$Q$2000,'kokpit-1'!$M$4:$M$2000,H33)</f>
        <v>0</v>
      </c>
      <c r="T33" s="82">
        <f>SUMIFS('kokpit-1'!$P$4:$P$2000,'kokpit-1'!$M$4:$M$2000,H33)-SUMIFS('kokpit-1'!$Q$4:$Q$2000,'kokpit-1'!$M$4:$M$2000,H33)</f>
        <v>0</v>
      </c>
      <c r="U33" s="82">
        <f>SUMIFS('kokpit-1'!$Q$4:$Q$2000,'kokpit-1'!$M$4:$M$2000,H33)-SUMIFS('kokpit-1'!$P$4:$P$2000,'kokpit-1'!$M$4:$M$2000,H33)</f>
        <v>0</v>
      </c>
    </row>
    <row r="34" spans="1:21" s="97" customFormat="1" x14ac:dyDescent="0.3">
      <c r="A34" s="94"/>
      <c r="B34" s="94"/>
      <c r="C34" s="95" t="s">
        <v>184</v>
      </c>
      <c r="D34" s="96" t="s">
        <v>345</v>
      </c>
      <c r="E34" s="180">
        <f>SUM(E35:E36)</f>
        <v>0</v>
      </c>
      <c r="F34" s="180">
        <f>SUM(F35:F36)</f>
        <v>0</v>
      </c>
      <c r="H34" s="90" t="str">
        <f>A9&amp;B33&amp;C34</f>
        <v>I.a.3.1a</v>
      </c>
      <c r="I34" s="138"/>
      <c r="M34" s="82">
        <f>SUMIFS(kokpit!$P$4:$P$2000,kokpit!$M$4:$M$2000,H34)</f>
        <v>0</v>
      </c>
      <c r="N34" s="82">
        <f>SUMIFS(kokpit!$Q$4:$Q$2000,kokpit!$M$4:$M$2000,H34)</f>
        <v>0</v>
      </c>
      <c r="O34" s="82">
        <f>SUMIFS(kokpit!$P$4:$P$2000,kokpit!$M$4:$M$2000,H34)-SUMIFS(kokpit!$Q$4:$Q$2000,kokpit!$M$4:$M$2000,H34)</f>
        <v>0</v>
      </c>
      <c r="P34" s="82">
        <f>SUMIFS(kokpit!$Q$4:$Q$2000,kokpit!$M$4:$M$2000,H34)-SUMIFS(kokpit!$P$4:$P$2000,kokpit!$M$4:$M$2000,H34)</f>
        <v>0</v>
      </c>
      <c r="R34" s="82">
        <f>SUMIFS('kokpit-1'!$P$4:$P$2000,'kokpit-1'!$M$4:$M$2000,H34)</f>
        <v>0</v>
      </c>
      <c r="S34" s="82">
        <f>SUMIFS('kokpit-1'!$Q$4:$Q$2000,'kokpit-1'!$M$4:$M$2000,H34)</f>
        <v>0</v>
      </c>
      <c r="T34" s="82">
        <f>SUMIFS('kokpit-1'!$P$4:$P$2000,'kokpit-1'!$M$4:$M$2000,H34)-SUMIFS('kokpit-1'!$Q$4:$Q$2000,'kokpit-1'!$M$4:$M$2000,H34)</f>
        <v>0</v>
      </c>
      <c r="U34" s="82">
        <f>SUMIFS('kokpit-1'!$Q$4:$Q$2000,'kokpit-1'!$M$4:$M$2000,H34)-SUMIFS('kokpit-1'!$P$4:$P$2000,'kokpit-1'!$M$4:$M$2000,H34)</f>
        <v>0</v>
      </c>
    </row>
    <row r="35" spans="1:21" s="97" customFormat="1" x14ac:dyDescent="0.3">
      <c r="A35" s="94"/>
      <c r="B35" s="94"/>
      <c r="C35" s="94" t="s">
        <v>88</v>
      </c>
      <c r="D35" s="96" t="s">
        <v>99</v>
      </c>
      <c r="E35" s="177" t="str">
        <f t="shared" ref="E35:E41" si="5">IFERROR(IF($F$3="ZŁ",IF(I35="Wn",M35,IF(I35="Ma",N35,IF(I35="Wn-Ma",O35,IF(I35="Ma-Wn",P35,"")))),(IF(I35="Wn",M35,IF(I35="Ma",N35,IF(I35="Wn-Ma",O35,IF(I35="Ma-Wn",P35,"")))))/1000),"")</f>
        <v/>
      </c>
      <c r="F35" s="177" t="str">
        <f t="shared" si="4"/>
        <v/>
      </c>
      <c r="H35" s="90" t="str">
        <f>A9&amp;B33&amp;C34&amp;C35</f>
        <v>I.a.3.1a1</v>
      </c>
      <c r="I35" s="138"/>
      <c r="M35" s="82">
        <f>SUMIFS(kokpit!$P$4:$P$2000,kokpit!$M$4:$M$2000,H35)</f>
        <v>0</v>
      </c>
      <c r="N35" s="82">
        <f>SUMIFS(kokpit!$Q$4:$Q$2000,kokpit!$M$4:$M$2000,H35)</f>
        <v>0</v>
      </c>
      <c r="O35" s="82">
        <f>SUMIFS(kokpit!$P$4:$P$2000,kokpit!$M$4:$M$2000,H35)-SUMIFS(kokpit!$Q$4:$Q$2000,kokpit!$M$4:$M$2000,H35)</f>
        <v>0</v>
      </c>
      <c r="P35" s="82">
        <f>SUMIFS(kokpit!$Q$4:$Q$2000,kokpit!$M$4:$M$2000,H35)-SUMIFS(kokpit!$P$4:$P$2000,kokpit!$M$4:$M$2000,H35)</f>
        <v>0</v>
      </c>
      <c r="R35" s="82">
        <f>SUMIFS('kokpit-1'!$P$4:$P$2000,'kokpit-1'!$M$4:$M$2000,H35)</f>
        <v>0</v>
      </c>
      <c r="S35" s="82">
        <f>SUMIFS('kokpit-1'!$Q$4:$Q$2000,'kokpit-1'!$M$4:$M$2000,H35)</f>
        <v>0</v>
      </c>
      <c r="T35" s="82">
        <f>SUMIFS('kokpit-1'!$P$4:$P$2000,'kokpit-1'!$M$4:$M$2000,H35)-SUMIFS('kokpit-1'!$Q$4:$Q$2000,'kokpit-1'!$M$4:$M$2000,H35)</f>
        <v>0</v>
      </c>
      <c r="U35" s="82">
        <f>SUMIFS('kokpit-1'!$Q$4:$Q$2000,'kokpit-1'!$M$4:$M$2000,H35)-SUMIFS('kokpit-1'!$P$4:$P$2000,'kokpit-1'!$M$4:$M$2000,H35)</f>
        <v>0</v>
      </c>
    </row>
    <row r="36" spans="1:21" s="97" customFormat="1" x14ac:dyDescent="0.3">
      <c r="A36" s="94"/>
      <c r="B36" s="94"/>
      <c r="C36" s="94" t="s">
        <v>89</v>
      </c>
      <c r="D36" s="96" t="s">
        <v>99</v>
      </c>
      <c r="E36" s="177" t="str">
        <f t="shared" si="5"/>
        <v/>
      </c>
      <c r="F36" s="177" t="str">
        <f t="shared" si="4"/>
        <v/>
      </c>
      <c r="H36" s="90" t="str">
        <f>A9&amp;B33&amp;C34&amp;C36</f>
        <v>I.a.3.1a2</v>
      </c>
      <c r="I36" s="138"/>
      <c r="M36" s="82">
        <f>SUMIFS(kokpit!$P$4:$P$2000,kokpit!$M$4:$M$2000,H36)</f>
        <v>0</v>
      </c>
      <c r="N36" s="82">
        <f>SUMIFS(kokpit!$Q$4:$Q$2000,kokpit!$M$4:$M$2000,H36)</f>
        <v>0</v>
      </c>
      <c r="O36" s="82">
        <f>SUMIFS(kokpit!$P$4:$P$2000,kokpit!$M$4:$M$2000,H36)-SUMIFS(kokpit!$Q$4:$Q$2000,kokpit!$M$4:$M$2000,H36)</f>
        <v>0</v>
      </c>
      <c r="P36" s="82">
        <f>SUMIFS(kokpit!$Q$4:$Q$2000,kokpit!$M$4:$M$2000,H36)-SUMIFS(kokpit!$P$4:$P$2000,kokpit!$M$4:$M$2000,H36)</f>
        <v>0</v>
      </c>
      <c r="R36" s="82">
        <f>SUMIFS('kokpit-1'!$P$4:$P$2000,'kokpit-1'!$M$4:$M$2000,H36)</f>
        <v>0</v>
      </c>
      <c r="S36" s="82">
        <f>SUMIFS('kokpit-1'!$Q$4:$Q$2000,'kokpit-1'!$M$4:$M$2000,H36)</f>
        <v>0</v>
      </c>
      <c r="T36" s="82">
        <f>SUMIFS('kokpit-1'!$P$4:$P$2000,'kokpit-1'!$M$4:$M$2000,H36)-SUMIFS('kokpit-1'!$Q$4:$Q$2000,'kokpit-1'!$M$4:$M$2000,H36)</f>
        <v>0</v>
      </c>
      <c r="U36" s="82">
        <f>SUMIFS('kokpit-1'!$Q$4:$Q$2000,'kokpit-1'!$M$4:$M$2000,H36)-SUMIFS('kokpit-1'!$P$4:$P$2000,'kokpit-1'!$M$4:$M$2000,H36)</f>
        <v>0</v>
      </c>
    </row>
    <row r="37" spans="1:21" s="97" customFormat="1" x14ac:dyDescent="0.3">
      <c r="A37" s="94"/>
      <c r="B37" s="94"/>
      <c r="C37" s="95" t="s">
        <v>185</v>
      </c>
      <c r="D37" s="96" t="s">
        <v>346</v>
      </c>
      <c r="E37" s="180">
        <f>SUM(E38:E39)</f>
        <v>0</v>
      </c>
      <c r="F37" s="180">
        <f>SUM(F38:F39)</f>
        <v>0</v>
      </c>
      <c r="H37" s="98" t="str">
        <f>A9&amp;B33&amp;C37</f>
        <v>I.a.3.1b</v>
      </c>
      <c r="I37" s="138"/>
      <c r="M37" s="82">
        <f>SUMIFS(kokpit!$P$4:$P$2000,kokpit!$M$4:$M$2000,H37)</f>
        <v>0</v>
      </c>
      <c r="N37" s="82">
        <f>SUMIFS(kokpit!$Q$4:$Q$2000,kokpit!$M$4:$M$2000,H37)</f>
        <v>0</v>
      </c>
      <c r="O37" s="82">
        <f>SUMIFS(kokpit!$P$4:$P$2000,kokpit!$M$4:$M$2000,H37)-SUMIFS(kokpit!$Q$4:$Q$2000,kokpit!$M$4:$M$2000,H37)</f>
        <v>0</v>
      </c>
      <c r="P37" s="82">
        <f>SUMIFS(kokpit!$Q$4:$Q$2000,kokpit!$M$4:$M$2000,H37)-SUMIFS(kokpit!$P$4:$P$2000,kokpit!$M$4:$M$2000,H37)</f>
        <v>0</v>
      </c>
      <c r="R37" s="82">
        <f>SUMIFS('kokpit-1'!$P$4:$P$2000,'kokpit-1'!$M$4:$M$2000,H37)</f>
        <v>0</v>
      </c>
      <c r="S37" s="82">
        <f>SUMIFS('kokpit-1'!$Q$4:$Q$2000,'kokpit-1'!$M$4:$M$2000,H37)</f>
        <v>0</v>
      </c>
      <c r="T37" s="82">
        <f>SUMIFS('kokpit-1'!$P$4:$P$2000,'kokpit-1'!$M$4:$M$2000,H37)-SUMIFS('kokpit-1'!$Q$4:$Q$2000,'kokpit-1'!$M$4:$M$2000,H37)</f>
        <v>0</v>
      </c>
      <c r="U37" s="82">
        <f>SUMIFS('kokpit-1'!$Q$4:$Q$2000,'kokpit-1'!$M$4:$M$2000,H37)-SUMIFS('kokpit-1'!$P$4:$P$2000,'kokpit-1'!$M$4:$M$2000,H37)</f>
        <v>0</v>
      </c>
    </row>
    <row r="38" spans="1:21" s="97" customFormat="1" x14ac:dyDescent="0.3">
      <c r="A38" s="94"/>
      <c r="B38" s="94"/>
      <c r="C38" s="94" t="s">
        <v>88</v>
      </c>
      <c r="D38" s="96" t="s">
        <v>99</v>
      </c>
      <c r="E38" s="177" t="str">
        <f t="shared" si="5"/>
        <v/>
      </c>
      <c r="F38" s="177" t="str">
        <f t="shared" si="4"/>
        <v/>
      </c>
      <c r="H38" s="98" t="str">
        <f>A9&amp;B33&amp;C37&amp;C38</f>
        <v>I.a.3.1b1</v>
      </c>
      <c r="I38" s="138"/>
      <c r="M38" s="82">
        <f>SUMIFS(kokpit!$P$4:$P$2000,kokpit!$M$4:$M$2000,H38)</f>
        <v>0</v>
      </c>
      <c r="N38" s="82">
        <f>SUMIFS(kokpit!$Q$4:$Q$2000,kokpit!$M$4:$M$2000,H38)</f>
        <v>0</v>
      </c>
      <c r="O38" s="82">
        <f>SUMIFS(kokpit!$P$4:$P$2000,kokpit!$M$4:$M$2000,H38)-SUMIFS(kokpit!$Q$4:$Q$2000,kokpit!$M$4:$M$2000,H38)</f>
        <v>0</v>
      </c>
      <c r="P38" s="82">
        <f>SUMIFS(kokpit!$Q$4:$Q$2000,kokpit!$M$4:$M$2000,H38)-SUMIFS(kokpit!$P$4:$P$2000,kokpit!$M$4:$M$2000,H38)</f>
        <v>0</v>
      </c>
      <c r="R38" s="82">
        <f>SUMIFS('kokpit-1'!$P$4:$P$2000,'kokpit-1'!$M$4:$M$2000,H38)</f>
        <v>0</v>
      </c>
      <c r="S38" s="82">
        <f>SUMIFS('kokpit-1'!$Q$4:$Q$2000,'kokpit-1'!$M$4:$M$2000,H38)</f>
        <v>0</v>
      </c>
      <c r="T38" s="82">
        <f>SUMIFS('kokpit-1'!$P$4:$P$2000,'kokpit-1'!$M$4:$M$2000,H38)-SUMIFS('kokpit-1'!$Q$4:$Q$2000,'kokpit-1'!$M$4:$M$2000,H38)</f>
        <v>0</v>
      </c>
      <c r="U38" s="82">
        <f>SUMIFS('kokpit-1'!$Q$4:$Q$2000,'kokpit-1'!$M$4:$M$2000,H38)-SUMIFS('kokpit-1'!$P$4:$P$2000,'kokpit-1'!$M$4:$M$2000,H38)</f>
        <v>0</v>
      </c>
    </row>
    <row r="39" spans="1:21" s="97" customFormat="1" x14ac:dyDescent="0.3">
      <c r="A39" s="94"/>
      <c r="B39" s="94"/>
      <c r="C39" s="94" t="s">
        <v>89</v>
      </c>
      <c r="D39" s="96" t="s">
        <v>99</v>
      </c>
      <c r="E39" s="177" t="str">
        <f t="shared" si="5"/>
        <v/>
      </c>
      <c r="F39" s="177" t="str">
        <f t="shared" si="4"/>
        <v/>
      </c>
      <c r="H39" s="98" t="str">
        <f>A9&amp;B33&amp;C37&amp;C39</f>
        <v>I.a.3.1b2</v>
      </c>
      <c r="I39" s="138"/>
      <c r="M39" s="82">
        <f>SUMIFS(kokpit!$P$4:$P$2000,kokpit!$M$4:$M$2000,H39)</f>
        <v>0</v>
      </c>
      <c r="N39" s="82">
        <f>SUMIFS(kokpit!$Q$4:$Q$2000,kokpit!$M$4:$M$2000,H39)</f>
        <v>0</v>
      </c>
      <c r="O39" s="82">
        <f>SUMIFS(kokpit!$P$4:$P$2000,kokpit!$M$4:$M$2000,H39)-SUMIFS(kokpit!$Q$4:$Q$2000,kokpit!$M$4:$M$2000,H39)</f>
        <v>0</v>
      </c>
      <c r="P39" s="82">
        <f>SUMIFS(kokpit!$Q$4:$Q$2000,kokpit!$M$4:$M$2000,H39)-SUMIFS(kokpit!$P$4:$P$2000,kokpit!$M$4:$M$2000,H39)</f>
        <v>0</v>
      </c>
      <c r="R39" s="82">
        <f>SUMIFS('kokpit-1'!$P$4:$P$2000,'kokpit-1'!$M$4:$M$2000,H39)</f>
        <v>0</v>
      </c>
      <c r="S39" s="82">
        <f>SUMIFS('kokpit-1'!$Q$4:$Q$2000,'kokpit-1'!$M$4:$M$2000,H39)</f>
        <v>0</v>
      </c>
      <c r="T39" s="82">
        <f>SUMIFS('kokpit-1'!$P$4:$P$2000,'kokpit-1'!$M$4:$M$2000,H39)-SUMIFS('kokpit-1'!$Q$4:$Q$2000,'kokpit-1'!$M$4:$M$2000,H39)</f>
        <v>0</v>
      </c>
      <c r="U39" s="82">
        <f>SUMIFS('kokpit-1'!$Q$4:$Q$2000,'kokpit-1'!$M$4:$M$2000,H39)-SUMIFS('kokpit-1'!$P$4:$P$2000,'kokpit-1'!$M$4:$M$2000,H39)</f>
        <v>0</v>
      </c>
    </row>
    <row r="40" spans="1:21" x14ac:dyDescent="0.3">
      <c r="B40" s="227" t="s">
        <v>309</v>
      </c>
      <c r="C40" s="227"/>
      <c r="D40" s="89" t="s">
        <v>347</v>
      </c>
      <c r="E40" s="177" t="str">
        <f t="shared" si="5"/>
        <v/>
      </c>
      <c r="F40" s="177" t="str">
        <f t="shared" si="4"/>
        <v/>
      </c>
      <c r="H40" s="98" t="str">
        <f>A9&amp;B40</f>
        <v>I.a.3.2</v>
      </c>
      <c r="I40" s="138"/>
      <c r="M40" s="82">
        <f>SUMIFS(kokpit!$P$4:$P$2000,kokpit!$M$4:$M$2000,H40)</f>
        <v>0</v>
      </c>
      <c r="N40" s="82">
        <f>SUMIFS(kokpit!$Q$4:$Q$2000,kokpit!$M$4:$M$2000,H40)</f>
        <v>0</v>
      </c>
      <c r="O40" s="82">
        <f>SUMIFS(kokpit!$P$4:$P$2000,kokpit!$M$4:$M$2000,H40)-SUMIFS(kokpit!$Q$4:$Q$2000,kokpit!$M$4:$M$2000,H40)</f>
        <v>0</v>
      </c>
      <c r="P40" s="82">
        <f>SUMIFS(kokpit!$Q$4:$Q$2000,kokpit!$M$4:$M$2000,H40)-SUMIFS(kokpit!$P$4:$P$2000,kokpit!$M$4:$M$2000,H40)</f>
        <v>0</v>
      </c>
      <c r="R40" s="82">
        <f>SUMIFS('kokpit-1'!$P$4:$P$2000,'kokpit-1'!$M$4:$M$2000,H40)</f>
        <v>0</v>
      </c>
      <c r="S40" s="82">
        <f>SUMIFS('kokpit-1'!$Q$4:$Q$2000,'kokpit-1'!$M$4:$M$2000,H40)</f>
        <v>0</v>
      </c>
      <c r="T40" s="82">
        <f>SUMIFS('kokpit-1'!$P$4:$P$2000,'kokpit-1'!$M$4:$M$2000,H40)-SUMIFS('kokpit-1'!$Q$4:$Q$2000,'kokpit-1'!$M$4:$M$2000,H40)</f>
        <v>0</v>
      </c>
      <c r="U40" s="82">
        <f>SUMIFS('kokpit-1'!$Q$4:$Q$2000,'kokpit-1'!$M$4:$M$2000,H40)-SUMIFS('kokpit-1'!$P$4:$P$2000,'kokpit-1'!$M$4:$M$2000,H40)</f>
        <v>0</v>
      </c>
    </row>
    <row r="41" spans="1:21" x14ac:dyDescent="0.3">
      <c r="B41" s="224" t="s">
        <v>86</v>
      </c>
      <c r="C41" s="224"/>
      <c r="D41" s="91" t="s">
        <v>348</v>
      </c>
      <c r="E41" s="176" t="str">
        <f t="shared" si="5"/>
        <v/>
      </c>
      <c r="F41" s="176" t="str">
        <f t="shared" si="4"/>
        <v/>
      </c>
      <c r="H41" s="92" t="str">
        <f>A9&amp;B41</f>
        <v>I.a.4</v>
      </c>
      <c r="I41" s="138"/>
      <c r="M41" s="82">
        <f>SUMIFS(kokpit!$P$4:$P$2000,kokpit!$M$4:$M$2000,H41)</f>
        <v>0</v>
      </c>
      <c r="N41" s="82">
        <f>SUMIFS(kokpit!$Q$4:$Q$2000,kokpit!$M$4:$M$2000,H41)</f>
        <v>0</v>
      </c>
      <c r="O41" s="82">
        <f>SUMIFS(kokpit!$P$4:$P$2000,kokpit!$M$4:$M$2000,H41)-SUMIFS(kokpit!$Q$4:$Q$2000,kokpit!$M$4:$M$2000,H41)</f>
        <v>0</v>
      </c>
      <c r="P41" s="82">
        <f>SUMIFS(kokpit!$Q$4:$Q$2000,kokpit!$M$4:$M$2000,H41)-SUMIFS(kokpit!$P$4:$P$2000,kokpit!$M$4:$M$2000,H41)</f>
        <v>0</v>
      </c>
      <c r="R41" s="82">
        <f>SUMIFS('kokpit-1'!$P$4:$P$2000,'kokpit-1'!$M$4:$M$2000,H41)</f>
        <v>0</v>
      </c>
      <c r="S41" s="82">
        <f>SUMIFS('kokpit-1'!$Q$4:$Q$2000,'kokpit-1'!$M$4:$M$2000,H41)</f>
        <v>0</v>
      </c>
      <c r="T41" s="82">
        <f>SUMIFS('kokpit-1'!$P$4:$P$2000,'kokpit-1'!$M$4:$M$2000,H41)-SUMIFS('kokpit-1'!$Q$4:$Q$2000,'kokpit-1'!$M$4:$M$2000,H41)</f>
        <v>0</v>
      </c>
      <c r="U41" s="82">
        <f>SUMIFS('kokpit-1'!$Q$4:$Q$2000,'kokpit-1'!$M$4:$M$2000,H41)-SUMIFS('kokpit-1'!$P$4:$P$2000,'kokpit-1'!$M$4:$M$2000,H41)</f>
        <v>0</v>
      </c>
    </row>
    <row r="42" spans="1:21" x14ac:dyDescent="0.3">
      <c r="B42" s="227" t="s">
        <v>310</v>
      </c>
      <c r="C42" s="227"/>
      <c r="D42" s="89" t="s">
        <v>349</v>
      </c>
      <c r="E42" s="174">
        <f>E43-E48</f>
        <v>0</v>
      </c>
      <c r="F42" s="174">
        <f>F43-F48</f>
        <v>0</v>
      </c>
      <c r="H42" s="90" t="str">
        <f>A9&amp;B42</f>
        <v>I.a.4.1</v>
      </c>
      <c r="I42" s="138"/>
      <c r="M42" s="82">
        <f>SUMIFS(kokpit!$P$4:$P$2000,kokpit!$M$4:$M$2000,H42)</f>
        <v>0</v>
      </c>
      <c r="N42" s="82">
        <f>SUMIFS(kokpit!$Q$4:$Q$2000,kokpit!$M$4:$M$2000,H42)</f>
        <v>0</v>
      </c>
      <c r="O42" s="82">
        <f>SUMIFS(kokpit!$P$4:$P$2000,kokpit!$M$4:$M$2000,H42)-SUMIFS(kokpit!$Q$4:$Q$2000,kokpit!$M$4:$M$2000,H42)</f>
        <v>0</v>
      </c>
      <c r="P42" s="82">
        <f>SUMIFS(kokpit!$Q$4:$Q$2000,kokpit!$M$4:$M$2000,H42)-SUMIFS(kokpit!$P$4:$P$2000,kokpit!$M$4:$M$2000,H42)</f>
        <v>0</v>
      </c>
      <c r="R42" s="82">
        <f>SUMIFS('kokpit-1'!$P$4:$P$2000,'kokpit-1'!$M$4:$M$2000,H42)</f>
        <v>0</v>
      </c>
      <c r="S42" s="82">
        <f>SUMIFS('kokpit-1'!$Q$4:$Q$2000,'kokpit-1'!$M$4:$M$2000,H42)</f>
        <v>0</v>
      </c>
      <c r="T42" s="82">
        <f>SUMIFS('kokpit-1'!$P$4:$P$2000,'kokpit-1'!$M$4:$M$2000,H42)-SUMIFS('kokpit-1'!$Q$4:$Q$2000,'kokpit-1'!$M$4:$M$2000,H42)</f>
        <v>0</v>
      </c>
      <c r="U42" s="82">
        <f>SUMIFS('kokpit-1'!$Q$4:$Q$2000,'kokpit-1'!$M$4:$M$2000,H42)-SUMIFS('kokpit-1'!$P$4:$P$2000,'kokpit-1'!$M$4:$M$2000,H42)</f>
        <v>0</v>
      </c>
    </row>
    <row r="43" spans="1:21" x14ac:dyDescent="0.3">
      <c r="C43" s="93" t="s">
        <v>184</v>
      </c>
      <c r="D43" s="89" t="s">
        <v>335</v>
      </c>
      <c r="E43" s="180">
        <f>SUM(E44:E47)</f>
        <v>0</v>
      </c>
      <c r="F43" s="180">
        <f>SUM(F44:F47)</f>
        <v>0</v>
      </c>
      <c r="H43" s="90" t="str">
        <f>A9&amp;B42&amp;C43</f>
        <v>I.a.4.1a</v>
      </c>
      <c r="I43" s="138"/>
      <c r="M43" s="82">
        <f>SUMIFS(kokpit!$P$4:$P$2000,kokpit!$M$4:$M$2000,H43)</f>
        <v>0</v>
      </c>
      <c r="N43" s="82">
        <f>SUMIFS(kokpit!$Q$4:$Q$2000,kokpit!$M$4:$M$2000,H43)</f>
        <v>0</v>
      </c>
      <c r="O43" s="82">
        <f>SUMIFS(kokpit!$P$4:$P$2000,kokpit!$M$4:$M$2000,H43)-SUMIFS(kokpit!$Q$4:$Q$2000,kokpit!$M$4:$M$2000,H43)</f>
        <v>0</v>
      </c>
      <c r="P43" s="82">
        <f>SUMIFS(kokpit!$Q$4:$Q$2000,kokpit!$M$4:$M$2000,H43)-SUMIFS(kokpit!$P$4:$P$2000,kokpit!$M$4:$M$2000,H43)</f>
        <v>0</v>
      </c>
      <c r="R43" s="82">
        <f>SUMIFS('kokpit-1'!$P$4:$P$2000,'kokpit-1'!$M$4:$M$2000,H43)</f>
        <v>0</v>
      </c>
      <c r="S43" s="82">
        <f>SUMIFS('kokpit-1'!$Q$4:$Q$2000,'kokpit-1'!$M$4:$M$2000,H43)</f>
        <v>0</v>
      </c>
      <c r="T43" s="82">
        <f>SUMIFS('kokpit-1'!$P$4:$P$2000,'kokpit-1'!$M$4:$M$2000,H43)-SUMIFS('kokpit-1'!$Q$4:$Q$2000,'kokpit-1'!$M$4:$M$2000,H43)</f>
        <v>0</v>
      </c>
      <c r="U43" s="82">
        <f>SUMIFS('kokpit-1'!$Q$4:$Q$2000,'kokpit-1'!$M$4:$M$2000,H43)-SUMIFS('kokpit-1'!$P$4:$P$2000,'kokpit-1'!$M$4:$M$2000,H43)</f>
        <v>0</v>
      </c>
    </row>
    <row r="44" spans="1:21" s="97" customFormat="1" x14ac:dyDescent="0.3">
      <c r="A44" s="94"/>
      <c r="B44" s="94"/>
      <c r="C44" s="81" t="s">
        <v>88</v>
      </c>
      <c r="D44" s="96" t="s">
        <v>99</v>
      </c>
      <c r="E44" s="174" t="str">
        <f t="shared" ref="E44:E104" si="6">IFERROR(IF(F5="ZŁ",IF(I44="Wn",M44,IF(I44="Ma",N44,IF(I44="Wn-Ma",O44,IF(I44="Ma-Wn",P44,"")))),(IF(I44="Wn",M44,IF(I44="Ma",N44,IF(I44="Wn-Ma",O44,IF(I44="Ma-Wn",P44,"")))))/1000),"")</f>
        <v/>
      </c>
      <c r="F44" s="174" t="str">
        <f t="shared" si="4"/>
        <v/>
      </c>
      <c r="H44" s="90" t="str">
        <f>A9&amp;B42&amp;C43&amp;C44</f>
        <v>I.a.4.1a1</v>
      </c>
      <c r="I44" s="138"/>
      <c r="M44" s="82">
        <f>SUMIFS(kokpit!$P$4:$P$2000,kokpit!$M$4:$M$2000,H44)</f>
        <v>0</v>
      </c>
      <c r="N44" s="82">
        <f>SUMIFS(kokpit!$Q$4:$Q$2000,kokpit!$M$4:$M$2000,H44)</f>
        <v>0</v>
      </c>
      <c r="O44" s="82">
        <f>SUMIFS(kokpit!$P$4:$P$2000,kokpit!$M$4:$M$2000,H44)-SUMIFS(kokpit!$Q$4:$Q$2000,kokpit!$M$4:$M$2000,H44)</f>
        <v>0</v>
      </c>
      <c r="P44" s="82">
        <f>SUMIFS(kokpit!$Q$4:$Q$2000,kokpit!$M$4:$M$2000,H44)-SUMIFS(kokpit!$P$4:$P$2000,kokpit!$M$4:$M$2000,H44)</f>
        <v>0</v>
      </c>
      <c r="R44" s="82">
        <f>SUMIFS('kokpit-1'!$P$4:$P$2000,'kokpit-1'!$M$4:$M$2000,H44)</f>
        <v>0</v>
      </c>
      <c r="S44" s="82">
        <f>SUMIFS('kokpit-1'!$Q$4:$Q$2000,'kokpit-1'!$M$4:$M$2000,H44)</f>
        <v>0</v>
      </c>
      <c r="T44" s="82">
        <f>SUMIFS('kokpit-1'!$P$4:$P$2000,'kokpit-1'!$M$4:$M$2000,H44)-SUMIFS('kokpit-1'!$Q$4:$Q$2000,'kokpit-1'!$M$4:$M$2000,H44)</f>
        <v>0</v>
      </c>
      <c r="U44" s="82">
        <f>SUMIFS('kokpit-1'!$Q$4:$Q$2000,'kokpit-1'!$M$4:$M$2000,H44)-SUMIFS('kokpit-1'!$P$4:$P$2000,'kokpit-1'!$M$4:$M$2000,H44)</f>
        <v>0</v>
      </c>
    </row>
    <row r="45" spans="1:21" s="97" customFormat="1" x14ac:dyDescent="0.3">
      <c r="A45" s="94"/>
      <c r="B45" s="94"/>
      <c r="C45" s="81" t="s">
        <v>89</v>
      </c>
      <c r="D45" s="96" t="s">
        <v>99</v>
      </c>
      <c r="E45" s="174" t="str">
        <f t="shared" si="6"/>
        <v/>
      </c>
      <c r="F45" s="174" t="str">
        <f t="shared" si="4"/>
        <v/>
      </c>
      <c r="H45" s="98" t="str">
        <f>A9&amp;B42&amp;C43&amp;C45</f>
        <v>I.a.4.1a2</v>
      </c>
      <c r="I45" s="138"/>
      <c r="M45" s="82">
        <f>SUMIFS(kokpit!$P$4:$P$2000,kokpit!$M$4:$M$2000,H45)</f>
        <v>0</v>
      </c>
      <c r="N45" s="82">
        <f>SUMIFS(kokpit!$Q$4:$Q$2000,kokpit!$M$4:$M$2000,H45)</f>
        <v>0</v>
      </c>
      <c r="O45" s="82">
        <f>SUMIFS(kokpit!$P$4:$P$2000,kokpit!$M$4:$M$2000,H45)-SUMIFS(kokpit!$Q$4:$Q$2000,kokpit!$M$4:$M$2000,H45)</f>
        <v>0</v>
      </c>
      <c r="P45" s="82">
        <f>SUMIFS(kokpit!$Q$4:$Q$2000,kokpit!$M$4:$M$2000,H45)-SUMIFS(kokpit!$P$4:$P$2000,kokpit!$M$4:$M$2000,H45)</f>
        <v>0</v>
      </c>
      <c r="R45" s="82">
        <f>SUMIFS('kokpit-1'!$P$4:$P$2000,'kokpit-1'!$M$4:$M$2000,H45)</f>
        <v>0</v>
      </c>
      <c r="S45" s="82">
        <f>SUMIFS('kokpit-1'!$Q$4:$Q$2000,'kokpit-1'!$M$4:$M$2000,H45)</f>
        <v>0</v>
      </c>
      <c r="T45" s="82">
        <f>SUMIFS('kokpit-1'!$P$4:$P$2000,'kokpit-1'!$M$4:$M$2000,H45)-SUMIFS('kokpit-1'!$Q$4:$Q$2000,'kokpit-1'!$M$4:$M$2000,H45)</f>
        <v>0</v>
      </c>
      <c r="U45" s="82">
        <f>SUMIFS('kokpit-1'!$Q$4:$Q$2000,'kokpit-1'!$M$4:$M$2000,H45)-SUMIFS('kokpit-1'!$P$4:$P$2000,'kokpit-1'!$M$4:$M$2000,H45)</f>
        <v>0</v>
      </c>
    </row>
    <row r="46" spans="1:21" s="97" customFormat="1" x14ac:dyDescent="0.3">
      <c r="A46" s="94"/>
      <c r="B46" s="94"/>
      <c r="C46" s="81" t="s">
        <v>93</v>
      </c>
      <c r="D46" s="96" t="s">
        <v>99</v>
      </c>
      <c r="E46" s="174" t="str">
        <f t="shared" si="6"/>
        <v/>
      </c>
      <c r="F46" s="174" t="str">
        <f t="shared" si="4"/>
        <v/>
      </c>
      <c r="H46" s="98" t="str">
        <f>A9&amp;B42&amp;C43&amp;C46</f>
        <v>I.a.4.1a3</v>
      </c>
      <c r="I46" s="138"/>
      <c r="M46" s="82">
        <f>SUMIFS(kokpit!$P$4:$P$2000,kokpit!$M$4:$M$2000,H46)</f>
        <v>0</v>
      </c>
      <c r="N46" s="82">
        <f>SUMIFS(kokpit!$Q$4:$Q$2000,kokpit!$M$4:$M$2000,H46)</f>
        <v>0</v>
      </c>
      <c r="O46" s="82">
        <f>SUMIFS(kokpit!$P$4:$P$2000,kokpit!$M$4:$M$2000,H46)-SUMIFS(kokpit!$Q$4:$Q$2000,kokpit!$M$4:$M$2000,H46)</f>
        <v>0</v>
      </c>
      <c r="P46" s="82">
        <f>SUMIFS(kokpit!$Q$4:$Q$2000,kokpit!$M$4:$M$2000,H46)-SUMIFS(kokpit!$P$4:$P$2000,kokpit!$M$4:$M$2000,H46)</f>
        <v>0</v>
      </c>
      <c r="R46" s="82">
        <f>SUMIFS('kokpit-1'!$P$4:$P$2000,'kokpit-1'!$M$4:$M$2000,H46)</f>
        <v>0</v>
      </c>
      <c r="S46" s="82">
        <f>SUMIFS('kokpit-1'!$Q$4:$Q$2000,'kokpit-1'!$M$4:$M$2000,H46)</f>
        <v>0</v>
      </c>
      <c r="T46" s="82">
        <f>SUMIFS('kokpit-1'!$P$4:$P$2000,'kokpit-1'!$M$4:$M$2000,H46)-SUMIFS('kokpit-1'!$Q$4:$Q$2000,'kokpit-1'!$M$4:$M$2000,H46)</f>
        <v>0</v>
      </c>
      <c r="U46" s="82">
        <f>SUMIFS('kokpit-1'!$Q$4:$Q$2000,'kokpit-1'!$M$4:$M$2000,H46)-SUMIFS('kokpit-1'!$P$4:$P$2000,'kokpit-1'!$M$4:$M$2000,H46)</f>
        <v>0</v>
      </c>
    </row>
    <row r="47" spans="1:21" s="97" customFormat="1" x14ac:dyDescent="0.3">
      <c r="A47" s="94"/>
      <c r="B47" s="94"/>
      <c r="C47" s="81" t="s">
        <v>86</v>
      </c>
      <c r="D47" s="96" t="s">
        <v>99</v>
      </c>
      <c r="E47" s="174" t="str">
        <f t="shared" si="6"/>
        <v/>
      </c>
      <c r="F47" s="174" t="str">
        <f t="shared" si="4"/>
        <v/>
      </c>
      <c r="H47" s="98" t="str">
        <f>A9&amp;B42&amp;C43&amp;C47</f>
        <v>I.a.4.1a4</v>
      </c>
      <c r="I47" s="138"/>
      <c r="M47" s="82">
        <f>SUMIFS(kokpit!$P$4:$P$2000,kokpit!$M$4:$M$2000,H47)</f>
        <v>0</v>
      </c>
      <c r="N47" s="82">
        <f>SUMIFS(kokpit!$Q$4:$Q$2000,kokpit!$M$4:$M$2000,H47)</f>
        <v>0</v>
      </c>
      <c r="O47" s="82">
        <f>SUMIFS(kokpit!$P$4:$P$2000,kokpit!$M$4:$M$2000,H47)-SUMIFS(kokpit!$Q$4:$Q$2000,kokpit!$M$4:$M$2000,H47)</f>
        <v>0</v>
      </c>
      <c r="P47" s="82">
        <f>SUMIFS(kokpit!$Q$4:$Q$2000,kokpit!$M$4:$M$2000,H47)-SUMIFS(kokpit!$P$4:$P$2000,kokpit!$M$4:$M$2000,H47)</f>
        <v>0</v>
      </c>
      <c r="R47" s="82">
        <f>SUMIFS('kokpit-1'!$P$4:$P$2000,'kokpit-1'!$M$4:$M$2000,H47)</f>
        <v>0</v>
      </c>
      <c r="S47" s="82">
        <f>SUMIFS('kokpit-1'!$Q$4:$Q$2000,'kokpit-1'!$M$4:$M$2000,H47)</f>
        <v>0</v>
      </c>
      <c r="T47" s="82">
        <f>SUMIFS('kokpit-1'!$P$4:$P$2000,'kokpit-1'!$M$4:$M$2000,H47)-SUMIFS('kokpit-1'!$Q$4:$Q$2000,'kokpit-1'!$M$4:$M$2000,H47)</f>
        <v>0</v>
      </c>
      <c r="U47" s="82">
        <f>SUMIFS('kokpit-1'!$Q$4:$Q$2000,'kokpit-1'!$M$4:$M$2000,H47)-SUMIFS('kokpit-1'!$P$4:$P$2000,'kokpit-1'!$M$4:$M$2000,H47)</f>
        <v>0</v>
      </c>
    </row>
    <row r="48" spans="1:21" x14ac:dyDescent="0.3">
      <c r="C48" s="93" t="s">
        <v>185</v>
      </c>
      <c r="D48" s="89" t="s">
        <v>336</v>
      </c>
      <c r="E48" s="180">
        <f>SUM(E49:E51)</f>
        <v>0</v>
      </c>
      <c r="F48" s="180">
        <f>SUM(F49:F51)</f>
        <v>0</v>
      </c>
      <c r="H48" s="98" t="str">
        <f>A9&amp;B42&amp;C48</f>
        <v>I.a.4.1b</v>
      </c>
      <c r="I48" s="138"/>
      <c r="M48" s="82">
        <f>SUMIFS(kokpit!$P$4:$P$2000,kokpit!$M$4:$M$2000,H48)</f>
        <v>0</v>
      </c>
      <c r="N48" s="82">
        <f>SUMIFS(kokpit!$Q$4:$Q$2000,kokpit!$M$4:$M$2000,H48)</f>
        <v>0</v>
      </c>
      <c r="O48" s="82">
        <f>SUMIFS(kokpit!$P$4:$P$2000,kokpit!$M$4:$M$2000,H48)-SUMIFS(kokpit!$Q$4:$Q$2000,kokpit!$M$4:$M$2000,H48)</f>
        <v>0</v>
      </c>
      <c r="P48" s="82">
        <f>SUMIFS(kokpit!$Q$4:$Q$2000,kokpit!$M$4:$M$2000,H48)-SUMIFS(kokpit!$P$4:$P$2000,kokpit!$M$4:$M$2000,H48)</f>
        <v>0</v>
      </c>
      <c r="R48" s="82">
        <f>SUMIFS('kokpit-1'!$P$4:$P$2000,'kokpit-1'!$M$4:$M$2000,H48)</f>
        <v>0</v>
      </c>
      <c r="S48" s="82">
        <f>SUMIFS('kokpit-1'!$Q$4:$Q$2000,'kokpit-1'!$M$4:$M$2000,H48)</f>
        <v>0</v>
      </c>
      <c r="T48" s="82">
        <f>SUMIFS('kokpit-1'!$P$4:$P$2000,'kokpit-1'!$M$4:$M$2000,H48)-SUMIFS('kokpit-1'!$Q$4:$Q$2000,'kokpit-1'!$M$4:$M$2000,H48)</f>
        <v>0</v>
      </c>
      <c r="U48" s="82">
        <f>SUMIFS('kokpit-1'!$Q$4:$Q$2000,'kokpit-1'!$M$4:$M$2000,H48)-SUMIFS('kokpit-1'!$P$4:$P$2000,'kokpit-1'!$M$4:$M$2000,H48)</f>
        <v>0</v>
      </c>
    </row>
    <row r="49" spans="1:21" x14ac:dyDescent="0.3">
      <c r="C49" s="81" t="s">
        <v>88</v>
      </c>
      <c r="D49" s="96" t="s">
        <v>99</v>
      </c>
      <c r="E49" s="174" t="str">
        <f t="shared" si="6"/>
        <v/>
      </c>
      <c r="F49" s="174" t="str">
        <f t="shared" si="4"/>
        <v/>
      </c>
      <c r="H49" s="90" t="str">
        <f>A9&amp;B42&amp;C48&amp;C49</f>
        <v>I.a.4.1b1</v>
      </c>
      <c r="I49" s="138"/>
      <c r="M49" s="82">
        <f>SUMIFS(kokpit!$P$4:$P$2000,kokpit!$M$4:$M$2000,H49)</f>
        <v>0</v>
      </c>
      <c r="N49" s="82">
        <f>SUMIFS(kokpit!$Q$4:$Q$2000,kokpit!$M$4:$M$2000,H49)</f>
        <v>0</v>
      </c>
      <c r="O49" s="82">
        <f>SUMIFS(kokpit!$P$4:$P$2000,kokpit!$M$4:$M$2000,H49)-SUMIFS(kokpit!$Q$4:$Q$2000,kokpit!$M$4:$M$2000,H49)</f>
        <v>0</v>
      </c>
      <c r="P49" s="82">
        <f>SUMIFS(kokpit!$Q$4:$Q$2000,kokpit!$M$4:$M$2000,H49)-SUMIFS(kokpit!$P$4:$P$2000,kokpit!$M$4:$M$2000,H49)</f>
        <v>0</v>
      </c>
      <c r="R49" s="82">
        <f>SUMIFS('kokpit-1'!$P$4:$P$2000,'kokpit-1'!$M$4:$M$2000,H49)</f>
        <v>0</v>
      </c>
      <c r="S49" s="82">
        <f>SUMIFS('kokpit-1'!$Q$4:$Q$2000,'kokpit-1'!$M$4:$M$2000,H49)</f>
        <v>0</v>
      </c>
      <c r="T49" s="82">
        <f>SUMIFS('kokpit-1'!$P$4:$P$2000,'kokpit-1'!$M$4:$M$2000,H49)-SUMIFS('kokpit-1'!$Q$4:$Q$2000,'kokpit-1'!$M$4:$M$2000,H49)</f>
        <v>0</v>
      </c>
      <c r="U49" s="82">
        <f>SUMIFS('kokpit-1'!$Q$4:$Q$2000,'kokpit-1'!$M$4:$M$2000,H49)-SUMIFS('kokpit-1'!$P$4:$P$2000,'kokpit-1'!$M$4:$M$2000,H49)</f>
        <v>0</v>
      </c>
    </row>
    <row r="50" spans="1:21" x14ac:dyDescent="0.3">
      <c r="C50" s="81" t="s">
        <v>89</v>
      </c>
      <c r="D50" s="96" t="s">
        <v>99</v>
      </c>
      <c r="E50" s="174" t="str">
        <f t="shared" si="6"/>
        <v/>
      </c>
      <c r="F50" s="174" t="str">
        <f t="shared" si="4"/>
        <v/>
      </c>
      <c r="H50" s="90" t="str">
        <f>A9&amp;B42&amp;C48&amp;C50</f>
        <v>I.a.4.1b2</v>
      </c>
      <c r="I50" s="138"/>
      <c r="M50" s="82">
        <f>SUMIFS(kokpit!$P$4:$P$2000,kokpit!$M$4:$M$2000,H50)</f>
        <v>0</v>
      </c>
      <c r="N50" s="82">
        <f>SUMIFS(kokpit!$Q$4:$Q$2000,kokpit!$M$4:$M$2000,H50)</f>
        <v>0</v>
      </c>
      <c r="O50" s="82">
        <f>SUMIFS(kokpit!$P$4:$P$2000,kokpit!$M$4:$M$2000,H50)-SUMIFS(kokpit!$Q$4:$Q$2000,kokpit!$M$4:$M$2000,H50)</f>
        <v>0</v>
      </c>
      <c r="P50" s="82">
        <f>SUMIFS(kokpit!$Q$4:$Q$2000,kokpit!$M$4:$M$2000,H50)-SUMIFS(kokpit!$P$4:$P$2000,kokpit!$M$4:$M$2000,H50)</f>
        <v>0</v>
      </c>
      <c r="R50" s="82">
        <f>SUMIFS('kokpit-1'!$P$4:$P$2000,'kokpit-1'!$M$4:$M$2000,H50)</f>
        <v>0</v>
      </c>
      <c r="S50" s="82">
        <f>SUMIFS('kokpit-1'!$Q$4:$Q$2000,'kokpit-1'!$M$4:$M$2000,H50)</f>
        <v>0</v>
      </c>
      <c r="T50" s="82">
        <f>SUMIFS('kokpit-1'!$P$4:$P$2000,'kokpit-1'!$M$4:$M$2000,H50)-SUMIFS('kokpit-1'!$Q$4:$Q$2000,'kokpit-1'!$M$4:$M$2000,H50)</f>
        <v>0</v>
      </c>
      <c r="U50" s="82">
        <f>SUMIFS('kokpit-1'!$Q$4:$Q$2000,'kokpit-1'!$M$4:$M$2000,H50)-SUMIFS('kokpit-1'!$P$4:$P$2000,'kokpit-1'!$M$4:$M$2000,H50)</f>
        <v>0</v>
      </c>
    </row>
    <row r="51" spans="1:21" s="97" customFormat="1" x14ac:dyDescent="0.3">
      <c r="A51" s="94"/>
      <c r="B51" s="94"/>
      <c r="C51" s="94" t="s">
        <v>93</v>
      </c>
      <c r="D51" s="96" t="s">
        <v>99</v>
      </c>
      <c r="E51" s="174" t="str">
        <f t="shared" si="6"/>
        <v/>
      </c>
      <c r="F51" s="174" t="str">
        <f t="shared" si="4"/>
        <v/>
      </c>
      <c r="H51" s="98" t="str">
        <f>A9&amp;B42&amp;C48&amp;C51</f>
        <v>I.a.4.1b3</v>
      </c>
      <c r="I51" s="138"/>
      <c r="M51" s="82">
        <f>SUMIFS(kokpit!$P$4:$P$2000,kokpit!$M$4:$M$2000,H51)</f>
        <v>0</v>
      </c>
      <c r="N51" s="82">
        <f>SUMIFS(kokpit!$Q$4:$Q$2000,kokpit!$M$4:$M$2000,H51)</f>
        <v>0</v>
      </c>
      <c r="O51" s="82">
        <f>SUMIFS(kokpit!$P$4:$P$2000,kokpit!$M$4:$M$2000,H51)-SUMIFS(kokpit!$Q$4:$Q$2000,kokpit!$M$4:$M$2000,H51)</f>
        <v>0</v>
      </c>
      <c r="P51" s="82">
        <f>SUMIFS(kokpit!$Q$4:$Q$2000,kokpit!$M$4:$M$2000,H51)-SUMIFS(kokpit!$P$4:$P$2000,kokpit!$M$4:$M$2000,H51)</f>
        <v>0</v>
      </c>
      <c r="R51" s="82">
        <f>SUMIFS('kokpit-1'!$P$4:$P$2000,'kokpit-1'!$M$4:$M$2000,H51)</f>
        <v>0</v>
      </c>
      <c r="S51" s="82">
        <f>SUMIFS('kokpit-1'!$Q$4:$Q$2000,'kokpit-1'!$M$4:$M$2000,H51)</f>
        <v>0</v>
      </c>
      <c r="T51" s="82">
        <f>SUMIFS('kokpit-1'!$P$4:$P$2000,'kokpit-1'!$M$4:$M$2000,H51)-SUMIFS('kokpit-1'!$Q$4:$Q$2000,'kokpit-1'!$M$4:$M$2000,H51)</f>
        <v>0</v>
      </c>
      <c r="U51" s="82">
        <f>SUMIFS('kokpit-1'!$Q$4:$Q$2000,'kokpit-1'!$M$4:$M$2000,H51)-SUMIFS('kokpit-1'!$P$4:$P$2000,'kokpit-1'!$M$4:$M$2000,H51)</f>
        <v>0</v>
      </c>
    </row>
    <row r="52" spans="1:21" x14ac:dyDescent="0.3">
      <c r="B52" s="227" t="s">
        <v>311</v>
      </c>
      <c r="C52" s="227"/>
      <c r="D52" s="89" t="s">
        <v>350</v>
      </c>
      <c r="E52" s="174" t="str">
        <f t="shared" si="6"/>
        <v/>
      </c>
      <c r="F52" s="174" t="str">
        <f t="shared" si="4"/>
        <v/>
      </c>
      <c r="H52" s="98" t="str">
        <f>A9&amp;B52</f>
        <v>I.a.4.2</v>
      </c>
      <c r="I52" s="138"/>
      <c r="M52" s="82">
        <f>SUMIFS(kokpit!$P$4:$P$2000,kokpit!$M$4:$M$2000,H52)</f>
        <v>0</v>
      </c>
      <c r="N52" s="82">
        <f>SUMIFS(kokpit!$Q$4:$Q$2000,kokpit!$M$4:$M$2000,H52)</f>
        <v>0</v>
      </c>
      <c r="O52" s="82">
        <f>SUMIFS(kokpit!$P$4:$P$2000,kokpit!$M$4:$M$2000,H52)-SUMIFS(kokpit!$Q$4:$Q$2000,kokpit!$M$4:$M$2000,H52)</f>
        <v>0</v>
      </c>
      <c r="P52" s="82">
        <f>SUMIFS(kokpit!$Q$4:$Q$2000,kokpit!$M$4:$M$2000,H52)-SUMIFS(kokpit!$P$4:$P$2000,kokpit!$M$4:$M$2000,H52)</f>
        <v>0</v>
      </c>
      <c r="R52" s="82">
        <f>SUMIFS('kokpit-1'!$P$4:$P$2000,'kokpit-1'!$M$4:$M$2000,H52)</f>
        <v>0</v>
      </c>
      <c r="S52" s="82">
        <f>SUMIFS('kokpit-1'!$Q$4:$Q$2000,'kokpit-1'!$M$4:$M$2000,H52)</f>
        <v>0</v>
      </c>
      <c r="T52" s="82">
        <f>SUMIFS('kokpit-1'!$P$4:$P$2000,'kokpit-1'!$M$4:$M$2000,H52)-SUMIFS('kokpit-1'!$Q$4:$Q$2000,'kokpit-1'!$M$4:$M$2000,H52)</f>
        <v>0</v>
      </c>
      <c r="U52" s="82">
        <f>SUMIFS('kokpit-1'!$Q$4:$Q$2000,'kokpit-1'!$M$4:$M$2000,H52)-SUMIFS('kokpit-1'!$P$4:$P$2000,'kokpit-1'!$M$4:$M$2000,H52)</f>
        <v>0</v>
      </c>
    </row>
    <row r="53" spans="1:21" x14ac:dyDescent="0.3">
      <c r="B53" s="224" t="s">
        <v>87</v>
      </c>
      <c r="C53" s="224"/>
      <c r="D53" s="91" t="s">
        <v>351</v>
      </c>
      <c r="E53" s="176" t="str">
        <f t="shared" si="6"/>
        <v/>
      </c>
      <c r="F53" s="176" t="str">
        <f t="shared" si="4"/>
        <v/>
      </c>
      <c r="H53" s="92" t="str">
        <f>A9&amp;B53</f>
        <v>I.a.5</v>
      </c>
      <c r="I53" s="138"/>
      <c r="M53" s="82">
        <f>SUMIFS(kokpit!$P$4:$P$2000,kokpit!$M$4:$M$2000,H53)</f>
        <v>0</v>
      </c>
      <c r="N53" s="82">
        <f>SUMIFS(kokpit!$Q$4:$Q$2000,kokpit!$M$4:$M$2000,H53)</f>
        <v>0</v>
      </c>
      <c r="O53" s="82">
        <f>SUMIFS(kokpit!$P$4:$P$2000,kokpit!$M$4:$M$2000,H53)-SUMIFS(kokpit!$Q$4:$Q$2000,kokpit!$M$4:$M$2000,H53)</f>
        <v>0</v>
      </c>
      <c r="P53" s="82">
        <f>SUMIFS(kokpit!$Q$4:$Q$2000,kokpit!$M$4:$M$2000,H53)-SUMIFS(kokpit!$P$4:$P$2000,kokpit!$M$4:$M$2000,H53)</f>
        <v>0</v>
      </c>
      <c r="R53" s="82">
        <f>SUMIFS('kokpit-1'!$P$4:$P$2000,'kokpit-1'!$M$4:$M$2000,H53)</f>
        <v>0</v>
      </c>
      <c r="S53" s="82">
        <f>SUMIFS('kokpit-1'!$Q$4:$Q$2000,'kokpit-1'!$M$4:$M$2000,H53)</f>
        <v>0</v>
      </c>
      <c r="T53" s="82">
        <f>SUMIFS('kokpit-1'!$P$4:$P$2000,'kokpit-1'!$M$4:$M$2000,H53)-SUMIFS('kokpit-1'!$Q$4:$Q$2000,'kokpit-1'!$M$4:$M$2000,H53)</f>
        <v>0</v>
      </c>
      <c r="U53" s="82">
        <f>SUMIFS('kokpit-1'!$Q$4:$Q$2000,'kokpit-1'!$M$4:$M$2000,H53)-SUMIFS('kokpit-1'!$P$4:$P$2000,'kokpit-1'!$M$4:$M$2000,H53)</f>
        <v>0</v>
      </c>
    </row>
    <row r="54" spans="1:21" x14ac:dyDescent="0.3">
      <c r="B54" s="228" t="s">
        <v>312</v>
      </c>
      <c r="C54" s="229"/>
      <c r="D54" s="89" t="s">
        <v>352</v>
      </c>
      <c r="E54" s="174">
        <f>E55-E59</f>
        <v>0</v>
      </c>
      <c r="F54" s="174">
        <f>F55-F59</f>
        <v>0</v>
      </c>
      <c r="H54" s="90" t="str">
        <f>A9&amp;B54</f>
        <v>I.a.5.1</v>
      </c>
      <c r="I54" s="138"/>
      <c r="M54" s="82">
        <f>SUMIFS(kokpit!$P$4:$P$2000,kokpit!$M$4:$M$2000,H54)</f>
        <v>0</v>
      </c>
      <c r="N54" s="82">
        <f>SUMIFS(kokpit!$Q$4:$Q$2000,kokpit!$M$4:$M$2000,H54)</f>
        <v>0</v>
      </c>
      <c r="O54" s="82">
        <f>SUMIFS(kokpit!$P$4:$P$2000,kokpit!$M$4:$M$2000,H54)-SUMIFS(kokpit!$Q$4:$Q$2000,kokpit!$M$4:$M$2000,H54)</f>
        <v>0</v>
      </c>
      <c r="P54" s="82">
        <f>SUMIFS(kokpit!$Q$4:$Q$2000,kokpit!$M$4:$M$2000,H54)-SUMIFS(kokpit!$P$4:$P$2000,kokpit!$M$4:$M$2000,H54)</f>
        <v>0</v>
      </c>
      <c r="R54" s="82">
        <f>SUMIFS('kokpit-1'!$P$4:$P$2000,'kokpit-1'!$M$4:$M$2000,H54)</f>
        <v>0</v>
      </c>
      <c r="S54" s="82">
        <f>SUMIFS('kokpit-1'!$Q$4:$Q$2000,'kokpit-1'!$M$4:$M$2000,H54)</f>
        <v>0</v>
      </c>
      <c r="T54" s="82">
        <f>SUMIFS('kokpit-1'!$P$4:$P$2000,'kokpit-1'!$M$4:$M$2000,H54)-SUMIFS('kokpit-1'!$Q$4:$Q$2000,'kokpit-1'!$M$4:$M$2000,H54)</f>
        <v>0</v>
      </c>
      <c r="U54" s="82">
        <f>SUMIFS('kokpit-1'!$Q$4:$Q$2000,'kokpit-1'!$M$4:$M$2000,H54)-SUMIFS('kokpit-1'!$P$4:$P$2000,'kokpit-1'!$M$4:$M$2000,H54)</f>
        <v>0</v>
      </c>
    </row>
    <row r="55" spans="1:21" x14ac:dyDescent="0.3">
      <c r="C55" s="93" t="s">
        <v>184</v>
      </c>
      <c r="D55" s="89" t="s">
        <v>335</v>
      </c>
      <c r="E55" s="180">
        <f>SUM(E56:E58)</f>
        <v>0</v>
      </c>
      <c r="F55" s="180">
        <f>SUM(F56:F58)</f>
        <v>0</v>
      </c>
      <c r="H55" s="90" t="str">
        <f>A9&amp;B54&amp;C55</f>
        <v>I.a.5.1a</v>
      </c>
      <c r="I55" s="138"/>
      <c r="M55" s="82">
        <f>SUMIFS(kokpit!$P$4:$P$2000,kokpit!$M$4:$M$2000,H55)</f>
        <v>0</v>
      </c>
      <c r="N55" s="82">
        <f>SUMIFS(kokpit!$Q$4:$Q$2000,kokpit!$M$4:$M$2000,H55)</f>
        <v>0</v>
      </c>
      <c r="O55" s="82">
        <f>SUMIFS(kokpit!$P$4:$P$2000,kokpit!$M$4:$M$2000,H55)-SUMIFS(kokpit!$Q$4:$Q$2000,kokpit!$M$4:$M$2000,H55)</f>
        <v>0</v>
      </c>
      <c r="P55" s="82">
        <f>SUMIFS(kokpit!$Q$4:$Q$2000,kokpit!$M$4:$M$2000,H55)-SUMIFS(kokpit!$P$4:$P$2000,kokpit!$M$4:$M$2000,H55)</f>
        <v>0</v>
      </c>
      <c r="R55" s="82">
        <f>SUMIFS('kokpit-1'!$P$4:$P$2000,'kokpit-1'!$M$4:$M$2000,H55)</f>
        <v>0</v>
      </c>
      <c r="S55" s="82">
        <f>SUMIFS('kokpit-1'!$Q$4:$Q$2000,'kokpit-1'!$M$4:$M$2000,H55)</f>
        <v>0</v>
      </c>
      <c r="T55" s="82">
        <f>SUMIFS('kokpit-1'!$P$4:$P$2000,'kokpit-1'!$M$4:$M$2000,H55)-SUMIFS('kokpit-1'!$Q$4:$Q$2000,'kokpit-1'!$M$4:$M$2000,H55)</f>
        <v>0</v>
      </c>
      <c r="U55" s="82">
        <f>SUMIFS('kokpit-1'!$Q$4:$Q$2000,'kokpit-1'!$M$4:$M$2000,H55)-SUMIFS('kokpit-1'!$P$4:$P$2000,'kokpit-1'!$M$4:$M$2000,H55)</f>
        <v>0</v>
      </c>
    </row>
    <row r="56" spans="1:21" x14ac:dyDescent="0.3">
      <c r="C56" s="81" t="s">
        <v>88</v>
      </c>
      <c r="D56" s="96" t="s">
        <v>99</v>
      </c>
      <c r="E56" s="174" t="str">
        <f t="shared" si="6"/>
        <v/>
      </c>
      <c r="F56" s="174" t="str">
        <f t="shared" si="4"/>
        <v/>
      </c>
      <c r="H56" s="90" t="str">
        <f>A9&amp;B54&amp;C55&amp;C56</f>
        <v>I.a.5.1a1</v>
      </c>
      <c r="I56" s="138"/>
      <c r="M56" s="82">
        <f>SUMIFS(kokpit!$P$4:$P$2000,kokpit!$M$4:$M$2000,H56)</f>
        <v>0</v>
      </c>
      <c r="N56" s="82">
        <f>SUMIFS(kokpit!$Q$4:$Q$2000,kokpit!$M$4:$M$2000,H56)</f>
        <v>0</v>
      </c>
      <c r="O56" s="82">
        <f>SUMIFS(kokpit!$P$4:$P$2000,kokpit!$M$4:$M$2000,H56)-SUMIFS(kokpit!$Q$4:$Q$2000,kokpit!$M$4:$M$2000,H56)</f>
        <v>0</v>
      </c>
      <c r="P56" s="82">
        <f>SUMIFS(kokpit!$Q$4:$Q$2000,kokpit!$M$4:$M$2000,H56)-SUMIFS(kokpit!$P$4:$P$2000,kokpit!$M$4:$M$2000,H56)</f>
        <v>0</v>
      </c>
      <c r="R56" s="82">
        <f>SUMIFS('kokpit-1'!$P$4:$P$2000,'kokpit-1'!$M$4:$M$2000,H56)</f>
        <v>0</v>
      </c>
      <c r="S56" s="82">
        <f>SUMIFS('kokpit-1'!$Q$4:$Q$2000,'kokpit-1'!$M$4:$M$2000,H56)</f>
        <v>0</v>
      </c>
      <c r="T56" s="82">
        <f>SUMIFS('kokpit-1'!$P$4:$P$2000,'kokpit-1'!$M$4:$M$2000,H56)-SUMIFS('kokpit-1'!$Q$4:$Q$2000,'kokpit-1'!$M$4:$M$2000,H56)</f>
        <v>0</v>
      </c>
      <c r="U56" s="82">
        <f>SUMIFS('kokpit-1'!$Q$4:$Q$2000,'kokpit-1'!$M$4:$M$2000,H56)-SUMIFS('kokpit-1'!$P$4:$P$2000,'kokpit-1'!$M$4:$M$2000,H56)</f>
        <v>0</v>
      </c>
    </row>
    <row r="57" spans="1:21" x14ac:dyDescent="0.3">
      <c r="C57" s="81" t="s">
        <v>89</v>
      </c>
      <c r="D57" s="96" t="s">
        <v>99</v>
      </c>
      <c r="E57" s="174" t="str">
        <f t="shared" si="6"/>
        <v/>
      </c>
      <c r="F57" s="174" t="str">
        <f t="shared" si="4"/>
        <v/>
      </c>
      <c r="H57" s="90" t="str">
        <f>A9&amp;B54&amp;C55&amp;C57</f>
        <v>I.a.5.1a2</v>
      </c>
      <c r="I57" s="138"/>
      <c r="M57" s="82">
        <f>SUMIFS(kokpit!$P$4:$P$2000,kokpit!$M$4:$M$2000,H57)</f>
        <v>0</v>
      </c>
      <c r="N57" s="82">
        <f>SUMIFS(kokpit!$Q$4:$Q$2000,kokpit!$M$4:$M$2000,H57)</f>
        <v>0</v>
      </c>
      <c r="O57" s="82">
        <f>SUMIFS(kokpit!$P$4:$P$2000,kokpit!$M$4:$M$2000,H57)-SUMIFS(kokpit!$Q$4:$Q$2000,kokpit!$M$4:$M$2000,H57)</f>
        <v>0</v>
      </c>
      <c r="P57" s="82">
        <f>SUMIFS(kokpit!$Q$4:$Q$2000,kokpit!$M$4:$M$2000,H57)-SUMIFS(kokpit!$P$4:$P$2000,kokpit!$M$4:$M$2000,H57)</f>
        <v>0</v>
      </c>
      <c r="R57" s="82">
        <f>SUMIFS('kokpit-1'!$P$4:$P$2000,'kokpit-1'!$M$4:$M$2000,H57)</f>
        <v>0</v>
      </c>
      <c r="S57" s="82">
        <f>SUMIFS('kokpit-1'!$Q$4:$Q$2000,'kokpit-1'!$M$4:$M$2000,H57)</f>
        <v>0</v>
      </c>
      <c r="T57" s="82">
        <f>SUMIFS('kokpit-1'!$P$4:$P$2000,'kokpit-1'!$M$4:$M$2000,H57)-SUMIFS('kokpit-1'!$Q$4:$Q$2000,'kokpit-1'!$M$4:$M$2000,H57)</f>
        <v>0</v>
      </c>
      <c r="U57" s="82">
        <f>SUMIFS('kokpit-1'!$Q$4:$Q$2000,'kokpit-1'!$M$4:$M$2000,H57)-SUMIFS('kokpit-1'!$P$4:$P$2000,'kokpit-1'!$M$4:$M$2000,H57)</f>
        <v>0</v>
      </c>
    </row>
    <row r="58" spans="1:21" s="97" customFormat="1" ht="14.5" customHeight="1" x14ac:dyDescent="0.3">
      <c r="A58" s="94"/>
      <c r="B58" s="94"/>
      <c r="C58" s="81" t="s">
        <v>93</v>
      </c>
      <c r="D58" s="96" t="s">
        <v>99</v>
      </c>
      <c r="E58" s="174" t="str">
        <f t="shared" si="6"/>
        <v/>
      </c>
      <c r="F58" s="174" t="str">
        <f t="shared" si="4"/>
        <v/>
      </c>
      <c r="H58" s="90" t="str">
        <f>A9&amp;B54&amp;C55&amp;C58</f>
        <v>I.a.5.1a3</v>
      </c>
      <c r="I58" s="138"/>
      <c r="M58" s="82">
        <f>SUMIFS(kokpit!$P$4:$P$2000,kokpit!$M$4:$M$2000,H58)</f>
        <v>0</v>
      </c>
      <c r="N58" s="82">
        <f>SUMIFS(kokpit!$Q$4:$Q$2000,kokpit!$M$4:$M$2000,H58)</f>
        <v>0</v>
      </c>
      <c r="O58" s="82">
        <f>SUMIFS(kokpit!$P$4:$P$2000,kokpit!$M$4:$M$2000,H58)-SUMIFS(kokpit!$Q$4:$Q$2000,kokpit!$M$4:$M$2000,H58)</f>
        <v>0</v>
      </c>
      <c r="P58" s="82">
        <f>SUMIFS(kokpit!$Q$4:$Q$2000,kokpit!$M$4:$M$2000,H58)-SUMIFS(kokpit!$P$4:$P$2000,kokpit!$M$4:$M$2000,H58)</f>
        <v>0</v>
      </c>
      <c r="R58" s="82">
        <f>SUMIFS('kokpit-1'!$P$4:$P$2000,'kokpit-1'!$M$4:$M$2000,H58)</f>
        <v>0</v>
      </c>
      <c r="S58" s="82">
        <f>SUMIFS('kokpit-1'!$Q$4:$Q$2000,'kokpit-1'!$M$4:$M$2000,H58)</f>
        <v>0</v>
      </c>
      <c r="T58" s="82">
        <f>SUMIFS('kokpit-1'!$P$4:$P$2000,'kokpit-1'!$M$4:$M$2000,H58)-SUMIFS('kokpit-1'!$Q$4:$Q$2000,'kokpit-1'!$M$4:$M$2000,H58)</f>
        <v>0</v>
      </c>
      <c r="U58" s="82">
        <f>SUMIFS('kokpit-1'!$Q$4:$Q$2000,'kokpit-1'!$M$4:$M$2000,H58)-SUMIFS('kokpit-1'!$P$4:$P$2000,'kokpit-1'!$M$4:$M$2000,H58)</f>
        <v>0</v>
      </c>
    </row>
    <row r="59" spans="1:21" s="97" customFormat="1" x14ac:dyDescent="0.3">
      <c r="A59" s="94"/>
      <c r="B59" s="94"/>
      <c r="C59" s="93" t="s">
        <v>185</v>
      </c>
      <c r="D59" s="96" t="s">
        <v>331</v>
      </c>
      <c r="E59" s="180">
        <f>SUM(E60:E62)</f>
        <v>0</v>
      </c>
      <c r="F59" s="180">
        <f>SUM(F60:F62)</f>
        <v>0</v>
      </c>
      <c r="H59" s="98" t="str">
        <f>A9&amp;B54&amp;C59</f>
        <v>I.a.5.1b</v>
      </c>
      <c r="I59" s="138"/>
      <c r="M59" s="82">
        <f>SUMIFS(kokpit!$P$4:$P$2000,kokpit!$M$4:$M$2000,H59)</f>
        <v>0</v>
      </c>
      <c r="N59" s="82">
        <f>SUMIFS(kokpit!$Q$4:$Q$2000,kokpit!$M$4:$M$2000,H59)</f>
        <v>0</v>
      </c>
      <c r="O59" s="82">
        <f>SUMIFS(kokpit!$P$4:$P$2000,kokpit!$M$4:$M$2000,H59)-SUMIFS(kokpit!$Q$4:$Q$2000,kokpit!$M$4:$M$2000,H59)</f>
        <v>0</v>
      </c>
      <c r="P59" s="82">
        <f>SUMIFS(kokpit!$Q$4:$Q$2000,kokpit!$M$4:$M$2000,H59)-SUMIFS(kokpit!$P$4:$P$2000,kokpit!$M$4:$M$2000,H59)</f>
        <v>0</v>
      </c>
      <c r="R59" s="82">
        <f>SUMIFS('kokpit-1'!$P$4:$P$2000,'kokpit-1'!$M$4:$M$2000,H59)</f>
        <v>0</v>
      </c>
      <c r="S59" s="82">
        <f>SUMIFS('kokpit-1'!$Q$4:$Q$2000,'kokpit-1'!$M$4:$M$2000,H59)</f>
        <v>0</v>
      </c>
      <c r="T59" s="82">
        <f>SUMIFS('kokpit-1'!$P$4:$P$2000,'kokpit-1'!$M$4:$M$2000,H59)-SUMIFS('kokpit-1'!$Q$4:$Q$2000,'kokpit-1'!$M$4:$M$2000,H59)</f>
        <v>0</v>
      </c>
      <c r="U59" s="82">
        <f>SUMIFS('kokpit-1'!$Q$4:$Q$2000,'kokpit-1'!$M$4:$M$2000,H59)-SUMIFS('kokpit-1'!$P$4:$P$2000,'kokpit-1'!$M$4:$M$2000,H59)</f>
        <v>0</v>
      </c>
    </row>
    <row r="60" spans="1:21" s="97" customFormat="1" x14ac:dyDescent="0.3">
      <c r="A60" s="94"/>
      <c r="B60" s="94"/>
      <c r="C60" s="81" t="s">
        <v>88</v>
      </c>
      <c r="D60" s="96" t="s">
        <v>99</v>
      </c>
      <c r="E60" s="174" t="str">
        <f t="shared" si="6"/>
        <v/>
      </c>
      <c r="F60" s="174" t="str">
        <f t="shared" si="4"/>
        <v/>
      </c>
      <c r="H60" s="98" t="str">
        <f>A9&amp;B54&amp;C59&amp;C60</f>
        <v>I.a.5.1b1</v>
      </c>
      <c r="I60" s="138"/>
      <c r="M60" s="82">
        <f>SUMIFS(kokpit!$P$4:$P$2000,kokpit!$M$4:$M$2000,H60)</f>
        <v>0</v>
      </c>
      <c r="N60" s="82">
        <f>SUMIFS(kokpit!$Q$4:$Q$2000,kokpit!$M$4:$M$2000,H60)</f>
        <v>0</v>
      </c>
      <c r="O60" s="82">
        <f>SUMIFS(kokpit!$P$4:$P$2000,kokpit!$M$4:$M$2000,H60)-SUMIFS(kokpit!$Q$4:$Q$2000,kokpit!$M$4:$M$2000,H60)</f>
        <v>0</v>
      </c>
      <c r="P60" s="82">
        <f>SUMIFS(kokpit!$Q$4:$Q$2000,kokpit!$M$4:$M$2000,H60)-SUMIFS(kokpit!$P$4:$P$2000,kokpit!$M$4:$M$2000,H60)</f>
        <v>0</v>
      </c>
      <c r="R60" s="82">
        <f>SUMIFS('kokpit-1'!$P$4:$P$2000,'kokpit-1'!$M$4:$M$2000,H60)</f>
        <v>0</v>
      </c>
      <c r="S60" s="82">
        <f>SUMIFS('kokpit-1'!$Q$4:$Q$2000,'kokpit-1'!$M$4:$M$2000,H60)</f>
        <v>0</v>
      </c>
      <c r="T60" s="82">
        <f>SUMIFS('kokpit-1'!$P$4:$P$2000,'kokpit-1'!$M$4:$M$2000,H60)-SUMIFS('kokpit-1'!$Q$4:$Q$2000,'kokpit-1'!$M$4:$M$2000,H60)</f>
        <v>0</v>
      </c>
      <c r="U60" s="82">
        <f>SUMIFS('kokpit-1'!$Q$4:$Q$2000,'kokpit-1'!$M$4:$M$2000,H60)-SUMIFS('kokpit-1'!$P$4:$P$2000,'kokpit-1'!$M$4:$M$2000,H60)</f>
        <v>0</v>
      </c>
    </row>
    <row r="61" spans="1:21" s="97" customFormat="1" x14ac:dyDescent="0.3">
      <c r="A61" s="94"/>
      <c r="B61" s="94"/>
      <c r="C61" s="81" t="s">
        <v>89</v>
      </c>
      <c r="D61" s="96" t="s">
        <v>99</v>
      </c>
      <c r="E61" s="174" t="str">
        <f t="shared" si="6"/>
        <v/>
      </c>
      <c r="F61" s="174" t="str">
        <f t="shared" si="4"/>
        <v/>
      </c>
      <c r="H61" s="98" t="str">
        <f>A9&amp;B54&amp;C59&amp;C61</f>
        <v>I.a.5.1b2</v>
      </c>
      <c r="I61" s="138"/>
      <c r="M61" s="82">
        <f>SUMIFS(kokpit!$P$4:$P$2000,kokpit!$M$4:$M$2000,H61)</f>
        <v>0</v>
      </c>
      <c r="N61" s="82">
        <f>SUMIFS(kokpit!$Q$4:$Q$2000,kokpit!$M$4:$M$2000,H61)</f>
        <v>0</v>
      </c>
      <c r="O61" s="82">
        <f>SUMIFS(kokpit!$P$4:$P$2000,kokpit!$M$4:$M$2000,H61)-SUMIFS(kokpit!$Q$4:$Q$2000,kokpit!$M$4:$M$2000,H61)</f>
        <v>0</v>
      </c>
      <c r="P61" s="82">
        <f>SUMIFS(kokpit!$Q$4:$Q$2000,kokpit!$M$4:$M$2000,H61)-SUMIFS(kokpit!$P$4:$P$2000,kokpit!$M$4:$M$2000,H61)</f>
        <v>0</v>
      </c>
      <c r="R61" s="82">
        <f>SUMIFS('kokpit-1'!$P$4:$P$2000,'kokpit-1'!$M$4:$M$2000,H61)</f>
        <v>0</v>
      </c>
      <c r="S61" s="82">
        <f>SUMIFS('kokpit-1'!$Q$4:$Q$2000,'kokpit-1'!$M$4:$M$2000,H61)</f>
        <v>0</v>
      </c>
      <c r="T61" s="82">
        <f>SUMIFS('kokpit-1'!$P$4:$P$2000,'kokpit-1'!$M$4:$M$2000,H61)-SUMIFS('kokpit-1'!$Q$4:$Q$2000,'kokpit-1'!$M$4:$M$2000,H61)</f>
        <v>0</v>
      </c>
      <c r="U61" s="82">
        <f>SUMIFS('kokpit-1'!$Q$4:$Q$2000,'kokpit-1'!$M$4:$M$2000,H61)-SUMIFS('kokpit-1'!$P$4:$P$2000,'kokpit-1'!$M$4:$M$2000,H61)</f>
        <v>0</v>
      </c>
    </row>
    <row r="62" spans="1:21" s="97" customFormat="1" x14ac:dyDescent="0.3">
      <c r="A62" s="94"/>
      <c r="B62" s="94"/>
      <c r="C62" s="81" t="s">
        <v>93</v>
      </c>
      <c r="D62" s="96" t="s">
        <v>99</v>
      </c>
      <c r="E62" s="174" t="str">
        <f t="shared" si="6"/>
        <v/>
      </c>
      <c r="F62" s="174" t="str">
        <f t="shared" si="4"/>
        <v/>
      </c>
      <c r="H62" s="98" t="str">
        <f>A9&amp;B54&amp;C59&amp;C62</f>
        <v>I.a.5.1b3</v>
      </c>
      <c r="I62" s="138"/>
      <c r="M62" s="82">
        <f>SUMIFS(kokpit!$P$4:$P$2000,kokpit!$M$4:$M$2000,H62)</f>
        <v>0</v>
      </c>
      <c r="N62" s="82">
        <f>SUMIFS(kokpit!$Q$4:$Q$2000,kokpit!$M$4:$M$2000,H62)</f>
        <v>0</v>
      </c>
      <c r="O62" s="82">
        <f>SUMIFS(kokpit!$P$4:$P$2000,kokpit!$M$4:$M$2000,H62)-SUMIFS(kokpit!$Q$4:$Q$2000,kokpit!$M$4:$M$2000,H62)</f>
        <v>0</v>
      </c>
      <c r="P62" s="82">
        <f>SUMIFS(kokpit!$Q$4:$Q$2000,kokpit!$M$4:$M$2000,H62)-SUMIFS(kokpit!$P$4:$P$2000,kokpit!$M$4:$M$2000,H62)</f>
        <v>0</v>
      </c>
      <c r="R62" s="82">
        <f>SUMIFS('kokpit-1'!$P$4:$P$2000,'kokpit-1'!$M$4:$M$2000,H62)</f>
        <v>0</v>
      </c>
      <c r="S62" s="82">
        <f>SUMIFS('kokpit-1'!$Q$4:$Q$2000,'kokpit-1'!$M$4:$M$2000,H62)</f>
        <v>0</v>
      </c>
      <c r="T62" s="82">
        <f>SUMIFS('kokpit-1'!$P$4:$P$2000,'kokpit-1'!$M$4:$M$2000,H62)-SUMIFS('kokpit-1'!$Q$4:$Q$2000,'kokpit-1'!$M$4:$M$2000,H62)</f>
        <v>0</v>
      </c>
      <c r="U62" s="82">
        <f>SUMIFS('kokpit-1'!$Q$4:$Q$2000,'kokpit-1'!$M$4:$M$2000,H62)-SUMIFS('kokpit-1'!$P$4:$P$2000,'kokpit-1'!$M$4:$M$2000,H62)</f>
        <v>0</v>
      </c>
    </row>
    <row r="63" spans="1:21" x14ac:dyDescent="0.3">
      <c r="B63" s="227" t="s">
        <v>313</v>
      </c>
      <c r="C63" s="227"/>
      <c r="D63" s="89" t="s">
        <v>353</v>
      </c>
      <c r="E63" s="174" t="str">
        <f t="shared" si="6"/>
        <v/>
      </c>
      <c r="F63" s="174" t="str">
        <f t="shared" si="4"/>
        <v/>
      </c>
      <c r="H63" s="98" t="str">
        <f>A9&amp;B63</f>
        <v>I.a.5.2</v>
      </c>
      <c r="I63" s="138"/>
      <c r="M63" s="82">
        <f>SUMIFS(kokpit!$P$4:$P$2000,kokpit!$M$4:$M$2000,H63)</f>
        <v>0</v>
      </c>
      <c r="N63" s="82">
        <f>SUMIFS(kokpit!$Q$4:$Q$2000,kokpit!$M$4:$M$2000,H63)</f>
        <v>0</v>
      </c>
      <c r="O63" s="82">
        <f>SUMIFS(kokpit!$P$4:$P$2000,kokpit!$M$4:$M$2000,H63)-SUMIFS(kokpit!$Q$4:$Q$2000,kokpit!$M$4:$M$2000,H63)</f>
        <v>0</v>
      </c>
      <c r="P63" s="82">
        <f>SUMIFS(kokpit!$Q$4:$Q$2000,kokpit!$M$4:$M$2000,H63)-SUMIFS(kokpit!$P$4:$P$2000,kokpit!$M$4:$M$2000,H63)</f>
        <v>0</v>
      </c>
      <c r="R63" s="82">
        <f>SUMIFS('kokpit-1'!$P$4:$P$2000,'kokpit-1'!$M$4:$M$2000,H63)</f>
        <v>0</v>
      </c>
      <c r="S63" s="82">
        <f>SUMIFS('kokpit-1'!$Q$4:$Q$2000,'kokpit-1'!$M$4:$M$2000,H63)</f>
        <v>0</v>
      </c>
      <c r="T63" s="82">
        <f>SUMIFS('kokpit-1'!$P$4:$P$2000,'kokpit-1'!$M$4:$M$2000,H63)-SUMIFS('kokpit-1'!$Q$4:$Q$2000,'kokpit-1'!$M$4:$M$2000,H63)</f>
        <v>0</v>
      </c>
      <c r="U63" s="82">
        <f>SUMIFS('kokpit-1'!$Q$4:$Q$2000,'kokpit-1'!$M$4:$M$2000,H63)-SUMIFS('kokpit-1'!$P$4:$P$2000,'kokpit-1'!$M$4:$M$2000,H63)</f>
        <v>0</v>
      </c>
    </row>
    <row r="64" spans="1:21" x14ac:dyDescent="0.3">
      <c r="B64" s="224" t="s">
        <v>91</v>
      </c>
      <c r="C64" s="224"/>
      <c r="D64" s="91" t="s">
        <v>354</v>
      </c>
      <c r="E64" s="176" t="str">
        <f t="shared" si="6"/>
        <v/>
      </c>
      <c r="F64" s="176" t="str">
        <f t="shared" si="4"/>
        <v/>
      </c>
      <c r="H64" s="92" t="str">
        <f>A9&amp;B64</f>
        <v>I.a.6</v>
      </c>
      <c r="I64" s="138"/>
      <c r="M64" s="82">
        <f>SUMIFS(kokpit!$P$4:$P$2000,kokpit!$M$4:$M$2000,H64)</f>
        <v>0</v>
      </c>
      <c r="N64" s="82">
        <f>SUMIFS(kokpit!$Q$4:$Q$2000,kokpit!$M$4:$M$2000,H64)</f>
        <v>0</v>
      </c>
      <c r="O64" s="82">
        <f>SUMIFS(kokpit!$P$4:$P$2000,kokpit!$M$4:$M$2000,H64)-SUMIFS(kokpit!$Q$4:$Q$2000,kokpit!$M$4:$M$2000,H64)</f>
        <v>0</v>
      </c>
      <c r="P64" s="82">
        <f>SUMIFS(kokpit!$Q$4:$Q$2000,kokpit!$M$4:$M$2000,H64)-SUMIFS(kokpit!$P$4:$P$2000,kokpit!$M$4:$M$2000,H64)</f>
        <v>0</v>
      </c>
      <c r="R64" s="82">
        <f>SUMIFS('kokpit-1'!$P$4:$P$2000,'kokpit-1'!$M$4:$M$2000,H64)</f>
        <v>0</v>
      </c>
      <c r="S64" s="82">
        <f>SUMIFS('kokpit-1'!$Q$4:$Q$2000,'kokpit-1'!$M$4:$M$2000,H64)</f>
        <v>0</v>
      </c>
      <c r="T64" s="82">
        <f>SUMIFS('kokpit-1'!$P$4:$P$2000,'kokpit-1'!$M$4:$M$2000,H64)-SUMIFS('kokpit-1'!$Q$4:$Q$2000,'kokpit-1'!$M$4:$M$2000,H64)</f>
        <v>0</v>
      </c>
      <c r="U64" s="82">
        <f>SUMIFS('kokpit-1'!$Q$4:$Q$2000,'kokpit-1'!$M$4:$M$2000,H64)-SUMIFS('kokpit-1'!$P$4:$P$2000,'kokpit-1'!$M$4:$M$2000,H64)</f>
        <v>0</v>
      </c>
    </row>
    <row r="65" spans="1:21" x14ac:dyDescent="0.3">
      <c r="B65" s="227" t="s">
        <v>314</v>
      </c>
      <c r="C65" s="227"/>
      <c r="D65" s="89" t="s">
        <v>355</v>
      </c>
      <c r="E65" s="174">
        <f>E66-E70</f>
        <v>0</v>
      </c>
      <c r="F65" s="174">
        <f>F66-F70</f>
        <v>0</v>
      </c>
      <c r="H65" s="90" t="str">
        <f>A9&amp;B65</f>
        <v>I.a.6.1</v>
      </c>
      <c r="I65" s="138"/>
      <c r="M65" s="82">
        <f>SUMIFS(kokpit!$P$4:$P$2000,kokpit!$M$4:$M$2000,H65)</f>
        <v>0</v>
      </c>
      <c r="N65" s="82">
        <f>SUMIFS(kokpit!$Q$4:$Q$2000,kokpit!$M$4:$M$2000,H65)</f>
        <v>0</v>
      </c>
      <c r="O65" s="82">
        <f>SUMIFS(kokpit!$P$4:$P$2000,kokpit!$M$4:$M$2000,H65)-SUMIFS(kokpit!$Q$4:$Q$2000,kokpit!$M$4:$M$2000,H65)</f>
        <v>0</v>
      </c>
      <c r="P65" s="82">
        <f>SUMIFS(kokpit!$Q$4:$Q$2000,kokpit!$M$4:$M$2000,H65)-SUMIFS(kokpit!$P$4:$P$2000,kokpit!$M$4:$M$2000,H65)</f>
        <v>0</v>
      </c>
      <c r="R65" s="82">
        <f>SUMIFS('kokpit-1'!$P$4:$P$2000,'kokpit-1'!$M$4:$M$2000,H65)</f>
        <v>0</v>
      </c>
      <c r="S65" s="82">
        <f>SUMIFS('kokpit-1'!$Q$4:$Q$2000,'kokpit-1'!$M$4:$M$2000,H65)</f>
        <v>0</v>
      </c>
      <c r="T65" s="82">
        <f>SUMIFS('kokpit-1'!$P$4:$P$2000,'kokpit-1'!$M$4:$M$2000,H65)-SUMIFS('kokpit-1'!$Q$4:$Q$2000,'kokpit-1'!$M$4:$M$2000,H65)</f>
        <v>0</v>
      </c>
      <c r="U65" s="82">
        <f>SUMIFS('kokpit-1'!$Q$4:$Q$2000,'kokpit-1'!$M$4:$M$2000,H65)-SUMIFS('kokpit-1'!$P$4:$P$2000,'kokpit-1'!$M$4:$M$2000,H65)</f>
        <v>0</v>
      </c>
    </row>
    <row r="66" spans="1:21" x14ac:dyDescent="0.3">
      <c r="C66" s="93" t="s">
        <v>184</v>
      </c>
      <c r="D66" s="89" t="s">
        <v>356</v>
      </c>
      <c r="E66" s="181">
        <f>SUM(E67:E69)</f>
        <v>0</v>
      </c>
      <c r="F66" s="181">
        <f>SUM(F67:F69)</f>
        <v>0</v>
      </c>
      <c r="H66" s="90" t="str">
        <f>A9&amp;B65&amp;C66</f>
        <v>I.a.6.1a</v>
      </c>
      <c r="I66" s="138"/>
      <c r="M66" s="82">
        <f>SUMIFS(kokpit!$P$4:$P$2000,kokpit!$M$4:$M$2000,H66)</f>
        <v>0</v>
      </c>
      <c r="N66" s="82">
        <f>SUMIFS(kokpit!$Q$4:$Q$2000,kokpit!$M$4:$M$2000,H66)</f>
        <v>0</v>
      </c>
      <c r="O66" s="82">
        <f>SUMIFS(kokpit!$P$4:$P$2000,kokpit!$M$4:$M$2000,H66)-SUMIFS(kokpit!$Q$4:$Q$2000,kokpit!$M$4:$M$2000,H66)</f>
        <v>0</v>
      </c>
      <c r="P66" s="82">
        <f>SUMIFS(kokpit!$Q$4:$Q$2000,kokpit!$M$4:$M$2000,H66)-SUMIFS(kokpit!$P$4:$P$2000,kokpit!$M$4:$M$2000,H66)</f>
        <v>0</v>
      </c>
      <c r="R66" s="82">
        <f>SUMIFS('kokpit-1'!$P$4:$P$2000,'kokpit-1'!$M$4:$M$2000,H66)</f>
        <v>0</v>
      </c>
      <c r="S66" s="82">
        <f>SUMIFS('kokpit-1'!$Q$4:$Q$2000,'kokpit-1'!$M$4:$M$2000,H66)</f>
        <v>0</v>
      </c>
      <c r="T66" s="82">
        <f>SUMIFS('kokpit-1'!$P$4:$P$2000,'kokpit-1'!$M$4:$M$2000,H66)-SUMIFS('kokpit-1'!$Q$4:$Q$2000,'kokpit-1'!$M$4:$M$2000,H66)</f>
        <v>0</v>
      </c>
      <c r="U66" s="82">
        <f>SUMIFS('kokpit-1'!$Q$4:$Q$2000,'kokpit-1'!$M$4:$M$2000,H66)-SUMIFS('kokpit-1'!$P$4:$P$2000,'kokpit-1'!$M$4:$M$2000,H66)</f>
        <v>0</v>
      </c>
    </row>
    <row r="67" spans="1:21" x14ac:dyDescent="0.3">
      <c r="C67" s="81" t="s">
        <v>88</v>
      </c>
      <c r="D67" s="89" t="s">
        <v>99</v>
      </c>
      <c r="E67" s="174" t="str">
        <f t="shared" si="6"/>
        <v/>
      </c>
      <c r="F67" s="174" t="str">
        <f t="shared" si="4"/>
        <v/>
      </c>
      <c r="H67" s="90" t="str">
        <f>A9&amp;B65&amp;C66&amp;C67</f>
        <v>I.a.6.1a1</v>
      </c>
      <c r="I67" s="138"/>
      <c r="M67" s="82">
        <f>SUMIFS(kokpit!$P$4:$P$2000,kokpit!$M$4:$M$2000,H67)</f>
        <v>0</v>
      </c>
      <c r="N67" s="82">
        <f>SUMIFS(kokpit!$Q$4:$Q$2000,kokpit!$M$4:$M$2000,H67)</f>
        <v>0</v>
      </c>
      <c r="O67" s="82">
        <f>SUMIFS(kokpit!$P$4:$P$2000,kokpit!$M$4:$M$2000,H67)-SUMIFS(kokpit!$Q$4:$Q$2000,kokpit!$M$4:$M$2000,H67)</f>
        <v>0</v>
      </c>
      <c r="P67" s="82">
        <f>SUMIFS(kokpit!$Q$4:$Q$2000,kokpit!$M$4:$M$2000,H67)-SUMIFS(kokpit!$P$4:$P$2000,kokpit!$M$4:$M$2000,H67)</f>
        <v>0</v>
      </c>
      <c r="R67" s="82">
        <f>SUMIFS('kokpit-1'!$P$4:$P$2000,'kokpit-1'!$M$4:$M$2000,H67)</f>
        <v>0</v>
      </c>
      <c r="S67" s="82">
        <f>SUMIFS('kokpit-1'!$Q$4:$Q$2000,'kokpit-1'!$M$4:$M$2000,H67)</f>
        <v>0</v>
      </c>
      <c r="T67" s="82">
        <f>SUMIFS('kokpit-1'!$P$4:$P$2000,'kokpit-1'!$M$4:$M$2000,H67)-SUMIFS('kokpit-1'!$Q$4:$Q$2000,'kokpit-1'!$M$4:$M$2000,H67)</f>
        <v>0</v>
      </c>
      <c r="U67" s="82">
        <f>SUMIFS('kokpit-1'!$Q$4:$Q$2000,'kokpit-1'!$M$4:$M$2000,H67)-SUMIFS('kokpit-1'!$P$4:$P$2000,'kokpit-1'!$M$4:$M$2000,H67)</f>
        <v>0</v>
      </c>
    </row>
    <row r="68" spans="1:21" x14ac:dyDescent="0.3">
      <c r="C68" s="81" t="s">
        <v>89</v>
      </c>
      <c r="D68" s="89" t="s">
        <v>99</v>
      </c>
      <c r="E68" s="174" t="str">
        <f t="shared" si="6"/>
        <v/>
      </c>
      <c r="F68" s="174" t="str">
        <f t="shared" si="4"/>
        <v/>
      </c>
      <c r="H68" s="90" t="str">
        <f>A9&amp;B65&amp;C66&amp;C68</f>
        <v>I.a.6.1a2</v>
      </c>
      <c r="I68" s="138"/>
      <c r="M68" s="82">
        <f>SUMIFS(kokpit!$P$4:$P$2000,kokpit!$M$4:$M$2000,H68)</f>
        <v>0</v>
      </c>
      <c r="N68" s="82">
        <f>SUMIFS(kokpit!$Q$4:$Q$2000,kokpit!$M$4:$M$2000,H68)</f>
        <v>0</v>
      </c>
      <c r="O68" s="82">
        <f>SUMIFS(kokpit!$P$4:$P$2000,kokpit!$M$4:$M$2000,H68)-SUMIFS(kokpit!$Q$4:$Q$2000,kokpit!$M$4:$M$2000,H68)</f>
        <v>0</v>
      </c>
      <c r="P68" s="82">
        <f>SUMIFS(kokpit!$Q$4:$Q$2000,kokpit!$M$4:$M$2000,H68)-SUMIFS(kokpit!$P$4:$P$2000,kokpit!$M$4:$M$2000,H68)</f>
        <v>0</v>
      </c>
      <c r="R68" s="82">
        <f>SUMIFS('kokpit-1'!$P$4:$P$2000,'kokpit-1'!$M$4:$M$2000,H68)</f>
        <v>0</v>
      </c>
      <c r="S68" s="82">
        <f>SUMIFS('kokpit-1'!$Q$4:$Q$2000,'kokpit-1'!$M$4:$M$2000,H68)</f>
        <v>0</v>
      </c>
      <c r="T68" s="82">
        <f>SUMIFS('kokpit-1'!$P$4:$P$2000,'kokpit-1'!$M$4:$M$2000,H68)-SUMIFS('kokpit-1'!$Q$4:$Q$2000,'kokpit-1'!$M$4:$M$2000,H68)</f>
        <v>0</v>
      </c>
      <c r="U68" s="82">
        <f>SUMIFS('kokpit-1'!$Q$4:$Q$2000,'kokpit-1'!$M$4:$M$2000,H68)-SUMIFS('kokpit-1'!$P$4:$P$2000,'kokpit-1'!$M$4:$M$2000,H68)</f>
        <v>0</v>
      </c>
    </row>
    <row r="69" spans="1:21" s="97" customFormat="1" x14ac:dyDescent="0.3">
      <c r="A69" s="94"/>
      <c r="B69" s="94"/>
      <c r="C69" s="81" t="s">
        <v>93</v>
      </c>
      <c r="D69" s="96" t="s">
        <v>99</v>
      </c>
      <c r="E69" s="174" t="str">
        <f t="shared" si="6"/>
        <v/>
      </c>
      <c r="F69" s="174" t="str">
        <f t="shared" si="4"/>
        <v/>
      </c>
      <c r="H69" s="90" t="str">
        <f>A9&amp;B65&amp;C66&amp;C69</f>
        <v>I.a.6.1a3</v>
      </c>
      <c r="I69" s="138"/>
      <c r="M69" s="82">
        <f>SUMIFS(kokpit!$P$4:$P$2000,kokpit!$M$4:$M$2000,H69)</f>
        <v>0</v>
      </c>
      <c r="N69" s="82">
        <f>SUMIFS(kokpit!$Q$4:$Q$2000,kokpit!$M$4:$M$2000,H69)</f>
        <v>0</v>
      </c>
      <c r="O69" s="82">
        <f>SUMIFS(kokpit!$P$4:$P$2000,kokpit!$M$4:$M$2000,H69)-SUMIFS(kokpit!$Q$4:$Q$2000,kokpit!$M$4:$M$2000,H69)</f>
        <v>0</v>
      </c>
      <c r="P69" s="82">
        <f>SUMIFS(kokpit!$Q$4:$Q$2000,kokpit!$M$4:$M$2000,H69)-SUMIFS(kokpit!$P$4:$P$2000,kokpit!$M$4:$M$2000,H69)</f>
        <v>0</v>
      </c>
      <c r="R69" s="82">
        <f>SUMIFS('kokpit-1'!$P$4:$P$2000,'kokpit-1'!$M$4:$M$2000,H69)</f>
        <v>0</v>
      </c>
      <c r="S69" s="82">
        <f>SUMIFS('kokpit-1'!$Q$4:$Q$2000,'kokpit-1'!$M$4:$M$2000,H69)</f>
        <v>0</v>
      </c>
      <c r="T69" s="82">
        <f>SUMIFS('kokpit-1'!$P$4:$P$2000,'kokpit-1'!$M$4:$M$2000,H69)-SUMIFS('kokpit-1'!$Q$4:$Q$2000,'kokpit-1'!$M$4:$M$2000,H69)</f>
        <v>0</v>
      </c>
      <c r="U69" s="82">
        <f>SUMIFS('kokpit-1'!$Q$4:$Q$2000,'kokpit-1'!$M$4:$M$2000,H69)-SUMIFS('kokpit-1'!$P$4:$P$2000,'kokpit-1'!$M$4:$M$2000,H69)</f>
        <v>0</v>
      </c>
    </row>
    <row r="70" spans="1:21" x14ac:dyDescent="0.3">
      <c r="C70" s="93" t="s">
        <v>185</v>
      </c>
      <c r="D70" s="104" t="s">
        <v>357</v>
      </c>
      <c r="E70" s="181">
        <f>SUM(E71:E73)</f>
        <v>0</v>
      </c>
      <c r="F70" s="181">
        <f>SUM(F71:F73)</f>
        <v>0</v>
      </c>
      <c r="H70" s="98" t="str">
        <f>A9&amp;B65&amp;C70</f>
        <v>I.a.6.1b</v>
      </c>
      <c r="I70" s="138"/>
      <c r="M70" s="82">
        <f>SUMIFS(kokpit!$P$4:$P$2000,kokpit!$M$4:$M$2000,H70)</f>
        <v>0</v>
      </c>
      <c r="N70" s="82">
        <f>SUMIFS(kokpit!$Q$4:$Q$2000,kokpit!$M$4:$M$2000,H70)</f>
        <v>0</v>
      </c>
      <c r="O70" s="82">
        <f>SUMIFS(kokpit!$P$4:$P$2000,kokpit!$M$4:$M$2000,H70)-SUMIFS(kokpit!$Q$4:$Q$2000,kokpit!$M$4:$M$2000,H70)</f>
        <v>0</v>
      </c>
      <c r="P70" s="82">
        <f>SUMIFS(kokpit!$Q$4:$Q$2000,kokpit!$M$4:$M$2000,H70)-SUMIFS(kokpit!$P$4:$P$2000,kokpit!$M$4:$M$2000,H70)</f>
        <v>0</v>
      </c>
      <c r="R70" s="82">
        <f>SUMIFS('kokpit-1'!$P$4:$P$2000,'kokpit-1'!$M$4:$M$2000,H70)</f>
        <v>0</v>
      </c>
      <c r="S70" s="82">
        <f>SUMIFS('kokpit-1'!$Q$4:$Q$2000,'kokpit-1'!$M$4:$M$2000,H70)</f>
        <v>0</v>
      </c>
      <c r="T70" s="82">
        <f>SUMIFS('kokpit-1'!$P$4:$P$2000,'kokpit-1'!$M$4:$M$2000,H70)-SUMIFS('kokpit-1'!$Q$4:$Q$2000,'kokpit-1'!$M$4:$M$2000,H70)</f>
        <v>0</v>
      </c>
      <c r="U70" s="82">
        <f>SUMIFS('kokpit-1'!$Q$4:$Q$2000,'kokpit-1'!$M$4:$M$2000,H70)-SUMIFS('kokpit-1'!$P$4:$P$2000,'kokpit-1'!$M$4:$M$2000,H70)</f>
        <v>0</v>
      </c>
    </row>
    <row r="71" spans="1:21" x14ac:dyDescent="0.3">
      <c r="C71" s="81" t="s">
        <v>88</v>
      </c>
      <c r="D71" s="104" t="s">
        <v>99</v>
      </c>
      <c r="E71" s="174" t="str">
        <f t="shared" si="6"/>
        <v/>
      </c>
      <c r="F71" s="174" t="str">
        <f t="shared" si="4"/>
        <v/>
      </c>
      <c r="H71" s="98" t="str">
        <f>A9&amp;B65&amp;C70&amp;C71</f>
        <v>I.a.6.1b1</v>
      </c>
      <c r="I71" s="138"/>
      <c r="M71" s="82">
        <f>SUMIFS(kokpit!$P$4:$P$2000,kokpit!$M$4:$M$2000,H71)</f>
        <v>0</v>
      </c>
      <c r="N71" s="82">
        <f>SUMIFS(kokpit!$Q$4:$Q$2000,kokpit!$M$4:$M$2000,H71)</f>
        <v>0</v>
      </c>
      <c r="O71" s="82">
        <f>SUMIFS(kokpit!$P$4:$P$2000,kokpit!$M$4:$M$2000,H71)-SUMIFS(kokpit!$Q$4:$Q$2000,kokpit!$M$4:$M$2000,H71)</f>
        <v>0</v>
      </c>
      <c r="P71" s="82">
        <f>SUMIFS(kokpit!$Q$4:$Q$2000,kokpit!$M$4:$M$2000,H71)-SUMIFS(kokpit!$P$4:$P$2000,kokpit!$M$4:$M$2000,H71)</f>
        <v>0</v>
      </c>
      <c r="R71" s="82">
        <f>SUMIFS('kokpit-1'!$P$4:$P$2000,'kokpit-1'!$M$4:$M$2000,H71)</f>
        <v>0</v>
      </c>
      <c r="S71" s="82">
        <f>SUMIFS('kokpit-1'!$Q$4:$Q$2000,'kokpit-1'!$M$4:$M$2000,H71)</f>
        <v>0</v>
      </c>
      <c r="T71" s="82">
        <f>SUMIFS('kokpit-1'!$P$4:$P$2000,'kokpit-1'!$M$4:$M$2000,H71)-SUMIFS('kokpit-1'!$Q$4:$Q$2000,'kokpit-1'!$M$4:$M$2000,H71)</f>
        <v>0</v>
      </c>
      <c r="U71" s="82">
        <f>SUMIFS('kokpit-1'!$Q$4:$Q$2000,'kokpit-1'!$M$4:$M$2000,H71)-SUMIFS('kokpit-1'!$P$4:$P$2000,'kokpit-1'!$M$4:$M$2000,H71)</f>
        <v>0</v>
      </c>
    </row>
    <row r="72" spans="1:21" x14ac:dyDescent="0.3">
      <c r="C72" s="81" t="s">
        <v>89</v>
      </c>
      <c r="D72" s="104" t="s">
        <v>99</v>
      </c>
      <c r="E72" s="174" t="str">
        <f t="shared" si="6"/>
        <v/>
      </c>
      <c r="F72" s="174" t="str">
        <f t="shared" si="4"/>
        <v/>
      </c>
      <c r="H72" s="98" t="str">
        <f>A9&amp;B65&amp;C70&amp;C72</f>
        <v>I.a.6.1b2</v>
      </c>
      <c r="I72" s="138"/>
      <c r="M72" s="82">
        <f>SUMIFS(kokpit!$P$4:$P$2000,kokpit!$M$4:$M$2000,H72)</f>
        <v>0</v>
      </c>
      <c r="N72" s="82">
        <f>SUMIFS(kokpit!$Q$4:$Q$2000,kokpit!$M$4:$M$2000,H72)</f>
        <v>0</v>
      </c>
      <c r="O72" s="82">
        <f>SUMIFS(kokpit!$P$4:$P$2000,kokpit!$M$4:$M$2000,H72)-SUMIFS(kokpit!$Q$4:$Q$2000,kokpit!$M$4:$M$2000,H72)</f>
        <v>0</v>
      </c>
      <c r="P72" s="82">
        <f>SUMIFS(kokpit!$Q$4:$Q$2000,kokpit!$M$4:$M$2000,H72)-SUMIFS(kokpit!$P$4:$P$2000,kokpit!$M$4:$M$2000,H72)</f>
        <v>0</v>
      </c>
      <c r="R72" s="82">
        <f>SUMIFS('kokpit-1'!$P$4:$P$2000,'kokpit-1'!$M$4:$M$2000,H72)</f>
        <v>0</v>
      </c>
      <c r="S72" s="82">
        <f>SUMIFS('kokpit-1'!$Q$4:$Q$2000,'kokpit-1'!$M$4:$M$2000,H72)</f>
        <v>0</v>
      </c>
      <c r="T72" s="82">
        <f>SUMIFS('kokpit-1'!$P$4:$P$2000,'kokpit-1'!$M$4:$M$2000,H72)-SUMIFS('kokpit-1'!$Q$4:$Q$2000,'kokpit-1'!$M$4:$M$2000,H72)</f>
        <v>0</v>
      </c>
      <c r="U72" s="82">
        <f>SUMIFS('kokpit-1'!$Q$4:$Q$2000,'kokpit-1'!$M$4:$M$2000,H72)-SUMIFS('kokpit-1'!$P$4:$P$2000,'kokpit-1'!$M$4:$M$2000,H72)</f>
        <v>0</v>
      </c>
    </row>
    <row r="73" spans="1:21" s="97" customFormat="1" x14ac:dyDescent="0.3">
      <c r="A73" s="94"/>
      <c r="B73" s="94"/>
      <c r="C73" s="81" t="s">
        <v>93</v>
      </c>
      <c r="D73" s="96" t="s">
        <v>99</v>
      </c>
      <c r="E73" s="174" t="str">
        <f t="shared" si="6"/>
        <v/>
      </c>
      <c r="F73" s="174" t="str">
        <f t="shared" si="4"/>
        <v/>
      </c>
      <c r="H73" s="90" t="str">
        <f>A9&amp;B65&amp;C70&amp;C73</f>
        <v>I.a.6.1b3</v>
      </c>
      <c r="I73" s="138"/>
      <c r="M73" s="82">
        <f>SUMIFS(kokpit!$P$4:$P$2000,kokpit!$M$4:$M$2000,H73)</f>
        <v>0</v>
      </c>
      <c r="N73" s="82">
        <f>SUMIFS(kokpit!$Q$4:$Q$2000,kokpit!$M$4:$M$2000,H73)</f>
        <v>0</v>
      </c>
      <c r="O73" s="82">
        <f>SUMIFS(kokpit!$P$4:$P$2000,kokpit!$M$4:$M$2000,H73)-SUMIFS(kokpit!$Q$4:$Q$2000,kokpit!$M$4:$M$2000,H73)</f>
        <v>0</v>
      </c>
      <c r="P73" s="82">
        <f>SUMIFS(kokpit!$Q$4:$Q$2000,kokpit!$M$4:$M$2000,H73)-SUMIFS(kokpit!$P$4:$P$2000,kokpit!$M$4:$M$2000,H73)</f>
        <v>0</v>
      </c>
      <c r="R73" s="82">
        <f>SUMIFS('kokpit-1'!$P$4:$P$2000,'kokpit-1'!$M$4:$M$2000,H73)</f>
        <v>0</v>
      </c>
      <c r="S73" s="82">
        <f>SUMIFS('kokpit-1'!$Q$4:$Q$2000,'kokpit-1'!$M$4:$M$2000,H73)</f>
        <v>0</v>
      </c>
      <c r="T73" s="82">
        <f>SUMIFS('kokpit-1'!$P$4:$P$2000,'kokpit-1'!$M$4:$M$2000,H73)-SUMIFS('kokpit-1'!$Q$4:$Q$2000,'kokpit-1'!$M$4:$M$2000,H73)</f>
        <v>0</v>
      </c>
      <c r="U73" s="82">
        <f>SUMIFS('kokpit-1'!$Q$4:$Q$2000,'kokpit-1'!$M$4:$M$2000,H73)-SUMIFS('kokpit-1'!$P$4:$P$2000,'kokpit-1'!$M$4:$M$2000,H73)</f>
        <v>0</v>
      </c>
    </row>
    <row r="74" spans="1:21" x14ac:dyDescent="0.3">
      <c r="B74" s="227" t="s">
        <v>315</v>
      </c>
      <c r="C74" s="227"/>
      <c r="D74" s="89" t="s">
        <v>358</v>
      </c>
      <c r="E74" s="174" t="str">
        <f t="shared" si="6"/>
        <v/>
      </c>
      <c r="F74" s="174" t="str">
        <f t="shared" si="4"/>
        <v/>
      </c>
      <c r="H74" s="98" t="str">
        <f>A9&amp;B74</f>
        <v>I.a.6.2</v>
      </c>
      <c r="I74" s="138"/>
      <c r="M74" s="82">
        <f>SUMIFS(kokpit!$P$4:$P$2000,kokpit!$M$4:$M$2000,H74)</f>
        <v>0</v>
      </c>
      <c r="N74" s="82">
        <f>SUMIFS(kokpit!$Q$4:$Q$2000,kokpit!$M$4:$M$2000,H74)</f>
        <v>0</v>
      </c>
      <c r="O74" s="82">
        <f>SUMIFS(kokpit!$P$4:$P$2000,kokpit!$M$4:$M$2000,H74)-SUMIFS(kokpit!$Q$4:$Q$2000,kokpit!$M$4:$M$2000,H74)</f>
        <v>0</v>
      </c>
      <c r="P74" s="82">
        <f>SUMIFS(kokpit!$Q$4:$Q$2000,kokpit!$M$4:$M$2000,H74)-SUMIFS(kokpit!$P$4:$P$2000,kokpit!$M$4:$M$2000,H74)</f>
        <v>0</v>
      </c>
      <c r="R74" s="82">
        <f>SUMIFS('kokpit-1'!$P$4:$P$2000,'kokpit-1'!$M$4:$M$2000,H74)</f>
        <v>0</v>
      </c>
      <c r="S74" s="82">
        <f>SUMIFS('kokpit-1'!$Q$4:$Q$2000,'kokpit-1'!$M$4:$M$2000,H74)</f>
        <v>0</v>
      </c>
      <c r="T74" s="82">
        <f>SUMIFS('kokpit-1'!$P$4:$P$2000,'kokpit-1'!$M$4:$M$2000,H74)-SUMIFS('kokpit-1'!$Q$4:$Q$2000,'kokpit-1'!$M$4:$M$2000,H74)</f>
        <v>0</v>
      </c>
      <c r="U74" s="82">
        <f>SUMIFS('kokpit-1'!$Q$4:$Q$2000,'kokpit-1'!$M$4:$M$2000,H74)-SUMIFS('kokpit-1'!$P$4:$P$2000,'kokpit-1'!$M$4:$M$2000,H74)</f>
        <v>0</v>
      </c>
    </row>
    <row r="75" spans="1:21" x14ac:dyDescent="0.3">
      <c r="B75" s="224" t="s">
        <v>92</v>
      </c>
      <c r="C75" s="224"/>
      <c r="D75" s="91" t="s">
        <v>359</v>
      </c>
      <c r="E75" s="176" t="str">
        <f t="shared" si="6"/>
        <v/>
      </c>
      <c r="F75" s="176" t="str">
        <f t="shared" si="4"/>
        <v/>
      </c>
      <c r="H75" s="92" t="str">
        <f>A9&amp;B75</f>
        <v>I.a.7</v>
      </c>
      <c r="I75" s="138"/>
      <c r="M75" s="82">
        <f>SUMIFS(kokpit!$P$4:$P$2000,kokpit!$M$4:$M$2000,H75)</f>
        <v>0</v>
      </c>
      <c r="N75" s="82">
        <f>SUMIFS(kokpit!$Q$4:$Q$2000,kokpit!$M$4:$M$2000,H75)</f>
        <v>0</v>
      </c>
      <c r="O75" s="82">
        <f>SUMIFS(kokpit!$P$4:$P$2000,kokpit!$M$4:$M$2000,H75)-SUMIFS(kokpit!$Q$4:$Q$2000,kokpit!$M$4:$M$2000,H75)</f>
        <v>0</v>
      </c>
      <c r="P75" s="82">
        <f>SUMIFS(kokpit!$Q$4:$Q$2000,kokpit!$M$4:$M$2000,H75)-SUMIFS(kokpit!$P$4:$P$2000,kokpit!$M$4:$M$2000,H75)</f>
        <v>0</v>
      </c>
      <c r="R75" s="82">
        <f>SUMIFS('kokpit-1'!$P$4:$P$2000,'kokpit-1'!$M$4:$M$2000,H75)</f>
        <v>0</v>
      </c>
      <c r="S75" s="82">
        <f>SUMIFS('kokpit-1'!$Q$4:$Q$2000,'kokpit-1'!$M$4:$M$2000,H75)</f>
        <v>0</v>
      </c>
      <c r="T75" s="82">
        <f>SUMIFS('kokpit-1'!$P$4:$P$2000,'kokpit-1'!$M$4:$M$2000,H75)-SUMIFS('kokpit-1'!$Q$4:$Q$2000,'kokpit-1'!$M$4:$M$2000,H75)</f>
        <v>0</v>
      </c>
      <c r="U75" s="82">
        <f>SUMIFS('kokpit-1'!$Q$4:$Q$2000,'kokpit-1'!$M$4:$M$2000,H75)-SUMIFS('kokpit-1'!$P$4:$P$2000,'kokpit-1'!$M$4:$M$2000,H75)</f>
        <v>0</v>
      </c>
    </row>
    <row r="76" spans="1:21" x14ac:dyDescent="0.3">
      <c r="B76" s="227" t="s">
        <v>316</v>
      </c>
      <c r="C76" s="227"/>
      <c r="D76" s="89" t="s">
        <v>360</v>
      </c>
      <c r="E76" s="174" t="str">
        <f t="shared" si="6"/>
        <v/>
      </c>
      <c r="F76" s="174" t="str">
        <f t="shared" si="4"/>
        <v/>
      </c>
      <c r="H76" s="90" t="str">
        <f>A9&amp;B76</f>
        <v>I.a.7.1</v>
      </c>
      <c r="I76" s="138"/>
      <c r="M76" s="82">
        <f>SUMIFS(kokpit!$P$4:$P$2000,kokpit!$M$4:$M$2000,H76)</f>
        <v>0</v>
      </c>
      <c r="N76" s="82">
        <f>SUMIFS(kokpit!$Q$4:$Q$2000,kokpit!$M$4:$M$2000,H76)</f>
        <v>0</v>
      </c>
      <c r="O76" s="82">
        <f>SUMIFS(kokpit!$P$4:$P$2000,kokpit!$M$4:$M$2000,H76)-SUMIFS(kokpit!$Q$4:$Q$2000,kokpit!$M$4:$M$2000,H76)</f>
        <v>0</v>
      </c>
      <c r="P76" s="82">
        <f>SUMIFS(kokpit!$Q$4:$Q$2000,kokpit!$M$4:$M$2000,H76)-SUMIFS(kokpit!$P$4:$P$2000,kokpit!$M$4:$M$2000,H76)</f>
        <v>0</v>
      </c>
      <c r="R76" s="82">
        <f>SUMIFS('kokpit-1'!$P$4:$P$2000,'kokpit-1'!$M$4:$M$2000,H76)</f>
        <v>0</v>
      </c>
      <c r="S76" s="82">
        <f>SUMIFS('kokpit-1'!$Q$4:$Q$2000,'kokpit-1'!$M$4:$M$2000,H76)</f>
        <v>0</v>
      </c>
      <c r="T76" s="82">
        <f>SUMIFS('kokpit-1'!$P$4:$P$2000,'kokpit-1'!$M$4:$M$2000,H76)-SUMIFS('kokpit-1'!$Q$4:$Q$2000,'kokpit-1'!$M$4:$M$2000,H76)</f>
        <v>0</v>
      </c>
      <c r="U76" s="82">
        <f>SUMIFS('kokpit-1'!$Q$4:$Q$2000,'kokpit-1'!$M$4:$M$2000,H76)-SUMIFS('kokpit-1'!$P$4:$P$2000,'kokpit-1'!$M$4:$M$2000,H76)</f>
        <v>0</v>
      </c>
    </row>
    <row r="77" spans="1:21" x14ac:dyDescent="0.3">
      <c r="C77" s="81" t="s">
        <v>88</v>
      </c>
      <c r="D77" s="89" t="s">
        <v>338</v>
      </c>
      <c r="E77" s="174" t="str">
        <f t="shared" si="6"/>
        <v/>
      </c>
      <c r="F77" s="174" t="str">
        <f t="shared" si="4"/>
        <v/>
      </c>
      <c r="H77" s="90" t="str">
        <f>A9&amp;B76&amp;C77</f>
        <v>I.a.7.11</v>
      </c>
      <c r="I77" s="138"/>
      <c r="M77" s="82">
        <f>SUMIFS(kokpit!$P$4:$P$2000,kokpit!$M$4:$M$2000,H77)</f>
        <v>0</v>
      </c>
      <c r="N77" s="82">
        <f>SUMIFS(kokpit!$Q$4:$Q$2000,kokpit!$M$4:$M$2000,H77)</f>
        <v>0</v>
      </c>
      <c r="O77" s="82">
        <f>SUMIFS(kokpit!$P$4:$P$2000,kokpit!$M$4:$M$2000,H77)-SUMIFS(kokpit!$Q$4:$Q$2000,kokpit!$M$4:$M$2000,H77)</f>
        <v>0</v>
      </c>
      <c r="P77" s="82">
        <f>SUMIFS(kokpit!$Q$4:$Q$2000,kokpit!$M$4:$M$2000,H77)-SUMIFS(kokpit!$P$4:$P$2000,kokpit!$M$4:$M$2000,H77)</f>
        <v>0</v>
      </c>
      <c r="R77" s="82">
        <f>SUMIFS('kokpit-1'!$P$4:$P$2000,'kokpit-1'!$M$4:$M$2000,H77)</f>
        <v>0</v>
      </c>
      <c r="S77" s="82">
        <f>SUMIFS('kokpit-1'!$Q$4:$Q$2000,'kokpit-1'!$M$4:$M$2000,H77)</f>
        <v>0</v>
      </c>
      <c r="T77" s="82">
        <f>SUMIFS('kokpit-1'!$P$4:$P$2000,'kokpit-1'!$M$4:$M$2000,H77)-SUMIFS('kokpit-1'!$Q$4:$Q$2000,'kokpit-1'!$M$4:$M$2000,H77)</f>
        <v>0</v>
      </c>
      <c r="U77" s="82">
        <f>SUMIFS('kokpit-1'!$Q$4:$Q$2000,'kokpit-1'!$M$4:$M$2000,H77)-SUMIFS('kokpit-1'!$P$4:$P$2000,'kokpit-1'!$M$4:$M$2000,H77)</f>
        <v>0</v>
      </c>
    </row>
    <row r="78" spans="1:21" x14ac:dyDescent="0.3">
      <c r="C78" s="81" t="s">
        <v>89</v>
      </c>
      <c r="D78" s="89" t="s">
        <v>339</v>
      </c>
      <c r="E78" s="174" t="str">
        <f t="shared" si="6"/>
        <v/>
      </c>
      <c r="F78" s="174" t="str">
        <f t="shared" si="4"/>
        <v/>
      </c>
      <c r="H78" s="90" t="str">
        <f>A9&amp;B76&amp;C78</f>
        <v>I.a.7.12</v>
      </c>
      <c r="I78" s="138"/>
      <c r="M78" s="82">
        <f>SUMIFS(kokpit!$P$4:$P$2000,kokpit!$M$4:$M$2000,H78)</f>
        <v>0</v>
      </c>
      <c r="N78" s="82">
        <f>SUMIFS(kokpit!$Q$4:$Q$2000,kokpit!$M$4:$M$2000,H78)</f>
        <v>0</v>
      </c>
      <c r="O78" s="82">
        <f>SUMIFS(kokpit!$P$4:$P$2000,kokpit!$M$4:$M$2000,H78)-SUMIFS(kokpit!$Q$4:$Q$2000,kokpit!$M$4:$M$2000,H78)</f>
        <v>0</v>
      </c>
      <c r="P78" s="82">
        <f>SUMIFS(kokpit!$Q$4:$Q$2000,kokpit!$M$4:$M$2000,H78)-SUMIFS(kokpit!$P$4:$P$2000,kokpit!$M$4:$M$2000,H78)</f>
        <v>0</v>
      </c>
      <c r="R78" s="82">
        <f>SUMIFS('kokpit-1'!$P$4:$P$2000,'kokpit-1'!$M$4:$M$2000,H78)</f>
        <v>0</v>
      </c>
      <c r="S78" s="82">
        <f>SUMIFS('kokpit-1'!$Q$4:$Q$2000,'kokpit-1'!$M$4:$M$2000,H78)</f>
        <v>0</v>
      </c>
      <c r="T78" s="82">
        <f>SUMIFS('kokpit-1'!$P$4:$P$2000,'kokpit-1'!$M$4:$M$2000,H78)-SUMIFS('kokpit-1'!$Q$4:$Q$2000,'kokpit-1'!$M$4:$M$2000,H78)</f>
        <v>0</v>
      </c>
      <c r="U78" s="82">
        <f>SUMIFS('kokpit-1'!$Q$4:$Q$2000,'kokpit-1'!$M$4:$M$2000,H78)-SUMIFS('kokpit-1'!$P$4:$P$2000,'kokpit-1'!$M$4:$M$2000,H78)</f>
        <v>0</v>
      </c>
    </row>
    <row r="79" spans="1:21" ht="14.5" customHeight="1" x14ac:dyDescent="0.3">
      <c r="B79" s="227" t="s">
        <v>317</v>
      </c>
      <c r="C79" s="227"/>
      <c r="D79" s="89" t="s">
        <v>361</v>
      </c>
      <c r="E79" s="181">
        <f>SUM(E76:E78)</f>
        <v>0</v>
      </c>
      <c r="F79" s="181">
        <f>SUM(F76:F78)</f>
        <v>0</v>
      </c>
      <c r="H79" s="90" t="str">
        <f>A9&amp;B79</f>
        <v>I.a.7.2</v>
      </c>
      <c r="I79" s="138"/>
      <c r="M79" s="82">
        <f>SUMIFS(kokpit!$P$4:$P$2000,kokpit!$M$4:$M$2000,H79)</f>
        <v>0</v>
      </c>
      <c r="N79" s="82">
        <f>SUMIFS(kokpit!$Q$4:$Q$2000,kokpit!$M$4:$M$2000,H79)</f>
        <v>0</v>
      </c>
      <c r="O79" s="82">
        <f>SUMIFS(kokpit!$P$4:$P$2000,kokpit!$M$4:$M$2000,H79)-SUMIFS(kokpit!$Q$4:$Q$2000,kokpit!$M$4:$M$2000,H79)</f>
        <v>0</v>
      </c>
      <c r="P79" s="82">
        <f>SUMIFS(kokpit!$Q$4:$Q$2000,kokpit!$M$4:$M$2000,H79)-SUMIFS(kokpit!$P$4:$P$2000,kokpit!$M$4:$M$2000,H79)</f>
        <v>0</v>
      </c>
      <c r="R79" s="82">
        <f>SUMIFS('kokpit-1'!$P$4:$P$2000,'kokpit-1'!$M$4:$M$2000,H79)</f>
        <v>0</v>
      </c>
      <c r="S79" s="82">
        <f>SUMIFS('kokpit-1'!$Q$4:$Q$2000,'kokpit-1'!$M$4:$M$2000,H79)</f>
        <v>0</v>
      </c>
      <c r="T79" s="82">
        <f>SUMIFS('kokpit-1'!$P$4:$P$2000,'kokpit-1'!$M$4:$M$2000,H79)-SUMIFS('kokpit-1'!$Q$4:$Q$2000,'kokpit-1'!$M$4:$M$2000,H79)</f>
        <v>0</v>
      </c>
      <c r="U79" s="82">
        <f>SUMIFS('kokpit-1'!$Q$4:$Q$2000,'kokpit-1'!$M$4:$M$2000,H79)-SUMIFS('kokpit-1'!$P$4:$P$2000,'kokpit-1'!$M$4:$M$2000,H79)</f>
        <v>0</v>
      </c>
    </row>
    <row r="80" spans="1:21" x14ac:dyDescent="0.3">
      <c r="C80" s="93" t="s">
        <v>184</v>
      </c>
      <c r="D80" s="89" t="s">
        <v>356</v>
      </c>
      <c r="E80" s="181">
        <f>SUM(E81:E83)</f>
        <v>0</v>
      </c>
      <c r="F80" s="181">
        <f>SUM(F81:F83)</f>
        <v>0</v>
      </c>
      <c r="H80" s="90" t="str">
        <f>A9&amp;B79&amp;C80</f>
        <v>I.a.7.2a</v>
      </c>
      <c r="I80" s="138"/>
      <c r="M80" s="82">
        <f>SUMIFS(kokpit!$P$4:$P$2000,kokpit!$M$4:$M$2000,H80)</f>
        <v>0</v>
      </c>
      <c r="N80" s="82">
        <f>SUMIFS(kokpit!$Q$4:$Q$2000,kokpit!$M$4:$M$2000,H80)</f>
        <v>0</v>
      </c>
      <c r="O80" s="82">
        <f>SUMIFS(kokpit!$P$4:$P$2000,kokpit!$M$4:$M$2000,H80)-SUMIFS(kokpit!$Q$4:$Q$2000,kokpit!$M$4:$M$2000,H80)</f>
        <v>0</v>
      </c>
      <c r="P80" s="82">
        <f>SUMIFS(kokpit!$Q$4:$Q$2000,kokpit!$M$4:$M$2000,H80)-SUMIFS(kokpit!$P$4:$P$2000,kokpit!$M$4:$M$2000,H80)</f>
        <v>0</v>
      </c>
      <c r="R80" s="82">
        <f>SUMIFS('kokpit-1'!$P$4:$P$2000,'kokpit-1'!$M$4:$M$2000,H80)</f>
        <v>0</v>
      </c>
      <c r="S80" s="82">
        <f>SUMIFS('kokpit-1'!$Q$4:$Q$2000,'kokpit-1'!$M$4:$M$2000,H80)</f>
        <v>0</v>
      </c>
      <c r="T80" s="82">
        <f>SUMIFS('kokpit-1'!$P$4:$P$2000,'kokpit-1'!$M$4:$M$2000,H80)-SUMIFS('kokpit-1'!$Q$4:$Q$2000,'kokpit-1'!$M$4:$M$2000,H80)</f>
        <v>0</v>
      </c>
      <c r="U80" s="82">
        <f>SUMIFS('kokpit-1'!$Q$4:$Q$2000,'kokpit-1'!$M$4:$M$2000,H80)-SUMIFS('kokpit-1'!$P$4:$P$2000,'kokpit-1'!$M$4:$M$2000,H80)</f>
        <v>0</v>
      </c>
    </row>
    <row r="81" spans="1:21" x14ac:dyDescent="0.3">
      <c r="C81" s="81" t="s">
        <v>88</v>
      </c>
      <c r="D81" s="89" t="s">
        <v>99</v>
      </c>
      <c r="E81" s="174" t="str">
        <f t="shared" si="6"/>
        <v/>
      </c>
      <c r="F81" s="174" t="str">
        <f t="shared" si="4"/>
        <v/>
      </c>
      <c r="H81" s="90" t="str">
        <f>A9&amp;B79&amp;C80&amp;C81</f>
        <v>I.a.7.2a1</v>
      </c>
      <c r="I81" s="138"/>
      <c r="M81" s="82">
        <f>SUMIFS(kokpit!$P$4:$P$2000,kokpit!$M$4:$M$2000,H81)</f>
        <v>0</v>
      </c>
      <c r="N81" s="82">
        <f>SUMIFS(kokpit!$Q$4:$Q$2000,kokpit!$M$4:$M$2000,H81)</f>
        <v>0</v>
      </c>
      <c r="O81" s="82">
        <f>SUMIFS(kokpit!$P$4:$P$2000,kokpit!$M$4:$M$2000,H81)-SUMIFS(kokpit!$Q$4:$Q$2000,kokpit!$M$4:$M$2000,H81)</f>
        <v>0</v>
      </c>
      <c r="P81" s="82">
        <f>SUMIFS(kokpit!$Q$4:$Q$2000,kokpit!$M$4:$M$2000,H81)-SUMIFS(kokpit!$P$4:$P$2000,kokpit!$M$4:$M$2000,H81)</f>
        <v>0</v>
      </c>
      <c r="R81" s="82">
        <f>SUMIFS('kokpit-1'!$P$4:$P$2000,'kokpit-1'!$M$4:$M$2000,H81)</f>
        <v>0</v>
      </c>
      <c r="S81" s="82">
        <f>SUMIFS('kokpit-1'!$Q$4:$Q$2000,'kokpit-1'!$M$4:$M$2000,H81)</f>
        <v>0</v>
      </c>
      <c r="T81" s="82">
        <f>SUMIFS('kokpit-1'!$P$4:$P$2000,'kokpit-1'!$M$4:$M$2000,H81)-SUMIFS('kokpit-1'!$Q$4:$Q$2000,'kokpit-1'!$M$4:$M$2000,H81)</f>
        <v>0</v>
      </c>
      <c r="U81" s="82">
        <f>SUMIFS('kokpit-1'!$Q$4:$Q$2000,'kokpit-1'!$M$4:$M$2000,H81)-SUMIFS('kokpit-1'!$P$4:$P$2000,'kokpit-1'!$M$4:$M$2000,H81)</f>
        <v>0</v>
      </c>
    </row>
    <row r="82" spans="1:21" x14ac:dyDescent="0.3">
      <c r="C82" s="81" t="s">
        <v>89</v>
      </c>
      <c r="D82" s="89" t="s">
        <v>99</v>
      </c>
      <c r="E82" s="174" t="str">
        <f t="shared" si="6"/>
        <v/>
      </c>
      <c r="F82" s="174" t="str">
        <f t="shared" si="4"/>
        <v/>
      </c>
      <c r="H82" s="90" t="str">
        <f>A9&amp;B79&amp;C80&amp;C82</f>
        <v>I.a.7.2a2</v>
      </c>
      <c r="I82" s="138"/>
      <c r="M82" s="82">
        <f>SUMIFS(kokpit!$P$4:$P$2000,kokpit!$M$4:$M$2000,H82)</f>
        <v>0</v>
      </c>
      <c r="N82" s="82">
        <f>SUMIFS(kokpit!$Q$4:$Q$2000,kokpit!$M$4:$M$2000,H82)</f>
        <v>0</v>
      </c>
      <c r="O82" s="82">
        <f>SUMIFS(kokpit!$P$4:$P$2000,kokpit!$M$4:$M$2000,H82)-SUMIFS(kokpit!$Q$4:$Q$2000,kokpit!$M$4:$M$2000,H82)</f>
        <v>0</v>
      </c>
      <c r="P82" s="82">
        <f>SUMIFS(kokpit!$Q$4:$Q$2000,kokpit!$M$4:$M$2000,H82)-SUMIFS(kokpit!$P$4:$P$2000,kokpit!$M$4:$M$2000,H82)</f>
        <v>0</v>
      </c>
      <c r="R82" s="82">
        <f>SUMIFS('kokpit-1'!$P$4:$P$2000,'kokpit-1'!$M$4:$M$2000,H82)</f>
        <v>0</v>
      </c>
      <c r="S82" s="82">
        <f>SUMIFS('kokpit-1'!$Q$4:$Q$2000,'kokpit-1'!$M$4:$M$2000,H82)</f>
        <v>0</v>
      </c>
      <c r="T82" s="82">
        <f>SUMIFS('kokpit-1'!$P$4:$P$2000,'kokpit-1'!$M$4:$M$2000,H82)-SUMIFS('kokpit-1'!$Q$4:$Q$2000,'kokpit-1'!$M$4:$M$2000,H82)</f>
        <v>0</v>
      </c>
      <c r="U82" s="82">
        <f>SUMIFS('kokpit-1'!$Q$4:$Q$2000,'kokpit-1'!$M$4:$M$2000,H82)-SUMIFS('kokpit-1'!$P$4:$P$2000,'kokpit-1'!$M$4:$M$2000,H82)</f>
        <v>0</v>
      </c>
    </row>
    <row r="83" spans="1:21" x14ac:dyDescent="0.3">
      <c r="C83" s="81" t="s">
        <v>93</v>
      </c>
      <c r="D83" s="89" t="s">
        <v>99</v>
      </c>
      <c r="E83" s="174" t="str">
        <f t="shared" si="6"/>
        <v/>
      </c>
      <c r="F83" s="174" t="str">
        <f t="shared" si="4"/>
        <v/>
      </c>
      <c r="H83" s="90" t="str">
        <f>A9&amp;B79&amp;C80&amp;C83</f>
        <v>I.a.7.2a3</v>
      </c>
      <c r="I83" s="138"/>
      <c r="M83" s="82">
        <f>SUMIFS(kokpit!$P$4:$P$2000,kokpit!$M$4:$M$2000,H83)</f>
        <v>0</v>
      </c>
      <c r="N83" s="82">
        <f>SUMIFS(kokpit!$Q$4:$Q$2000,kokpit!$M$4:$M$2000,H83)</f>
        <v>0</v>
      </c>
      <c r="O83" s="82">
        <f>SUMIFS(kokpit!$P$4:$P$2000,kokpit!$M$4:$M$2000,H83)-SUMIFS(kokpit!$Q$4:$Q$2000,kokpit!$M$4:$M$2000,H83)</f>
        <v>0</v>
      </c>
      <c r="P83" s="82">
        <f>SUMIFS(kokpit!$Q$4:$Q$2000,kokpit!$M$4:$M$2000,H83)-SUMIFS(kokpit!$P$4:$P$2000,kokpit!$M$4:$M$2000,H83)</f>
        <v>0</v>
      </c>
      <c r="R83" s="82">
        <f>SUMIFS('kokpit-1'!$P$4:$P$2000,'kokpit-1'!$M$4:$M$2000,H83)</f>
        <v>0</v>
      </c>
      <c r="S83" s="82">
        <f>SUMIFS('kokpit-1'!$Q$4:$Q$2000,'kokpit-1'!$M$4:$M$2000,H83)</f>
        <v>0</v>
      </c>
      <c r="T83" s="82">
        <f>SUMIFS('kokpit-1'!$P$4:$P$2000,'kokpit-1'!$M$4:$M$2000,H83)-SUMIFS('kokpit-1'!$Q$4:$Q$2000,'kokpit-1'!$M$4:$M$2000,H83)</f>
        <v>0</v>
      </c>
      <c r="U83" s="82">
        <f>SUMIFS('kokpit-1'!$Q$4:$Q$2000,'kokpit-1'!$M$4:$M$2000,H83)-SUMIFS('kokpit-1'!$P$4:$P$2000,'kokpit-1'!$M$4:$M$2000,H83)</f>
        <v>0</v>
      </c>
    </row>
    <row r="84" spans="1:21" x14ac:dyDescent="0.3">
      <c r="C84" s="93" t="s">
        <v>185</v>
      </c>
      <c r="D84" s="89" t="s">
        <v>336</v>
      </c>
      <c r="E84" s="181">
        <f>SUM(E85:E88)</f>
        <v>0</v>
      </c>
      <c r="F84" s="181">
        <f>SUM(F85:F88)</f>
        <v>0</v>
      </c>
      <c r="H84" s="90" t="str">
        <f>A9&amp;B79&amp;C84</f>
        <v>I.a.7.2b</v>
      </c>
      <c r="I84" s="138"/>
      <c r="M84" s="82">
        <f>SUMIFS(kokpit!$P$4:$P$2000,kokpit!$M$4:$M$2000,H84)</f>
        <v>0</v>
      </c>
      <c r="N84" s="82">
        <f>SUMIFS(kokpit!$Q$4:$Q$2000,kokpit!$M$4:$M$2000,H84)</f>
        <v>0</v>
      </c>
      <c r="O84" s="82">
        <f>SUMIFS(kokpit!$P$4:$P$2000,kokpit!$M$4:$M$2000,H84)-SUMIFS(kokpit!$Q$4:$Q$2000,kokpit!$M$4:$M$2000,H84)</f>
        <v>0</v>
      </c>
      <c r="P84" s="82">
        <f>SUMIFS(kokpit!$Q$4:$Q$2000,kokpit!$M$4:$M$2000,H84)-SUMIFS(kokpit!$P$4:$P$2000,kokpit!$M$4:$M$2000,H84)</f>
        <v>0</v>
      </c>
      <c r="R84" s="82">
        <f>SUMIFS('kokpit-1'!$P$4:$P$2000,'kokpit-1'!$M$4:$M$2000,H84)</f>
        <v>0</v>
      </c>
      <c r="S84" s="82">
        <f>SUMIFS('kokpit-1'!$Q$4:$Q$2000,'kokpit-1'!$M$4:$M$2000,H84)</f>
        <v>0</v>
      </c>
      <c r="T84" s="82">
        <f>SUMIFS('kokpit-1'!$P$4:$P$2000,'kokpit-1'!$M$4:$M$2000,H84)-SUMIFS('kokpit-1'!$Q$4:$Q$2000,'kokpit-1'!$M$4:$M$2000,H84)</f>
        <v>0</v>
      </c>
      <c r="U84" s="82">
        <f>SUMIFS('kokpit-1'!$Q$4:$Q$2000,'kokpit-1'!$M$4:$M$2000,H84)-SUMIFS('kokpit-1'!$P$4:$P$2000,'kokpit-1'!$M$4:$M$2000,H84)</f>
        <v>0</v>
      </c>
    </row>
    <row r="85" spans="1:21" s="97" customFormat="1" x14ac:dyDescent="0.3">
      <c r="A85" s="94"/>
      <c r="B85" s="81"/>
      <c r="C85" s="81" t="s">
        <v>88</v>
      </c>
      <c r="D85" s="96" t="s">
        <v>99</v>
      </c>
      <c r="E85" s="174" t="str">
        <f t="shared" si="6"/>
        <v/>
      </c>
      <c r="F85" s="174" t="str">
        <f t="shared" si="4"/>
        <v/>
      </c>
      <c r="H85" s="90" t="str">
        <f>A9&amp;B79&amp;C84&amp;C85</f>
        <v>I.a.7.2b1</v>
      </c>
      <c r="I85" s="138"/>
      <c r="M85" s="82">
        <f>SUMIFS(kokpit!$P$4:$P$2000,kokpit!$M$4:$M$2000,H85)</f>
        <v>0</v>
      </c>
      <c r="N85" s="82">
        <f>SUMIFS(kokpit!$Q$4:$Q$2000,kokpit!$M$4:$M$2000,H85)</f>
        <v>0</v>
      </c>
      <c r="O85" s="82">
        <f>SUMIFS(kokpit!$P$4:$P$2000,kokpit!$M$4:$M$2000,H85)-SUMIFS(kokpit!$Q$4:$Q$2000,kokpit!$M$4:$M$2000,H85)</f>
        <v>0</v>
      </c>
      <c r="P85" s="82">
        <f>SUMIFS(kokpit!$Q$4:$Q$2000,kokpit!$M$4:$M$2000,H85)-SUMIFS(kokpit!$P$4:$P$2000,kokpit!$M$4:$M$2000,H85)</f>
        <v>0</v>
      </c>
      <c r="R85" s="82">
        <f>SUMIFS('kokpit-1'!$P$4:$P$2000,'kokpit-1'!$M$4:$M$2000,H85)</f>
        <v>0</v>
      </c>
      <c r="S85" s="82">
        <f>SUMIFS('kokpit-1'!$Q$4:$Q$2000,'kokpit-1'!$M$4:$M$2000,H85)</f>
        <v>0</v>
      </c>
      <c r="T85" s="82">
        <f>SUMIFS('kokpit-1'!$P$4:$P$2000,'kokpit-1'!$M$4:$M$2000,H85)-SUMIFS('kokpit-1'!$Q$4:$Q$2000,'kokpit-1'!$M$4:$M$2000,H85)</f>
        <v>0</v>
      </c>
      <c r="U85" s="82">
        <f>SUMIFS('kokpit-1'!$Q$4:$Q$2000,'kokpit-1'!$M$4:$M$2000,H85)-SUMIFS('kokpit-1'!$P$4:$P$2000,'kokpit-1'!$M$4:$M$2000,H85)</f>
        <v>0</v>
      </c>
    </row>
    <row r="86" spans="1:21" s="97" customFormat="1" x14ac:dyDescent="0.3">
      <c r="A86" s="94"/>
      <c r="B86" s="81"/>
      <c r="C86" s="81" t="s">
        <v>89</v>
      </c>
      <c r="D86" s="96" t="s">
        <v>99</v>
      </c>
      <c r="E86" s="174" t="str">
        <f t="shared" si="6"/>
        <v/>
      </c>
      <c r="F86" s="174" t="str">
        <f t="shared" si="4"/>
        <v/>
      </c>
      <c r="H86" s="98" t="str">
        <f>A9&amp;B79&amp;C84&amp;C86</f>
        <v>I.a.7.2b2</v>
      </c>
      <c r="I86" s="138"/>
      <c r="M86" s="82">
        <f>SUMIFS(kokpit!$P$4:$P$2000,kokpit!$M$4:$M$2000,H86)</f>
        <v>0</v>
      </c>
      <c r="N86" s="82">
        <f>SUMIFS(kokpit!$Q$4:$Q$2000,kokpit!$M$4:$M$2000,H86)</f>
        <v>0</v>
      </c>
      <c r="O86" s="82">
        <f>SUMIFS(kokpit!$P$4:$P$2000,kokpit!$M$4:$M$2000,H86)-SUMIFS(kokpit!$Q$4:$Q$2000,kokpit!$M$4:$M$2000,H86)</f>
        <v>0</v>
      </c>
      <c r="P86" s="82">
        <f>SUMIFS(kokpit!$Q$4:$Q$2000,kokpit!$M$4:$M$2000,H86)-SUMIFS(kokpit!$P$4:$P$2000,kokpit!$M$4:$M$2000,H86)</f>
        <v>0</v>
      </c>
      <c r="R86" s="82">
        <f>SUMIFS('kokpit-1'!$P$4:$P$2000,'kokpit-1'!$M$4:$M$2000,H86)</f>
        <v>0</v>
      </c>
      <c r="S86" s="82">
        <f>SUMIFS('kokpit-1'!$Q$4:$Q$2000,'kokpit-1'!$M$4:$M$2000,H86)</f>
        <v>0</v>
      </c>
      <c r="T86" s="82">
        <f>SUMIFS('kokpit-1'!$P$4:$P$2000,'kokpit-1'!$M$4:$M$2000,H86)-SUMIFS('kokpit-1'!$Q$4:$Q$2000,'kokpit-1'!$M$4:$M$2000,H86)</f>
        <v>0</v>
      </c>
      <c r="U86" s="82">
        <f>SUMIFS('kokpit-1'!$Q$4:$Q$2000,'kokpit-1'!$M$4:$M$2000,H86)-SUMIFS('kokpit-1'!$P$4:$P$2000,'kokpit-1'!$M$4:$M$2000,H86)</f>
        <v>0</v>
      </c>
    </row>
    <row r="87" spans="1:21" s="97" customFormat="1" x14ac:dyDescent="0.3">
      <c r="A87" s="94"/>
      <c r="B87" s="81"/>
      <c r="C87" s="81" t="s">
        <v>93</v>
      </c>
      <c r="D87" s="96" t="s">
        <v>99</v>
      </c>
      <c r="E87" s="174" t="str">
        <f t="shared" si="6"/>
        <v/>
      </c>
      <c r="F87" s="174" t="str">
        <f t="shared" ref="F87:F109" si="7">IFERROR(IF($F$3="ZŁ",IF(I87="Wn",R87,IF(I87="Ma",S87,IF(I87="Wn-Ma",T87,IF(I87="Ma-Wn",U87,"")))),(IF(I87="Wn",R87,IF(I87="Ma",S87,IF(I87="Wn-Ma",T87,IF(I87="Ma-Wn",U87,"")))))/1000),"")</f>
        <v/>
      </c>
      <c r="H87" s="98" t="str">
        <f>A9&amp;B79&amp;C84&amp;C87</f>
        <v>I.a.7.2b3</v>
      </c>
      <c r="I87" s="138"/>
      <c r="M87" s="82">
        <f>SUMIFS(kokpit!$P$4:$P$2000,kokpit!$M$4:$M$2000,H87)</f>
        <v>0</v>
      </c>
      <c r="N87" s="82">
        <f>SUMIFS(kokpit!$Q$4:$Q$2000,kokpit!$M$4:$M$2000,H87)</f>
        <v>0</v>
      </c>
      <c r="O87" s="82">
        <f>SUMIFS(kokpit!$P$4:$P$2000,kokpit!$M$4:$M$2000,H87)-SUMIFS(kokpit!$Q$4:$Q$2000,kokpit!$M$4:$M$2000,H87)</f>
        <v>0</v>
      </c>
      <c r="P87" s="82">
        <f>SUMIFS(kokpit!$Q$4:$Q$2000,kokpit!$M$4:$M$2000,H87)-SUMIFS(kokpit!$P$4:$P$2000,kokpit!$M$4:$M$2000,H87)</f>
        <v>0</v>
      </c>
      <c r="R87" s="82">
        <f>SUMIFS('kokpit-1'!$P$4:$P$2000,'kokpit-1'!$M$4:$M$2000,H87)</f>
        <v>0</v>
      </c>
      <c r="S87" s="82">
        <f>SUMIFS('kokpit-1'!$Q$4:$Q$2000,'kokpit-1'!$M$4:$M$2000,H87)</f>
        <v>0</v>
      </c>
      <c r="T87" s="82">
        <f>SUMIFS('kokpit-1'!$P$4:$P$2000,'kokpit-1'!$M$4:$M$2000,H87)-SUMIFS('kokpit-1'!$Q$4:$Q$2000,'kokpit-1'!$M$4:$M$2000,H87)</f>
        <v>0</v>
      </c>
      <c r="U87" s="82">
        <f>SUMIFS('kokpit-1'!$Q$4:$Q$2000,'kokpit-1'!$M$4:$M$2000,H87)-SUMIFS('kokpit-1'!$P$4:$P$2000,'kokpit-1'!$M$4:$M$2000,H87)</f>
        <v>0</v>
      </c>
    </row>
    <row r="88" spans="1:21" s="97" customFormat="1" x14ac:dyDescent="0.3">
      <c r="A88" s="94"/>
      <c r="B88" s="81"/>
      <c r="C88" s="81" t="s">
        <v>86</v>
      </c>
      <c r="D88" s="96" t="s">
        <v>99</v>
      </c>
      <c r="E88" s="174" t="str">
        <f t="shared" si="6"/>
        <v/>
      </c>
      <c r="F88" s="174" t="str">
        <f t="shared" si="7"/>
        <v/>
      </c>
      <c r="H88" s="98" t="str">
        <f>A9&amp;B79&amp;C84&amp;C88</f>
        <v>I.a.7.2b4</v>
      </c>
      <c r="I88" s="138"/>
      <c r="M88" s="82">
        <f>SUMIFS(kokpit!$P$4:$P$2000,kokpit!$M$4:$M$2000,H88)</f>
        <v>0</v>
      </c>
      <c r="N88" s="82">
        <f>SUMIFS(kokpit!$Q$4:$Q$2000,kokpit!$M$4:$M$2000,H88)</f>
        <v>0</v>
      </c>
      <c r="O88" s="82">
        <f>SUMIFS(kokpit!$P$4:$P$2000,kokpit!$M$4:$M$2000,H88)-SUMIFS(kokpit!$Q$4:$Q$2000,kokpit!$M$4:$M$2000,H88)</f>
        <v>0</v>
      </c>
      <c r="P88" s="82">
        <f>SUMIFS(kokpit!$Q$4:$Q$2000,kokpit!$M$4:$M$2000,H88)-SUMIFS(kokpit!$P$4:$P$2000,kokpit!$M$4:$M$2000,H88)</f>
        <v>0</v>
      </c>
      <c r="R88" s="82">
        <f>SUMIFS('kokpit-1'!$P$4:$P$2000,'kokpit-1'!$M$4:$M$2000,H88)</f>
        <v>0</v>
      </c>
      <c r="S88" s="82">
        <f>SUMIFS('kokpit-1'!$Q$4:$Q$2000,'kokpit-1'!$M$4:$M$2000,H88)</f>
        <v>0</v>
      </c>
      <c r="T88" s="82">
        <f>SUMIFS('kokpit-1'!$P$4:$P$2000,'kokpit-1'!$M$4:$M$2000,H88)-SUMIFS('kokpit-1'!$Q$4:$Q$2000,'kokpit-1'!$M$4:$M$2000,H88)</f>
        <v>0</v>
      </c>
      <c r="U88" s="82">
        <f>SUMIFS('kokpit-1'!$Q$4:$Q$2000,'kokpit-1'!$M$4:$M$2000,H88)-SUMIFS('kokpit-1'!$P$4:$P$2000,'kokpit-1'!$M$4:$M$2000,H88)</f>
        <v>0</v>
      </c>
    </row>
    <row r="89" spans="1:21" x14ac:dyDescent="0.3">
      <c r="B89" s="227" t="s">
        <v>318</v>
      </c>
      <c r="C89" s="227"/>
      <c r="D89" s="89" t="s">
        <v>362</v>
      </c>
      <c r="E89" s="174" t="str">
        <f t="shared" si="6"/>
        <v/>
      </c>
      <c r="F89" s="174" t="str">
        <f t="shared" si="7"/>
        <v/>
      </c>
      <c r="H89" s="98" t="str">
        <f>A9&amp;B89</f>
        <v>I.a.7.3</v>
      </c>
      <c r="I89" s="138"/>
      <c r="M89" s="82">
        <f>SUMIFS(kokpit!$P$4:$P$2000,kokpit!$M$4:$M$2000,H89)</f>
        <v>0</v>
      </c>
      <c r="N89" s="82">
        <f>SUMIFS(kokpit!$Q$4:$Q$2000,kokpit!$M$4:$M$2000,H89)</f>
        <v>0</v>
      </c>
      <c r="O89" s="82">
        <f>SUMIFS(kokpit!$P$4:$P$2000,kokpit!$M$4:$M$2000,H89)-SUMIFS(kokpit!$Q$4:$Q$2000,kokpit!$M$4:$M$2000,H89)</f>
        <v>0</v>
      </c>
      <c r="P89" s="82">
        <f>SUMIFS(kokpit!$Q$4:$Q$2000,kokpit!$M$4:$M$2000,H89)-SUMIFS(kokpit!$P$4:$P$2000,kokpit!$M$4:$M$2000,H89)</f>
        <v>0</v>
      </c>
      <c r="R89" s="82">
        <f>SUMIFS('kokpit-1'!$P$4:$P$2000,'kokpit-1'!$M$4:$M$2000,H89)</f>
        <v>0</v>
      </c>
      <c r="S89" s="82">
        <f>SUMIFS('kokpit-1'!$Q$4:$Q$2000,'kokpit-1'!$M$4:$M$2000,H89)</f>
        <v>0</v>
      </c>
      <c r="T89" s="82">
        <f>SUMIFS('kokpit-1'!$P$4:$P$2000,'kokpit-1'!$M$4:$M$2000,H89)-SUMIFS('kokpit-1'!$Q$4:$Q$2000,'kokpit-1'!$M$4:$M$2000,H89)</f>
        <v>0</v>
      </c>
      <c r="U89" s="82">
        <f>SUMIFS('kokpit-1'!$Q$4:$Q$2000,'kokpit-1'!$M$4:$M$2000,H89)-SUMIFS('kokpit-1'!$P$4:$P$2000,'kokpit-1'!$M$4:$M$2000,H89)</f>
        <v>0</v>
      </c>
    </row>
    <row r="90" spans="1:21" x14ac:dyDescent="0.3">
      <c r="B90" s="227" t="s">
        <v>319</v>
      </c>
      <c r="C90" s="227"/>
      <c r="D90" s="89" t="s">
        <v>363</v>
      </c>
      <c r="E90" s="174" t="str">
        <f t="shared" si="6"/>
        <v/>
      </c>
      <c r="F90" s="174" t="str">
        <f t="shared" si="7"/>
        <v/>
      </c>
      <c r="H90" s="90" t="str">
        <f>A9&amp;B90</f>
        <v>I.a.7.4</v>
      </c>
      <c r="I90" s="138"/>
      <c r="M90" s="82">
        <f>SUMIFS(kokpit!$P$4:$P$2000,kokpit!$M$4:$M$2000,H90)</f>
        <v>0</v>
      </c>
      <c r="N90" s="82">
        <f>SUMIFS(kokpit!$Q$4:$Q$2000,kokpit!$M$4:$M$2000,H90)</f>
        <v>0</v>
      </c>
      <c r="O90" s="82">
        <f>SUMIFS(kokpit!$P$4:$P$2000,kokpit!$M$4:$M$2000,H90)-SUMIFS(kokpit!$Q$4:$Q$2000,kokpit!$M$4:$M$2000,H90)</f>
        <v>0</v>
      </c>
      <c r="P90" s="82">
        <f>SUMIFS(kokpit!$Q$4:$Q$2000,kokpit!$M$4:$M$2000,H90)-SUMIFS(kokpit!$P$4:$P$2000,kokpit!$M$4:$M$2000,H90)</f>
        <v>0</v>
      </c>
      <c r="R90" s="82">
        <f>SUMIFS('kokpit-1'!$P$4:$P$2000,'kokpit-1'!$M$4:$M$2000,H90)</f>
        <v>0</v>
      </c>
      <c r="S90" s="82">
        <f>SUMIFS('kokpit-1'!$Q$4:$Q$2000,'kokpit-1'!$M$4:$M$2000,H90)</f>
        <v>0</v>
      </c>
      <c r="T90" s="82">
        <f>SUMIFS('kokpit-1'!$P$4:$P$2000,'kokpit-1'!$M$4:$M$2000,H90)-SUMIFS('kokpit-1'!$Q$4:$Q$2000,'kokpit-1'!$M$4:$M$2000,H90)</f>
        <v>0</v>
      </c>
      <c r="U90" s="82">
        <f>SUMIFS('kokpit-1'!$Q$4:$Q$2000,'kokpit-1'!$M$4:$M$2000,H90)-SUMIFS('kokpit-1'!$P$4:$P$2000,'kokpit-1'!$M$4:$M$2000,H90)</f>
        <v>0</v>
      </c>
    </row>
    <row r="91" spans="1:21" x14ac:dyDescent="0.3">
      <c r="C91" s="81" t="s">
        <v>184</v>
      </c>
      <c r="D91" s="89" t="s">
        <v>298</v>
      </c>
      <c r="E91" s="174" t="str">
        <f t="shared" si="6"/>
        <v/>
      </c>
      <c r="F91" s="174" t="str">
        <f t="shared" si="7"/>
        <v/>
      </c>
      <c r="H91" s="90" t="str">
        <f>A9&amp;B90&amp;C91</f>
        <v>I.a.7.4a</v>
      </c>
      <c r="I91" s="138"/>
      <c r="M91" s="82">
        <f>SUMIFS(kokpit!$P$4:$P$2000,kokpit!$M$4:$M$2000,H91)</f>
        <v>0</v>
      </c>
      <c r="N91" s="82">
        <f>SUMIFS(kokpit!$Q$4:$Q$2000,kokpit!$M$4:$M$2000,H91)</f>
        <v>0</v>
      </c>
      <c r="O91" s="82">
        <f>SUMIFS(kokpit!$P$4:$P$2000,kokpit!$M$4:$M$2000,H91)-SUMIFS(kokpit!$Q$4:$Q$2000,kokpit!$M$4:$M$2000,H91)</f>
        <v>0</v>
      </c>
      <c r="P91" s="82">
        <f>SUMIFS(kokpit!$Q$4:$Q$2000,kokpit!$M$4:$M$2000,H91)-SUMIFS(kokpit!$P$4:$P$2000,kokpit!$M$4:$M$2000,H91)</f>
        <v>0</v>
      </c>
      <c r="R91" s="82">
        <f>SUMIFS('kokpit-1'!$P$4:$P$2000,'kokpit-1'!$M$4:$M$2000,H91)</f>
        <v>0</v>
      </c>
      <c r="S91" s="82">
        <f>SUMIFS('kokpit-1'!$Q$4:$Q$2000,'kokpit-1'!$M$4:$M$2000,H91)</f>
        <v>0</v>
      </c>
      <c r="T91" s="82">
        <f>SUMIFS('kokpit-1'!$P$4:$P$2000,'kokpit-1'!$M$4:$M$2000,H91)-SUMIFS('kokpit-1'!$Q$4:$Q$2000,'kokpit-1'!$M$4:$M$2000,H91)</f>
        <v>0</v>
      </c>
      <c r="U91" s="82">
        <f>SUMIFS('kokpit-1'!$Q$4:$Q$2000,'kokpit-1'!$M$4:$M$2000,H91)-SUMIFS('kokpit-1'!$P$4:$P$2000,'kokpit-1'!$M$4:$M$2000,H91)</f>
        <v>0</v>
      </c>
    </row>
    <row r="92" spans="1:21" x14ac:dyDescent="0.3">
      <c r="C92" s="81" t="s">
        <v>185</v>
      </c>
      <c r="D92" s="89" t="s">
        <v>297</v>
      </c>
      <c r="E92" s="174" t="str">
        <f t="shared" si="6"/>
        <v/>
      </c>
      <c r="F92" s="174" t="str">
        <f t="shared" si="7"/>
        <v/>
      </c>
      <c r="H92" s="90" t="str">
        <f>A9&amp;B90&amp;C92</f>
        <v>I.a.7.4b</v>
      </c>
      <c r="I92" s="138"/>
      <c r="M92" s="82">
        <f>SUMIFS(kokpit!$P$4:$P$2000,kokpit!$M$4:$M$2000,H92)</f>
        <v>0</v>
      </c>
      <c r="N92" s="82">
        <f>SUMIFS(kokpit!$Q$4:$Q$2000,kokpit!$M$4:$M$2000,H92)</f>
        <v>0</v>
      </c>
      <c r="O92" s="82">
        <f>SUMIFS(kokpit!$P$4:$P$2000,kokpit!$M$4:$M$2000,H92)-SUMIFS(kokpit!$Q$4:$Q$2000,kokpit!$M$4:$M$2000,H92)</f>
        <v>0</v>
      </c>
      <c r="P92" s="82">
        <f>SUMIFS(kokpit!$Q$4:$Q$2000,kokpit!$M$4:$M$2000,H92)-SUMIFS(kokpit!$P$4:$P$2000,kokpit!$M$4:$M$2000,H92)</f>
        <v>0</v>
      </c>
      <c r="R92" s="82">
        <f>SUMIFS('kokpit-1'!$P$4:$P$2000,'kokpit-1'!$M$4:$M$2000,H92)</f>
        <v>0</v>
      </c>
      <c r="S92" s="82">
        <f>SUMIFS('kokpit-1'!$Q$4:$Q$2000,'kokpit-1'!$M$4:$M$2000,H92)</f>
        <v>0</v>
      </c>
      <c r="T92" s="82">
        <f>SUMIFS('kokpit-1'!$P$4:$P$2000,'kokpit-1'!$M$4:$M$2000,H92)-SUMIFS('kokpit-1'!$Q$4:$Q$2000,'kokpit-1'!$M$4:$M$2000,H92)</f>
        <v>0</v>
      </c>
      <c r="U92" s="82">
        <f>SUMIFS('kokpit-1'!$Q$4:$Q$2000,'kokpit-1'!$M$4:$M$2000,H92)-SUMIFS('kokpit-1'!$P$4:$P$2000,'kokpit-1'!$M$4:$M$2000,H92)</f>
        <v>0</v>
      </c>
    </row>
    <row r="93" spans="1:21" ht="14.5" customHeight="1" x14ac:dyDescent="0.3">
      <c r="B93" s="227" t="s">
        <v>320</v>
      </c>
      <c r="C93" s="227"/>
      <c r="D93" s="89" t="s">
        <v>364</v>
      </c>
      <c r="E93" s="181">
        <f>SUM(E90:E92)</f>
        <v>0</v>
      </c>
      <c r="F93" s="181">
        <f>SUM(F90:F92)</f>
        <v>0</v>
      </c>
      <c r="H93" s="90" t="str">
        <f>A9&amp;B93</f>
        <v>I.a.7.5</v>
      </c>
      <c r="I93" s="138"/>
      <c r="M93" s="82">
        <f>SUMIFS(kokpit!$P$4:$P$2000,kokpit!$M$4:$M$2000,H93)</f>
        <v>0</v>
      </c>
      <c r="N93" s="82">
        <f>SUMIFS(kokpit!$Q$4:$Q$2000,kokpit!$M$4:$M$2000,H93)</f>
        <v>0</v>
      </c>
      <c r="O93" s="82">
        <f>SUMIFS(kokpit!$P$4:$P$2000,kokpit!$M$4:$M$2000,H93)-SUMIFS(kokpit!$Q$4:$Q$2000,kokpit!$M$4:$M$2000,H93)</f>
        <v>0</v>
      </c>
      <c r="P93" s="82">
        <f>SUMIFS(kokpit!$Q$4:$Q$2000,kokpit!$M$4:$M$2000,H93)-SUMIFS(kokpit!$P$4:$P$2000,kokpit!$M$4:$M$2000,H93)</f>
        <v>0</v>
      </c>
      <c r="R93" s="82">
        <f>SUMIFS('kokpit-1'!$P$4:$P$2000,'kokpit-1'!$M$4:$M$2000,H93)</f>
        <v>0</v>
      </c>
      <c r="S93" s="82">
        <f>SUMIFS('kokpit-1'!$Q$4:$Q$2000,'kokpit-1'!$M$4:$M$2000,H93)</f>
        <v>0</v>
      </c>
      <c r="T93" s="82">
        <f>SUMIFS('kokpit-1'!$P$4:$P$2000,'kokpit-1'!$M$4:$M$2000,H93)-SUMIFS('kokpit-1'!$Q$4:$Q$2000,'kokpit-1'!$M$4:$M$2000,H93)</f>
        <v>0</v>
      </c>
      <c r="U93" s="82">
        <f>SUMIFS('kokpit-1'!$Q$4:$Q$2000,'kokpit-1'!$M$4:$M$2000,H93)-SUMIFS('kokpit-1'!$P$4:$P$2000,'kokpit-1'!$M$4:$M$2000,H93)</f>
        <v>0</v>
      </c>
    </row>
    <row r="94" spans="1:21" x14ac:dyDescent="0.3">
      <c r="C94" s="93" t="s">
        <v>184</v>
      </c>
      <c r="D94" s="89" t="s">
        <v>365</v>
      </c>
      <c r="E94" s="181">
        <f>SUM(E95:E97)</f>
        <v>0</v>
      </c>
      <c r="F94" s="181">
        <f>SUM(F95:F97)</f>
        <v>0</v>
      </c>
      <c r="H94" s="90" t="str">
        <f>A9&amp;B93&amp;C94</f>
        <v>I.a.7.5a</v>
      </c>
      <c r="I94" s="138"/>
      <c r="M94" s="82">
        <f>SUMIFS(kokpit!$P$4:$P$2000,kokpit!$M$4:$M$2000,H94)</f>
        <v>0</v>
      </c>
      <c r="N94" s="82">
        <f>SUMIFS(kokpit!$Q$4:$Q$2000,kokpit!$M$4:$M$2000,H94)</f>
        <v>0</v>
      </c>
      <c r="O94" s="82">
        <f>SUMIFS(kokpit!$P$4:$P$2000,kokpit!$M$4:$M$2000,H94)-SUMIFS(kokpit!$Q$4:$Q$2000,kokpit!$M$4:$M$2000,H94)</f>
        <v>0</v>
      </c>
      <c r="P94" s="82">
        <f>SUMIFS(kokpit!$Q$4:$Q$2000,kokpit!$M$4:$M$2000,H94)-SUMIFS(kokpit!$P$4:$P$2000,kokpit!$M$4:$M$2000,H94)</f>
        <v>0</v>
      </c>
      <c r="R94" s="82">
        <f>SUMIFS('kokpit-1'!$P$4:$P$2000,'kokpit-1'!$M$4:$M$2000,H94)</f>
        <v>0</v>
      </c>
      <c r="S94" s="82">
        <f>SUMIFS('kokpit-1'!$Q$4:$Q$2000,'kokpit-1'!$M$4:$M$2000,H94)</f>
        <v>0</v>
      </c>
      <c r="T94" s="82">
        <f>SUMIFS('kokpit-1'!$P$4:$P$2000,'kokpit-1'!$M$4:$M$2000,H94)-SUMIFS('kokpit-1'!$Q$4:$Q$2000,'kokpit-1'!$M$4:$M$2000,H94)</f>
        <v>0</v>
      </c>
      <c r="U94" s="82">
        <f>SUMIFS('kokpit-1'!$Q$4:$Q$2000,'kokpit-1'!$M$4:$M$2000,H94)-SUMIFS('kokpit-1'!$P$4:$P$2000,'kokpit-1'!$M$4:$M$2000,H94)</f>
        <v>0</v>
      </c>
    </row>
    <row r="95" spans="1:21" s="97" customFormat="1" x14ac:dyDescent="0.3">
      <c r="A95" s="94"/>
      <c r="B95" s="81"/>
      <c r="C95" s="81" t="s">
        <v>88</v>
      </c>
      <c r="D95" s="96" t="s">
        <v>99</v>
      </c>
      <c r="E95" s="174" t="str">
        <f t="shared" si="6"/>
        <v/>
      </c>
      <c r="F95" s="174" t="str">
        <f t="shared" si="7"/>
        <v/>
      </c>
      <c r="H95" s="90" t="str">
        <f>A9&amp;B93&amp;C94&amp;C95</f>
        <v>I.a.7.5a1</v>
      </c>
      <c r="I95" s="138"/>
      <c r="M95" s="82">
        <f>SUMIFS(kokpit!$P$4:$P$2000,kokpit!$M$4:$M$2000,H95)</f>
        <v>0</v>
      </c>
      <c r="N95" s="82">
        <f>SUMIFS(kokpit!$Q$4:$Q$2000,kokpit!$M$4:$M$2000,H95)</f>
        <v>0</v>
      </c>
      <c r="O95" s="82">
        <f>SUMIFS(kokpit!$P$4:$P$2000,kokpit!$M$4:$M$2000,H95)-SUMIFS(kokpit!$Q$4:$Q$2000,kokpit!$M$4:$M$2000,H95)</f>
        <v>0</v>
      </c>
      <c r="P95" s="82">
        <f>SUMIFS(kokpit!$Q$4:$Q$2000,kokpit!$M$4:$M$2000,H95)-SUMIFS(kokpit!$P$4:$P$2000,kokpit!$M$4:$M$2000,H95)</f>
        <v>0</v>
      </c>
      <c r="R95" s="82">
        <f>SUMIFS('kokpit-1'!$P$4:$P$2000,'kokpit-1'!$M$4:$M$2000,H95)</f>
        <v>0</v>
      </c>
      <c r="S95" s="82">
        <f>SUMIFS('kokpit-1'!$Q$4:$Q$2000,'kokpit-1'!$M$4:$M$2000,H95)</f>
        <v>0</v>
      </c>
      <c r="T95" s="82">
        <f>SUMIFS('kokpit-1'!$P$4:$P$2000,'kokpit-1'!$M$4:$M$2000,H95)-SUMIFS('kokpit-1'!$Q$4:$Q$2000,'kokpit-1'!$M$4:$M$2000,H95)</f>
        <v>0</v>
      </c>
      <c r="U95" s="82">
        <f>SUMIFS('kokpit-1'!$Q$4:$Q$2000,'kokpit-1'!$M$4:$M$2000,H95)-SUMIFS('kokpit-1'!$P$4:$P$2000,'kokpit-1'!$M$4:$M$2000,H95)</f>
        <v>0</v>
      </c>
    </row>
    <row r="96" spans="1:21" s="97" customFormat="1" x14ac:dyDescent="0.3">
      <c r="A96" s="94"/>
      <c r="B96" s="81"/>
      <c r="C96" s="81" t="s">
        <v>89</v>
      </c>
      <c r="D96" s="96" t="s">
        <v>99</v>
      </c>
      <c r="E96" s="174" t="str">
        <f t="shared" si="6"/>
        <v/>
      </c>
      <c r="F96" s="174" t="str">
        <f t="shared" si="7"/>
        <v/>
      </c>
      <c r="H96" s="90" t="str">
        <f>A9&amp;B93&amp;C94&amp;C96</f>
        <v>I.a.7.5a2</v>
      </c>
      <c r="I96" s="138"/>
      <c r="M96" s="82">
        <f>SUMIFS(kokpit!$P$4:$P$2000,kokpit!$M$4:$M$2000,H96)</f>
        <v>0</v>
      </c>
      <c r="N96" s="82">
        <f>SUMIFS(kokpit!$Q$4:$Q$2000,kokpit!$M$4:$M$2000,H96)</f>
        <v>0</v>
      </c>
      <c r="O96" s="82">
        <f>SUMIFS(kokpit!$P$4:$P$2000,kokpit!$M$4:$M$2000,H96)-SUMIFS(kokpit!$Q$4:$Q$2000,kokpit!$M$4:$M$2000,H96)</f>
        <v>0</v>
      </c>
      <c r="P96" s="82">
        <f>SUMIFS(kokpit!$Q$4:$Q$2000,kokpit!$M$4:$M$2000,H96)-SUMIFS(kokpit!$P$4:$P$2000,kokpit!$M$4:$M$2000,H96)</f>
        <v>0</v>
      </c>
      <c r="R96" s="82">
        <f>SUMIFS('kokpit-1'!$P$4:$P$2000,'kokpit-1'!$M$4:$M$2000,H96)</f>
        <v>0</v>
      </c>
      <c r="S96" s="82">
        <f>SUMIFS('kokpit-1'!$Q$4:$Q$2000,'kokpit-1'!$M$4:$M$2000,H96)</f>
        <v>0</v>
      </c>
      <c r="T96" s="82">
        <f>SUMIFS('kokpit-1'!$P$4:$P$2000,'kokpit-1'!$M$4:$M$2000,H96)-SUMIFS('kokpit-1'!$Q$4:$Q$2000,'kokpit-1'!$M$4:$M$2000,H96)</f>
        <v>0</v>
      </c>
      <c r="U96" s="82">
        <f>SUMIFS('kokpit-1'!$Q$4:$Q$2000,'kokpit-1'!$M$4:$M$2000,H96)-SUMIFS('kokpit-1'!$P$4:$P$2000,'kokpit-1'!$M$4:$M$2000,H96)</f>
        <v>0</v>
      </c>
    </row>
    <row r="97" spans="1:21" s="97" customFormat="1" x14ac:dyDescent="0.3">
      <c r="A97" s="94"/>
      <c r="B97" s="81"/>
      <c r="C97" s="81" t="s">
        <v>93</v>
      </c>
      <c r="D97" s="96" t="s">
        <v>99</v>
      </c>
      <c r="E97" s="174" t="str">
        <f t="shared" si="6"/>
        <v/>
      </c>
      <c r="F97" s="174" t="str">
        <f t="shared" si="7"/>
        <v/>
      </c>
      <c r="H97" s="98" t="str">
        <f>A9&amp;B93&amp;C94&amp;C97</f>
        <v>I.a.7.5a3</v>
      </c>
      <c r="I97" s="138"/>
      <c r="M97" s="82">
        <f>SUMIFS(kokpit!$P$4:$P$2000,kokpit!$M$4:$M$2000,H97)</f>
        <v>0</v>
      </c>
      <c r="N97" s="82">
        <f>SUMIFS(kokpit!$Q$4:$Q$2000,kokpit!$M$4:$M$2000,H97)</f>
        <v>0</v>
      </c>
      <c r="O97" s="82">
        <f>SUMIFS(kokpit!$P$4:$P$2000,kokpit!$M$4:$M$2000,H97)-SUMIFS(kokpit!$Q$4:$Q$2000,kokpit!$M$4:$M$2000,H97)</f>
        <v>0</v>
      </c>
      <c r="P97" s="82">
        <f>SUMIFS(kokpit!$Q$4:$Q$2000,kokpit!$M$4:$M$2000,H97)-SUMIFS(kokpit!$P$4:$P$2000,kokpit!$M$4:$M$2000,H97)</f>
        <v>0</v>
      </c>
      <c r="R97" s="82">
        <f>SUMIFS('kokpit-1'!$P$4:$P$2000,'kokpit-1'!$M$4:$M$2000,H97)</f>
        <v>0</v>
      </c>
      <c r="S97" s="82">
        <f>SUMIFS('kokpit-1'!$Q$4:$Q$2000,'kokpit-1'!$M$4:$M$2000,H97)</f>
        <v>0</v>
      </c>
      <c r="T97" s="82">
        <f>SUMIFS('kokpit-1'!$P$4:$P$2000,'kokpit-1'!$M$4:$M$2000,H97)-SUMIFS('kokpit-1'!$Q$4:$Q$2000,'kokpit-1'!$M$4:$M$2000,H97)</f>
        <v>0</v>
      </c>
      <c r="U97" s="82">
        <f>SUMIFS('kokpit-1'!$Q$4:$Q$2000,'kokpit-1'!$M$4:$M$2000,H97)-SUMIFS('kokpit-1'!$P$4:$P$2000,'kokpit-1'!$M$4:$M$2000,H97)</f>
        <v>0</v>
      </c>
    </row>
    <row r="98" spans="1:21" x14ac:dyDescent="0.3">
      <c r="C98" s="93" t="s">
        <v>185</v>
      </c>
      <c r="D98" s="89" t="s">
        <v>366</v>
      </c>
      <c r="E98" s="181">
        <f>SUM(E99:E101)</f>
        <v>0</v>
      </c>
      <c r="F98" s="181">
        <f>SUM(F99:F101)</f>
        <v>0</v>
      </c>
      <c r="H98" s="98" t="str">
        <f>A9&amp;B93&amp;C98</f>
        <v>I.a.7.5b</v>
      </c>
      <c r="I98" s="138"/>
      <c r="M98" s="82">
        <f>SUMIFS(kokpit!$P$4:$P$2000,kokpit!$M$4:$M$2000,H98)</f>
        <v>0</v>
      </c>
      <c r="N98" s="82">
        <f>SUMIFS(kokpit!$Q$4:$Q$2000,kokpit!$M$4:$M$2000,H98)</f>
        <v>0</v>
      </c>
      <c r="O98" s="82">
        <f>SUMIFS(kokpit!$P$4:$P$2000,kokpit!$M$4:$M$2000,H98)-SUMIFS(kokpit!$Q$4:$Q$2000,kokpit!$M$4:$M$2000,H98)</f>
        <v>0</v>
      </c>
      <c r="P98" s="82">
        <f>SUMIFS(kokpit!$Q$4:$Q$2000,kokpit!$M$4:$M$2000,H98)-SUMIFS(kokpit!$P$4:$P$2000,kokpit!$M$4:$M$2000,H98)</f>
        <v>0</v>
      </c>
      <c r="R98" s="82">
        <f>SUMIFS('kokpit-1'!$P$4:$P$2000,'kokpit-1'!$M$4:$M$2000,H98)</f>
        <v>0</v>
      </c>
      <c r="S98" s="82">
        <f>SUMIFS('kokpit-1'!$Q$4:$Q$2000,'kokpit-1'!$M$4:$M$2000,H98)</f>
        <v>0</v>
      </c>
      <c r="T98" s="82">
        <f>SUMIFS('kokpit-1'!$P$4:$P$2000,'kokpit-1'!$M$4:$M$2000,H98)-SUMIFS('kokpit-1'!$Q$4:$Q$2000,'kokpit-1'!$M$4:$M$2000,H98)</f>
        <v>0</v>
      </c>
      <c r="U98" s="82">
        <f>SUMIFS('kokpit-1'!$Q$4:$Q$2000,'kokpit-1'!$M$4:$M$2000,H98)-SUMIFS('kokpit-1'!$P$4:$P$2000,'kokpit-1'!$M$4:$M$2000,H98)</f>
        <v>0</v>
      </c>
    </row>
    <row r="99" spans="1:21" s="97" customFormat="1" x14ac:dyDescent="0.3">
      <c r="A99" s="94"/>
      <c r="B99" s="81"/>
      <c r="C99" s="81" t="s">
        <v>88</v>
      </c>
      <c r="D99" s="96" t="s">
        <v>99</v>
      </c>
      <c r="E99" s="174" t="str">
        <f t="shared" si="6"/>
        <v/>
      </c>
      <c r="F99" s="174" t="str">
        <f t="shared" si="7"/>
        <v/>
      </c>
      <c r="H99" s="90" t="str">
        <f>A9&amp;B93&amp;C98&amp;C99</f>
        <v>I.a.7.5b1</v>
      </c>
      <c r="I99" s="138"/>
      <c r="M99" s="82">
        <f>SUMIFS(kokpit!$P$4:$P$2000,kokpit!$M$4:$M$2000,H99)</f>
        <v>0</v>
      </c>
      <c r="N99" s="82">
        <f>SUMIFS(kokpit!$Q$4:$Q$2000,kokpit!$M$4:$M$2000,H99)</f>
        <v>0</v>
      </c>
      <c r="O99" s="82">
        <f>SUMIFS(kokpit!$P$4:$P$2000,kokpit!$M$4:$M$2000,H99)-SUMIFS(kokpit!$Q$4:$Q$2000,kokpit!$M$4:$M$2000,H99)</f>
        <v>0</v>
      </c>
      <c r="P99" s="82">
        <f>SUMIFS(kokpit!$Q$4:$Q$2000,kokpit!$M$4:$M$2000,H99)-SUMIFS(kokpit!$P$4:$P$2000,kokpit!$M$4:$M$2000,H99)</f>
        <v>0</v>
      </c>
      <c r="R99" s="82">
        <f>SUMIFS('kokpit-1'!$P$4:$P$2000,'kokpit-1'!$M$4:$M$2000,H99)</f>
        <v>0</v>
      </c>
      <c r="S99" s="82">
        <f>SUMIFS('kokpit-1'!$Q$4:$Q$2000,'kokpit-1'!$M$4:$M$2000,H99)</f>
        <v>0</v>
      </c>
      <c r="T99" s="82">
        <f>SUMIFS('kokpit-1'!$P$4:$P$2000,'kokpit-1'!$M$4:$M$2000,H99)-SUMIFS('kokpit-1'!$Q$4:$Q$2000,'kokpit-1'!$M$4:$M$2000,H99)</f>
        <v>0</v>
      </c>
      <c r="U99" s="82">
        <f>SUMIFS('kokpit-1'!$Q$4:$Q$2000,'kokpit-1'!$M$4:$M$2000,H99)-SUMIFS('kokpit-1'!$P$4:$P$2000,'kokpit-1'!$M$4:$M$2000,H99)</f>
        <v>0</v>
      </c>
    </row>
    <row r="100" spans="1:21" s="97" customFormat="1" x14ac:dyDescent="0.3">
      <c r="A100" s="94"/>
      <c r="B100" s="81"/>
      <c r="C100" s="81" t="s">
        <v>89</v>
      </c>
      <c r="D100" s="96" t="s">
        <v>99</v>
      </c>
      <c r="E100" s="174" t="str">
        <f t="shared" si="6"/>
        <v/>
      </c>
      <c r="F100" s="174" t="str">
        <f t="shared" si="7"/>
        <v/>
      </c>
      <c r="H100" s="90" t="str">
        <f>A9&amp;B93&amp;C98&amp;C100</f>
        <v>I.a.7.5b2</v>
      </c>
      <c r="I100" s="138"/>
      <c r="M100" s="82">
        <f>SUMIFS(kokpit!$P$4:$P$2000,kokpit!$M$4:$M$2000,H100)</f>
        <v>0</v>
      </c>
      <c r="N100" s="82">
        <f>SUMIFS(kokpit!$Q$4:$Q$2000,kokpit!$M$4:$M$2000,H100)</f>
        <v>0</v>
      </c>
      <c r="O100" s="82">
        <f>SUMIFS(kokpit!$P$4:$P$2000,kokpit!$M$4:$M$2000,H100)-SUMIFS(kokpit!$Q$4:$Q$2000,kokpit!$M$4:$M$2000,H100)</f>
        <v>0</v>
      </c>
      <c r="P100" s="82">
        <f>SUMIFS(kokpit!$Q$4:$Q$2000,kokpit!$M$4:$M$2000,H100)-SUMIFS(kokpit!$P$4:$P$2000,kokpit!$M$4:$M$2000,H100)</f>
        <v>0</v>
      </c>
      <c r="R100" s="82">
        <f>SUMIFS('kokpit-1'!$P$4:$P$2000,'kokpit-1'!$M$4:$M$2000,H100)</f>
        <v>0</v>
      </c>
      <c r="S100" s="82">
        <f>SUMIFS('kokpit-1'!$Q$4:$Q$2000,'kokpit-1'!$M$4:$M$2000,H100)</f>
        <v>0</v>
      </c>
      <c r="T100" s="82">
        <f>SUMIFS('kokpit-1'!$P$4:$P$2000,'kokpit-1'!$M$4:$M$2000,H100)-SUMIFS('kokpit-1'!$Q$4:$Q$2000,'kokpit-1'!$M$4:$M$2000,H100)</f>
        <v>0</v>
      </c>
      <c r="U100" s="82">
        <f>SUMIFS('kokpit-1'!$Q$4:$Q$2000,'kokpit-1'!$M$4:$M$2000,H100)-SUMIFS('kokpit-1'!$P$4:$P$2000,'kokpit-1'!$M$4:$M$2000,H100)</f>
        <v>0</v>
      </c>
    </row>
    <row r="101" spans="1:21" s="97" customFormat="1" x14ac:dyDescent="0.3">
      <c r="A101" s="94"/>
      <c r="B101" s="81"/>
      <c r="C101" s="81" t="s">
        <v>93</v>
      </c>
      <c r="D101" s="96" t="s">
        <v>99</v>
      </c>
      <c r="E101" s="174" t="str">
        <f t="shared" si="6"/>
        <v/>
      </c>
      <c r="F101" s="174" t="str">
        <f t="shared" si="7"/>
        <v/>
      </c>
      <c r="H101" s="98" t="str">
        <f>A9&amp;B93&amp;C98&amp;C101</f>
        <v>I.a.7.5b3</v>
      </c>
      <c r="I101" s="138"/>
      <c r="M101" s="82">
        <f>SUMIFS(kokpit!$P$4:$P$2000,kokpit!$M$4:$M$2000,H101)</f>
        <v>0</v>
      </c>
      <c r="N101" s="82">
        <f>SUMIFS(kokpit!$Q$4:$Q$2000,kokpit!$M$4:$M$2000,H101)</f>
        <v>0</v>
      </c>
      <c r="O101" s="82">
        <f>SUMIFS(kokpit!$P$4:$P$2000,kokpit!$M$4:$M$2000,H101)-SUMIFS(kokpit!$Q$4:$Q$2000,kokpit!$M$4:$M$2000,H101)</f>
        <v>0</v>
      </c>
      <c r="P101" s="82">
        <f>SUMIFS(kokpit!$Q$4:$Q$2000,kokpit!$M$4:$M$2000,H101)-SUMIFS(kokpit!$P$4:$P$2000,kokpit!$M$4:$M$2000,H101)</f>
        <v>0</v>
      </c>
      <c r="R101" s="82">
        <f>SUMIFS('kokpit-1'!$P$4:$P$2000,'kokpit-1'!$M$4:$M$2000,H101)</f>
        <v>0</v>
      </c>
      <c r="S101" s="82">
        <f>SUMIFS('kokpit-1'!$Q$4:$Q$2000,'kokpit-1'!$M$4:$M$2000,H101)</f>
        <v>0</v>
      </c>
      <c r="T101" s="82">
        <f>SUMIFS('kokpit-1'!$P$4:$P$2000,'kokpit-1'!$M$4:$M$2000,H101)-SUMIFS('kokpit-1'!$Q$4:$Q$2000,'kokpit-1'!$M$4:$M$2000,H101)</f>
        <v>0</v>
      </c>
      <c r="U101" s="82">
        <f>SUMIFS('kokpit-1'!$Q$4:$Q$2000,'kokpit-1'!$M$4:$M$2000,H101)-SUMIFS('kokpit-1'!$P$4:$P$2000,'kokpit-1'!$M$4:$M$2000,H101)</f>
        <v>0</v>
      </c>
    </row>
    <row r="102" spans="1:21" x14ac:dyDescent="0.3">
      <c r="B102" s="227" t="s">
        <v>321</v>
      </c>
      <c r="C102" s="227"/>
      <c r="D102" s="89" t="s">
        <v>367</v>
      </c>
      <c r="E102" s="174" t="str">
        <f t="shared" si="6"/>
        <v/>
      </c>
      <c r="F102" s="174" t="str">
        <f t="shared" si="7"/>
        <v/>
      </c>
      <c r="H102" s="98" t="str">
        <f>A9&amp;B102</f>
        <v>I.a.7.6</v>
      </c>
      <c r="I102" s="138"/>
      <c r="M102" s="82">
        <f>SUMIFS(kokpit!$P$4:$P$2000,kokpit!$M$4:$M$2000,H102)</f>
        <v>0</v>
      </c>
      <c r="N102" s="82">
        <f>SUMIFS(kokpit!$Q$4:$Q$2000,kokpit!$M$4:$M$2000,H102)</f>
        <v>0</v>
      </c>
      <c r="O102" s="82">
        <f>SUMIFS(kokpit!$P$4:$P$2000,kokpit!$M$4:$M$2000,H102)-SUMIFS(kokpit!$Q$4:$Q$2000,kokpit!$M$4:$M$2000,H102)</f>
        <v>0</v>
      </c>
      <c r="P102" s="82">
        <f>SUMIFS(kokpit!$Q$4:$Q$2000,kokpit!$M$4:$M$2000,H102)-SUMIFS(kokpit!$P$4:$P$2000,kokpit!$M$4:$M$2000,H102)</f>
        <v>0</v>
      </c>
      <c r="R102" s="82">
        <f>SUMIFS('kokpit-1'!$P$4:$P$2000,'kokpit-1'!$M$4:$M$2000,H102)</f>
        <v>0</v>
      </c>
      <c r="S102" s="82">
        <f>SUMIFS('kokpit-1'!$Q$4:$Q$2000,'kokpit-1'!$M$4:$M$2000,H102)</f>
        <v>0</v>
      </c>
      <c r="T102" s="82">
        <f>SUMIFS('kokpit-1'!$P$4:$P$2000,'kokpit-1'!$M$4:$M$2000,H102)-SUMIFS('kokpit-1'!$Q$4:$Q$2000,'kokpit-1'!$M$4:$M$2000,H102)</f>
        <v>0</v>
      </c>
      <c r="U102" s="82">
        <f>SUMIFS('kokpit-1'!$Q$4:$Q$2000,'kokpit-1'!$M$4:$M$2000,H102)-SUMIFS('kokpit-1'!$P$4:$P$2000,'kokpit-1'!$M$4:$M$2000,H102)</f>
        <v>0</v>
      </c>
    </row>
    <row r="103" spans="1:21" x14ac:dyDescent="0.3">
      <c r="B103" s="227" t="s">
        <v>322</v>
      </c>
      <c r="C103" s="227"/>
      <c r="D103" s="105" t="s">
        <v>368</v>
      </c>
      <c r="E103" s="174" t="str">
        <f t="shared" si="6"/>
        <v/>
      </c>
      <c r="F103" s="174" t="str">
        <f t="shared" si="7"/>
        <v/>
      </c>
      <c r="H103" s="90" t="str">
        <f>A9&amp;B103</f>
        <v>I.a.7.7</v>
      </c>
      <c r="I103" s="138"/>
      <c r="M103" s="82">
        <f>SUMIFS(kokpit!$P$4:$P$2000,kokpit!$M$4:$M$2000,H103)</f>
        <v>0</v>
      </c>
      <c r="N103" s="82">
        <f>SUMIFS(kokpit!$Q$4:$Q$2000,kokpit!$M$4:$M$2000,H103)</f>
        <v>0</v>
      </c>
      <c r="O103" s="82">
        <f>SUMIFS(kokpit!$P$4:$P$2000,kokpit!$M$4:$M$2000,H103)-SUMIFS(kokpit!$Q$4:$Q$2000,kokpit!$M$4:$M$2000,H103)</f>
        <v>0</v>
      </c>
      <c r="P103" s="82">
        <f>SUMIFS(kokpit!$Q$4:$Q$2000,kokpit!$M$4:$M$2000,H103)-SUMIFS(kokpit!$P$4:$P$2000,kokpit!$M$4:$M$2000,H103)</f>
        <v>0</v>
      </c>
      <c r="R103" s="82">
        <f>SUMIFS('kokpit-1'!$P$4:$P$2000,'kokpit-1'!$M$4:$M$2000,H103)</f>
        <v>0</v>
      </c>
      <c r="S103" s="82">
        <f>SUMIFS('kokpit-1'!$Q$4:$Q$2000,'kokpit-1'!$M$4:$M$2000,H103)</f>
        <v>0</v>
      </c>
      <c r="T103" s="82">
        <f>SUMIFS('kokpit-1'!$P$4:$P$2000,'kokpit-1'!$M$4:$M$2000,H103)-SUMIFS('kokpit-1'!$Q$4:$Q$2000,'kokpit-1'!$M$4:$M$2000,H103)</f>
        <v>0</v>
      </c>
      <c r="U103" s="82">
        <f>SUMIFS('kokpit-1'!$Q$4:$Q$2000,'kokpit-1'!$M$4:$M$2000,H103)-SUMIFS('kokpit-1'!$P$4:$P$2000,'kokpit-1'!$M$4:$M$2000,H103)</f>
        <v>0</v>
      </c>
    </row>
    <row r="104" spans="1:21" x14ac:dyDescent="0.3">
      <c r="B104" s="224" t="s">
        <v>94</v>
      </c>
      <c r="C104" s="224"/>
      <c r="D104" s="91" t="s">
        <v>299</v>
      </c>
      <c r="E104" s="176" t="str">
        <f t="shared" si="6"/>
        <v/>
      </c>
      <c r="F104" s="176" t="str">
        <f t="shared" si="7"/>
        <v/>
      </c>
      <c r="H104" s="92" t="str">
        <f>A9&amp;B104</f>
        <v>I.a.8</v>
      </c>
      <c r="I104" s="138"/>
      <c r="M104" s="82">
        <f>SUMIFS(kokpit!$P$4:$P$2000,kokpit!$M$4:$M$2000,H104)</f>
        <v>0</v>
      </c>
      <c r="N104" s="82">
        <f>SUMIFS(kokpit!$Q$4:$Q$2000,kokpit!$M$4:$M$2000,H104)</f>
        <v>0</v>
      </c>
      <c r="O104" s="82">
        <f>SUMIFS(kokpit!$P$4:$P$2000,kokpit!$M$4:$M$2000,H104)-SUMIFS(kokpit!$Q$4:$Q$2000,kokpit!$M$4:$M$2000,H104)</f>
        <v>0</v>
      </c>
      <c r="P104" s="82">
        <f>SUMIFS(kokpit!$Q$4:$Q$2000,kokpit!$M$4:$M$2000,H104)-SUMIFS(kokpit!$P$4:$P$2000,kokpit!$M$4:$M$2000,H104)</f>
        <v>0</v>
      </c>
      <c r="R104" s="82">
        <f>SUMIFS('kokpit-1'!$P$4:$P$2000,'kokpit-1'!$M$4:$M$2000,H104)</f>
        <v>0</v>
      </c>
      <c r="S104" s="82">
        <f>SUMIFS('kokpit-1'!$Q$4:$Q$2000,'kokpit-1'!$M$4:$M$2000,H104)</f>
        <v>0</v>
      </c>
      <c r="T104" s="82">
        <f>SUMIFS('kokpit-1'!$P$4:$P$2000,'kokpit-1'!$M$4:$M$2000,H104)-SUMIFS('kokpit-1'!$Q$4:$Q$2000,'kokpit-1'!$M$4:$M$2000,H104)</f>
        <v>0</v>
      </c>
      <c r="U104" s="82">
        <f>SUMIFS('kokpit-1'!$Q$4:$Q$2000,'kokpit-1'!$M$4:$M$2000,H104)-SUMIFS('kokpit-1'!$P$4:$P$2000,'kokpit-1'!$M$4:$M$2000,H104)</f>
        <v>0</v>
      </c>
    </row>
    <row r="105" spans="1:21" x14ac:dyDescent="0.3">
      <c r="C105" s="93" t="s">
        <v>184</v>
      </c>
      <c r="D105" s="89" t="s">
        <v>369</v>
      </c>
      <c r="E105" s="174">
        <f>IF(RZiS!C54&gt;0,RZiS!C54,0)</f>
        <v>78592.51999999996</v>
      </c>
      <c r="F105" s="174">
        <f>IF(RZiS!D54&gt;0,RZiS!D54,0)</f>
        <v>26248.960000000003</v>
      </c>
      <c r="H105" s="90" t="str">
        <f>A9&amp;B104&amp;C105</f>
        <v>I.a.8a</v>
      </c>
      <c r="I105" s="138"/>
      <c r="M105" s="82">
        <f>SUMIFS(kokpit!$P$4:$P$2000,kokpit!$M$4:$M$2000,H105)</f>
        <v>0</v>
      </c>
      <c r="N105" s="82">
        <f>SUMIFS(kokpit!$Q$4:$Q$2000,kokpit!$M$4:$M$2000,H105)</f>
        <v>0</v>
      </c>
      <c r="O105" s="82">
        <f>SUMIFS(kokpit!$P$4:$P$2000,kokpit!$M$4:$M$2000,H105)-SUMIFS(kokpit!$Q$4:$Q$2000,kokpit!$M$4:$M$2000,H105)</f>
        <v>0</v>
      </c>
      <c r="P105" s="82">
        <f>SUMIFS(kokpit!$Q$4:$Q$2000,kokpit!$M$4:$M$2000,H105)-SUMIFS(kokpit!$P$4:$P$2000,kokpit!$M$4:$M$2000,H105)</f>
        <v>0</v>
      </c>
      <c r="R105" s="82">
        <f>SUMIFS('kokpit-1'!$P$4:$P$2000,'kokpit-1'!$M$4:$M$2000,H105)</f>
        <v>0</v>
      </c>
      <c r="S105" s="82">
        <f>SUMIFS('kokpit-1'!$Q$4:$Q$2000,'kokpit-1'!$M$4:$M$2000,H105)</f>
        <v>0</v>
      </c>
      <c r="T105" s="82">
        <f>SUMIFS('kokpit-1'!$P$4:$P$2000,'kokpit-1'!$M$4:$M$2000,H105)-SUMIFS('kokpit-1'!$Q$4:$Q$2000,'kokpit-1'!$M$4:$M$2000,H105)</f>
        <v>0</v>
      </c>
      <c r="U105" s="82">
        <f>SUMIFS('kokpit-1'!$Q$4:$Q$2000,'kokpit-1'!$M$4:$M$2000,H105)-SUMIFS('kokpit-1'!$P$4:$P$2000,'kokpit-1'!$M$4:$M$2000,H105)</f>
        <v>0</v>
      </c>
    </row>
    <row r="106" spans="1:21" x14ac:dyDescent="0.3">
      <c r="C106" s="93" t="s">
        <v>185</v>
      </c>
      <c r="D106" s="89" t="s">
        <v>370</v>
      </c>
      <c r="E106" s="174">
        <f>IF(RZiS!C54&lt;0,RZiS!C54,0)</f>
        <v>0</v>
      </c>
      <c r="F106" s="174">
        <f>IF(RZiS!D54&lt;0,RZiS!D54,0)</f>
        <v>0</v>
      </c>
      <c r="H106" s="90" t="str">
        <f>A9&amp;B104&amp;C106</f>
        <v>I.a.8b</v>
      </c>
      <c r="I106" s="138"/>
      <c r="M106" s="82">
        <f>SUMIFS(kokpit!$P$4:$P$2000,kokpit!$M$4:$M$2000,H106)</f>
        <v>0</v>
      </c>
      <c r="N106" s="82">
        <f>SUMIFS(kokpit!$Q$4:$Q$2000,kokpit!$M$4:$M$2000,H106)</f>
        <v>0</v>
      </c>
      <c r="O106" s="82">
        <f>SUMIFS(kokpit!$P$4:$P$2000,kokpit!$M$4:$M$2000,H106)-SUMIFS(kokpit!$Q$4:$Q$2000,kokpit!$M$4:$M$2000,H106)</f>
        <v>0</v>
      </c>
      <c r="P106" s="82">
        <f>SUMIFS(kokpit!$Q$4:$Q$2000,kokpit!$M$4:$M$2000,H106)-SUMIFS(kokpit!$P$4:$P$2000,kokpit!$M$4:$M$2000,H106)</f>
        <v>0</v>
      </c>
      <c r="R106" s="82">
        <f>SUMIFS('kokpit-1'!$P$4:$P$2000,'kokpit-1'!$M$4:$M$2000,H106)</f>
        <v>0</v>
      </c>
      <c r="S106" s="82">
        <f>SUMIFS('kokpit-1'!$Q$4:$Q$2000,'kokpit-1'!$M$4:$M$2000,H106)</f>
        <v>0</v>
      </c>
      <c r="T106" s="82">
        <f>SUMIFS('kokpit-1'!$P$4:$P$2000,'kokpit-1'!$M$4:$M$2000,H106)-SUMIFS('kokpit-1'!$Q$4:$Q$2000,'kokpit-1'!$M$4:$M$2000,H106)</f>
        <v>0</v>
      </c>
      <c r="U106" s="82">
        <f>SUMIFS('kokpit-1'!$Q$4:$Q$2000,'kokpit-1'!$M$4:$M$2000,H106)-SUMIFS('kokpit-1'!$P$4:$P$2000,'kokpit-1'!$M$4:$M$2000,H106)</f>
        <v>0</v>
      </c>
    </row>
    <row r="107" spans="1:21" x14ac:dyDescent="0.3">
      <c r="C107" s="93" t="s">
        <v>186</v>
      </c>
      <c r="D107" s="89" t="s">
        <v>371</v>
      </c>
      <c r="E107" s="174" t="str">
        <f t="shared" ref="E107:E109" si="8">IFERROR(IF(F68="ZŁ",IF(I107="Wn",M107,IF(I107="Ma",N107,IF(I107="Wn-Ma",O107,IF(I107="Ma-Wn",P107,"")))),(IF(I107="Wn",M107,IF(I107="Ma",N107,IF(I107="Wn-Ma",O107,IF(I107="Ma-Wn",P107,"")))))/1000),"")</f>
        <v/>
      </c>
      <c r="F107" s="174" t="str">
        <f t="shared" si="7"/>
        <v/>
      </c>
      <c r="H107" s="90" t="str">
        <f>A9&amp;B104&amp;C107</f>
        <v>I.a.8c</v>
      </c>
      <c r="I107" s="138"/>
      <c r="M107" s="82">
        <f>SUMIFS(kokpit!$P$4:$P$2000,kokpit!$M$4:$M$2000,H107)</f>
        <v>0</v>
      </c>
      <c r="N107" s="82">
        <f>SUMIFS(kokpit!$Q$4:$Q$2000,kokpit!$M$4:$M$2000,H107)</f>
        <v>0</v>
      </c>
      <c r="O107" s="82">
        <f>SUMIFS(kokpit!$P$4:$P$2000,kokpit!$M$4:$M$2000,H107)-SUMIFS(kokpit!$Q$4:$Q$2000,kokpit!$M$4:$M$2000,H107)</f>
        <v>0</v>
      </c>
      <c r="P107" s="82">
        <f>SUMIFS(kokpit!$Q$4:$Q$2000,kokpit!$M$4:$M$2000,H107)-SUMIFS(kokpit!$P$4:$P$2000,kokpit!$M$4:$M$2000,H107)</f>
        <v>0</v>
      </c>
      <c r="R107" s="82">
        <f>SUMIFS('kokpit-1'!$P$4:$P$2000,'kokpit-1'!$M$4:$M$2000,H107)</f>
        <v>0</v>
      </c>
      <c r="S107" s="82">
        <f>SUMIFS('kokpit-1'!$Q$4:$Q$2000,'kokpit-1'!$M$4:$M$2000,H107)</f>
        <v>0</v>
      </c>
      <c r="T107" s="82">
        <f>SUMIFS('kokpit-1'!$P$4:$P$2000,'kokpit-1'!$M$4:$M$2000,H107)-SUMIFS('kokpit-1'!$Q$4:$Q$2000,'kokpit-1'!$M$4:$M$2000,H107)</f>
        <v>0</v>
      </c>
      <c r="U107" s="82">
        <f>SUMIFS('kokpit-1'!$Q$4:$Q$2000,'kokpit-1'!$M$4:$M$2000,H107)-SUMIFS('kokpit-1'!$P$4:$P$2000,'kokpit-1'!$M$4:$M$2000,H107)</f>
        <v>0</v>
      </c>
    </row>
    <row r="108" spans="1:21" x14ac:dyDescent="0.3">
      <c r="A108" s="223" t="s">
        <v>165</v>
      </c>
      <c r="B108" s="223"/>
      <c r="C108" s="223"/>
      <c r="D108" s="87" t="s">
        <v>300</v>
      </c>
      <c r="E108" s="175" t="str">
        <f t="shared" si="8"/>
        <v/>
      </c>
      <c r="F108" s="175" t="str">
        <f t="shared" si="7"/>
        <v/>
      </c>
      <c r="H108" s="88" t="str">
        <f>A108</f>
        <v>II</v>
      </c>
      <c r="I108" s="138"/>
      <c r="M108" s="82">
        <f>SUMIFS(kokpit!$P$4:$P$2000,kokpit!$M$4:$M$2000,H108)</f>
        <v>0</v>
      </c>
      <c r="N108" s="82">
        <f>SUMIFS(kokpit!$Q$4:$Q$2000,kokpit!$M$4:$M$2000,H108)</f>
        <v>0</v>
      </c>
      <c r="O108" s="82">
        <f>SUMIFS(kokpit!$P$4:$P$2000,kokpit!$M$4:$M$2000,H108)-SUMIFS(kokpit!$Q$4:$Q$2000,kokpit!$M$4:$M$2000,H108)</f>
        <v>0</v>
      </c>
      <c r="P108" s="82">
        <f>SUMIFS(kokpit!$Q$4:$Q$2000,kokpit!$M$4:$M$2000,H108)-SUMIFS(kokpit!$P$4:$P$2000,kokpit!$M$4:$M$2000,H108)</f>
        <v>0</v>
      </c>
      <c r="R108" s="82">
        <f>SUMIFS('kokpit-1'!$P$4:$P$2000,'kokpit-1'!$M$4:$M$2000,H108)</f>
        <v>0</v>
      </c>
      <c r="S108" s="82">
        <f>SUMIFS('kokpit-1'!$Q$4:$Q$2000,'kokpit-1'!$M$4:$M$2000,H108)</f>
        <v>0</v>
      </c>
      <c r="T108" s="82">
        <f>SUMIFS('kokpit-1'!$P$4:$P$2000,'kokpit-1'!$M$4:$M$2000,H108)-SUMIFS('kokpit-1'!$Q$4:$Q$2000,'kokpit-1'!$M$4:$M$2000,H108)</f>
        <v>0</v>
      </c>
      <c r="U108" s="82">
        <f>SUMIFS('kokpit-1'!$Q$4:$Q$2000,'kokpit-1'!$M$4:$M$2000,H108)-SUMIFS('kokpit-1'!$P$4:$P$2000,'kokpit-1'!$M$4:$M$2000,H108)</f>
        <v>0</v>
      </c>
    </row>
    <row r="109" spans="1:21" x14ac:dyDescent="0.3">
      <c r="A109" s="223" t="s">
        <v>162</v>
      </c>
      <c r="B109" s="223"/>
      <c r="C109" s="223"/>
      <c r="D109" s="87" t="s">
        <v>301</v>
      </c>
      <c r="E109" s="175" t="str">
        <f t="shared" si="8"/>
        <v/>
      </c>
      <c r="F109" s="175" t="str">
        <f t="shared" si="7"/>
        <v/>
      </c>
      <c r="H109" s="88" t="str">
        <f>A109</f>
        <v>III</v>
      </c>
      <c r="I109" s="138"/>
      <c r="M109" s="82">
        <f>SUMIFS(kokpit!$P$4:$P$2000,kokpit!$M$4:$M$2000,H109)</f>
        <v>0</v>
      </c>
      <c r="N109" s="82">
        <f>SUMIFS(kokpit!$Q$4:$Q$2000,kokpit!$M$4:$M$2000,H109)</f>
        <v>0</v>
      </c>
      <c r="O109" s="82">
        <f>SUMIFS(kokpit!$P$4:$P$2000,kokpit!$M$4:$M$2000,H109)-SUMIFS(kokpit!$Q$4:$Q$2000,kokpit!$M$4:$M$2000,H109)</f>
        <v>0</v>
      </c>
      <c r="P109" s="82">
        <f>SUMIFS(kokpit!$Q$4:$Q$2000,kokpit!$M$4:$M$2000,H109)-SUMIFS(kokpit!$P$4:$P$2000,kokpit!$M$4:$M$2000,H109)</f>
        <v>0</v>
      </c>
      <c r="R109" s="82">
        <f>SUMIFS('kokpit-1'!$P$4:$P$2000,'kokpit-1'!$M$4:$M$2000,H109)</f>
        <v>0</v>
      </c>
      <c r="S109" s="82">
        <f>SUMIFS('kokpit-1'!$Q$4:$Q$2000,'kokpit-1'!$M$4:$M$2000,H109)</f>
        <v>0</v>
      </c>
      <c r="T109" s="82">
        <f>SUMIFS('kokpit-1'!$P$4:$P$2000,'kokpit-1'!$M$4:$M$2000,H109)-SUMIFS('kokpit-1'!$Q$4:$Q$2000,'kokpit-1'!$M$4:$M$2000,H109)</f>
        <v>0</v>
      </c>
      <c r="U109" s="82">
        <f>SUMIFS('kokpit-1'!$Q$4:$Q$2000,'kokpit-1'!$M$4:$M$2000,H109)-SUMIFS('kokpit-1'!$P$4:$P$2000,'kokpit-1'!$M$4:$M$2000,H109)</f>
        <v>0</v>
      </c>
    </row>
    <row r="110" spans="1:21" x14ac:dyDescent="0.3">
      <c r="D110" s="106"/>
      <c r="E110" s="152"/>
      <c r="F110" s="152"/>
    </row>
    <row r="111" spans="1:21" x14ac:dyDescent="0.3">
      <c r="D111" s="106"/>
      <c r="E111" s="153"/>
    </row>
    <row r="112" spans="1:21" x14ac:dyDescent="0.3">
      <c r="D112" s="106"/>
      <c r="E112" s="153"/>
    </row>
    <row r="113" spans="5:5" x14ac:dyDescent="0.3">
      <c r="E113" s="155"/>
    </row>
    <row r="114" spans="5:5" x14ac:dyDescent="0.3">
      <c r="E114" s="155"/>
    </row>
    <row r="115" spans="5:5" x14ac:dyDescent="0.3">
      <c r="E115" s="155"/>
    </row>
    <row r="116" spans="5:5" x14ac:dyDescent="0.3">
      <c r="E116" s="155"/>
    </row>
    <row r="117" spans="5:5" x14ac:dyDescent="0.3">
      <c r="E117" s="155"/>
    </row>
    <row r="118" spans="5:5" x14ac:dyDescent="0.3">
      <c r="E118" s="155"/>
    </row>
    <row r="119" spans="5:5" x14ac:dyDescent="0.3">
      <c r="E119" s="155"/>
    </row>
    <row r="120" spans="5:5" x14ac:dyDescent="0.3">
      <c r="E120" s="155"/>
    </row>
    <row r="121" spans="5:5" x14ac:dyDescent="0.3">
      <c r="E121" s="155"/>
    </row>
    <row r="122" spans="5:5" x14ac:dyDescent="0.3">
      <c r="E122" s="155"/>
    </row>
    <row r="123" spans="5:5" x14ac:dyDescent="0.3">
      <c r="E123" s="155"/>
    </row>
    <row r="124" spans="5:5" x14ac:dyDescent="0.3">
      <c r="E124" s="155"/>
    </row>
    <row r="125" spans="5:5" x14ac:dyDescent="0.3">
      <c r="E125" s="155"/>
    </row>
    <row r="126" spans="5:5" x14ac:dyDescent="0.3">
      <c r="E126" s="155"/>
    </row>
    <row r="127" spans="5:5" x14ac:dyDescent="0.3">
      <c r="E127" s="155"/>
    </row>
    <row r="128" spans="5:5" x14ac:dyDescent="0.3">
      <c r="E128" s="155"/>
    </row>
    <row r="129" spans="5:5" x14ac:dyDescent="0.3">
      <c r="E129" s="155"/>
    </row>
    <row r="130" spans="5:5" x14ac:dyDescent="0.3">
      <c r="E130" s="155"/>
    </row>
    <row r="131" spans="5:5" x14ac:dyDescent="0.3">
      <c r="E131" s="155"/>
    </row>
    <row r="132" spans="5:5" x14ac:dyDescent="0.3">
      <c r="E132" s="155"/>
    </row>
    <row r="133" spans="5:5" x14ac:dyDescent="0.3">
      <c r="E133" s="155"/>
    </row>
    <row r="134" spans="5:5" x14ac:dyDescent="0.3">
      <c r="E134" s="155"/>
    </row>
    <row r="135" spans="5:5" x14ac:dyDescent="0.3">
      <c r="E135" s="155"/>
    </row>
    <row r="136" spans="5:5" x14ac:dyDescent="0.3">
      <c r="E136" s="155"/>
    </row>
    <row r="137" spans="5:5" x14ac:dyDescent="0.3">
      <c r="E137" s="155"/>
    </row>
    <row r="138" spans="5:5" x14ac:dyDescent="0.3">
      <c r="E138" s="155"/>
    </row>
    <row r="139" spans="5:5" x14ac:dyDescent="0.3">
      <c r="E139" s="155"/>
    </row>
    <row r="140" spans="5:5" x14ac:dyDescent="0.3">
      <c r="E140" s="155"/>
    </row>
    <row r="141" spans="5:5" x14ac:dyDescent="0.3">
      <c r="E141" s="155"/>
    </row>
    <row r="142" spans="5:5" x14ac:dyDescent="0.3">
      <c r="E142" s="155"/>
    </row>
    <row r="143" spans="5:5" x14ac:dyDescent="0.3">
      <c r="E143" s="155"/>
    </row>
    <row r="144" spans="5:5" x14ac:dyDescent="0.3">
      <c r="E144" s="155"/>
    </row>
    <row r="145" spans="5:5" x14ac:dyDescent="0.3">
      <c r="E145" s="155"/>
    </row>
    <row r="146" spans="5:5" x14ac:dyDescent="0.3">
      <c r="E146" s="155"/>
    </row>
    <row r="147" spans="5:5" x14ac:dyDescent="0.3">
      <c r="E147" s="155"/>
    </row>
    <row r="148" spans="5:5" x14ac:dyDescent="0.3">
      <c r="E148" s="155"/>
    </row>
    <row r="149" spans="5:5" x14ac:dyDescent="0.3">
      <c r="E149" s="155"/>
    </row>
    <row r="150" spans="5:5" x14ac:dyDescent="0.3">
      <c r="E150" s="155"/>
    </row>
    <row r="151" spans="5:5" x14ac:dyDescent="0.3">
      <c r="E151" s="155"/>
    </row>
    <row r="152" spans="5:5" x14ac:dyDescent="0.3">
      <c r="E152" s="155"/>
    </row>
    <row r="153" spans="5:5" x14ac:dyDescent="0.3">
      <c r="E153" s="155"/>
    </row>
    <row r="154" spans="5:5" x14ac:dyDescent="0.3">
      <c r="E154" s="155"/>
    </row>
    <row r="155" spans="5:5" x14ac:dyDescent="0.3">
      <c r="E155" s="155"/>
    </row>
    <row r="156" spans="5:5" x14ac:dyDescent="0.3">
      <c r="E156" s="155"/>
    </row>
    <row r="157" spans="5:5" x14ac:dyDescent="0.3">
      <c r="E157" s="155"/>
    </row>
    <row r="158" spans="5:5" x14ac:dyDescent="0.3">
      <c r="E158" s="155"/>
    </row>
    <row r="159" spans="5:5" x14ac:dyDescent="0.3">
      <c r="E159" s="155"/>
    </row>
    <row r="160" spans="5:5" x14ac:dyDescent="0.3">
      <c r="E160" s="155"/>
    </row>
    <row r="161" spans="5:5" x14ac:dyDescent="0.3">
      <c r="E161" s="155"/>
    </row>
    <row r="162" spans="5:5" x14ac:dyDescent="0.3">
      <c r="E162" s="155"/>
    </row>
    <row r="163" spans="5:5" x14ac:dyDescent="0.3">
      <c r="E163" s="155"/>
    </row>
    <row r="164" spans="5:5" x14ac:dyDescent="0.3">
      <c r="E164" s="155"/>
    </row>
    <row r="165" spans="5:5" x14ac:dyDescent="0.3">
      <c r="E165" s="155"/>
    </row>
    <row r="166" spans="5:5" x14ac:dyDescent="0.3">
      <c r="E166" s="155"/>
    </row>
    <row r="167" spans="5:5" x14ac:dyDescent="0.3">
      <c r="E167" s="155"/>
    </row>
    <row r="168" spans="5:5" x14ac:dyDescent="0.3">
      <c r="E168" s="155"/>
    </row>
    <row r="169" spans="5:5" x14ac:dyDescent="0.3">
      <c r="E169" s="155"/>
    </row>
    <row r="170" spans="5:5" x14ac:dyDescent="0.3">
      <c r="E170" s="155"/>
    </row>
    <row r="171" spans="5:5" x14ac:dyDescent="0.3">
      <c r="E171" s="155"/>
    </row>
    <row r="172" spans="5:5" x14ac:dyDescent="0.3">
      <c r="E172" s="155"/>
    </row>
    <row r="173" spans="5:5" x14ac:dyDescent="0.3">
      <c r="E173" s="155"/>
    </row>
    <row r="174" spans="5:5" x14ac:dyDescent="0.3">
      <c r="E174" s="155"/>
    </row>
    <row r="175" spans="5:5" x14ac:dyDescent="0.3">
      <c r="E175" s="155"/>
    </row>
    <row r="176" spans="5:5" x14ac:dyDescent="0.3">
      <c r="E176" s="155"/>
    </row>
    <row r="177" spans="5:5" x14ac:dyDescent="0.3">
      <c r="E177" s="155"/>
    </row>
    <row r="178" spans="5:5" x14ac:dyDescent="0.3">
      <c r="E178" s="155"/>
    </row>
    <row r="179" spans="5:5" x14ac:dyDescent="0.3">
      <c r="E179" s="155"/>
    </row>
    <row r="180" spans="5:5" x14ac:dyDescent="0.3">
      <c r="E180" s="155"/>
    </row>
    <row r="181" spans="5:5" x14ac:dyDescent="0.3">
      <c r="E181" s="155"/>
    </row>
    <row r="182" spans="5:5" x14ac:dyDescent="0.3">
      <c r="E182" s="155"/>
    </row>
    <row r="183" spans="5:5" x14ac:dyDescent="0.3">
      <c r="E183" s="155"/>
    </row>
    <row r="184" spans="5:5" x14ac:dyDescent="0.3">
      <c r="E184" s="155"/>
    </row>
    <row r="185" spans="5:5" x14ac:dyDescent="0.3">
      <c r="E185" s="155"/>
    </row>
    <row r="186" spans="5:5" x14ac:dyDescent="0.3">
      <c r="E186" s="155"/>
    </row>
    <row r="187" spans="5:5" x14ac:dyDescent="0.3">
      <c r="E187" s="155"/>
    </row>
    <row r="188" spans="5:5" x14ac:dyDescent="0.3">
      <c r="E188" s="155"/>
    </row>
    <row r="189" spans="5:5" x14ac:dyDescent="0.3">
      <c r="E189" s="155"/>
    </row>
    <row r="190" spans="5:5" x14ac:dyDescent="0.3">
      <c r="E190" s="155"/>
    </row>
    <row r="191" spans="5:5" x14ac:dyDescent="0.3">
      <c r="E191" s="155"/>
    </row>
    <row r="192" spans="5:5" x14ac:dyDescent="0.3">
      <c r="E192" s="155"/>
    </row>
    <row r="193" spans="5:5" x14ac:dyDescent="0.3">
      <c r="E193" s="155"/>
    </row>
    <row r="194" spans="5:5" x14ac:dyDescent="0.3">
      <c r="E194" s="155"/>
    </row>
    <row r="195" spans="5:5" x14ac:dyDescent="0.3">
      <c r="E195" s="155"/>
    </row>
    <row r="196" spans="5:5" x14ac:dyDescent="0.3">
      <c r="E196" s="155"/>
    </row>
  </sheetData>
  <mergeCells count="33">
    <mergeCell ref="M3:P3"/>
    <mergeCell ref="R3:U3"/>
    <mergeCell ref="B75:C75"/>
    <mergeCell ref="B104:C104"/>
    <mergeCell ref="A6:C6"/>
    <mergeCell ref="A9:C9"/>
    <mergeCell ref="A108:C108"/>
    <mergeCell ref="B63:C63"/>
    <mergeCell ref="B65:C65"/>
    <mergeCell ref="B74:C74"/>
    <mergeCell ref="B76:C76"/>
    <mergeCell ref="B79:C79"/>
    <mergeCell ref="B89:C89"/>
    <mergeCell ref="B90:C90"/>
    <mergeCell ref="B93:C93"/>
    <mergeCell ref="B102:C102"/>
    <mergeCell ref="B103:C103"/>
    <mergeCell ref="A109:C109"/>
    <mergeCell ref="B21:C21"/>
    <mergeCell ref="B10:C10"/>
    <mergeCell ref="B32:C32"/>
    <mergeCell ref="B41:C41"/>
    <mergeCell ref="B53:C53"/>
    <mergeCell ref="B64:C64"/>
    <mergeCell ref="B11:C11"/>
    <mergeCell ref="B20:C20"/>
    <mergeCell ref="B22:C22"/>
    <mergeCell ref="B31:C31"/>
    <mergeCell ref="B33:C33"/>
    <mergeCell ref="B40:C40"/>
    <mergeCell ref="B42:C42"/>
    <mergeCell ref="B52:C52"/>
    <mergeCell ref="B54:C54"/>
  </mergeCells>
  <dataValidations count="2">
    <dataValidation type="list" allowBlank="1" showInputMessage="1" showErrorMessage="1" sqref="F3:G3">
      <formula1>Rzad</formula1>
    </dataValidation>
    <dataValidation type="list" allowBlank="1" showInputMessage="1" showErrorMessage="1" sqref="I6:I109">
      <formula1>WnMa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3:Z71"/>
  <sheetViews>
    <sheetView showGridLines="0" zoomScale="75" zoomScaleNormal="75" workbookViewId="0">
      <pane ySplit="5" topLeftCell="A6" activePane="bottomLeft" state="frozen"/>
      <selection pane="bottomLeft" activeCell="K9" sqref="K9"/>
    </sheetView>
  </sheetViews>
  <sheetFormatPr defaultRowHeight="14" x14ac:dyDescent="0.3"/>
  <cols>
    <col min="1" max="1" width="2" style="107" bestFit="1" customWidth="1"/>
    <col min="2" max="2" width="2.453125" style="107" bestFit="1" customWidth="1"/>
    <col min="3" max="3" width="1.81640625" style="107" bestFit="1" customWidth="1"/>
    <col min="4" max="4" width="2.453125" style="108" bestFit="1" customWidth="1"/>
    <col min="5" max="5" width="58.54296875" style="109" customWidth="1"/>
    <col min="6" max="6" width="30.54296875" style="109" customWidth="1"/>
    <col min="7" max="7" width="16.54296875" style="149" bestFit="1" customWidth="1"/>
    <col min="8" max="8" width="13.6328125" style="149" customWidth="1"/>
    <col min="9" max="9" width="8.7265625" style="110"/>
    <col min="10" max="10" width="8.7265625" style="5"/>
    <col min="11" max="11" width="8.7265625" style="110"/>
    <col min="12" max="12" width="8.7265625" style="5"/>
    <col min="13" max="13" width="15.81640625" style="24" hidden="1" customWidth="1"/>
    <col min="14" max="16" width="14.26953125" style="24" hidden="1" customWidth="1"/>
    <col min="17" max="18" width="0" style="24" hidden="1" customWidth="1"/>
    <col min="19" max="21" width="12" style="24" hidden="1" customWidth="1"/>
    <col min="22" max="26" width="8.7265625" style="24"/>
    <col min="27" max="16384" width="8.7265625" style="5"/>
  </cols>
  <sheetData>
    <row r="3" spans="1:21" ht="15" x14ac:dyDescent="0.3">
      <c r="G3" s="145" t="s">
        <v>325</v>
      </c>
      <c r="H3" s="146" t="s">
        <v>324</v>
      </c>
    </row>
    <row r="4" spans="1:21" ht="15.5" customHeight="1" x14ac:dyDescent="0.3">
      <c r="E4" s="237" t="s">
        <v>1621</v>
      </c>
      <c r="F4" s="237"/>
      <c r="G4" s="145" t="s">
        <v>379</v>
      </c>
      <c r="H4" s="147" t="s">
        <v>381</v>
      </c>
    </row>
    <row r="5" spans="1:21" x14ac:dyDescent="0.3">
      <c r="A5" s="238" t="s">
        <v>160</v>
      </c>
      <c r="B5" s="238"/>
      <c r="C5" s="238"/>
      <c r="D5" s="238"/>
      <c r="E5" s="238"/>
      <c r="F5" s="239"/>
      <c r="G5" s="182">
        <f>YEAR(JPK_KR!G2)</f>
        <v>2013</v>
      </c>
      <c r="H5" s="182">
        <f>YEAR('JPK_KR-1'!G2)</f>
        <v>2012</v>
      </c>
      <c r="I5" s="111" t="s">
        <v>109</v>
      </c>
      <c r="K5" s="111" t="s">
        <v>1637</v>
      </c>
      <c r="M5" s="24" t="s">
        <v>174</v>
      </c>
      <c r="N5" s="24" t="s">
        <v>175</v>
      </c>
      <c r="O5" s="24" t="s">
        <v>1635</v>
      </c>
      <c r="P5" s="24" t="s">
        <v>1636</v>
      </c>
    </row>
    <row r="6" spans="1:21" x14ac:dyDescent="0.3">
      <c r="A6" s="107" t="s">
        <v>183</v>
      </c>
      <c r="E6" s="231" t="s">
        <v>382</v>
      </c>
      <c r="F6" s="232"/>
      <c r="G6" s="148"/>
      <c r="H6" s="148"/>
      <c r="I6" s="112" t="str">
        <f>A6</f>
        <v>A</v>
      </c>
    </row>
    <row r="7" spans="1:21" x14ac:dyDescent="0.3">
      <c r="A7" s="113"/>
      <c r="B7" s="113" t="s">
        <v>164</v>
      </c>
      <c r="C7" s="114"/>
      <c r="D7" s="115"/>
      <c r="E7" s="233" t="str">
        <f>IF(H4="pośrednia","Zysk (strata) netto","Wpływy")</f>
        <v>Wpływy</v>
      </c>
      <c r="F7" s="233"/>
      <c r="G7" s="184">
        <f>IF(H3="ZŁ",IF(H4="pośrednia",RZiS!C54,SUM(G8:G9)),(IF(H4="pośrednia",RZiS!C54/1000,SUM(G8:G9))))</f>
        <v>0</v>
      </c>
      <c r="H7" s="184">
        <f>IF(H3="ZŁ",IF(H4="pośrednia",RZiS!D54,SUM(H8:H9)),(IF(H4="pośrednia",RZiS!D54/1000,SUM(H8:H9))))</f>
        <v>0</v>
      </c>
      <c r="I7" s="116" t="str">
        <f>A6&amp;B7</f>
        <v>AI</v>
      </c>
      <c r="J7" s="117"/>
      <c r="M7" s="24">
        <f>SUMIFS(kokpit!$U$4:$U$2000,kokpit!$R$4:$R$2000,I7)</f>
        <v>0</v>
      </c>
      <c r="N7" s="24">
        <f>SUMIFS(kokpit!$V$4:$V$2000,kokpit!$R$4:$R$2000,I7)</f>
        <v>0</v>
      </c>
      <c r="O7" s="24">
        <f>SUMIFS(kokpit!$U$4:$U$2000,kokpit!$R$4:$R$2000,I7)-SUMIFS(kokpit!$V$4:$V$2000,kokpit!$R$4:$R$2000,I7)</f>
        <v>0</v>
      </c>
      <c r="P7" s="24">
        <f>SUMIFS(kokpit!$V$4:$V$2000,kokpit!$R$4:$R$2000,I7)-SUMIFS(kokpit!$U$4:$U$2000,kokpit!$R$4:$R$2000,I7)</f>
        <v>0</v>
      </c>
      <c r="R7" s="24">
        <f>SUMIFS('kokpit-1'!$U$4:$U$2000,'kokpit-1'!$R$4:$R$2000,I7)</f>
        <v>0</v>
      </c>
      <c r="S7" s="24">
        <f>SUMIFS('kokpit-1'!$V$4:$V$2000,'kokpit-1'!$R$4:$R$2000,I7)</f>
        <v>0</v>
      </c>
      <c r="T7" s="24">
        <f>SUMIFS('kokpit-1'!$U$4:$U$2000,'kokpit-1'!$R$4:$R$2000,I7)-SUMIFS('kokpit-1'!$V$4:$V$2000,'kokpit-1'!$R$4:$R$2000,I7)</f>
        <v>0</v>
      </c>
      <c r="U7" s="24">
        <f>SUMIFS('kokpit-1'!$V$4:$V$2000,'kokpit-1'!$R$4:$R$2000,I7)-SUMIFS('kokpit-1'!$U$4:$U$2000,'kokpit-1'!$R$4:$R$2000,I7)</f>
        <v>0</v>
      </c>
    </row>
    <row r="8" spans="1:21" x14ac:dyDescent="0.3">
      <c r="A8" s="114"/>
      <c r="B8" s="114" t="str">
        <f>IF(H4="pośrednia","II","")</f>
        <v/>
      </c>
      <c r="C8" s="114" t="str">
        <f>IF(H4="pośrednia","","1")</f>
        <v>1</v>
      </c>
      <c r="D8" s="115"/>
      <c r="E8" s="233" t="str">
        <f>IF(H4="pośrednia","Korekty razem","Sprzedaż")</f>
        <v>Sprzedaż</v>
      </c>
      <c r="F8" s="233"/>
      <c r="G8" s="185" t="str">
        <f>IFERROR(IF(H3="ZŁ",IF(H4="pośrednia",SUM(G9:G18),IF(K9="Wn",M9,IF(K9="Ma",N9,IF(K9="Wn-Ma",O9,IF(K9="Ma-Wn",P9,""))))),(IF(H4="pośrednia",SUM(G9:G18),(IF(K9="Wn",M9,IF(K9="Ma",N9,IF(K9="Wn-Ma",O9,IF(K9="Ma-Wn",P9,"")))))/1000))),"")</f>
        <v/>
      </c>
      <c r="H8" s="185" t="str">
        <f>IFERROR(IF(H3="ZŁ",IF(H4="pośrednia",SUM(H9:H18),IF(K9="Wn",R9,IF(K9="Ma",S9,IF(K9="Wn-Ma",T9,IF(K9="Ma-Wn",U9,""))))),(IF(H4="pośrednia",SUM(H9:H18),(IF(K9="Wn",R9,IF(K9="Ma",S9,IF(K9="Wn-Ma",T9,IF(K9="Ma-Wn",U9,"")))))/1000))),"")</f>
        <v/>
      </c>
      <c r="I8" s="116" t="str">
        <f>IF(H4="pośrednia",A6&amp;B8,A6&amp;B7&amp;C8)</f>
        <v>AI1</v>
      </c>
      <c r="J8" s="117"/>
      <c r="M8" s="24">
        <f>SUMIFS(kokpit!$U$4:$U$2000,kokpit!$R$4:$R$2000,I8)</f>
        <v>0</v>
      </c>
      <c r="N8" s="24">
        <f>SUMIFS(kokpit!$V$4:$V$2000,kokpit!$R$4:$R$2000,I8)</f>
        <v>0</v>
      </c>
      <c r="O8" s="24">
        <f>SUMIFS(kokpit!$U$4:$U$2000,kokpit!$R$4:$R$2000,I8)-SUMIFS(kokpit!$V$4:$V$2000,kokpit!$R$4:$R$2000,I8)</f>
        <v>0</v>
      </c>
      <c r="P8" s="24">
        <f>SUMIFS(kokpit!$V$4:$V$2000,kokpit!$R$4:$R$2000,I8)-SUMIFS(kokpit!$U$4:$U$2000,kokpit!$R$4:$R$2000,I8)</f>
        <v>0</v>
      </c>
      <c r="R8" s="24">
        <f>SUMIFS('kokpit-1'!$U$4:$U$2000,'kokpit-1'!$R$4:$R$2000,I8)</f>
        <v>0</v>
      </c>
      <c r="S8" s="24">
        <f>SUMIFS('kokpit-1'!$V$4:$V$2000,'kokpit-1'!$R$4:$R$2000,I8)</f>
        <v>0</v>
      </c>
      <c r="T8" s="24">
        <f>SUMIFS('kokpit-1'!$U$4:$U$2000,'kokpit-1'!$R$4:$R$2000,I8)-SUMIFS('kokpit-1'!$V$4:$V$2000,'kokpit-1'!$R$4:$R$2000,I8)</f>
        <v>0</v>
      </c>
      <c r="U8" s="24">
        <f>SUMIFS('kokpit-1'!$V$4:$V$2000,'kokpit-1'!$R$4:$R$2000,I8)-SUMIFS('kokpit-1'!$U$4:$U$2000,'kokpit-1'!$R$4:$R$2000,I8)</f>
        <v>0</v>
      </c>
    </row>
    <row r="9" spans="1:21" x14ac:dyDescent="0.3">
      <c r="A9" s="114"/>
      <c r="B9" s="114"/>
      <c r="C9" s="114" t="str">
        <f>IF(H4="pośrednia","1","2")</f>
        <v>2</v>
      </c>
      <c r="D9" s="115"/>
      <c r="E9" s="233" t="str">
        <f>IF(H4="pośrednia","Amortyzacja","Inne wpływy z działalności operacyjnej")</f>
        <v>Inne wpływy z działalności operacyjnej</v>
      </c>
      <c r="F9" s="233"/>
      <c r="G9" s="185" t="str">
        <f>IFERROR(IF($H$3="ZŁ",IF(K9="Wn",M9,IF(K9="Ma",N9,IF(K9="Wn-Ma",O9,IF(K9="Ma-Wn",P9,"")))),(IF(K9="Wn",M9,IF(K9="Ma",N9,IF(K9="Wn-Ma",O9,IF(K9="Ma-Wn",P9,"")))))/1000),"")</f>
        <v/>
      </c>
      <c r="H9" s="185" t="str">
        <f>IFERROR(IF($H$3="ZŁ",IF(K9="Wn",R9,IF(K9="Ma",S9,IF(K9="Wn-Ma",T9,IF(K9="Ma-Wn",U9,"")))),(IF(K9="Wn",R9,IF(K9="Ma",S9,IF(K9="Wn-Ma",T9,IF(K9="Ma-Wn",U9,"")))))/1000),"")</f>
        <v/>
      </c>
      <c r="I9" s="116" t="str">
        <f>IF(H4="pośrednia",A6&amp;B8&amp;C9,A6&amp;B7&amp;C9)</f>
        <v>AI2</v>
      </c>
      <c r="J9" s="117"/>
      <c r="M9" s="24">
        <f>SUMIFS(kokpit!$U$4:$U$2000,kokpit!$R$4:$R$2000,I9)</f>
        <v>0</v>
      </c>
      <c r="N9" s="24">
        <f>SUMIFS(kokpit!$V$4:$V$2000,kokpit!$R$4:$R$2000,I9)</f>
        <v>0</v>
      </c>
      <c r="O9" s="24">
        <f>SUMIFS(kokpit!$U$4:$U$2000,kokpit!$R$4:$R$2000,I9)-SUMIFS(kokpit!$V$4:$V$2000,kokpit!$R$4:$R$2000,I9)</f>
        <v>0</v>
      </c>
      <c r="P9" s="24">
        <f>SUMIFS(kokpit!$V$4:$V$2000,kokpit!$R$4:$R$2000,I9)-SUMIFS(kokpit!$U$4:$U$2000,kokpit!$R$4:$R$2000,I9)</f>
        <v>0</v>
      </c>
      <c r="R9" s="24">
        <f>SUMIFS('kokpit-1'!$U$4:$U$2000,'kokpit-1'!$R$4:$R$2000,I9)</f>
        <v>0</v>
      </c>
      <c r="S9" s="24">
        <f>SUMIFS('kokpit-1'!$V$4:$V$2000,'kokpit-1'!$R$4:$R$2000,I9)</f>
        <v>0</v>
      </c>
      <c r="T9" s="24">
        <f>SUMIFS('kokpit-1'!$U$4:$U$2000,'kokpit-1'!$R$4:$R$2000,I9)-SUMIFS('kokpit-1'!$V$4:$V$2000,'kokpit-1'!$R$4:$R$2000,I9)</f>
        <v>0</v>
      </c>
      <c r="U9" s="24">
        <f>SUMIFS('kokpit-1'!$V$4:$V$2000,'kokpit-1'!$R$4:$R$2000,I9)-SUMIFS('kokpit-1'!$U$4:$U$2000,'kokpit-1'!$R$4:$R$2000,I9)</f>
        <v>0</v>
      </c>
    </row>
    <row r="10" spans="1:21" x14ac:dyDescent="0.3">
      <c r="A10" s="114"/>
      <c r="B10" s="114" t="str">
        <f>IF(H4="pośrednia","","II")</f>
        <v>II</v>
      </c>
      <c r="C10" s="114" t="str">
        <f>IF(H4="pośrednia","2","")</f>
        <v/>
      </c>
      <c r="D10" s="115"/>
      <c r="E10" s="233" t="str">
        <f>IF(H4="pośrednia","Zyski (straty) z tytułu różnic kursowych","Wydatki")</f>
        <v>Wydatki</v>
      </c>
      <c r="F10" s="233"/>
      <c r="G10" s="185">
        <f>IFERROR(IF(H3="ZŁ",IF(H4="pośrednia",IF(K10="Wn",M10,IF(K10="Ma",N10,IF(K10="Wn-Ma",O10,IF(K10="Ma-Wn",P10,"")))),SUM(G11:G15)),(IF(H4="pośrednia",(IF(K10="Wn",M10,IF(K10="Ma",N10,IF(K10="Wn-Ma",O10,IF(K10="Ma-Wn",P10,"")))))/1000,SUM(G11:G15)))),"")</f>
        <v>0</v>
      </c>
      <c r="H10" s="185">
        <f>IFERROR(IF(H3="ZŁ",IF(H4="pośrednia",IF(K10="Wn",R10,IF(K10="Ma",S10,IF(K10="Wn-Ma",T10,IF(K10="Ma-Wn",U10,"")))),SUM(H11:H15)),(IF(H4="pośrednia",(IF(K10="Wn",R10,IF(K10="Ma",S10,IF(K10="Wn-Ma",T10,IF(K10="Ma-Wn",U10,"")))))/1000,SUM(H11:H15)))),"")</f>
        <v>0</v>
      </c>
      <c r="I10" s="116" t="str">
        <f>IF(H4="pośrednia",A6&amp;B8&amp;C10,A6&amp;B10)</f>
        <v>AII</v>
      </c>
      <c r="J10" s="117"/>
      <c r="M10" s="24">
        <f>SUMIFS(kokpit!$U$4:$U$2000,kokpit!$R$4:$R$2000,I10)</f>
        <v>0</v>
      </c>
      <c r="N10" s="24">
        <f>SUMIFS(kokpit!$V$4:$V$2000,kokpit!$R$4:$R$2000,I10)</f>
        <v>0</v>
      </c>
      <c r="O10" s="24">
        <f>SUMIFS(kokpit!$U$4:$U$2000,kokpit!$R$4:$R$2000,I10)-SUMIFS(kokpit!$V$4:$V$2000,kokpit!$R$4:$R$2000,I10)</f>
        <v>0</v>
      </c>
      <c r="P10" s="24">
        <f>SUMIFS(kokpit!$V$4:$V$2000,kokpit!$R$4:$R$2000,I10)-SUMIFS(kokpit!$U$4:$U$2000,kokpit!$R$4:$R$2000,I10)</f>
        <v>0</v>
      </c>
      <c r="R10" s="24">
        <f>SUMIFS('kokpit-1'!$U$4:$U$2000,'kokpit-1'!$R$4:$R$2000,I10)</f>
        <v>0</v>
      </c>
      <c r="S10" s="24">
        <f>SUMIFS('kokpit-1'!$V$4:$V$2000,'kokpit-1'!$R$4:$R$2000,I10)</f>
        <v>0</v>
      </c>
      <c r="T10" s="24">
        <f>SUMIFS('kokpit-1'!$U$4:$U$2000,'kokpit-1'!$R$4:$R$2000,I10)-SUMIFS('kokpit-1'!$V$4:$V$2000,'kokpit-1'!$R$4:$R$2000,I10)</f>
        <v>0</v>
      </c>
      <c r="U10" s="24">
        <f>SUMIFS('kokpit-1'!$V$4:$V$2000,'kokpit-1'!$R$4:$R$2000,I10)-SUMIFS('kokpit-1'!$U$4:$U$2000,'kokpit-1'!$R$4:$R$2000,I10)</f>
        <v>0</v>
      </c>
    </row>
    <row r="11" spans="1:21" x14ac:dyDescent="0.3">
      <c r="A11" s="114"/>
      <c r="B11" s="114"/>
      <c r="C11" s="114" t="str">
        <f>IF(H4="pośrednia","3","1")</f>
        <v>1</v>
      </c>
      <c r="D11" s="115"/>
      <c r="E11" s="233" t="str">
        <f>IF(H4="pośrednia","Odsetki i udziały w zyskach (dywidendy)","Dostawy i usługi")</f>
        <v>Dostawy i usługi</v>
      </c>
      <c r="F11" s="233"/>
      <c r="G11" s="185" t="str">
        <f>IFERROR(IF($H$3="ZŁ",IF(K11="Wn",M11,IF(K11="Ma",N11,IF(K11="Wn-Ma",O11,IF(K11="Ma-Wn",P11,"")))),(IF(K11="Wn",M11,IF(K11="Ma",N11,IF(K11="Wn-Ma",O11,IF(K11="Ma-Wn",P11,"")))))/1000),"")</f>
        <v/>
      </c>
      <c r="H11" s="185" t="str">
        <f>IFERROR(IF($H$3="ZŁ",IF(K11="Wn",R11,IF(K11="Ma",S11,IF(K11="Wn-Ma",T11,IF(K11="Ma-Wn",U11,"")))),(IF(K11="Wn",R11,IF(K11="Ma",S11,IF(K11="Wn-Ma",T11,IF(K11="Ma-Wn",U11,"")))))/1000),"")</f>
        <v/>
      </c>
      <c r="I11" s="116" t="str">
        <f>IF(H4="pośrednia",A6&amp;B8&amp;C11,A6&amp;B10&amp;C11)</f>
        <v>AII1</v>
      </c>
      <c r="J11" s="117"/>
      <c r="M11" s="24">
        <f>SUMIFS(kokpit!$U$4:$U$2000,kokpit!$R$4:$R$2000,I11)</f>
        <v>0</v>
      </c>
      <c r="N11" s="24">
        <f>SUMIFS(kokpit!$V$4:$V$2000,kokpit!$R$4:$R$2000,I11)</f>
        <v>0</v>
      </c>
      <c r="O11" s="24">
        <f>SUMIFS(kokpit!$U$4:$U$2000,kokpit!$R$4:$R$2000,I11)-SUMIFS(kokpit!$V$4:$V$2000,kokpit!$R$4:$R$2000,I11)</f>
        <v>0</v>
      </c>
      <c r="P11" s="24">
        <f>SUMIFS(kokpit!$V$4:$V$2000,kokpit!$R$4:$R$2000,I11)-SUMIFS(kokpit!$U$4:$U$2000,kokpit!$R$4:$R$2000,I11)</f>
        <v>0</v>
      </c>
      <c r="R11" s="24">
        <f>SUMIFS('kokpit-1'!$U$4:$U$2000,'kokpit-1'!$R$4:$R$2000,I11)</f>
        <v>0</v>
      </c>
      <c r="S11" s="24">
        <f>SUMIFS('kokpit-1'!$V$4:$V$2000,'kokpit-1'!$R$4:$R$2000,I11)</f>
        <v>0</v>
      </c>
      <c r="T11" s="24">
        <f>SUMIFS('kokpit-1'!$U$4:$U$2000,'kokpit-1'!$R$4:$R$2000,I11)-SUMIFS('kokpit-1'!$V$4:$V$2000,'kokpit-1'!$R$4:$R$2000,I11)</f>
        <v>0</v>
      </c>
      <c r="U11" s="24">
        <f>SUMIFS('kokpit-1'!$V$4:$V$2000,'kokpit-1'!$R$4:$R$2000,I11)-SUMIFS('kokpit-1'!$U$4:$U$2000,'kokpit-1'!$R$4:$R$2000,I11)</f>
        <v>0</v>
      </c>
    </row>
    <row r="12" spans="1:21" x14ac:dyDescent="0.3">
      <c r="A12" s="114"/>
      <c r="B12" s="114"/>
      <c r="C12" s="114" t="str">
        <f>IF(H4="pośrednia","4","2")</f>
        <v>2</v>
      </c>
      <c r="D12" s="115"/>
      <c r="E12" s="233" t="str">
        <f>IF(H4="pośrednia","Zysk (strata) z działalności inwestycyjnej","Wynagrodzenia netto")</f>
        <v>Wynagrodzenia netto</v>
      </c>
      <c r="F12" s="233"/>
      <c r="G12" s="185" t="str">
        <f>IFERROR(IF($H$3="ZŁ",IF(K12="Wn",M12,IF(K12="Ma",N12,IF(K12="Wn-Ma",O12,IF(K12="Ma-Wn",P12,"")))),(IF(K12="Wn",M12,IF(K12="Ma",N12,IF(K12="Wn-Ma",O12,IF(K12="Ma-Wn",P12,"")))))/1000),"")</f>
        <v/>
      </c>
      <c r="H12" s="185" t="str">
        <f>IFERROR(IF($H$3="ZŁ",IF(K12="Wn",R12,IF(K12="Ma",S12,IF(K12="Wn-Ma",T12,IF(K12="Ma-Wn",U12,"")))),(IF(K12="Wn",R12,IF(K12="Ma",S12,IF(K12="Wn-Ma",T12,IF(K12="Ma-Wn",U12,"")))))/1000),"")</f>
        <v/>
      </c>
      <c r="I12" s="116" t="str">
        <f>IF(H4="pośrednia",A6&amp;B8&amp;C12,A6&amp;B10&amp;C12)</f>
        <v>AII2</v>
      </c>
      <c r="J12" s="117"/>
      <c r="M12" s="24">
        <f>SUMIFS(kokpit!$U$4:$U$2000,kokpit!$R$4:$R$2000,I12)</f>
        <v>0</v>
      </c>
      <c r="N12" s="24">
        <f>SUMIFS(kokpit!$V$4:$V$2000,kokpit!$R$4:$R$2000,I12)</f>
        <v>0</v>
      </c>
      <c r="O12" s="24">
        <f>SUMIFS(kokpit!$U$4:$U$2000,kokpit!$R$4:$R$2000,I12)-SUMIFS(kokpit!$V$4:$V$2000,kokpit!$R$4:$R$2000,I12)</f>
        <v>0</v>
      </c>
      <c r="P12" s="24">
        <f>SUMIFS(kokpit!$V$4:$V$2000,kokpit!$R$4:$R$2000,I12)-SUMIFS(kokpit!$U$4:$U$2000,kokpit!$R$4:$R$2000,I12)</f>
        <v>0</v>
      </c>
      <c r="R12" s="24">
        <f>SUMIFS('kokpit-1'!$U$4:$U$2000,'kokpit-1'!$R$4:$R$2000,I12)</f>
        <v>0</v>
      </c>
      <c r="S12" s="24">
        <f>SUMIFS('kokpit-1'!$V$4:$V$2000,'kokpit-1'!$R$4:$R$2000,I12)</f>
        <v>0</v>
      </c>
      <c r="T12" s="24">
        <f>SUMIFS('kokpit-1'!$U$4:$U$2000,'kokpit-1'!$R$4:$R$2000,I12)-SUMIFS('kokpit-1'!$V$4:$V$2000,'kokpit-1'!$R$4:$R$2000,I12)</f>
        <v>0</v>
      </c>
      <c r="U12" s="24">
        <f>SUMIFS('kokpit-1'!$V$4:$V$2000,'kokpit-1'!$R$4:$R$2000,I12)-SUMIFS('kokpit-1'!$U$4:$U$2000,'kokpit-1'!$R$4:$R$2000,I12)</f>
        <v>0</v>
      </c>
    </row>
    <row r="13" spans="1:21" x14ac:dyDescent="0.3">
      <c r="A13" s="114"/>
      <c r="B13" s="114"/>
      <c r="C13" s="114" t="str">
        <f>IF(H4="pośrednia","5","3")</f>
        <v>3</v>
      </c>
      <c r="D13" s="115"/>
      <c r="E13" s="233" t="str">
        <f>IF(H4="pośrednia","Zmiana stanu rezerw","Ubezpieczenia społeczne i zdrowotne oraz inne świadczenia")</f>
        <v>Ubezpieczenia społeczne i zdrowotne oraz inne świadczenia</v>
      </c>
      <c r="F13" s="233"/>
      <c r="G13" s="185" t="str">
        <f>IFERROR(IF($H$3="ZŁ",IF(K13="Wn",M13,IF(K13="Ma",N13,IF(K13="Wn-Ma",O13,IF(K13="Ma-Wn",P13,"")))),(IF(K13="Wn",M13,IF(K13="Ma",N13,IF(K13="Wn-Ma",O13,IF(K13="Ma-Wn",P13,"")))))/1000),"")</f>
        <v/>
      </c>
      <c r="H13" s="185" t="str">
        <f>IFERROR(IF($H$3="ZŁ",IF(K13="Wn",R13,IF(K13="Ma",S13,IF(K13="Wn-Ma",T13,IF(K13="Ma-Wn",U13,"")))),(IF(K13="Wn",R13,IF(K13="Ma",S13,IF(K13="Wn-Ma",T13,IF(K13="Ma-Wn",U13,"")))))/1000),"")</f>
        <v/>
      </c>
      <c r="I13" s="116" t="str">
        <f>IF(H4="pośrednia",A6&amp;B8&amp;C13,A6&amp;B10&amp;C13)</f>
        <v>AII3</v>
      </c>
      <c r="J13" s="117"/>
      <c r="M13" s="24">
        <f>SUMIFS(kokpit!$U$4:$U$2000,kokpit!$R$4:$R$2000,I13)</f>
        <v>0</v>
      </c>
      <c r="N13" s="24">
        <f>SUMIFS(kokpit!$V$4:$V$2000,kokpit!$R$4:$R$2000,I13)</f>
        <v>0</v>
      </c>
      <c r="O13" s="24">
        <f>SUMIFS(kokpit!$U$4:$U$2000,kokpit!$R$4:$R$2000,I13)-SUMIFS(kokpit!$V$4:$V$2000,kokpit!$R$4:$R$2000,I13)</f>
        <v>0</v>
      </c>
      <c r="P13" s="24">
        <f>SUMIFS(kokpit!$V$4:$V$2000,kokpit!$R$4:$R$2000,I13)-SUMIFS(kokpit!$U$4:$U$2000,kokpit!$R$4:$R$2000,I13)</f>
        <v>0</v>
      </c>
      <c r="R13" s="24">
        <f>SUMIFS('kokpit-1'!$U$4:$U$2000,'kokpit-1'!$R$4:$R$2000,I13)</f>
        <v>0</v>
      </c>
      <c r="S13" s="24">
        <f>SUMIFS('kokpit-1'!$V$4:$V$2000,'kokpit-1'!$R$4:$R$2000,I13)</f>
        <v>0</v>
      </c>
      <c r="T13" s="24">
        <f>SUMIFS('kokpit-1'!$U$4:$U$2000,'kokpit-1'!$R$4:$R$2000,I13)-SUMIFS('kokpit-1'!$V$4:$V$2000,'kokpit-1'!$R$4:$R$2000,I13)</f>
        <v>0</v>
      </c>
      <c r="U13" s="24">
        <f>SUMIFS('kokpit-1'!$V$4:$V$2000,'kokpit-1'!$R$4:$R$2000,I13)-SUMIFS('kokpit-1'!$U$4:$U$2000,'kokpit-1'!$R$4:$R$2000,I13)</f>
        <v>0</v>
      </c>
    </row>
    <row r="14" spans="1:21" x14ac:dyDescent="0.3">
      <c r="A14" s="114"/>
      <c r="B14" s="114"/>
      <c r="C14" s="114" t="str">
        <f>IF(H4="pośrednia","6","4")</f>
        <v>4</v>
      </c>
      <c r="D14" s="115"/>
      <c r="E14" s="233" t="str">
        <f>IF(H4="pośrednia","Zmiana stanu zapasów","Podatki i opłaty o charakterze publicznoprawnym")</f>
        <v>Podatki i opłaty o charakterze publicznoprawnym</v>
      </c>
      <c r="F14" s="233"/>
      <c r="G14" s="185" t="str">
        <f>IFERROR(IF($H$3="ZŁ",IF(K14="Wn",M14,IF(K14="Ma",N14,IF(K14="Wn-Ma",O14,IF(K14="Ma-Wn",P14,"")))),(IF(K14="Wn",M14,IF(K14="Ma",N14,IF(K14="Wn-Ma",O14,IF(K14="Ma-Wn",P14,"")))))/1000),"")</f>
        <v/>
      </c>
      <c r="H14" s="185" t="str">
        <f>IFERROR(IF($H$3="ZŁ",IF(K14="Wn",R14,IF(K14="Ma",S14,IF(K14="Wn-Ma",T14,IF(K14="Ma-Wn",U14,"")))),(IF(K14="Wn",R14,IF(K14="Ma",S14,IF(K14="Wn-Ma",T14,IF(K14="Ma-Wn",U14,"")))))/1000),"")</f>
        <v/>
      </c>
      <c r="I14" s="116" t="str">
        <f>IF(H4="pośrednia",A6&amp;B8&amp;C14,A6&amp;B10&amp;C14)</f>
        <v>AII4</v>
      </c>
      <c r="J14" s="117"/>
      <c r="M14" s="24">
        <f>SUMIFS(kokpit!$U$4:$U$2000,kokpit!$R$4:$R$2000,I14)</f>
        <v>0</v>
      </c>
      <c r="N14" s="24">
        <f>SUMIFS(kokpit!$V$4:$V$2000,kokpit!$R$4:$R$2000,I14)</f>
        <v>0</v>
      </c>
      <c r="O14" s="24">
        <f>SUMIFS(kokpit!$U$4:$U$2000,kokpit!$R$4:$R$2000,I14)-SUMIFS(kokpit!$V$4:$V$2000,kokpit!$R$4:$R$2000,I14)</f>
        <v>0</v>
      </c>
      <c r="P14" s="24">
        <f>SUMIFS(kokpit!$V$4:$V$2000,kokpit!$R$4:$R$2000,I14)-SUMIFS(kokpit!$U$4:$U$2000,kokpit!$R$4:$R$2000,I14)</f>
        <v>0</v>
      </c>
      <c r="R14" s="24">
        <f>SUMIFS('kokpit-1'!$U$4:$U$2000,'kokpit-1'!$R$4:$R$2000,I14)</f>
        <v>0</v>
      </c>
      <c r="S14" s="24">
        <f>SUMIFS('kokpit-1'!$V$4:$V$2000,'kokpit-1'!$R$4:$R$2000,I14)</f>
        <v>0</v>
      </c>
      <c r="T14" s="24">
        <f>SUMIFS('kokpit-1'!$U$4:$U$2000,'kokpit-1'!$R$4:$R$2000,I14)-SUMIFS('kokpit-1'!$V$4:$V$2000,'kokpit-1'!$R$4:$R$2000,I14)</f>
        <v>0</v>
      </c>
      <c r="U14" s="24">
        <f>SUMIFS('kokpit-1'!$V$4:$V$2000,'kokpit-1'!$R$4:$R$2000,I14)-SUMIFS('kokpit-1'!$U$4:$U$2000,'kokpit-1'!$R$4:$R$2000,I14)</f>
        <v>0</v>
      </c>
    </row>
    <row r="15" spans="1:21" x14ac:dyDescent="0.3">
      <c r="A15" s="114"/>
      <c r="B15" s="114"/>
      <c r="C15" s="114" t="str">
        <f>IF(H4="pośrednia","7","5")</f>
        <v>5</v>
      </c>
      <c r="D15" s="115"/>
      <c r="E15" s="233" t="str">
        <f>IF(H4="pośrednia","Zmiana stanu należności","Inne wydatki operacyjne")</f>
        <v>Inne wydatki operacyjne</v>
      </c>
      <c r="F15" s="233"/>
      <c r="G15" s="185" t="str">
        <f>IFERROR(IF($H$3="ZŁ",IF(K15="Wn",M15,IF(K15="Ma",N15,IF(K15="Wn-Ma",O15,IF(K15="Ma-Wn",P15,"")))),(IF(K15="Wn",M15,IF(K15="Ma",N15,IF(K15="Wn-Ma",O15,IF(K15="Ma-Wn",P15,"")))))/1000),"")</f>
        <v/>
      </c>
      <c r="H15" s="185" t="str">
        <f>IFERROR(IF($H$3="ZŁ",IF(K15="Wn",R15,IF(K15="Ma",S15,IF(K15="Wn-Ma",T15,IF(K15="Ma-Wn",U15,"")))),(IF(K15="Wn",R15,IF(K15="Ma",S15,IF(K15="Wn-Ma",T15,IF(K15="Ma-Wn",U15,"")))))/1000),"")</f>
        <v/>
      </c>
      <c r="I15" s="116" t="str">
        <f>IF(H4="pośrednia",A6&amp;B8&amp;C15,A6&amp;B10&amp;C15)</f>
        <v>AII5</v>
      </c>
      <c r="J15" s="117"/>
      <c r="M15" s="24">
        <f>SUMIFS(kokpit!$U$4:$U$2000,kokpit!$R$4:$R$2000,I15)</f>
        <v>0</v>
      </c>
      <c r="N15" s="24">
        <f>SUMIFS(kokpit!$V$4:$V$2000,kokpit!$R$4:$R$2000,I15)</f>
        <v>0</v>
      </c>
      <c r="O15" s="24">
        <f>SUMIFS(kokpit!$U$4:$U$2000,kokpit!$R$4:$R$2000,I15)-SUMIFS(kokpit!$V$4:$V$2000,kokpit!$R$4:$R$2000,I15)</f>
        <v>0</v>
      </c>
      <c r="P15" s="24">
        <f>SUMIFS(kokpit!$V$4:$V$2000,kokpit!$R$4:$R$2000,I15)-SUMIFS(kokpit!$U$4:$U$2000,kokpit!$R$4:$R$2000,I15)</f>
        <v>0</v>
      </c>
      <c r="R15" s="24">
        <f>SUMIFS('kokpit-1'!$U$4:$U$2000,'kokpit-1'!$R$4:$R$2000,I15)</f>
        <v>0</v>
      </c>
      <c r="S15" s="24">
        <f>SUMIFS('kokpit-1'!$V$4:$V$2000,'kokpit-1'!$R$4:$R$2000,I15)</f>
        <v>0</v>
      </c>
      <c r="T15" s="24">
        <f>SUMIFS('kokpit-1'!$U$4:$U$2000,'kokpit-1'!$R$4:$R$2000,I15)-SUMIFS('kokpit-1'!$V$4:$V$2000,'kokpit-1'!$R$4:$R$2000,I15)</f>
        <v>0</v>
      </c>
      <c r="U15" s="24">
        <f>SUMIFS('kokpit-1'!$V$4:$V$2000,'kokpit-1'!$R$4:$R$2000,I15)-SUMIFS('kokpit-1'!$U$4:$U$2000,'kokpit-1'!$R$4:$R$2000,I15)</f>
        <v>0</v>
      </c>
    </row>
    <row r="16" spans="1:21" x14ac:dyDescent="0.3">
      <c r="A16" s="114"/>
      <c r="B16" s="114" t="str">
        <f>IF(H4="pośrednia","","III")</f>
        <v>III</v>
      </c>
      <c r="C16" s="114" t="str">
        <f>IF(H4="pośrednia","8","")</f>
        <v/>
      </c>
      <c r="D16" s="115"/>
      <c r="E16" s="233" t="str">
        <f>IF(H4="pośrednia","Zmiana stanu zobowiązań krótkoterminowych, z wyjątkiem pożyczek i kredytów","Przepływy pieniężne netto z działalności operacyjnej (I-II)")</f>
        <v>Przepływy pieniężne netto z działalności operacyjnej (I-II)</v>
      </c>
      <c r="F16" s="233"/>
      <c r="G16" s="185">
        <f>IFERROR(IF(H3="ZŁ",IF(H4="pośrednia",IF(K16="Wn",M16,IF(K16="Ma",N16,IF(K16="Wn-Ma",O16,IF(K16="Ma-Wn",P16,"")))),G7-G10),(IF(H4="pośrednia",(IF(K16="Wn",M16,IF(K16="Ma",N16,IF(K16="Wn-Ma",O16,IF(K16="Ma-Wn",P16,"")))))/1000,G7-G10))),"")</f>
        <v>0</v>
      </c>
      <c r="H16" s="185">
        <f>IFERROR(IF(H3="ZŁ",IF(H4="pośrednia",IF(K16="Wn",R16,IF(K16="Ma",S16,IF(K16="Wn-Ma",T16,IF(K16="Ma-Wn",U16,"")))),H7-H10),(IF(H4="pośrednia",(IF(K16="Wn",R16,IF(K16="Ma",S16,IF(K16="Wn-Ma",T16,IF(K16="Ma-Wn",U16,"")))))/1000,H7-H10))),"")</f>
        <v>0</v>
      </c>
      <c r="I16" s="116" t="str">
        <f>IF(H4="pośrednia",A6&amp;B8&amp;C16,A6&amp;B16)</f>
        <v>AIII</v>
      </c>
      <c r="J16" s="117"/>
      <c r="M16" s="24">
        <f>SUMIFS(kokpit!$U$4:$U$2000,kokpit!$R$4:$R$2000,I16)</f>
        <v>0</v>
      </c>
      <c r="N16" s="24">
        <f>SUMIFS(kokpit!$V$4:$V$2000,kokpit!$R$4:$R$2000,I16)</f>
        <v>0</v>
      </c>
      <c r="O16" s="24">
        <f>SUMIFS(kokpit!$U$4:$U$2000,kokpit!$R$4:$R$2000,I16)-SUMIFS(kokpit!$V$4:$V$2000,kokpit!$R$4:$R$2000,I16)</f>
        <v>0</v>
      </c>
      <c r="P16" s="24">
        <f>SUMIFS(kokpit!$V$4:$V$2000,kokpit!$R$4:$R$2000,I16)-SUMIFS(kokpit!$U$4:$U$2000,kokpit!$R$4:$R$2000,I16)</f>
        <v>0</v>
      </c>
      <c r="R16" s="24">
        <f>SUMIFS('kokpit-1'!$U$4:$U$2000,'kokpit-1'!$R$4:$R$2000,I16)</f>
        <v>0</v>
      </c>
      <c r="S16" s="24">
        <f>SUMIFS('kokpit-1'!$V$4:$V$2000,'kokpit-1'!$R$4:$R$2000,I16)</f>
        <v>0</v>
      </c>
      <c r="T16" s="24">
        <f>SUMIFS('kokpit-1'!$U$4:$U$2000,'kokpit-1'!$R$4:$R$2000,I16)-SUMIFS('kokpit-1'!$V$4:$V$2000,'kokpit-1'!$R$4:$R$2000,I16)</f>
        <v>0</v>
      </c>
      <c r="U16" s="24">
        <f>SUMIFS('kokpit-1'!$V$4:$V$2000,'kokpit-1'!$R$4:$R$2000,I16)-SUMIFS('kokpit-1'!$U$4:$U$2000,'kokpit-1'!$R$4:$R$2000,I16)</f>
        <v>0</v>
      </c>
    </row>
    <row r="17" spans="1:21" x14ac:dyDescent="0.3">
      <c r="A17" s="114" t="str">
        <f>IF(H4="pośrednia","","B")</f>
        <v>B</v>
      </c>
      <c r="B17" s="114"/>
      <c r="C17" s="114" t="str">
        <f>IF(H4="pośrednia","9","")</f>
        <v/>
      </c>
      <c r="D17" s="115"/>
      <c r="E17" s="233" t="str">
        <f>IF(H4="pośrednia","Zmiana stanu rozliczeń międzyokresowych","Przepływy środków pieniężnych z działalności inwestycyjnej")</f>
        <v>Przepływy środków pieniężnych z działalności inwestycyjnej</v>
      </c>
      <c r="F17" s="233"/>
      <c r="G17" s="185" t="str">
        <f>IFERROR(IF(H3="ZŁ",IF(H4="pośrednia",IF(K17="Wn",M17,IF(K17="Ma",N17,IF(K17="Wn-Ma",O17,IF(K17="Ma-Wn",P17,"")))),""),(IF(H4="pośrednia",(IF(K17="Wn",M17,IF(K17="Ma",N17,IF(K17="Wn-Ma",O17,IF(K17="Ma-Wn",P17,"")))))/1000,""))),"")</f>
        <v/>
      </c>
      <c r="H17" s="185" t="str">
        <f>IFERROR(IF(H3="ZŁ",IF(H4="pośrednia",IF(K17="Wn",R17,IF(K17="Ma",S17,IF(K17="Wn-Ma",T17,IF(K17="Ma-Wn",U17,"")))),""),(IF(H4="pośrednia",(IF(K17="Wn",R17,IF(K17="Ma",S17,IF(K17="Wn-Ma",T17,IF(K17="Ma-Wn",U17,"")))))/1000,""))),"")</f>
        <v/>
      </c>
      <c r="I17" s="116" t="str">
        <f>IF(H4="pośrednia",A6&amp;B8&amp;C17,A17)</f>
        <v>B</v>
      </c>
      <c r="J17" s="117"/>
      <c r="M17" s="24">
        <f>SUMIFS(kokpit!$U$4:$U$2000,kokpit!$R$4:$R$2000,I17)</f>
        <v>0</v>
      </c>
      <c r="N17" s="24">
        <f>SUMIFS(kokpit!$V$4:$V$2000,kokpit!$R$4:$R$2000,I17)</f>
        <v>0</v>
      </c>
      <c r="O17" s="24">
        <f>SUMIFS(kokpit!$U$4:$U$2000,kokpit!$R$4:$R$2000,I17)-SUMIFS(kokpit!$V$4:$V$2000,kokpit!$R$4:$R$2000,I17)</f>
        <v>0</v>
      </c>
      <c r="P17" s="24">
        <f>SUMIFS(kokpit!$V$4:$V$2000,kokpit!$R$4:$R$2000,I17)-SUMIFS(kokpit!$U$4:$U$2000,kokpit!$R$4:$R$2000,I17)</f>
        <v>0</v>
      </c>
      <c r="R17" s="24">
        <f>SUMIFS('kokpit-1'!$U$4:$U$2000,'kokpit-1'!$R$4:$R$2000,I17)</f>
        <v>0</v>
      </c>
      <c r="S17" s="24">
        <f>SUMIFS('kokpit-1'!$V$4:$V$2000,'kokpit-1'!$R$4:$R$2000,I17)</f>
        <v>0</v>
      </c>
      <c r="T17" s="24">
        <f>SUMIFS('kokpit-1'!$U$4:$U$2000,'kokpit-1'!$R$4:$R$2000,I17)-SUMIFS('kokpit-1'!$V$4:$V$2000,'kokpit-1'!$R$4:$R$2000,I17)</f>
        <v>0</v>
      </c>
      <c r="U17" s="24">
        <f>SUMIFS('kokpit-1'!$V$4:$V$2000,'kokpit-1'!$R$4:$R$2000,I17)-SUMIFS('kokpit-1'!$U$4:$U$2000,'kokpit-1'!$R$4:$R$2000,I17)</f>
        <v>0</v>
      </c>
    </row>
    <row r="18" spans="1:21" x14ac:dyDescent="0.3">
      <c r="A18" s="114"/>
      <c r="B18" s="114" t="str">
        <f>IF(H4="pośrednia","","I")</f>
        <v>I</v>
      </c>
      <c r="C18" s="114" t="str">
        <f>IF(H4="pośrednia","10","")</f>
        <v/>
      </c>
      <c r="D18" s="115"/>
      <c r="E18" s="233" t="str">
        <f>IF(H4="pośrednia","Inne korekty","Wpływy")</f>
        <v>Wpływy</v>
      </c>
      <c r="F18" s="233"/>
      <c r="G18" s="185" t="str">
        <f>IFERROR(IF(H3="ZŁ",IF(H4="pośrednia",IF(K18="Wn",M18,IF(K18="Ma",N18,IF(K18="Wn-Ma",O18,IF(K18="Ma-Wn",P18,"")))),G19+G20+G21+G29),(IF(H4="pośrednia",(IF(K18="Wn",M18,IF(K18="Ma",N18,IF(K18="Wn-Ma",O18,IF(K18="Ma-Wn",P18,"")))))/1000,G19+G20+G21+G29))),"")</f>
        <v/>
      </c>
      <c r="H18" s="185" t="str">
        <f>IFERROR(IF(H3="ZŁ",IF(H4="pośrednia",IF(K18="Wn",R18,IF(K18="Ma",S18,IF(K18="Wn-Ma",T18,IF(K18="Ma-Wn",U18,"")))),H19+H20+H21+H29),(IF(H4="pośrednia",(IF(K18="Wn",R18,IF(K18="Ma",S18,IF(K18="Wn-Ma",T18,IF(K18="Ma-Wn",U18,"")))))/1000,H19+H20+H21+H29))),"")</f>
        <v/>
      </c>
      <c r="I18" s="116" t="str">
        <f>IF(H4="pośrednia",A6&amp;B8&amp;C18,A17&amp;B18)</f>
        <v>BI</v>
      </c>
      <c r="J18" s="117"/>
      <c r="M18" s="24">
        <f>SUMIFS(kokpit!$U$4:$U$2000,kokpit!$R$4:$R$2000,I18)</f>
        <v>0</v>
      </c>
      <c r="N18" s="24">
        <f>SUMIFS(kokpit!$V$4:$V$2000,kokpit!$R$4:$R$2000,I18)</f>
        <v>0</v>
      </c>
      <c r="O18" s="24">
        <f>SUMIFS(kokpit!$U$4:$U$2000,kokpit!$R$4:$R$2000,I18)-SUMIFS(kokpit!$V$4:$V$2000,kokpit!$R$4:$R$2000,I18)</f>
        <v>0</v>
      </c>
      <c r="P18" s="24">
        <f>SUMIFS(kokpit!$V$4:$V$2000,kokpit!$R$4:$R$2000,I18)-SUMIFS(kokpit!$U$4:$U$2000,kokpit!$R$4:$R$2000,I18)</f>
        <v>0</v>
      </c>
      <c r="R18" s="24">
        <f>SUMIFS('kokpit-1'!$U$4:$U$2000,'kokpit-1'!$R$4:$R$2000,I18)</f>
        <v>0</v>
      </c>
      <c r="S18" s="24">
        <f>SUMIFS('kokpit-1'!$V$4:$V$2000,'kokpit-1'!$R$4:$R$2000,I18)</f>
        <v>0</v>
      </c>
      <c r="T18" s="24">
        <f>SUMIFS('kokpit-1'!$U$4:$U$2000,'kokpit-1'!$R$4:$R$2000,I18)-SUMIFS('kokpit-1'!$V$4:$V$2000,'kokpit-1'!$R$4:$R$2000,I18)</f>
        <v>0</v>
      </c>
      <c r="U18" s="24">
        <f>SUMIFS('kokpit-1'!$V$4:$V$2000,'kokpit-1'!$R$4:$R$2000,I18)-SUMIFS('kokpit-1'!$U$4:$U$2000,'kokpit-1'!$R$4:$R$2000,I18)</f>
        <v>0</v>
      </c>
    </row>
    <row r="19" spans="1:21" x14ac:dyDescent="0.3">
      <c r="A19" s="114"/>
      <c r="B19" s="114" t="str">
        <f>IF(H4="pośrednia","III","")</f>
        <v/>
      </c>
      <c r="C19" s="114" t="str">
        <f>IF(H4="pośrednia","","1")</f>
        <v>1</v>
      </c>
      <c r="D19" s="115"/>
      <c r="E19" s="233" t="str">
        <f>IF(H4="pośrednia","Przepływy pieniężne netto z działalności operacyjnej (I+/-II)","Zbycie wartości niematerialnych i prawnych oraz rzeczowych aktywów trwałych")</f>
        <v>Zbycie wartości niematerialnych i prawnych oraz rzeczowych aktywów trwałych</v>
      </c>
      <c r="F19" s="233"/>
      <c r="G19" s="185" t="str">
        <f>IFERROR(IF(H3="ZŁ",IF(H4="pośrednia",G7+G8,IF(K18="Wn",M18,IF(K18="Ma",N18,IF(K18="Wn-Ma",O18,IF(K18="Ma-Wn",P18,""))))),IF(H4="pośrednia",(G7+G8),(IF(K18="Wn",M18,IF(K18="Ma",N18,IF(K18="Wn-Ma",O18,IF(K18="Ma-Wn",P18,"")))))/1000)),"")</f>
        <v/>
      </c>
      <c r="H19" s="185" t="str">
        <f>IFERROR(IF(H3="ZŁ",IF(H4="pośrednia",H7+H8,IF(K18="Wn",R18,IF(K18="Ma",S18,IF(K18="Wn-Ma",T18,IF(K18="Ma-Wn",U18,""))))),IF(H4="pośrednia",(H7+H8),(IF(K18="Wn",R18,IF(K18="Ma",S18,IF(K18="Wn-Ma",T18,IF(K18="Ma-Wn",U18,"")))))/1000)),"")</f>
        <v/>
      </c>
      <c r="I19" s="116" t="str">
        <f>IF(H4="pośrednia",A6&amp;B19,A17&amp;B18&amp;C19)</f>
        <v>BI1</v>
      </c>
      <c r="J19" s="117"/>
      <c r="M19" s="24">
        <f>SUMIFS(kokpit!$U$4:$U$2000,kokpit!$R$4:$R$2000,I19)</f>
        <v>0</v>
      </c>
      <c r="N19" s="24">
        <f>SUMIFS(kokpit!$V$4:$V$2000,kokpit!$R$4:$R$2000,I19)</f>
        <v>0</v>
      </c>
      <c r="O19" s="24">
        <f>SUMIFS(kokpit!$U$4:$U$2000,kokpit!$R$4:$R$2000,I19)-SUMIFS(kokpit!$V$4:$V$2000,kokpit!$R$4:$R$2000,I19)</f>
        <v>0</v>
      </c>
      <c r="P19" s="24">
        <f>SUMIFS(kokpit!$V$4:$V$2000,kokpit!$R$4:$R$2000,I19)-SUMIFS(kokpit!$U$4:$U$2000,kokpit!$R$4:$R$2000,I19)</f>
        <v>0</v>
      </c>
      <c r="R19" s="24">
        <f>SUMIFS('kokpit-1'!$U$4:$U$2000,'kokpit-1'!$R$4:$R$2000,I19)</f>
        <v>0</v>
      </c>
      <c r="S19" s="24">
        <f>SUMIFS('kokpit-1'!$V$4:$V$2000,'kokpit-1'!$R$4:$R$2000,I19)</f>
        <v>0</v>
      </c>
      <c r="T19" s="24">
        <f>SUMIFS('kokpit-1'!$U$4:$U$2000,'kokpit-1'!$R$4:$R$2000,I19)-SUMIFS('kokpit-1'!$V$4:$V$2000,'kokpit-1'!$R$4:$R$2000,I19)</f>
        <v>0</v>
      </c>
      <c r="U19" s="24">
        <f>SUMIFS('kokpit-1'!$V$4:$V$2000,'kokpit-1'!$R$4:$R$2000,I19)-SUMIFS('kokpit-1'!$U$4:$U$2000,'kokpit-1'!$R$4:$R$2000,I19)</f>
        <v>0</v>
      </c>
    </row>
    <row r="20" spans="1:21" x14ac:dyDescent="0.3">
      <c r="A20" s="118" t="str">
        <f>IF(H4="pośrednia","B","")</f>
        <v/>
      </c>
      <c r="B20" s="114"/>
      <c r="C20" s="114" t="str">
        <f>IF(H4="pośrednia","","2")</f>
        <v>2</v>
      </c>
      <c r="D20" s="115"/>
      <c r="E20" s="233" t="str">
        <f>IF(H4="pośrednia","Przepływy środków pieniężnych z działalności inwestycyjnej","Zbycie inwestycji w nieruchomości oraz wartości niematerialne i prawne")</f>
        <v>Zbycie inwestycji w nieruchomości oraz wartości niematerialne i prawne</v>
      </c>
      <c r="F20" s="233"/>
      <c r="G20" s="186" t="str">
        <f>IFERROR(IF(H3="ZŁ",IF(H4="pośrednia","",IF(K20="Wn",M20,IF(K20="Ma",N20,IF(K20="Wn-Ma",O20,IF(K20="Ma-Wn",P20,""))))),IF(H4="pośrednia","",(IF(K20="Wn",M20,IF(K20="Ma",N20,IF(K20="Wn-Ma",O20,IF(K20="Ma-Wn",P20,"")))))/1000)),"")</f>
        <v/>
      </c>
      <c r="H20" s="186" t="str">
        <f>IFERROR(IF(H3="ZŁ",IF(H4="pośrednia","",IF(K20="Wn",R20,IF(K20="Ma",S20,IF(K20="Wn-Ma",T20,IF(K20="Ma-Wn",U20,""))))),IF(H4="pośrednia","",(IF(K20="Wn",R20,IF(K20="Ma",S20,IF(K20="Wn-Ma",T20,IF(K20="Ma-Wn",U20,"")))))/1000)),"")</f>
        <v/>
      </c>
      <c r="I20" s="116" t="str">
        <f>IF(H4="pośrednia",A20,A17&amp;B18&amp;C20)</f>
        <v>BI2</v>
      </c>
      <c r="J20" s="117"/>
      <c r="M20" s="24">
        <f>SUMIFS(kokpit!$U$4:$U$2000,kokpit!$R$4:$R$2000,I20)</f>
        <v>0</v>
      </c>
      <c r="N20" s="24">
        <f>SUMIFS(kokpit!$V$4:$V$2000,kokpit!$R$4:$R$2000,I20)</f>
        <v>0</v>
      </c>
      <c r="O20" s="24">
        <f>SUMIFS(kokpit!$U$4:$U$2000,kokpit!$R$4:$R$2000,I20)-SUMIFS(kokpit!$V$4:$V$2000,kokpit!$R$4:$R$2000,I20)</f>
        <v>0</v>
      </c>
      <c r="P20" s="24">
        <f>SUMIFS(kokpit!$V$4:$V$2000,kokpit!$R$4:$R$2000,I20)-SUMIFS(kokpit!$U$4:$U$2000,kokpit!$R$4:$R$2000,I20)</f>
        <v>0</v>
      </c>
      <c r="R20" s="24">
        <f>SUMIFS('kokpit-1'!$U$4:$U$2000,'kokpit-1'!$R$4:$R$2000,I20)</f>
        <v>0</v>
      </c>
      <c r="S20" s="24">
        <f>SUMIFS('kokpit-1'!$V$4:$V$2000,'kokpit-1'!$R$4:$R$2000,I20)</f>
        <v>0</v>
      </c>
      <c r="T20" s="24">
        <f>SUMIFS('kokpit-1'!$U$4:$U$2000,'kokpit-1'!$R$4:$R$2000,I20)-SUMIFS('kokpit-1'!$V$4:$V$2000,'kokpit-1'!$R$4:$R$2000,I20)</f>
        <v>0</v>
      </c>
      <c r="U20" s="24">
        <f>SUMIFS('kokpit-1'!$V$4:$V$2000,'kokpit-1'!$R$4:$R$2000,I20)-SUMIFS('kokpit-1'!$U$4:$U$2000,'kokpit-1'!$R$4:$R$2000,I20)</f>
        <v>0</v>
      </c>
    </row>
    <row r="21" spans="1:21" x14ac:dyDescent="0.3">
      <c r="A21" s="114"/>
      <c r="B21" s="114" t="str">
        <f>IF(H4="pośrednia","I","")</f>
        <v/>
      </c>
      <c r="C21" s="114" t="str">
        <f>IF(H4="pośrednia","","3")</f>
        <v>3</v>
      </c>
      <c r="D21" s="115"/>
      <c r="E21" s="233" t="str">
        <f>IF(H4="pośrednia","Wpływy","Z aktywów finansowych, w tym:")</f>
        <v>Z aktywów finansowych, w tym:</v>
      </c>
      <c r="F21" s="233"/>
      <c r="G21" s="185" t="str">
        <f>IFERROR(IF(H4="pośrednia",G22+G23+G24+G32,G22+G23),"")</f>
        <v/>
      </c>
      <c r="H21" s="185" t="str">
        <f>IFERROR(IF(H4="pośrednia",H22+H23+H24+H32,H22+H23),"")</f>
        <v/>
      </c>
      <c r="I21" s="116" t="str">
        <f>IF(H4="pośrednia",A20&amp;B21,A17&amp;B18&amp;C21)</f>
        <v>BI3</v>
      </c>
      <c r="J21" s="117"/>
      <c r="M21" s="24">
        <f>SUMIFS(kokpit!$U$4:$U$2000,kokpit!$R$4:$R$2000,I21)</f>
        <v>0</v>
      </c>
      <c r="N21" s="24">
        <f>SUMIFS(kokpit!$V$4:$V$2000,kokpit!$R$4:$R$2000,I21)</f>
        <v>0</v>
      </c>
      <c r="O21" s="24">
        <f>SUMIFS(kokpit!$U$4:$U$2000,kokpit!$R$4:$R$2000,I21)-SUMIFS(kokpit!$V$4:$V$2000,kokpit!$R$4:$R$2000,I21)</f>
        <v>0</v>
      </c>
      <c r="P21" s="24">
        <f>SUMIFS(kokpit!$V$4:$V$2000,kokpit!$R$4:$R$2000,I21)-SUMIFS(kokpit!$U$4:$U$2000,kokpit!$R$4:$R$2000,I21)</f>
        <v>0</v>
      </c>
      <c r="R21" s="24">
        <f>SUMIFS('kokpit-1'!$U$4:$U$2000,'kokpit-1'!$R$4:$R$2000,I21)</f>
        <v>0</v>
      </c>
      <c r="S21" s="24">
        <f>SUMIFS('kokpit-1'!$V$4:$V$2000,'kokpit-1'!$R$4:$R$2000,I21)</f>
        <v>0</v>
      </c>
      <c r="T21" s="24">
        <f>SUMIFS('kokpit-1'!$U$4:$U$2000,'kokpit-1'!$R$4:$R$2000,I21)-SUMIFS('kokpit-1'!$V$4:$V$2000,'kokpit-1'!$R$4:$R$2000,I21)</f>
        <v>0</v>
      </c>
      <c r="U21" s="24">
        <f>SUMIFS('kokpit-1'!$V$4:$V$2000,'kokpit-1'!$R$4:$R$2000,I21)-SUMIFS('kokpit-1'!$U$4:$U$2000,'kokpit-1'!$R$4:$R$2000,I21)</f>
        <v>0</v>
      </c>
    </row>
    <row r="22" spans="1:21" x14ac:dyDescent="0.3">
      <c r="A22" s="114"/>
      <c r="B22" s="114"/>
      <c r="C22" s="114" t="str">
        <f>IF(H4="pośrednia","1","")</f>
        <v/>
      </c>
      <c r="D22" s="115" t="str">
        <f>IF(H4="pośrednia","","a")</f>
        <v>a</v>
      </c>
      <c r="E22" s="233" t="str">
        <f>IF(H4="pośrednia","Zbycie wartości niematerialnych i prawnych oraz rzeczowych aktywów trwałych","w jednostkach powiązanych")</f>
        <v>w jednostkach powiązanych</v>
      </c>
      <c r="F22" s="233"/>
      <c r="G22" s="185" t="str">
        <f>IFERROR(IF($H$3="ZŁ",IF(K22="Wn",M22,IF(K22="Ma",N22,IF(K22="Wn-Ma",O22,IF(K22="Ma-Wn",P22,"")))),(IF(K22="Wn",M22,IF(K22="Ma",N22,IF(K22="Wn-Ma",O22,IF(K22="Ma-Wn",P22,"")))))/1000),"")</f>
        <v/>
      </c>
      <c r="H22" s="185" t="str">
        <f>IFERROR(IF($H$3="ZŁ",IF(K22="Wn",R22,IF(K22="Ma",S22,IF(K22="Wn-Ma",T22,IF(K22="Ma-Wn",U22,"")))),(IF(K22="Wn",R22,IF(K22="Ma",S22,IF(K22="Wn-Ma",T22,IF(K22="Ma-Wn",U22,"")))))/1000),"")</f>
        <v/>
      </c>
      <c r="I22" s="116" t="str">
        <f>IF(H4="pośrednia",A20&amp;B21&amp;C22,A17&amp;B18&amp;C21&amp;D22)</f>
        <v>BI3a</v>
      </c>
      <c r="J22" s="117"/>
      <c r="M22" s="24">
        <f>SUMIFS(kokpit!$U$4:$U$2000,kokpit!$R$4:$R$2000,I22)</f>
        <v>0</v>
      </c>
      <c r="N22" s="24">
        <f>SUMIFS(kokpit!$V$4:$V$2000,kokpit!$R$4:$R$2000,I22)</f>
        <v>0</v>
      </c>
      <c r="O22" s="24">
        <f>SUMIFS(kokpit!$U$4:$U$2000,kokpit!$R$4:$R$2000,I22)-SUMIFS(kokpit!$V$4:$V$2000,kokpit!$R$4:$R$2000,I22)</f>
        <v>0</v>
      </c>
      <c r="P22" s="24">
        <f>SUMIFS(kokpit!$V$4:$V$2000,kokpit!$R$4:$R$2000,I22)-SUMIFS(kokpit!$U$4:$U$2000,kokpit!$R$4:$R$2000,I22)</f>
        <v>0</v>
      </c>
      <c r="R22" s="24">
        <f>SUMIFS('kokpit-1'!$U$4:$U$2000,'kokpit-1'!$R$4:$R$2000,I22)</f>
        <v>0</v>
      </c>
      <c r="S22" s="24">
        <f>SUMIFS('kokpit-1'!$V$4:$V$2000,'kokpit-1'!$R$4:$R$2000,I22)</f>
        <v>0</v>
      </c>
      <c r="T22" s="24">
        <f>SUMIFS('kokpit-1'!$U$4:$U$2000,'kokpit-1'!$R$4:$R$2000,I22)-SUMIFS('kokpit-1'!$V$4:$V$2000,'kokpit-1'!$R$4:$R$2000,I22)</f>
        <v>0</v>
      </c>
      <c r="U22" s="24">
        <f>SUMIFS('kokpit-1'!$V$4:$V$2000,'kokpit-1'!$R$4:$R$2000,I22)-SUMIFS('kokpit-1'!$U$4:$U$2000,'kokpit-1'!$R$4:$R$2000,I22)</f>
        <v>0</v>
      </c>
    </row>
    <row r="23" spans="1:21" x14ac:dyDescent="0.3">
      <c r="A23" s="114"/>
      <c r="B23" s="114"/>
      <c r="C23" s="114" t="str">
        <f>IF(H4="pośrednia","2","")</f>
        <v/>
      </c>
      <c r="D23" s="115" t="str">
        <f>IF(H4="pośrednia","","b")</f>
        <v>b</v>
      </c>
      <c r="E23" s="233" t="str">
        <f>IF(H4="pośrenia","Zbycie inwestycji w nieruchomości oraz wartości niematerialne i prawne","w pozostałych jednostkach")</f>
        <v>w pozostałych jednostkach</v>
      </c>
      <c r="F23" s="233"/>
      <c r="G23" s="185">
        <f>IFERROR(IF(H3="ZŁ",IF(H4="pośrednia",IF(K23="Wn",M23,IF(K23="Ma",N23,IF(K23="Wn-Ma",O23,IF(K23="Ma-Wn",P23,"")))),SUM(G24:G28)),IF(H4="pośrednia",(IF(K23="Wn",M23,IF(K23="Ma",N23,IF(K23="Wn-Ma",O23,IF(K23="Ma-Wn",P23,"")))))/1000,SUM(G24:G28))),"")</f>
        <v>0</v>
      </c>
      <c r="H23" s="185">
        <f>IFERROR(IF(H3="ZŁ",IF(H4="pośrednia",IF(K23="Wn",R23,IF(K23="Ma",S23,IF(K23="Wn-Ma",T23,IF(K23="Ma-Wn",U23,"")))),SUM(H24:H28)),IF(H4="pośrednia",(IF(K23="Wn",R23,IF(K23="Ma",S23,IF(K23="Wn-Ma",T23,IF(K23="Ma-Wn",U23,"")))))/1000,SUM(H24:H28))),"")</f>
        <v>0</v>
      </c>
      <c r="I23" s="116" t="str">
        <f>IF(H4="pośrednia",A20&amp;B21&amp;C23,A17&amp;B18&amp;C21&amp;D23)</f>
        <v>BI3b</v>
      </c>
      <c r="J23" s="117"/>
      <c r="M23" s="24">
        <f>SUMIFS(kokpit!$U$4:$U$2000,kokpit!$R$4:$R$2000,I23)</f>
        <v>0</v>
      </c>
      <c r="N23" s="24">
        <f>SUMIFS(kokpit!$V$4:$V$2000,kokpit!$R$4:$R$2000,I23)</f>
        <v>0</v>
      </c>
      <c r="O23" s="24">
        <f>SUMIFS(kokpit!$U$4:$U$2000,kokpit!$R$4:$R$2000,I23)-SUMIFS(kokpit!$V$4:$V$2000,kokpit!$R$4:$R$2000,I23)</f>
        <v>0</v>
      </c>
      <c r="P23" s="24">
        <f>SUMIFS(kokpit!$V$4:$V$2000,kokpit!$R$4:$R$2000,I23)-SUMIFS(kokpit!$U$4:$U$2000,kokpit!$R$4:$R$2000,I23)</f>
        <v>0</v>
      </c>
      <c r="R23" s="24">
        <f>SUMIFS('kokpit-1'!$U$4:$U$2000,'kokpit-1'!$R$4:$R$2000,I23)</f>
        <v>0</v>
      </c>
      <c r="S23" s="24">
        <f>SUMIFS('kokpit-1'!$V$4:$V$2000,'kokpit-1'!$R$4:$R$2000,I23)</f>
        <v>0</v>
      </c>
      <c r="T23" s="24">
        <f>SUMIFS('kokpit-1'!$U$4:$U$2000,'kokpit-1'!$R$4:$R$2000,I23)-SUMIFS('kokpit-1'!$V$4:$V$2000,'kokpit-1'!$R$4:$R$2000,I23)</f>
        <v>0</v>
      </c>
      <c r="U23" s="24">
        <f>SUMIFS('kokpit-1'!$V$4:$V$2000,'kokpit-1'!$R$4:$R$2000,I23)-SUMIFS('kokpit-1'!$U$4:$U$2000,'kokpit-1'!$R$4:$R$2000,I23)</f>
        <v>0</v>
      </c>
    </row>
    <row r="24" spans="1:21" x14ac:dyDescent="0.3">
      <c r="A24" s="114"/>
      <c r="B24" s="114"/>
      <c r="C24" s="114" t="str">
        <f>IF(H4="pośrednia","3","")</f>
        <v/>
      </c>
      <c r="D24" s="115" t="str">
        <f>IF(H4="pośrednia","","-1")</f>
        <v>-1</v>
      </c>
      <c r="E24" s="234" t="str">
        <f>IF(H4="pośrednia","Z aktywów finansowych, w tym:","- zbycie aktywów finansowych,")</f>
        <v>- zbycie aktywów finansowych,</v>
      </c>
      <c r="F24" s="234"/>
      <c r="G24" s="185" t="str">
        <f>IFERROR(IF(H3="ZŁ",IF(H4="pośrednia",G25+G26,IF(K24="Wn",M24,IF(K24="Ma",N24,IF(K24="Wn-Ma",O24,IF(K24="Ma-Wn",P24,""))))),(IF(H4="pośrednia",G25+G26,(IF(K24="Wn",M24,IF(K24="Ma",N24,IF(K24="Wn-Ma",O24,IF(K24="Ma-Wn",P24,""))))))/1000)),"")</f>
        <v/>
      </c>
      <c r="H24" s="185" t="str">
        <f>IFERROR(IF(H3="ZŁ",IF(H4="pośrednia",H25+H26,IF(K24="Wn",R24,IF(K24="Ma",S24,IF(K24="Wn-Ma",T24,IF(K24="Ma-Wn",U24,""))))),(IF(H4="pośrednia",H25+H26,(IF(K24="Wn",R24,IF(K24="Ma",S24,IF(K24="Wn-Ma",T24,IF(K24="Ma-Wn",U24,""))))))/1000)),"")</f>
        <v/>
      </c>
      <c r="I24" s="116" t="str">
        <f>IF(H4="pośrednia",A20&amp;B21&amp;C24,A17&amp;B18&amp;C21&amp;D24)</f>
        <v>BI3-1</v>
      </c>
      <c r="J24" s="117"/>
      <c r="M24" s="24">
        <f>SUMIFS(kokpit!$U$4:$U$2000,kokpit!$R$4:$R$2000,I24)</f>
        <v>0</v>
      </c>
      <c r="N24" s="24">
        <f>SUMIFS(kokpit!$V$4:$V$2000,kokpit!$R$4:$R$2000,I24)</f>
        <v>0</v>
      </c>
      <c r="O24" s="24">
        <f>SUMIFS(kokpit!$U$4:$U$2000,kokpit!$R$4:$R$2000,I24)-SUMIFS(kokpit!$V$4:$V$2000,kokpit!$R$4:$R$2000,I24)</f>
        <v>0</v>
      </c>
      <c r="P24" s="24">
        <f>SUMIFS(kokpit!$V$4:$V$2000,kokpit!$R$4:$R$2000,I24)-SUMIFS(kokpit!$U$4:$U$2000,kokpit!$R$4:$R$2000,I24)</f>
        <v>0</v>
      </c>
      <c r="R24" s="24">
        <f>SUMIFS('kokpit-1'!$U$4:$U$2000,'kokpit-1'!$R$4:$R$2000,I24)</f>
        <v>0</v>
      </c>
      <c r="S24" s="24">
        <f>SUMIFS('kokpit-1'!$V$4:$V$2000,'kokpit-1'!$R$4:$R$2000,I24)</f>
        <v>0</v>
      </c>
      <c r="T24" s="24">
        <f>SUMIFS('kokpit-1'!$U$4:$U$2000,'kokpit-1'!$R$4:$R$2000,I24)-SUMIFS('kokpit-1'!$V$4:$V$2000,'kokpit-1'!$R$4:$R$2000,I24)</f>
        <v>0</v>
      </c>
      <c r="U24" s="24">
        <f>SUMIFS('kokpit-1'!$V$4:$V$2000,'kokpit-1'!$R$4:$R$2000,I24)-SUMIFS('kokpit-1'!$U$4:$U$2000,'kokpit-1'!$R$4:$R$2000,I24)</f>
        <v>0</v>
      </c>
    </row>
    <row r="25" spans="1:21" x14ac:dyDescent="0.3">
      <c r="A25" s="114"/>
      <c r="B25" s="114"/>
      <c r="C25" s="114"/>
      <c r="D25" s="115" t="str">
        <f>IF(H4="pośrednia","a","-2")</f>
        <v>-2</v>
      </c>
      <c r="E25" s="234" t="str">
        <f>IF(H4="pośrednia","a) w jednostkach powiązanych","- dywidendy i udziały w zyskach")</f>
        <v>- dywidendy i udziały w zyskach</v>
      </c>
      <c r="F25" s="234"/>
      <c r="G25" s="185" t="str">
        <f>IFERROR(IF(H3="ZŁ",IF(K25="Wn",M25,IF(K25="Ma",N25,IF(K25="Wn-Ma",O25,IF(K25="Ma-Wn",P25,"")))),(IF(K25="Wn",M25,IF(K25="Ma",N25,IF(K25="Wn-Ma",O25,IF(K25="Ma-Wn",P25,"")))))/1000),"")</f>
        <v/>
      </c>
      <c r="H25" s="185" t="str">
        <f>IFERROR(IF(H3="ZŁ",IF(K25="Wn",R25,IF(K25="Ma",S25,IF(K25="Wn-Ma",T25,IF(K25="Ma-Wn",U25,"")))),(IF(K25="Wn",R25,IF(K25="Ma",S25,IF(K25="Wn-Ma",T25,IF(K25="Ma-Wn",U25,"")))))/1000),"")</f>
        <v/>
      </c>
      <c r="I25" s="116" t="str">
        <f>IF(H4="pośrednia",A20&amp;B21&amp;C24&amp;D25,A17&amp;B18&amp;C21&amp;D25)</f>
        <v>BI3-2</v>
      </c>
      <c r="J25" s="117"/>
      <c r="M25" s="24">
        <f>SUMIFS(kokpit!$U$4:$U$2000,kokpit!$R$4:$R$2000,I25)</f>
        <v>0</v>
      </c>
      <c r="N25" s="24">
        <f>SUMIFS(kokpit!$V$4:$V$2000,kokpit!$R$4:$R$2000,I25)</f>
        <v>0</v>
      </c>
      <c r="O25" s="24">
        <f>SUMIFS(kokpit!$U$4:$U$2000,kokpit!$R$4:$R$2000,I25)-SUMIFS(kokpit!$V$4:$V$2000,kokpit!$R$4:$R$2000,I25)</f>
        <v>0</v>
      </c>
      <c r="P25" s="24">
        <f>SUMIFS(kokpit!$V$4:$V$2000,kokpit!$R$4:$R$2000,I25)-SUMIFS(kokpit!$U$4:$U$2000,kokpit!$R$4:$R$2000,I25)</f>
        <v>0</v>
      </c>
      <c r="R25" s="24">
        <f>SUMIFS('kokpit-1'!$U$4:$U$2000,'kokpit-1'!$R$4:$R$2000,I25)</f>
        <v>0</v>
      </c>
      <c r="S25" s="24">
        <f>SUMIFS('kokpit-1'!$V$4:$V$2000,'kokpit-1'!$R$4:$R$2000,I25)</f>
        <v>0</v>
      </c>
      <c r="T25" s="24">
        <f>SUMIFS('kokpit-1'!$U$4:$U$2000,'kokpit-1'!$R$4:$R$2000,I25)-SUMIFS('kokpit-1'!$V$4:$V$2000,'kokpit-1'!$R$4:$R$2000,I25)</f>
        <v>0</v>
      </c>
      <c r="U25" s="24">
        <f>SUMIFS('kokpit-1'!$V$4:$V$2000,'kokpit-1'!$R$4:$R$2000,I25)-SUMIFS('kokpit-1'!$U$4:$U$2000,'kokpit-1'!$R$4:$R$2000,I25)</f>
        <v>0</v>
      </c>
    </row>
    <row r="26" spans="1:21" x14ac:dyDescent="0.3">
      <c r="A26" s="114"/>
      <c r="B26" s="114"/>
      <c r="C26" s="114"/>
      <c r="D26" s="115" t="str">
        <f>IF(H4="pośrednia","b","-3")</f>
        <v>-3</v>
      </c>
      <c r="E26" s="234" t="str">
        <f>IF(H4="pośrednia","b) w pozostałych jednostkach","- spłata udzielonych pożyczek długoterminowych")</f>
        <v>- spłata udzielonych pożyczek długoterminowych</v>
      </c>
      <c r="F26" s="234"/>
      <c r="G26" s="185" t="str">
        <f>IFERROR(IF(H3="ZŁ",IF(H4="pośrednia",SUM(G27:G31),IF(K26="Wn",M26,IF(K26="Ma",N26,IF(K26="Wn-Ma",O26,IF(K26="Ma-Wn",P26,""))))),IF(H4="pośrednia",SUM(G27:G31),(IF(K26="Wn",M26,IF(K26="Ma",N26,IF(K26="Wn-Ma",O26,IF(K26="Ma-Wn",P26,"")))))/1000)),"")</f>
        <v/>
      </c>
      <c r="H26" s="185" t="str">
        <f>IFERROR(IF(H3="ZŁ",IF(H4="pośrednia",SUM(H27:H31),IF(K26="Wn",R26,IF(K26="Ma",S26,IF(K26="Wn-Ma",T26,IF(K26="Ma-Wn",U26,""))))),IF(H4="pośrednia",SUM(H27:H31),(IF(K26="Wn",R26,IF(K26="Ma",S26,IF(K26="Wn-Ma",T26,IF(K26="Ma-Wn",U26,"")))))/1000)),"")</f>
        <v/>
      </c>
      <c r="I26" s="116" t="str">
        <f>IF(H4="pośrednia",A20&amp;B21&amp;C24&amp;D26,A17&amp;B18&amp;C21&amp;D26)</f>
        <v>BI3-3</v>
      </c>
      <c r="J26" s="117"/>
      <c r="M26" s="24">
        <f>SUMIFS(kokpit!$U$4:$U$2000,kokpit!$R$4:$R$2000,I26)</f>
        <v>0</v>
      </c>
      <c r="N26" s="24">
        <f>SUMIFS(kokpit!$V$4:$V$2000,kokpit!$R$4:$R$2000,I26)</f>
        <v>0</v>
      </c>
      <c r="O26" s="24">
        <f>SUMIFS(kokpit!$U$4:$U$2000,kokpit!$R$4:$R$2000,I26)-SUMIFS(kokpit!$V$4:$V$2000,kokpit!$R$4:$R$2000,I26)</f>
        <v>0</v>
      </c>
      <c r="P26" s="24">
        <f>SUMIFS(kokpit!$V$4:$V$2000,kokpit!$R$4:$R$2000,I26)-SUMIFS(kokpit!$U$4:$U$2000,kokpit!$R$4:$R$2000,I26)</f>
        <v>0</v>
      </c>
      <c r="R26" s="24">
        <f>SUMIFS('kokpit-1'!$U$4:$U$2000,'kokpit-1'!$R$4:$R$2000,I26)</f>
        <v>0</v>
      </c>
      <c r="S26" s="24">
        <f>SUMIFS('kokpit-1'!$V$4:$V$2000,'kokpit-1'!$R$4:$R$2000,I26)</f>
        <v>0</v>
      </c>
      <c r="T26" s="24">
        <f>SUMIFS('kokpit-1'!$U$4:$U$2000,'kokpit-1'!$R$4:$R$2000,I26)-SUMIFS('kokpit-1'!$V$4:$V$2000,'kokpit-1'!$R$4:$R$2000,I26)</f>
        <v>0</v>
      </c>
      <c r="U26" s="24">
        <f>SUMIFS('kokpit-1'!$V$4:$V$2000,'kokpit-1'!$R$4:$R$2000,I26)-SUMIFS('kokpit-1'!$U$4:$U$2000,'kokpit-1'!$R$4:$R$2000,I26)</f>
        <v>0</v>
      </c>
    </row>
    <row r="27" spans="1:21" x14ac:dyDescent="0.3">
      <c r="A27" s="114"/>
      <c r="B27" s="114"/>
      <c r="C27" s="114"/>
      <c r="D27" s="115" t="str">
        <f>IF(H4="pośrednia","-1","-4")</f>
        <v>-4</v>
      </c>
      <c r="E27" s="234" t="str">
        <f>IF(H4="pośrednia","- zbycie aktywów finansowych","- odsetki")</f>
        <v>- odsetki</v>
      </c>
      <c r="F27" s="234"/>
      <c r="G27" s="185" t="str">
        <f>IFERROR(IF($H$3="ZŁ",IF(K27="Wn",M27,IF(K27="Ma",N27,IF(K27="Wn-Ma",O27,IF(K27="Ma-Wn",P27,"")))),(IF(K27="Wn",M27,IF(K27="Ma",N27,IF(K27="Wn-Ma",O27,IF(K27="Ma-Wn",P27,"")))))/1000),"")</f>
        <v/>
      </c>
      <c r="H27" s="185" t="str">
        <f>IFERROR(IF($H$3="ZŁ",IF(K27="Wn",R27,IF(K27="Ma",S27,IF(K27="Wn-Ma",T27,IF(K27="Ma-Wn",U27,"")))),(IF(K27="Wn",R27,IF(K27="Ma",S27,IF(K27="Wn-Ma",T27,IF(K27="Ma-Wn",U27,"")))))/1000),"")</f>
        <v/>
      </c>
      <c r="I27" s="116" t="str">
        <f>IF(H4="pośrednia",A20&amp;B21&amp;C24&amp;D26&amp;D27,A17&amp;B18&amp;C21&amp;D27)</f>
        <v>BI3-4</v>
      </c>
      <c r="J27" s="117"/>
      <c r="M27" s="24">
        <f>SUMIFS(kokpit!$U$4:$U$2000,kokpit!$R$4:$R$2000,I27)</f>
        <v>0</v>
      </c>
      <c r="N27" s="24">
        <f>SUMIFS(kokpit!$V$4:$V$2000,kokpit!$R$4:$R$2000,I27)</f>
        <v>0</v>
      </c>
      <c r="O27" s="24">
        <f>SUMIFS(kokpit!$U$4:$U$2000,kokpit!$R$4:$R$2000,I27)-SUMIFS(kokpit!$V$4:$V$2000,kokpit!$R$4:$R$2000,I27)</f>
        <v>0</v>
      </c>
      <c r="P27" s="24">
        <f>SUMIFS(kokpit!$V$4:$V$2000,kokpit!$R$4:$R$2000,I27)-SUMIFS(kokpit!$U$4:$U$2000,kokpit!$R$4:$R$2000,I27)</f>
        <v>0</v>
      </c>
      <c r="R27" s="24">
        <f>SUMIFS('kokpit-1'!$U$4:$U$2000,'kokpit-1'!$R$4:$R$2000,I27)</f>
        <v>0</v>
      </c>
      <c r="S27" s="24">
        <f>SUMIFS('kokpit-1'!$V$4:$V$2000,'kokpit-1'!$R$4:$R$2000,I27)</f>
        <v>0</v>
      </c>
      <c r="T27" s="24">
        <f>SUMIFS('kokpit-1'!$U$4:$U$2000,'kokpit-1'!$R$4:$R$2000,I27)-SUMIFS('kokpit-1'!$V$4:$V$2000,'kokpit-1'!$R$4:$R$2000,I27)</f>
        <v>0</v>
      </c>
      <c r="U27" s="24">
        <f>SUMIFS('kokpit-1'!$V$4:$V$2000,'kokpit-1'!$R$4:$R$2000,I27)-SUMIFS('kokpit-1'!$U$4:$U$2000,'kokpit-1'!$R$4:$R$2000,I27)</f>
        <v>0</v>
      </c>
    </row>
    <row r="28" spans="1:21" x14ac:dyDescent="0.3">
      <c r="A28" s="114"/>
      <c r="B28" s="114"/>
      <c r="C28" s="114"/>
      <c r="D28" s="115" t="str">
        <f>IF(H4="pośrednia","-2","-5")</f>
        <v>-5</v>
      </c>
      <c r="E28" s="234" t="str">
        <f>IF(H4="pośrednia","- dywidendy i udziały w zyskach","- inne wpływy z aktywów finansowych")</f>
        <v>- inne wpływy z aktywów finansowych</v>
      </c>
      <c r="F28" s="234"/>
      <c r="G28" s="185" t="str">
        <f>IFERROR(IF($H$3="ZŁ",IF(K28="Wn",M28,IF(K28="Ma",N28,IF(K28="Wn-Ma",O28,IF(K28="Ma-Wn",P28,"")))),(IF(K28="Wn",M28,IF(K28="Ma",N28,IF(K28="Wn-Ma",O28,IF(K28="Ma-Wn",P28,"")))))/1000),"")</f>
        <v/>
      </c>
      <c r="H28" s="185" t="str">
        <f>IFERROR(IF($H$3="ZŁ",IF(K28="Wn",R28,IF(K28="Ma",S28,IF(K28="Wn-Ma",T28,IF(K28="Ma-Wn",U28,"")))),(IF(K28="Wn",R28,IF(K28="Ma",S28,IF(K28="Wn-Ma",T28,IF(K28="Ma-Wn",U28,"")))))/1000),"")</f>
        <v/>
      </c>
      <c r="I28" s="116" t="str">
        <f>IF(H4="pośrednia",A20&amp;B21&amp;C24&amp;D26&amp;D28,A17&amp;B18&amp;C21&amp;D28)</f>
        <v>BI3-5</v>
      </c>
      <c r="J28" s="117"/>
      <c r="M28" s="24">
        <f>SUMIFS(kokpit!$U$4:$U$2000,kokpit!$R$4:$R$2000,I28)</f>
        <v>0</v>
      </c>
      <c r="N28" s="24">
        <f>SUMIFS(kokpit!$V$4:$V$2000,kokpit!$R$4:$R$2000,I28)</f>
        <v>0</v>
      </c>
      <c r="O28" s="24">
        <f>SUMIFS(kokpit!$U$4:$U$2000,kokpit!$R$4:$R$2000,I28)-SUMIFS(kokpit!$V$4:$V$2000,kokpit!$R$4:$R$2000,I28)</f>
        <v>0</v>
      </c>
      <c r="P28" s="24">
        <f>SUMIFS(kokpit!$V$4:$V$2000,kokpit!$R$4:$R$2000,I28)-SUMIFS(kokpit!$U$4:$U$2000,kokpit!$R$4:$R$2000,I28)</f>
        <v>0</v>
      </c>
      <c r="R28" s="24">
        <f>SUMIFS('kokpit-1'!$U$4:$U$2000,'kokpit-1'!$R$4:$R$2000,I28)</f>
        <v>0</v>
      </c>
      <c r="S28" s="24">
        <f>SUMIFS('kokpit-1'!$V$4:$V$2000,'kokpit-1'!$R$4:$R$2000,I28)</f>
        <v>0</v>
      </c>
      <c r="T28" s="24">
        <f>SUMIFS('kokpit-1'!$U$4:$U$2000,'kokpit-1'!$R$4:$R$2000,I28)-SUMIFS('kokpit-1'!$V$4:$V$2000,'kokpit-1'!$R$4:$R$2000,I28)</f>
        <v>0</v>
      </c>
      <c r="U28" s="24">
        <f>SUMIFS('kokpit-1'!$V$4:$V$2000,'kokpit-1'!$R$4:$R$2000,I28)-SUMIFS('kokpit-1'!$U$4:$U$2000,'kokpit-1'!$R$4:$R$2000,I28)</f>
        <v>0</v>
      </c>
    </row>
    <row r="29" spans="1:21" x14ac:dyDescent="0.3">
      <c r="A29" s="114"/>
      <c r="B29" s="114"/>
      <c r="C29" s="114" t="str">
        <f>IF(H4="pośrednia","","4")</f>
        <v>4</v>
      </c>
      <c r="D29" s="115" t="str">
        <f>IF(H4="pośrednia","-3","")</f>
        <v/>
      </c>
      <c r="E29" s="233" t="str">
        <f>IF(H4="pośrednia","- spłata udzielonych pożyczek długoterminowych","Inne wpływy inwestycyjne")</f>
        <v>Inne wpływy inwestycyjne</v>
      </c>
      <c r="F29" s="233"/>
      <c r="G29" s="185" t="str">
        <f>IFERROR(IF($H$3="ZŁ",IF(K29="Wn",M29,IF(K29="Ma",N29,IF(K29="Wn-Ma",O29,IF(K29="Ma-Wn",P29,"")))),(IF(K29="Wn",M29,IF(K29="Ma",N29,IF(K29="Wn-Ma",O29,IF(K29="Ma-Wn",P29,"")))))/1000),"")</f>
        <v/>
      </c>
      <c r="H29" s="185" t="str">
        <f>IFERROR(IF($H$3="ZŁ",IF(K29="Wn",R29,IF(K29="Ma",S29,IF(K29="Wn-Ma",T29,IF(K29="Ma-Wn",U29,"")))),(IF(K29="Wn",R29,IF(K29="Ma",S29,IF(K29="Wn-Ma",T29,IF(K29="Ma-Wn",U29,"")))))/1000),"")</f>
        <v/>
      </c>
      <c r="I29" s="116" t="str">
        <f>IF(H4="pośrednia",A20&amp;B21&amp;C24&amp;D26&amp;D29,A17&amp;B18&amp;C29)</f>
        <v>BI4</v>
      </c>
      <c r="J29" s="117"/>
      <c r="M29" s="24">
        <f>SUMIFS(kokpit!$U$4:$U$2000,kokpit!$R$4:$R$2000,I29)</f>
        <v>0</v>
      </c>
      <c r="N29" s="24">
        <f>SUMIFS(kokpit!$V$4:$V$2000,kokpit!$R$4:$R$2000,I29)</f>
        <v>0</v>
      </c>
      <c r="O29" s="24">
        <f>SUMIFS(kokpit!$U$4:$U$2000,kokpit!$R$4:$R$2000,I29)-SUMIFS(kokpit!$V$4:$V$2000,kokpit!$R$4:$R$2000,I29)</f>
        <v>0</v>
      </c>
      <c r="P29" s="24">
        <f>SUMIFS(kokpit!$V$4:$V$2000,kokpit!$R$4:$R$2000,I29)-SUMIFS(kokpit!$U$4:$U$2000,kokpit!$R$4:$R$2000,I29)</f>
        <v>0</v>
      </c>
      <c r="R29" s="24">
        <f>SUMIFS('kokpit-1'!$U$4:$U$2000,'kokpit-1'!$R$4:$R$2000,I29)</f>
        <v>0</v>
      </c>
      <c r="S29" s="24">
        <f>SUMIFS('kokpit-1'!$V$4:$V$2000,'kokpit-1'!$R$4:$R$2000,I29)</f>
        <v>0</v>
      </c>
      <c r="T29" s="24">
        <f>SUMIFS('kokpit-1'!$U$4:$U$2000,'kokpit-1'!$R$4:$R$2000,I29)-SUMIFS('kokpit-1'!$V$4:$V$2000,'kokpit-1'!$R$4:$R$2000,I29)</f>
        <v>0</v>
      </c>
      <c r="U29" s="24">
        <f>SUMIFS('kokpit-1'!$V$4:$V$2000,'kokpit-1'!$R$4:$R$2000,I29)-SUMIFS('kokpit-1'!$U$4:$U$2000,'kokpit-1'!$R$4:$R$2000,I29)</f>
        <v>0</v>
      </c>
    </row>
    <row r="30" spans="1:21" x14ac:dyDescent="0.3">
      <c r="A30" s="114"/>
      <c r="B30" s="114" t="str">
        <f>IF(H4="pośrednia","","II")</f>
        <v>II</v>
      </c>
      <c r="C30" s="114"/>
      <c r="D30" s="115" t="str">
        <f>IF(H4="pośrednia","-4","")</f>
        <v/>
      </c>
      <c r="E30" s="233" t="str">
        <f>IF(H4="pośrednia","- odsetki","Wydatki")</f>
        <v>Wydatki</v>
      </c>
      <c r="F30" s="233"/>
      <c r="G30" s="185" t="str">
        <f>IFERROR(IF(H3="ZŁ",IF(H4="pośrednia",IF(K30="Wn",M30,IF(K30="Ma",N30,IF(K30="Wn-Ma",O30,IF(K30="Ma-Wn",P30,"")))),G31+G32+G33+G38),IF(H4="pośrednia",IF(K30="Wn",M30,IF(K30="Ma",N30,IF(K30="Wn-Ma",O30,IF(K30="Ma-Wn",P30,""))))/1000,G31+G32+G33+G38)),"")</f>
        <v/>
      </c>
      <c r="H30" s="185" t="str">
        <f>IFERROR(IF(H3="ZŁ",IF(H4="pośrednia",IF(K30="Wn",R30,IF(K30="Ma",S30,IF(K30="Wn-Ma",T30,IF(K30="Ma-Wn",U30,"")))),H31+H32+H33+H38),IF(H4="pośrednia",IF(K30="Wn",R30,IF(K30="Ma",S30,IF(K30="Wn-Ma",T30,IF(K30="Ma-Wn",U30,""))))/1000,H31+H32+H33+H38)),"")</f>
        <v/>
      </c>
      <c r="I30" s="116" t="str">
        <f>IF(H4="pośrednia",A20&amp;B21&amp;C24&amp;D26&amp;D30,A17&amp;B30)</f>
        <v>BII</v>
      </c>
      <c r="J30" s="117"/>
      <c r="M30" s="24">
        <f>SUMIFS(kokpit!$U$4:$U$2000,kokpit!$R$4:$R$2000,I30)</f>
        <v>0</v>
      </c>
      <c r="N30" s="24">
        <f>SUMIFS(kokpit!$V$4:$V$2000,kokpit!$R$4:$R$2000,I30)</f>
        <v>0</v>
      </c>
      <c r="O30" s="24">
        <f>SUMIFS(kokpit!$U$4:$U$2000,kokpit!$R$4:$R$2000,I30)-SUMIFS(kokpit!$V$4:$V$2000,kokpit!$R$4:$R$2000,I30)</f>
        <v>0</v>
      </c>
      <c r="P30" s="24">
        <f>SUMIFS(kokpit!$V$4:$V$2000,kokpit!$R$4:$R$2000,I30)-SUMIFS(kokpit!$U$4:$U$2000,kokpit!$R$4:$R$2000,I30)</f>
        <v>0</v>
      </c>
      <c r="R30" s="24">
        <f>SUMIFS('kokpit-1'!$U$4:$U$2000,'kokpit-1'!$R$4:$R$2000,I30)</f>
        <v>0</v>
      </c>
      <c r="S30" s="24">
        <f>SUMIFS('kokpit-1'!$V$4:$V$2000,'kokpit-1'!$R$4:$R$2000,I30)</f>
        <v>0</v>
      </c>
      <c r="T30" s="24">
        <f>SUMIFS('kokpit-1'!$U$4:$U$2000,'kokpit-1'!$R$4:$R$2000,I30)-SUMIFS('kokpit-1'!$V$4:$V$2000,'kokpit-1'!$R$4:$R$2000,I30)</f>
        <v>0</v>
      </c>
      <c r="U30" s="24">
        <f>SUMIFS('kokpit-1'!$V$4:$V$2000,'kokpit-1'!$R$4:$R$2000,I30)-SUMIFS('kokpit-1'!$U$4:$U$2000,'kokpit-1'!$R$4:$R$2000,I30)</f>
        <v>0</v>
      </c>
    </row>
    <row r="31" spans="1:21" x14ac:dyDescent="0.3">
      <c r="A31" s="114"/>
      <c r="B31" s="114"/>
      <c r="C31" s="114" t="str">
        <f>IF(H4="pośrednia","","1")</f>
        <v>1</v>
      </c>
      <c r="D31" s="115" t="str">
        <f>IF(H4="pośrednia","-5","")</f>
        <v/>
      </c>
      <c r="E31" s="233" t="str">
        <f>IF(H4="pośrednia","- inne wpływy z aktywów finansowych","Nabycie wartości niematerialnych i prawnych oraz rzeczowych aktywów trwałych")</f>
        <v>Nabycie wartości niematerialnych i prawnych oraz rzeczowych aktywów trwałych</v>
      </c>
      <c r="F31" s="233"/>
      <c r="G31" s="185" t="str">
        <f>IFERROR(IF($H$3="ZŁ",IF(K31="Wn",M31,IF(K31="Ma",N31,IF(K31="Wn-Ma",O31,IF(K31="Ma-Wn",P31,"")))),(IF(K31="Wn",M31,IF(K31="Ma",N31,IF(K31="Wn-Ma",O31,IF(K31="Ma-Wn",P31,"")))))/1000),"")</f>
        <v/>
      </c>
      <c r="H31" s="185" t="str">
        <f>IFERROR(IF($H$3="ZŁ",IF(K31="Wn",R31,IF(K31="Ma",S31,IF(K31="Wn-Ma",T31,IF(K31="Ma-Wn",U31,"")))),(IF(K31="Wn",R31,IF(K31="Ma",S31,IF(K31="Wn-Ma",T31,IF(K31="Ma-Wn",U31,"")))))/1000),"")</f>
        <v/>
      </c>
      <c r="I31" s="116" t="str">
        <f>IF(H4="pośrednia",A20&amp;B21&amp;C24&amp;D26&amp;D31,A17&amp;B30&amp;C31)</f>
        <v>BII1</v>
      </c>
      <c r="J31" s="117"/>
      <c r="M31" s="24">
        <f>SUMIFS(kokpit!$U$4:$U$2000,kokpit!$R$4:$R$2000,I31)</f>
        <v>0</v>
      </c>
      <c r="N31" s="24">
        <f>SUMIFS(kokpit!$V$4:$V$2000,kokpit!$R$4:$R$2000,I31)</f>
        <v>0</v>
      </c>
      <c r="O31" s="24">
        <f>SUMIFS(kokpit!$U$4:$U$2000,kokpit!$R$4:$R$2000,I31)-SUMIFS(kokpit!$V$4:$V$2000,kokpit!$R$4:$R$2000,I31)</f>
        <v>0</v>
      </c>
      <c r="P31" s="24">
        <f>SUMIFS(kokpit!$V$4:$V$2000,kokpit!$R$4:$R$2000,I31)-SUMIFS(kokpit!$U$4:$U$2000,kokpit!$R$4:$R$2000,I31)</f>
        <v>0</v>
      </c>
      <c r="R31" s="24">
        <f>SUMIFS('kokpit-1'!$U$4:$U$2000,'kokpit-1'!$R$4:$R$2000,I31)</f>
        <v>0</v>
      </c>
      <c r="S31" s="24">
        <f>SUMIFS('kokpit-1'!$V$4:$V$2000,'kokpit-1'!$R$4:$R$2000,I31)</f>
        <v>0</v>
      </c>
      <c r="T31" s="24">
        <f>SUMIFS('kokpit-1'!$U$4:$U$2000,'kokpit-1'!$R$4:$R$2000,I31)-SUMIFS('kokpit-1'!$V$4:$V$2000,'kokpit-1'!$R$4:$R$2000,I31)</f>
        <v>0</v>
      </c>
      <c r="U31" s="24">
        <f>SUMIFS('kokpit-1'!$V$4:$V$2000,'kokpit-1'!$R$4:$R$2000,I31)-SUMIFS('kokpit-1'!$U$4:$U$2000,'kokpit-1'!$R$4:$R$2000,I31)</f>
        <v>0</v>
      </c>
    </row>
    <row r="32" spans="1:21" x14ac:dyDescent="0.3">
      <c r="A32" s="114"/>
      <c r="B32" s="114"/>
      <c r="C32" s="114" t="str">
        <f>IF(H4="pośrednia","4","2")</f>
        <v>2</v>
      </c>
      <c r="D32" s="115"/>
      <c r="E32" s="233" t="str">
        <f>IF(H4="pośrednia","Inne wpływy inwestycyjne","Inwestycje w nieruchomości oraz wartości niematerialne i prawne")</f>
        <v>Inwestycje w nieruchomości oraz wartości niematerialne i prawne</v>
      </c>
      <c r="F32" s="233"/>
      <c r="G32" s="185" t="str">
        <f>IFERROR(IF($H$3="ZŁ",IF(K32="Wn",M32,IF(K32="Ma",N32,IF(K32="Wn-Ma",O32,IF(K32="Ma-Wn",P32,"")))),(IF(K32="Wn",M32,IF(K32="Ma",N32,IF(K32="Wn-Ma",O32,IF(K32="Ma-Wn",P32,"")))))/1000),"")</f>
        <v/>
      </c>
      <c r="H32" s="185" t="str">
        <f>IFERROR(IF($H$3="ZŁ",IF(K32="Wn",R32,IF(K32="Ma",S32,IF(K32="Wn-Ma",T32,IF(K32="Ma-Wn",U32,"")))),(IF(K32="Wn",R32,IF(K32="Ma",S32,IF(K32="Wn-Ma",T32,IF(K32="Ma-Wn",U32,"")))))/1000),"")</f>
        <v/>
      </c>
      <c r="I32" s="116" t="str">
        <f>IF(H4="pośrednia",A20&amp;B21&amp;C32,A17&amp;B30&amp;C32)</f>
        <v>BII2</v>
      </c>
      <c r="J32" s="117"/>
      <c r="M32" s="24">
        <f>SUMIFS(kokpit!$U$4:$U$2000,kokpit!$R$4:$R$2000,I32)</f>
        <v>0</v>
      </c>
      <c r="N32" s="24">
        <f>SUMIFS(kokpit!$V$4:$V$2000,kokpit!$R$4:$R$2000,I32)</f>
        <v>0</v>
      </c>
      <c r="O32" s="24">
        <f>SUMIFS(kokpit!$U$4:$U$2000,kokpit!$R$4:$R$2000,I32)-SUMIFS(kokpit!$V$4:$V$2000,kokpit!$R$4:$R$2000,I32)</f>
        <v>0</v>
      </c>
      <c r="P32" s="24">
        <f>SUMIFS(kokpit!$V$4:$V$2000,kokpit!$R$4:$R$2000,I32)-SUMIFS(kokpit!$U$4:$U$2000,kokpit!$R$4:$R$2000,I32)</f>
        <v>0</v>
      </c>
      <c r="R32" s="24">
        <f>SUMIFS('kokpit-1'!$U$4:$U$2000,'kokpit-1'!$R$4:$R$2000,I32)</f>
        <v>0</v>
      </c>
      <c r="S32" s="24">
        <f>SUMIFS('kokpit-1'!$V$4:$V$2000,'kokpit-1'!$R$4:$R$2000,I32)</f>
        <v>0</v>
      </c>
      <c r="T32" s="24">
        <f>SUMIFS('kokpit-1'!$U$4:$U$2000,'kokpit-1'!$R$4:$R$2000,I32)-SUMIFS('kokpit-1'!$V$4:$V$2000,'kokpit-1'!$R$4:$R$2000,I32)</f>
        <v>0</v>
      </c>
      <c r="U32" s="24">
        <f>SUMIFS('kokpit-1'!$V$4:$V$2000,'kokpit-1'!$R$4:$R$2000,I32)-SUMIFS('kokpit-1'!$U$4:$U$2000,'kokpit-1'!$R$4:$R$2000,I32)</f>
        <v>0</v>
      </c>
    </row>
    <row r="33" spans="1:21" x14ac:dyDescent="0.3">
      <c r="A33" s="114"/>
      <c r="B33" s="114" t="str">
        <f>IF(H4="pośrednia","II","")</f>
        <v/>
      </c>
      <c r="C33" s="114" t="str">
        <f>IF(H4="pośrednia","","3")</f>
        <v>3</v>
      </c>
      <c r="D33" s="115"/>
      <c r="E33" s="233" t="str">
        <f>IF(H4="pośrednia","Wydatki","Na aktywa finansowe, w tym:")</f>
        <v>Na aktywa finansowe, w tym:</v>
      </c>
      <c r="F33" s="233"/>
      <c r="G33" s="185">
        <f>IFERROR(IF(H4="pośrednia",SUM(G34,G35,G36,G41),SUM(G34:G35)),"")</f>
        <v>0</v>
      </c>
      <c r="H33" s="185" t="str">
        <f>IFERROR(IF(H4="pośrednia",SUM(H34,H35,H36,H41),H34+H35),"")</f>
        <v/>
      </c>
      <c r="I33" s="116" t="str">
        <f>IF(H4="pośrednia",A20&amp;B33,A17&amp;B30&amp;C33)</f>
        <v>BII3</v>
      </c>
      <c r="J33" s="117"/>
      <c r="M33" s="24">
        <f>SUMIFS(kokpit!$U$4:$U$2000,kokpit!$R$4:$R$2000,I33)</f>
        <v>0</v>
      </c>
      <c r="N33" s="24">
        <f>SUMIFS(kokpit!$V$4:$V$2000,kokpit!$R$4:$R$2000,I33)</f>
        <v>0</v>
      </c>
      <c r="O33" s="24">
        <f>SUMIFS(kokpit!$U$4:$U$2000,kokpit!$R$4:$R$2000,I33)-SUMIFS(kokpit!$V$4:$V$2000,kokpit!$R$4:$R$2000,I33)</f>
        <v>0</v>
      </c>
      <c r="P33" s="24">
        <f>SUMIFS(kokpit!$V$4:$V$2000,kokpit!$R$4:$R$2000,I33)-SUMIFS(kokpit!$U$4:$U$2000,kokpit!$R$4:$R$2000,I33)</f>
        <v>0</v>
      </c>
      <c r="R33" s="24">
        <f>SUMIFS('kokpit-1'!$U$4:$U$2000,'kokpit-1'!$R$4:$R$2000,I33)</f>
        <v>0</v>
      </c>
      <c r="S33" s="24">
        <f>SUMIFS('kokpit-1'!$V$4:$V$2000,'kokpit-1'!$R$4:$R$2000,I33)</f>
        <v>0</v>
      </c>
      <c r="T33" s="24">
        <f>SUMIFS('kokpit-1'!$U$4:$U$2000,'kokpit-1'!$R$4:$R$2000,I33)-SUMIFS('kokpit-1'!$V$4:$V$2000,'kokpit-1'!$R$4:$R$2000,I33)</f>
        <v>0</v>
      </c>
      <c r="U33" s="24">
        <f>SUMIFS('kokpit-1'!$V$4:$V$2000,'kokpit-1'!$R$4:$R$2000,I33)-SUMIFS('kokpit-1'!$U$4:$U$2000,'kokpit-1'!$R$4:$R$2000,I33)</f>
        <v>0</v>
      </c>
    </row>
    <row r="34" spans="1:21" x14ac:dyDescent="0.3">
      <c r="A34" s="114"/>
      <c r="B34" s="114"/>
      <c r="C34" s="114" t="str">
        <f>IF(H4="pośrednia","1","")</f>
        <v/>
      </c>
      <c r="D34" s="115" t="str">
        <f>IF(H4="pośrednia","","a")</f>
        <v>a</v>
      </c>
      <c r="E34" s="234" t="str">
        <f>IF(H4="pośrednia","Nabycie wartości niematerialnych i prawnych oraz rzeczowych aktywów trwałych","w jednostkach powiązanych")</f>
        <v>w jednostkach powiązanych</v>
      </c>
      <c r="F34" s="234"/>
      <c r="G34" s="185" t="str">
        <f>IFERROR(IF($H$3="ZŁ",IF(K34="Wn",M34,IF(K34="Ma",N34,IF(K34="Wn-Ma",O34,IF(K34="Ma-Wn",P34,"")))),(IF(K34="Wn",M34,IF(K34="Ma",N34,IF(K34="Wn-Ma",O34,IF(K34="Ma-Wn",P34,"")))))/1000),"")</f>
        <v/>
      </c>
      <c r="H34" s="185" t="str">
        <f>IFERROR(IF($H$3="ZŁ",IF(K34="Wn",R34,IF(K34="Ma",S34,IF(K34="Wn-Ma",T34,IF(K34="Ma-Wn",U34,"")))),(IF(K34="Wn",R34,IF(K34="Ma",S34,IF(K34="Wn-Ma",T34,IF(K34="Ma-Wn",U34,"")))))/1000),"")</f>
        <v/>
      </c>
      <c r="I34" s="116" t="str">
        <f>IF(H4="pośrednia",A20&amp;B33&amp;C34,A17&amp;B30&amp;C33&amp;D34)</f>
        <v>BII3a</v>
      </c>
      <c r="J34" s="117"/>
      <c r="M34" s="24">
        <f>SUMIFS(kokpit!$U$4:$U$2000,kokpit!$R$4:$R$2000,I34)</f>
        <v>0</v>
      </c>
      <c r="N34" s="24">
        <f>SUMIFS(kokpit!$V$4:$V$2000,kokpit!$R$4:$R$2000,I34)</f>
        <v>0</v>
      </c>
      <c r="O34" s="24">
        <f>SUMIFS(kokpit!$U$4:$U$2000,kokpit!$R$4:$R$2000,I34)-SUMIFS(kokpit!$V$4:$V$2000,kokpit!$R$4:$R$2000,I34)</f>
        <v>0</v>
      </c>
      <c r="P34" s="24">
        <f>SUMIFS(kokpit!$V$4:$V$2000,kokpit!$R$4:$R$2000,I34)-SUMIFS(kokpit!$U$4:$U$2000,kokpit!$R$4:$R$2000,I34)</f>
        <v>0</v>
      </c>
      <c r="R34" s="24">
        <f>SUMIFS('kokpit-1'!$U$4:$U$2000,'kokpit-1'!$R$4:$R$2000,I34)</f>
        <v>0</v>
      </c>
      <c r="S34" s="24">
        <f>SUMIFS('kokpit-1'!$V$4:$V$2000,'kokpit-1'!$R$4:$R$2000,I34)</f>
        <v>0</v>
      </c>
      <c r="T34" s="24">
        <f>SUMIFS('kokpit-1'!$U$4:$U$2000,'kokpit-1'!$R$4:$R$2000,I34)-SUMIFS('kokpit-1'!$V$4:$V$2000,'kokpit-1'!$R$4:$R$2000,I34)</f>
        <v>0</v>
      </c>
      <c r="U34" s="24">
        <f>SUMIFS('kokpit-1'!$V$4:$V$2000,'kokpit-1'!$R$4:$R$2000,I34)-SUMIFS('kokpit-1'!$U$4:$U$2000,'kokpit-1'!$R$4:$R$2000,I34)</f>
        <v>0</v>
      </c>
    </row>
    <row r="35" spans="1:21" x14ac:dyDescent="0.3">
      <c r="A35" s="114"/>
      <c r="B35" s="114"/>
      <c r="C35" s="114" t="str">
        <f>IF(H4="pośrednia","2","")</f>
        <v/>
      </c>
      <c r="D35" s="115" t="str">
        <f>IF(H4="pośrednia","","b")</f>
        <v>b</v>
      </c>
      <c r="E35" s="234" t="str">
        <f>IF(H4="pośrednia","Inwestycje w nieruchomości oraz wartości niematerialne i prawne","w pozostałych jednostkach")</f>
        <v>w pozostałych jednostkach</v>
      </c>
      <c r="F35" s="234"/>
      <c r="G35" s="185" t="str">
        <f>IFERROR(IF(H3="ZŁ",IF(H4="pośrednia",IF(K35="Wn",M35,IF(K35="Ma",N35,IF(K35="Wn-Ma",O35,IF(K35="Ma-Wn",P35,"")))),G36+G37),IF(H4="pośrednia",(IF(K35="Wn",M35,IF(K35="Ma",N35,IF(K35="Wn-Ma",O35,IF(K35="Ma-Wn",P35,"")))))/1000,G36+G37)),"")</f>
        <v/>
      </c>
      <c r="H35" s="185" t="str">
        <f>IFERROR(IF(H3="ZŁ",IF(H4="pośrednia",IF(K35="Wn",R35,IF(K35="Ma",S35,IF(K35="Wn-Ma",T35,IF(K35="Ma-Wn",U35,"")))),H36+H37),IF(H4="pośrednia",(IF(K35="Wn",R35,IF(K35="Ma",S35,IF(K35="Wn-Ma",T35,IF(K35="Ma-Wn",U35,"")))))/1000,H36+H37)),"")</f>
        <v/>
      </c>
      <c r="I35" s="116" t="str">
        <f>IF(H4="pośrednia",A20&amp;B33&amp;C35,A17&amp;B30&amp;C33&amp;D35)</f>
        <v>BII3b</v>
      </c>
      <c r="J35" s="117"/>
      <c r="M35" s="24">
        <f>SUMIFS(kokpit!$U$4:$U$2000,kokpit!$R$4:$R$2000,I35)</f>
        <v>0</v>
      </c>
      <c r="N35" s="24">
        <f>SUMIFS(kokpit!$V$4:$V$2000,kokpit!$R$4:$R$2000,I35)</f>
        <v>0</v>
      </c>
      <c r="O35" s="24">
        <f>SUMIFS(kokpit!$U$4:$U$2000,kokpit!$R$4:$R$2000,I35)-SUMIFS(kokpit!$V$4:$V$2000,kokpit!$R$4:$R$2000,I35)</f>
        <v>0</v>
      </c>
      <c r="P35" s="24">
        <f>SUMIFS(kokpit!$V$4:$V$2000,kokpit!$R$4:$R$2000,I35)-SUMIFS(kokpit!$U$4:$U$2000,kokpit!$R$4:$R$2000,I35)</f>
        <v>0</v>
      </c>
      <c r="R35" s="24">
        <f>SUMIFS('kokpit-1'!$U$4:$U$2000,'kokpit-1'!$R$4:$R$2000,I35)</f>
        <v>0</v>
      </c>
      <c r="S35" s="24">
        <f>SUMIFS('kokpit-1'!$V$4:$V$2000,'kokpit-1'!$R$4:$R$2000,I35)</f>
        <v>0</v>
      </c>
      <c r="T35" s="24">
        <f>SUMIFS('kokpit-1'!$U$4:$U$2000,'kokpit-1'!$R$4:$R$2000,I35)-SUMIFS('kokpit-1'!$V$4:$V$2000,'kokpit-1'!$R$4:$R$2000,I35)</f>
        <v>0</v>
      </c>
      <c r="U35" s="24">
        <f>SUMIFS('kokpit-1'!$V$4:$V$2000,'kokpit-1'!$R$4:$R$2000,I35)-SUMIFS('kokpit-1'!$U$4:$U$2000,'kokpit-1'!$R$4:$R$2000,I35)</f>
        <v>0</v>
      </c>
    </row>
    <row r="36" spans="1:21" x14ac:dyDescent="0.3">
      <c r="A36" s="114"/>
      <c r="B36" s="114"/>
      <c r="C36" s="114" t="str">
        <f>IF(H4="pośrednia","3","")</f>
        <v/>
      </c>
      <c r="D36" s="115" t="str">
        <f>IF(H4="pośrednia","","-1")</f>
        <v>-1</v>
      </c>
      <c r="E36" s="234" t="str">
        <f>IF(H4="pośrednia","Na aktywa finansowe, w tym:","- nabycie aktywów finansowych")</f>
        <v>- nabycie aktywów finansowych</v>
      </c>
      <c r="F36" s="234"/>
      <c r="G36" s="185" t="str">
        <f>IFERROR(IF(H3="ZŁ",IF(H4="pośrednia",G37+G38,IF(K36="Wn",M36,IF(K36="Ma",N36,IF(K36="Wn-Ma",O36,IF(K36="Ma-Wn",P36,""))))),IF(H4="pośrednia",G37+G38,(IF(K36="Wn",M36,IF(K36="Ma",N36,IF(K36="Wn-Ma",O36,IF(K36="Ma-Wn",P36,""))))))/1000),"")</f>
        <v/>
      </c>
      <c r="H36" s="185" t="str">
        <f>IFERROR(IF(H3="ZŁ",IF(H4="pośrednia",H37+H38,IF(K36="Wn",R36,IF(K36="Ma",S36,IF(K36="Wn-Ma",T36,IF(K36="Ma-Wn",U36,""))))),IF(H4="pośrednia",H37+H38,(IF(K36="Wn",R36,IF(K36="Ma",S36,IF(K36="Wn-Ma",T36,IF(K36="Ma-Wn",U36,""))))))/1000),"")</f>
        <v/>
      </c>
      <c r="I36" s="116" t="str">
        <f>IF(H4="pośrednia",A20&amp;B33&amp;C36,A17&amp;B30&amp;C33&amp;D35&amp;D36)</f>
        <v>BII3b-1</v>
      </c>
      <c r="J36" s="117"/>
      <c r="M36" s="24">
        <f>SUMIFS(kokpit!$U$4:$U$2000,kokpit!$R$4:$R$2000,I36)</f>
        <v>0</v>
      </c>
      <c r="N36" s="24">
        <f>SUMIFS(kokpit!$V$4:$V$2000,kokpit!$R$4:$R$2000,I36)</f>
        <v>0</v>
      </c>
      <c r="O36" s="24">
        <f>SUMIFS(kokpit!$U$4:$U$2000,kokpit!$R$4:$R$2000,I36)-SUMIFS(kokpit!$V$4:$V$2000,kokpit!$R$4:$R$2000,I36)</f>
        <v>0</v>
      </c>
      <c r="P36" s="24">
        <f>SUMIFS(kokpit!$V$4:$V$2000,kokpit!$R$4:$R$2000,I36)-SUMIFS(kokpit!$U$4:$U$2000,kokpit!$R$4:$R$2000,I36)</f>
        <v>0</v>
      </c>
      <c r="R36" s="24">
        <f>SUMIFS('kokpit-1'!$U$4:$U$2000,'kokpit-1'!$R$4:$R$2000,I36)</f>
        <v>0</v>
      </c>
      <c r="S36" s="24">
        <f>SUMIFS('kokpit-1'!$V$4:$V$2000,'kokpit-1'!$R$4:$R$2000,I36)</f>
        <v>0</v>
      </c>
      <c r="T36" s="24">
        <f>SUMIFS('kokpit-1'!$U$4:$U$2000,'kokpit-1'!$R$4:$R$2000,I36)-SUMIFS('kokpit-1'!$V$4:$V$2000,'kokpit-1'!$R$4:$R$2000,I36)</f>
        <v>0</v>
      </c>
      <c r="U36" s="24">
        <f>SUMIFS('kokpit-1'!$V$4:$V$2000,'kokpit-1'!$R$4:$R$2000,I36)-SUMIFS('kokpit-1'!$U$4:$U$2000,'kokpit-1'!$R$4:$R$2000,I36)</f>
        <v>0</v>
      </c>
    </row>
    <row r="37" spans="1:21" x14ac:dyDescent="0.3">
      <c r="A37" s="114"/>
      <c r="B37" s="114"/>
      <c r="C37" s="114"/>
      <c r="D37" s="115" t="str">
        <f>IF(H4="pośrednia","a","-2")</f>
        <v>-2</v>
      </c>
      <c r="E37" s="234" t="str">
        <f>IF(H4="pośrednia","w jednostkach powiązanych","- udzielone pożyczki długoterminowe")</f>
        <v>- udzielone pożyczki długoterminowe</v>
      </c>
      <c r="F37" s="234"/>
      <c r="G37" s="185" t="str">
        <f>IFERROR(IF($H$3="ZŁ",IF(K37="Wn",M37,IF(K37="Ma",N37,IF(K37="Wn-Ma",O37,IF(K37="Ma-Wn",P37,"")))),(IF(K37="Wn",M37,IF(K37="Ma",N37,IF(K37="Wn-Ma",O37,IF(K37="Ma-Wn",P37,"")))))/1000),"")</f>
        <v/>
      </c>
      <c r="H37" s="185" t="str">
        <f>IFERROR(IF($H$3="ZŁ",IF(K37="Wn",R37,IF(K37="Ma",S37,IF(K37="Wn-Ma",T37,IF(K37="Ma-Wn",U37,"")))),(IF(K37="Wn",R37,IF(K37="Ma",S37,IF(K37="Wn-Ma",T37,IF(K37="Ma-Wn",U37,"")))))/1000),"")</f>
        <v/>
      </c>
      <c r="I37" s="116" t="str">
        <f>IF(H4="pośrednia",A20&amp;B33&amp;C36&amp;D37,A17&amp;B30&amp;C33&amp;D35&amp;D37)</f>
        <v>BII3b-2</v>
      </c>
      <c r="J37" s="117"/>
      <c r="M37" s="24">
        <f>SUMIFS(kokpit!$U$4:$U$2000,kokpit!$R$4:$R$2000,I37)</f>
        <v>0</v>
      </c>
      <c r="N37" s="24">
        <f>SUMIFS(kokpit!$V$4:$V$2000,kokpit!$R$4:$R$2000,I37)</f>
        <v>0</v>
      </c>
      <c r="O37" s="24">
        <f>SUMIFS(kokpit!$U$4:$U$2000,kokpit!$R$4:$R$2000,I37)-SUMIFS(kokpit!$V$4:$V$2000,kokpit!$R$4:$R$2000,I37)</f>
        <v>0</v>
      </c>
      <c r="P37" s="24">
        <f>SUMIFS(kokpit!$V$4:$V$2000,kokpit!$R$4:$R$2000,I37)-SUMIFS(kokpit!$U$4:$U$2000,kokpit!$R$4:$R$2000,I37)</f>
        <v>0</v>
      </c>
      <c r="R37" s="24">
        <f>SUMIFS('kokpit-1'!$U$4:$U$2000,'kokpit-1'!$R$4:$R$2000,I37)</f>
        <v>0</v>
      </c>
      <c r="S37" s="24">
        <f>SUMIFS('kokpit-1'!$V$4:$V$2000,'kokpit-1'!$R$4:$R$2000,I37)</f>
        <v>0</v>
      </c>
      <c r="T37" s="24">
        <f>SUMIFS('kokpit-1'!$U$4:$U$2000,'kokpit-1'!$R$4:$R$2000,I37)-SUMIFS('kokpit-1'!$V$4:$V$2000,'kokpit-1'!$R$4:$R$2000,I37)</f>
        <v>0</v>
      </c>
      <c r="U37" s="24">
        <f>SUMIFS('kokpit-1'!$V$4:$V$2000,'kokpit-1'!$R$4:$R$2000,I37)-SUMIFS('kokpit-1'!$U$4:$U$2000,'kokpit-1'!$R$4:$R$2000,I37)</f>
        <v>0</v>
      </c>
    </row>
    <row r="38" spans="1:21" x14ac:dyDescent="0.3">
      <c r="A38" s="114"/>
      <c r="B38" s="114"/>
      <c r="C38" s="114" t="str">
        <f>IF(H4="pośrednia","","4")</f>
        <v>4</v>
      </c>
      <c r="D38" s="115" t="str">
        <f>IF(H4="pośrednia","b","")</f>
        <v/>
      </c>
      <c r="E38" s="233" t="str">
        <f>IF(H4="pośrenia","w pozostałych jednostkach","Inne wydatki inwestycyjne")</f>
        <v>Inne wydatki inwestycyjne</v>
      </c>
      <c r="F38" s="233"/>
      <c r="G38" s="185" t="str">
        <f>IFERROR(IF(H3="ZŁ",IF(H4="pośrednia",G39+G40,IF(K38="Wn",M38,IF(K38="Ma",N38,IF(K38="Wn-Ma",O38,IF(K38="Ma-Wn",P38,""))))),IF(H4="pośrednia",G39+G40,(IF(K38="Wn",M38,IF(K38="Ma",N38,IF(K38="Wn-Ma",O38,IF(K38="Ma-Wn",P38,""))))))/1000),"")</f>
        <v/>
      </c>
      <c r="H38" s="185" t="str">
        <f>IFERROR(IF(H3="ZŁ",IF(H4="pośrednia",H39+H40,IF(K38="Wn",R38,IF(K38="Ma",S38,IF(K38="Wn-Ma",T38,IF(K38="Ma-Wn",U38,""))))),IF(H4="pośrednia",H39+H40,(IF(K38="Wn",R38,IF(K38="Ma",S38,IF(K38="Wn-Ma",T38,IF(K38="Ma-Wn",U38,""))))))/1000),"")</f>
        <v/>
      </c>
      <c r="I38" s="116" t="str">
        <f>IF(H4="pośrednia",A20&amp;B33&amp;C36&amp;D38,A17&amp;B30&amp;C38)</f>
        <v>BII4</v>
      </c>
      <c r="J38" s="117"/>
      <c r="M38" s="24">
        <f>SUMIFS(kokpit!$U$4:$U$2000,kokpit!$R$4:$R$2000,I38)</f>
        <v>0</v>
      </c>
      <c r="N38" s="24">
        <f>SUMIFS(kokpit!$V$4:$V$2000,kokpit!$R$4:$R$2000,I38)</f>
        <v>0</v>
      </c>
      <c r="O38" s="24">
        <f>SUMIFS(kokpit!$U$4:$U$2000,kokpit!$R$4:$R$2000,I38)-SUMIFS(kokpit!$V$4:$V$2000,kokpit!$R$4:$R$2000,I38)</f>
        <v>0</v>
      </c>
      <c r="P38" s="24">
        <f>SUMIFS(kokpit!$V$4:$V$2000,kokpit!$R$4:$R$2000,I38)-SUMIFS(kokpit!$U$4:$U$2000,kokpit!$R$4:$R$2000,I38)</f>
        <v>0</v>
      </c>
      <c r="R38" s="24">
        <f>SUMIFS('kokpit-1'!$U$4:$U$2000,'kokpit-1'!$R$4:$R$2000,I38)</f>
        <v>0</v>
      </c>
      <c r="S38" s="24">
        <f>SUMIFS('kokpit-1'!$V$4:$V$2000,'kokpit-1'!$R$4:$R$2000,I38)</f>
        <v>0</v>
      </c>
      <c r="T38" s="24">
        <f>SUMIFS('kokpit-1'!$U$4:$U$2000,'kokpit-1'!$R$4:$R$2000,I38)-SUMIFS('kokpit-1'!$V$4:$V$2000,'kokpit-1'!$R$4:$R$2000,I38)</f>
        <v>0</v>
      </c>
      <c r="U38" s="24">
        <f>SUMIFS('kokpit-1'!$V$4:$V$2000,'kokpit-1'!$R$4:$R$2000,I38)-SUMIFS('kokpit-1'!$U$4:$U$2000,'kokpit-1'!$R$4:$R$2000,I38)</f>
        <v>0</v>
      </c>
    </row>
    <row r="39" spans="1:21" x14ac:dyDescent="0.3">
      <c r="A39" s="114"/>
      <c r="B39" s="114" t="str">
        <f>IF(H4="pośrednia","","III")</f>
        <v>III</v>
      </c>
      <c r="C39" s="114"/>
      <c r="D39" s="115" t="str">
        <f>IF(H4="pośrednia","-1","")</f>
        <v/>
      </c>
      <c r="E39" s="233" t="str">
        <f>IF(H4="pośrednia","- nabycie aktywów finansowych","Przepływy pieniężne netto z działalności inwestycyjnej (I-II)")</f>
        <v>Przepływy pieniężne netto z działalności inwestycyjnej (I-II)</v>
      </c>
      <c r="F39" s="233"/>
      <c r="G39" s="185" t="str">
        <f>IFERROR(IF(H3="ZŁ",IF(H4="pośrednia",IF(K39="Wn",M39,IF(K39="Ma",N39,IF(K39="Wn-Ma",O39,IF(K39="Ma-Wn",P39,"")))),G18-G30),IF(H4="pośrednia",(IF(K39="Wn",M39,IF(K39="Ma",N39,IF(K39="Wn-Ma",O39,IF(K39="Ma-Wn",P39,"")))))/1000,G18-G30)),"")</f>
        <v/>
      </c>
      <c r="H39" s="185" t="str">
        <f>IFERROR(IF(H3="ZŁ",IF(H4="pośrednia",IF(K39="Wn",R39,IF(K39="Ma",S39,IF(K39="Wn-Ma",T39,IF(K39="Ma-Wn",U39,"")))),H18-H30),IF(H4="pośrednia",(IF(K39="Wn",R39,IF(K39="Ma",S39,IF(K39="Wn-Ma",T39,IF(K39="Ma-Wn",U39,"")))))/1000,H18-H30)),"")</f>
        <v/>
      </c>
      <c r="I39" s="116" t="str">
        <f>IF(H4="pośrednia",A20&amp;B33&amp;C36&amp;D38&amp;D39,A17&amp;B39)</f>
        <v>BIII</v>
      </c>
      <c r="J39" s="117"/>
      <c r="M39" s="24">
        <f>SUMIFS(kokpit!$U$4:$U$2000,kokpit!$R$4:$R$2000,I39)</f>
        <v>0</v>
      </c>
      <c r="N39" s="24">
        <f>SUMIFS(kokpit!$V$4:$V$2000,kokpit!$R$4:$R$2000,I39)</f>
        <v>0</v>
      </c>
      <c r="O39" s="24">
        <f>SUMIFS(kokpit!$U$4:$U$2000,kokpit!$R$4:$R$2000,I39)-SUMIFS(kokpit!$V$4:$V$2000,kokpit!$R$4:$R$2000,I39)</f>
        <v>0</v>
      </c>
      <c r="P39" s="24">
        <f>SUMIFS(kokpit!$V$4:$V$2000,kokpit!$R$4:$R$2000,I39)-SUMIFS(kokpit!$U$4:$U$2000,kokpit!$R$4:$R$2000,I39)</f>
        <v>0</v>
      </c>
      <c r="R39" s="24">
        <f>SUMIFS('kokpit-1'!$U$4:$U$2000,'kokpit-1'!$R$4:$R$2000,I39)</f>
        <v>0</v>
      </c>
      <c r="S39" s="24">
        <f>SUMIFS('kokpit-1'!$V$4:$V$2000,'kokpit-1'!$R$4:$R$2000,I39)</f>
        <v>0</v>
      </c>
      <c r="T39" s="24">
        <f>SUMIFS('kokpit-1'!$U$4:$U$2000,'kokpit-1'!$R$4:$R$2000,I39)-SUMIFS('kokpit-1'!$V$4:$V$2000,'kokpit-1'!$R$4:$R$2000,I39)</f>
        <v>0</v>
      </c>
      <c r="U39" s="24">
        <f>SUMIFS('kokpit-1'!$V$4:$V$2000,'kokpit-1'!$R$4:$R$2000,I39)-SUMIFS('kokpit-1'!$U$4:$U$2000,'kokpit-1'!$R$4:$R$2000,I39)</f>
        <v>0</v>
      </c>
    </row>
    <row r="40" spans="1:21" x14ac:dyDescent="0.3">
      <c r="A40" s="114" t="str">
        <f>IF(H4="pośrednia","","C")</f>
        <v>C</v>
      </c>
      <c r="B40" s="114"/>
      <c r="C40" s="114"/>
      <c r="D40" s="115" t="str">
        <f>IF(H4="pośrednia","-2","")</f>
        <v/>
      </c>
      <c r="E40" s="233" t="str">
        <f>IF(H4="pośrednia","- udzielone pożyczki długoterminowe","Przepływy środków pieniężnych z działalności finansowej")</f>
        <v>Przepływy środków pieniężnych z działalności finansowej</v>
      </c>
      <c r="F40" s="233"/>
      <c r="G40" s="185" t="str">
        <f>IFERROR(IF(H3="ZŁ",IF(H4="pośrednia",IF(K40="Wn",M40,IF(K40="Ma",N40,IF(K40="Wn-Ma",O40,IF(K40="Ma-Wn",P40,"")))),""),IF(H4="pośrednia",(IF(K40="Wn",M40,IF(K40="Ma",N40,IF(K40="Wn-Ma",O40,IF(K40="Ma-Wn",P40,"")))))/1000,"")),"")</f>
        <v/>
      </c>
      <c r="H40" s="185" t="str">
        <f>IFERROR(IF(H3="ZŁ",IF(H4="pośrednia",IF(K40="Wn",R40,IF(K40="Ma",S40,IF(K40="Wn-Ma",T40,IF(K40="Ma-Wn",U40,"")))),""),IF(H4="pośrednia",(IF(K40="Wn",R40,IF(K40="Ma",S40,IF(K40="Wn-Ma",T40,IF(K40="Ma-Wn",U40,"")))))/1000,"")),"")</f>
        <v/>
      </c>
      <c r="I40" s="116" t="str">
        <f>IF(H4="pośrednia",A20&amp;B33&amp;C36&amp;D38&amp;D40,A40)</f>
        <v>C</v>
      </c>
      <c r="J40" s="117"/>
      <c r="M40" s="24">
        <f>SUMIFS(kokpit!$U$4:$U$2000,kokpit!$R$4:$R$2000,I40)</f>
        <v>0</v>
      </c>
      <c r="N40" s="24">
        <f>SUMIFS(kokpit!$V$4:$V$2000,kokpit!$R$4:$R$2000,I40)</f>
        <v>0</v>
      </c>
      <c r="O40" s="24">
        <f>SUMIFS(kokpit!$U$4:$U$2000,kokpit!$R$4:$R$2000,I40)-SUMIFS(kokpit!$V$4:$V$2000,kokpit!$R$4:$R$2000,I40)</f>
        <v>0</v>
      </c>
      <c r="P40" s="24">
        <f>SUMIFS(kokpit!$V$4:$V$2000,kokpit!$R$4:$R$2000,I40)-SUMIFS(kokpit!$U$4:$U$2000,kokpit!$R$4:$R$2000,I40)</f>
        <v>0</v>
      </c>
      <c r="R40" s="24">
        <f>SUMIFS('kokpit-1'!$U$4:$U$2000,'kokpit-1'!$R$4:$R$2000,I40)</f>
        <v>0</v>
      </c>
      <c r="S40" s="24">
        <f>SUMIFS('kokpit-1'!$V$4:$V$2000,'kokpit-1'!$R$4:$R$2000,I40)</f>
        <v>0</v>
      </c>
      <c r="T40" s="24">
        <f>SUMIFS('kokpit-1'!$U$4:$U$2000,'kokpit-1'!$R$4:$R$2000,I40)-SUMIFS('kokpit-1'!$V$4:$V$2000,'kokpit-1'!$R$4:$R$2000,I40)</f>
        <v>0</v>
      </c>
      <c r="U40" s="24">
        <f>SUMIFS('kokpit-1'!$V$4:$V$2000,'kokpit-1'!$R$4:$R$2000,I40)-SUMIFS('kokpit-1'!$U$4:$U$2000,'kokpit-1'!$R$4:$R$2000,I40)</f>
        <v>0</v>
      </c>
    </row>
    <row r="41" spans="1:21" x14ac:dyDescent="0.3">
      <c r="A41" s="114"/>
      <c r="B41" s="114" t="str">
        <f>IF(H4="pośrednia","","I")</f>
        <v>I</v>
      </c>
      <c r="C41" s="114" t="str">
        <f>IF(H4="pośrednia","4","")</f>
        <v/>
      </c>
      <c r="D41" s="115"/>
      <c r="E41" s="233" t="str">
        <f>IF(H4="pośrednia","Inne wydatki inwestycyjne","Wpływy")</f>
        <v>Wpływy</v>
      </c>
      <c r="F41" s="233"/>
      <c r="G41" s="185">
        <f>IFERROR(IF(H3="ZŁ",IF(H4="pośrednia",IF(K41="Wn",M41,IF(K41="Ma",N41,IF(K41="Wn-Ma",O41,IF(K41="Ma-Wn",P41,"")))),SUM(G42:G45)),IF(H4="pośrednia",(IF(K41="Wn",M41,IF(K41="Ma",N41,IF(K41="Wn-Ma",O41,IF(K41="Ma-Wn",P41,"")))))/1000,SUM(G42:G45))),"")</f>
        <v>0</v>
      </c>
      <c r="H41" s="185">
        <f>IFERROR(IF(H3="ZŁ",IF(H4="pośrednia",IF(K41="Wn",R41,IF(K41="Ma",S41,IF(K41="Wn-Ma",T41,IF(K41="Ma-Wn",U41,"")))),SUM(H42:H45)),IF(H4="pośrednia",(IF(K41="Wn",R41,IF(K41="Ma",S41,IF(K41="Wn-Ma",T41,IF(K41="Ma-Wn",U41,"")))))/1000,SUM(H42:H45))),"")</f>
        <v>0</v>
      </c>
      <c r="I41" s="116" t="str">
        <f>IF(H4="pośrednia",A20&amp;B33&amp;C41,A40&amp;B41)</f>
        <v>CI</v>
      </c>
      <c r="J41" s="117"/>
      <c r="M41" s="24">
        <f>SUMIFS(kokpit!$U$4:$U$2000,kokpit!$R$4:$R$2000,I41)</f>
        <v>0</v>
      </c>
      <c r="N41" s="24">
        <f>SUMIFS(kokpit!$V$4:$V$2000,kokpit!$R$4:$R$2000,I41)</f>
        <v>0</v>
      </c>
      <c r="O41" s="24">
        <f>SUMIFS(kokpit!$U$4:$U$2000,kokpit!$R$4:$R$2000,I41)-SUMIFS(kokpit!$V$4:$V$2000,kokpit!$R$4:$R$2000,I41)</f>
        <v>0</v>
      </c>
      <c r="P41" s="24">
        <f>SUMIFS(kokpit!$V$4:$V$2000,kokpit!$R$4:$R$2000,I41)-SUMIFS(kokpit!$U$4:$U$2000,kokpit!$R$4:$R$2000,I41)</f>
        <v>0</v>
      </c>
      <c r="R41" s="24">
        <f>SUMIFS('kokpit-1'!$U$4:$U$2000,'kokpit-1'!$R$4:$R$2000,I41)</f>
        <v>0</v>
      </c>
      <c r="S41" s="24">
        <f>SUMIFS('kokpit-1'!$V$4:$V$2000,'kokpit-1'!$R$4:$R$2000,I41)</f>
        <v>0</v>
      </c>
      <c r="T41" s="24">
        <f>SUMIFS('kokpit-1'!$U$4:$U$2000,'kokpit-1'!$R$4:$R$2000,I41)-SUMIFS('kokpit-1'!$V$4:$V$2000,'kokpit-1'!$R$4:$R$2000,I41)</f>
        <v>0</v>
      </c>
      <c r="U41" s="24">
        <f>SUMIFS('kokpit-1'!$V$4:$V$2000,'kokpit-1'!$R$4:$R$2000,I41)-SUMIFS('kokpit-1'!$U$4:$U$2000,'kokpit-1'!$R$4:$R$2000,I41)</f>
        <v>0</v>
      </c>
    </row>
    <row r="42" spans="1:21" x14ac:dyDescent="0.3">
      <c r="A42" s="114"/>
      <c r="B42" s="114" t="str">
        <f>IF(H4="pośrednia","III","")</f>
        <v/>
      </c>
      <c r="C42" s="114" t="str">
        <f>IF(H4="pośrednia","","1")</f>
        <v>1</v>
      </c>
      <c r="D42" s="115"/>
      <c r="E42" s="233" t="str">
        <f>IF(H4="pośrednia","Przepływy pieniężne netto z działalności inwestycyjnej (I-II)","Wpływy netto z wydania udziałów (emisji akcji) i innych instrumentów kapitałowych oraz dopłat do kapitału")</f>
        <v>Wpływy netto z wydania udziałów (emisji akcji) i innych instrumentów kapitałowych oraz dopłat do kapitału</v>
      </c>
      <c r="F42" s="233"/>
      <c r="G42" s="185" t="str">
        <f>IFERROR(IF(H3="ZŁ",IF(H4="pośrednia",G21-G33,IF(K42="Wn",M42,IF(K42="Ma",N42,IF(K42="Wn-Ma",O42,IF(K42="Ma-Wn",P42,""))))),IF(H4="pośrednia",G21-G33,(IF(K42="Wn",M42,IF(K42="Ma",N42,IF(K42="Wn-Ma",O42,IF(K42="Ma-Wn",P42,""))))))/1000),"")</f>
        <v/>
      </c>
      <c r="H42" s="185" t="str">
        <f>IFERROR(IF(H3="ZŁ",IF(H4="pośrednia",H21-H33,IF(K42="Wn",R42,IF(K42="Ma",S42,IF(K42="Wn-Ma",T42,IF(K42="Ma-Wn",U42,""))))),IF(H4="pośrednia",H21-H33,(IF(K42="Wn",R42,IF(K42="Ma",S42,IF(K42="Wn-Ma",T42,IF(K42="Ma-Wn",U42,""))))))/1000),"")</f>
        <v/>
      </c>
      <c r="I42" s="116" t="str">
        <f>IF(H4="pośrednia",A20&amp;B42,A40&amp;B41&amp;C42)</f>
        <v>CI1</v>
      </c>
      <c r="J42" s="117"/>
      <c r="M42" s="24">
        <f>SUMIFS(kokpit!$U$4:$U$2000,kokpit!$R$4:$R$2000,I42)</f>
        <v>0</v>
      </c>
      <c r="N42" s="24">
        <f>SUMIFS(kokpit!$V$4:$V$2000,kokpit!$R$4:$R$2000,I42)</f>
        <v>0</v>
      </c>
      <c r="O42" s="24">
        <f>SUMIFS(kokpit!$U$4:$U$2000,kokpit!$R$4:$R$2000,I42)-SUMIFS(kokpit!$V$4:$V$2000,kokpit!$R$4:$R$2000,I42)</f>
        <v>0</v>
      </c>
      <c r="P42" s="24">
        <f>SUMIFS(kokpit!$V$4:$V$2000,kokpit!$R$4:$R$2000,I42)-SUMIFS(kokpit!$U$4:$U$2000,kokpit!$R$4:$R$2000,I42)</f>
        <v>0</v>
      </c>
      <c r="R42" s="24">
        <f>SUMIFS('kokpit-1'!$U$4:$U$2000,'kokpit-1'!$R$4:$R$2000,I42)</f>
        <v>0</v>
      </c>
      <c r="S42" s="24">
        <f>SUMIFS('kokpit-1'!$V$4:$V$2000,'kokpit-1'!$R$4:$R$2000,I42)</f>
        <v>0</v>
      </c>
      <c r="T42" s="24">
        <f>SUMIFS('kokpit-1'!$U$4:$U$2000,'kokpit-1'!$R$4:$R$2000,I42)-SUMIFS('kokpit-1'!$V$4:$V$2000,'kokpit-1'!$R$4:$R$2000,I42)</f>
        <v>0</v>
      </c>
      <c r="U42" s="24">
        <f>SUMIFS('kokpit-1'!$V$4:$V$2000,'kokpit-1'!$R$4:$R$2000,I42)-SUMIFS('kokpit-1'!$U$4:$U$2000,'kokpit-1'!$R$4:$R$2000,I42)</f>
        <v>0</v>
      </c>
    </row>
    <row r="43" spans="1:21" x14ac:dyDescent="0.3">
      <c r="A43" s="114" t="str">
        <f>IF(H4="pośrednia","C","")</f>
        <v/>
      </c>
      <c r="B43" s="114"/>
      <c r="C43" s="114" t="str">
        <f>IF(H4="pośrednia","","2")</f>
        <v>2</v>
      </c>
      <c r="D43" s="115"/>
      <c r="E43" s="235" t="str">
        <f>IF(H4="pośrednia","Przepływy środków pieniężnych z działalności finansowej","Kredyty i pożyczki")</f>
        <v>Kredyty i pożyczki</v>
      </c>
      <c r="F43" s="235"/>
      <c r="G43" s="186" t="str">
        <f>IFERROR(IF(H3="ZŁ",IF(H4="pośrednia","",IF(K43="Wn",M43,IF(K43="Ma",N43,IF(K43="Wn-Ma",O43,IF(K43="Ma-Wn",P43,""))))),IF(H4="pośrednia","",(IF(K43="Wn",M43,IF(K43="Ma",N43,IF(K43="Wn-Ma",O43,IF(K43="Ma-Wn",P43,"")))))))/1000,"")</f>
        <v/>
      </c>
      <c r="H43" s="186" t="str">
        <f>IFERROR(IF(H3="ZŁ",IF(H4="pośrednia","",IF(K43="Wn",R43,IF(K43="Ma",S43,IF(K43="Wn-Ma",T43,IF(K43="Ma-Wn",U43,""))))),IF(H4="pośrednia","",(IF(K43="Wn",R43,IF(K43="Ma",S43,IF(K43="Wn-Ma",T43,IF(K43="Ma-Wn",U43,"")))))))/1000,"")</f>
        <v/>
      </c>
      <c r="I43" s="116" t="str">
        <f>IF(H4="pośrednia",A43,A40&amp;B41&amp;C43)</f>
        <v>CI2</v>
      </c>
      <c r="J43" s="117"/>
      <c r="M43" s="24">
        <f>SUMIFS(kokpit!$U$4:$U$2000,kokpit!$R$4:$R$2000,I43)</f>
        <v>0</v>
      </c>
      <c r="N43" s="24">
        <f>SUMIFS(kokpit!$V$4:$V$2000,kokpit!$R$4:$R$2000,I43)</f>
        <v>0</v>
      </c>
      <c r="O43" s="24">
        <f>SUMIFS(kokpit!$U$4:$U$2000,kokpit!$R$4:$R$2000,I43)-SUMIFS(kokpit!$V$4:$V$2000,kokpit!$R$4:$R$2000,I43)</f>
        <v>0</v>
      </c>
      <c r="P43" s="24">
        <f>SUMIFS(kokpit!$V$4:$V$2000,kokpit!$R$4:$R$2000,I43)-SUMIFS(kokpit!$U$4:$U$2000,kokpit!$R$4:$R$2000,I43)</f>
        <v>0</v>
      </c>
      <c r="R43" s="24">
        <f>SUMIFS('kokpit-1'!$U$4:$U$2000,'kokpit-1'!$R$4:$R$2000,I43)</f>
        <v>0</v>
      </c>
      <c r="S43" s="24">
        <f>SUMIFS('kokpit-1'!$V$4:$V$2000,'kokpit-1'!$R$4:$R$2000,I43)</f>
        <v>0</v>
      </c>
      <c r="T43" s="24">
        <f>SUMIFS('kokpit-1'!$U$4:$U$2000,'kokpit-1'!$R$4:$R$2000,I43)-SUMIFS('kokpit-1'!$V$4:$V$2000,'kokpit-1'!$R$4:$R$2000,I43)</f>
        <v>0</v>
      </c>
      <c r="U43" s="24">
        <f>SUMIFS('kokpit-1'!$V$4:$V$2000,'kokpit-1'!$R$4:$R$2000,I43)-SUMIFS('kokpit-1'!$U$4:$U$2000,'kokpit-1'!$R$4:$R$2000,I43)</f>
        <v>0</v>
      </c>
    </row>
    <row r="44" spans="1:21" x14ac:dyDescent="0.3">
      <c r="A44" s="114"/>
      <c r="B44" s="114" t="str">
        <f>IF(H4="pośrednia","I","")</f>
        <v/>
      </c>
      <c r="C44" s="114" t="str">
        <f>IF(H4="pośrednia","","3")</f>
        <v>3</v>
      </c>
      <c r="D44" s="115"/>
      <c r="E44" s="233" t="str">
        <f>IF(H4="pośrednia","Wpływy","Emisja dłużnych papierów wartościowych")</f>
        <v>Emisja dłużnych papierów wartościowych</v>
      </c>
      <c r="F44" s="233"/>
      <c r="G44" s="185" t="str">
        <f>IFERROR(IF(H3="ZŁ",IF(H4="pośrednia",SUM(G45:G48),IF(K44="Wn",M44,IF(K44="Ma",N44,IF(K44="Wn-Ma",O44,IF(K44="Ma-Wn",P44,""))))),IF(H4="pośrednia",SUM(G45:G48),(IF(K44="Wn",M44,IF(K44="Ma",N44,IF(K44="Wn-Ma",O44,IF(K44="Ma-Wn",P44,"")))))/1000)),"")</f>
        <v/>
      </c>
      <c r="H44" s="185" t="str">
        <f>IFERROR(IF(H3="ZŁ",IF(H4="pośrednia",SUM(H45:H48),IF(K44="Wn",R44,IF(K44="Ma",S44,IF(K44="Wn-Ma",T44,IF(K44="Ma-Wn",U44,""))))),IF(H4="pośrednia",SUM(H45:H48),(IF(K44="Wn",R44,IF(K44="Ma",S44,IF(K44="Wn-Ma",T44,IF(K44="Ma-Wn",U44,"")))))/1000)),"")</f>
        <v/>
      </c>
      <c r="I44" s="116" t="str">
        <f>IF(H4="pośrednia",A43&amp;B44,A40&amp;B41&amp;C44)</f>
        <v>CI3</v>
      </c>
      <c r="J44" s="117"/>
      <c r="M44" s="24">
        <f>SUMIFS(kokpit!$U$4:$U$2000,kokpit!$R$4:$R$2000,I44)</f>
        <v>0</v>
      </c>
      <c r="N44" s="24">
        <f>SUMIFS(kokpit!$V$4:$V$2000,kokpit!$R$4:$R$2000,I44)</f>
        <v>0</v>
      </c>
      <c r="O44" s="24">
        <f>SUMIFS(kokpit!$U$4:$U$2000,kokpit!$R$4:$R$2000,I44)-SUMIFS(kokpit!$V$4:$V$2000,kokpit!$R$4:$R$2000,I44)</f>
        <v>0</v>
      </c>
      <c r="P44" s="24">
        <f>SUMIFS(kokpit!$V$4:$V$2000,kokpit!$R$4:$R$2000,I44)-SUMIFS(kokpit!$U$4:$U$2000,kokpit!$R$4:$R$2000,I44)</f>
        <v>0</v>
      </c>
      <c r="R44" s="24">
        <f>SUMIFS('kokpit-1'!$U$4:$U$2000,'kokpit-1'!$R$4:$R$2000,I44)</f>
        <v>0</v>
      </c>
      <c r="S44" s="24">
        <f>SUMIFS('kokpit-1'!$V$4:$V$2000,'kokpit-1'!$R$4:$R$2000,I44)</f>
        <v>0</v>
      </c>
      <c r="T44" s="24">
        <f>SUMIFS('kokpit-1'!$U$4:$U$2000,'kokpit-1'!$R$4:$R$2000,I44)-SUMIFS('kokpit-1'!$V$4:$V$2000,'kokpit-1'!$R$4:$R$2000,I44)</f>
        <v>0</v>
      </c>
      <c r="U44" s="24">
        <f>SUMIFS('kokpit-1'!$V$4:$V$2000,'kokpit-1'!$R$4:$R$2000,I44)-SUMIFS('kokpit-1'!$U$4:$U$2000,'kokpit-1'!$R$4:$R$2000,I44)</f>
        <v>0</v>
      </c>
    </row>
    <row r="45" spans="1:21" x14ac:dyDescent="0.3">
      <c r="A45" s="114"/>
      <c r="B45" s="114"/>
      <c r="C45" s="114" t="str">
        <f>IF(H4="pośrednia","1","4")</f>
        <v>4</v>
      </c>
      <c r="D45" s="115"/>
      <c r="E45" s="233" t="str">
        <f>IF(H4="pośrenia","Wpływy netto z wydania udziałów i innych instrumentów kapitałowych oraz dopłat do kapitału","Inne wpływy finansowe")</f>
        <v>Inne wpływy finansowe</v>
      </c>
      <c r="F45" s="233"/>
      <c r="G45" s="185" t="str">
        <f>IFERROR(IF($H$3="ZŁ",IF(K45="Wn",M45,IF(K45="Ma",N45,IF(K45="Wn-Ma",O45,IF(K45="Ma-Wn",P45,"")))),(IF(K45="Wn",M45,IF(K45="Ma",N45,IF(K45="Wn-Ma",O45,IF(K45="Ma-Wn",P45,"")))))/1000),"")</f>
        <v/>
      </c>
      <c r="H45" s="185" t="str">
        <f>IFERROR(IF($H$3="ZŁ",IF(K45="Wn",R45,IF(K45="Ma",S45,IF(K45="Wn-Ma",T45,IF(K45="Ma-Wn",U45,"")))),(IF(K45="Wn",R45,IF(K45="Ma",S45,IF(K45="Wn-Ma",T45,IF(K45="Ma-Wn",U45,"")))))/1000),"")</f>
        <v/>
      </c>
      <c r="I45" s="116" t="str">
        <f>IF(H4="pośrednia",A43&amp;B44&amp;C45,A40&amp;B41&amp;C45)</f>
        <v>CI4</v>
      </c>
      <c r="J45" s="117"/>
      <c r="M45" s="24">
        <f>SUMIFS(kokpit!$U$4:$U$2000,kokpit!$R$4:$R$2000,I45)</f>
        <v>0</v>
      </c>
      <c r="N45" s="24">
        <f>SUMIFS(kokpit!$V$4:$V$2000,kokpit!$R$4:$R$2000,I45)</f>
        <v>0</v>
      </c>
      <c r="O45" s="24">
        <f>SUMIFS(kokpit!$U$4:$U$2000,kokpit!$R$4:$R$2000,I45)-SUMIFS(kokpit!$V$4:$V$2000,kokpit!$R$4:$R$2000,I45)</f>
        <v>0</v>
      </c>
      <c r="P45" s="24">
        <f>SUMIFS(kokpit!$V$4:$V$2000,kokpit!$R$4:$R$2000,I45)-SUMIFS(kokpit!$U$4:$U$2000,kokpit!$R$4:$R$2000,I45)</f>
        <v>0</v>
      </c>
      <c r="R45" s="24">
        <f>SUMIFS('kokpit-1'!$U$4:$U$2000,'kokpit-1'!$R$4:$R$2000,I45)</f>
        <v>0</v>
      </c>
      <c r="S45" s="24">
        <f>SUMIFS('kokpit-1'!$V$4:$V$2000,'kokpit-1'!$R$4:$R$2000,I45)</f>
        <v>0</v>
      </c>
      <c r="T45" s="24">
        <f>SUMIFS('kokpit-1'!$U$4:$U$2000,'kokpit-1'!$R$4:$R$2000,I45)-SUMIFS('kokpit-1'!$V$4:$V$2000,'kokpit-1'!$R$4:$R$2000,I45)</f>
        <v>0</v>
      </c>
      <c r="U45" s="24">
        <f>SUMIFS('kokpit-1'!$V$4:$V$2000,'kokpit-1'!$R$4:$R$2000,I45)-SUMIFS('kokpit-1'!$U$4:$U$2000,'kokpit-1'!$R$4:$R$2000,I45)</f>
        <v>0</v>
      </c>
    </row>
    <row r="46" spans="1:21" x14ac:dyDescent="0.3">
      <c r="A46" s="114"/>
      <c r="B46" s="114" t="str">
        <f>IF(H4="pośrednia","","II")</f>
        <v>II</v>
      </c>
      <c r="C46" s="114" t="str">
        <f>IF(H4="pośrednia","2","")</f>
        <v/>
      </c>
      <c r="D46" s="115"/>
      <c r="E46" s="233" t="str">
        <f>IF(H4="pośrednia","Kredyty i pożyczki","Wydatki")</f>
        <v>Wydatki</v>
      </c>
      <c r="F46" s="233"/>
      <c r="G46" s="185">
        <f>IFERROR(IF(H3="ZŁ",IF(H4="pośrednia",IF(K46="Wn",M46,IF(K46="Ma",N46,IF(K46="Wn-Ma",O46,IF(K46="Ma-Wn",P46,"")))),SUM(G47:G55)),IF(H4="pośrednia",(IF(K46="Wn",M46,IF(K46="Ma",N46,IF(K46="Wn-Ma",O46,IF(K46="Ma-Wn",P46,"")))))/1000,SUM(G47:G55))),"")</f>
        <v>0</v>
      </c>
      <c r="H46" s="185">
        <f>IFERROR(IF(H3="ZŁ",IF(H4="pośrednia",IF(K46="Wn",R46,IF(K46="Ma",S46,IF(K46="Wn-Ma",T46,IF(K46="Ma-Wn",U46,"")))),SUM(H47:H55)),IF(H4="pośrednia",(IF(K46="Wn",R46,IF(K46="Ma",S46,IF(K46="Wn-Ma",T46,IF(K46="Ma-Wn",U46,"")))))/1000,SUM(H47:H55))),"")</f>
        <v>0</v>
      </c>
      <c r="I46" s="116" t="str">
        <f>IF(H4="pośrednia",A43&amp;B44&amp;C46,A40&amp;B46)</f>
        <v>CII</v>
      </c>
      <c r="J46" s="117"/>
      <c r="M46" s="24">
        <f>SUMIFS(kokpit!$U$4:$U$2000,kokpit!$R$4:$R$2000,I46)</f>
        <v>0</v>
      </c>
      <c r="N46" s="24">
        <f>SUMIFS(kokpit!$V$4:$V$2000,kokpit!$R$4:$R$2000,I46)</f>
        <v>0</v>
      </c>
      <c r="O46" s="24">
        <f>SUMIFS(kokpit!$U$4:$U$2000,kokpit!$R$4:$R$2000,I46)-SUMIFS(kokpit!$V$4:$V$2000,kokpit!$R$4:$R$2000,I46)</f>
        <v>0</v>
      </c>
      <c r="P46" s="24">
        <f>SUMIFS(kokpit!$V$4:$V$2000,kokpit!$R$4:$R$2000,I46)-SUMIFS(kokpit!$U$4:$U$2000,kokpit!$R$4:$R$2000,I46)</f>
        <v>0</v>
      </c>
      <c r="R46" s="24">
        <f>SUMIFS('kokpit-1'!$U$4:$U$2000,'kokpit-1'!$R$4:$R$2000,I46)</f>
        <v>0</v>
      </c>
      <c r="S46" s="24">
        <f>SUMIFS('kokpit-1'!$V$4:$V$2000,'kokpit-1'!$R$4:$R$2000,I46)</f>
        <v>0</v>
      </c>
      <c r="T46" s="24">
        <f>SUMIFS('kokpit-1'!$U$4:$U$2000,'kokpit-1'!$R$4:$R$2000,I46)-SUMIFS('kokpit-1'!$V$4:$V$2000,'kokpit-1'!$R$4:$R$2000,I46)</f>
        <v>0</v>
      </c>
      <c r="U46" s="24">
        <f>SUMIFS('kokpit-1'!$V$4:$V$2000,'kokpit-1'!$R$4:$R$2000,I46)-SUMIFS('kokpit-1'!$U$4:$U$2000,'kokpit-1'!$R$4:$R$2000,I46)</f>
        <v>0</v>
      </c>
    </row>
    <row r="47" spans="1:21" x14ac:dyDescent="0.3">
      <c r="A47" s="114"/>
      <c r="B47" s="114"/>
      <c r="C47" s="114" t="str">
        <f>IF(H4="pośrednia","3","1")</f>
        <v>1</v>
      </c>
      <c r="D47" s="115"/>
      <c r="E47" s="233" t="str">
        <f>IF(H4="pośrednia","Emisja dłużnych papierów wartościowych","Nabycie udziałów (akcji) własnych")</f>
        <v>Nabycie udziałów (akcji) własnych</v>
      </c>
      <c r="F47" s="233"/>
      <c r="G47" s="185" t="str">
        <f>IFERROR(IF($H$3="ZŁ",IF(K47="Wn",M47,IF(K47="Ma",N47,IF(K47="Wn-Ma",O47,IF(K47="Ma-Wn",P47,"")))),(IF(K47="Wn",M47,IF(K47="Ma",N47,IF(K47="Wn-Ma",O47,IF(K47="Ma-Wn",P47,"")))))/1000),"")</f>
        <v/>
      </c>
      <c r="H47" s="185" t="str">
        <f>IFERROR(IF($H$3="ZŁ",IF(K47="Wn",R47,IF(K47="Ma",S47,IF(K47="Wn-Ma",T47,IF(K47="Ma-Wn",U47,"")))),(IF(K47="Wn",R47,IF(K47="Ma",S47,IF(K47="Wn-Ma",T47,IF(K47="Ma-Wn",U47,"")))))/1000),"")</f>
        <v/>
      </c>
      <c r="I47" s="116" t="str">
        <f>IF(H4="pośrednia",A43&amp;B44&amp;C47,A40&amp;B46&amp;C47)</f>
        <v>CII1</v>
      </c>
      <c r="J47" s="117"/>
      <c r="M47" s="24">
        <f>SUMIFS(kokpit!$U$4:$U$2000,kokpit!$R$4:$R$2000,I47)</f>
        <v>0</v>
      </c>
      <c r="N47" s="24">
        <f>SUMIFS(kokpit!$V$4:$V$2000,kokpit!$R$4:$R$2000,I47)</f>
        <v>0</v>
      </c>
      <c r="O47" s="24">
        <f>SUMIFS(kokpit!$U$4:$U$2000,kokpit!$R$4:$R$2000,I47)-SUMIFS(kokpit!$V$4:$V$2000,kokpit!$R$4:$R$2000,I47)</f>
        <v>0</v>
      </c>
      <c r="P47" s="24">
        <f>SUMIFS(kokpit!$V$4:$V$2000,kokpit!$R$4:$R$2000,I47)-SUMIFS(kokpit!$U$4:$U$2000,kokpit!$R$4:$R$2000,I47)</f>
        <v>0</v>
      </c>
      <c r="R47" s="24">
        <f>SUMIFS('kokpit-1'!$U$4:$U$2000,'kokpit-1'!$R$4:$R$2000,I47)</f>
        <v>0</v>
      </c>
      <c r="S47" s="24">
        <f>SUMIFS('kokpit-1'!$V$4:$V$2000,'kokpit-1'!$R$4:$R$2000,I47)</f>
        <v>0</v>
      </c>
      <c r="T47" s="24">
        <f>SUMIFS('kokpit-1'!$U$4:$U$2000,'kokpit-1'!$R$4:$R$2000,I47)-SUMIFS('kokpit-1'!$V$4:$V$2000,'kokpit-1'!$R$4:$R$2000,I47)</f>
        <v>0</v>
      </c>
      <c r="U47" s="24">
        <f>SUMIFS('kokpit-1'!$V$4:$V$2000,'kokpit-1'!$R$4:$R$2000,I47)-SUMIFS('kokpit-1'!$U$4:$U$2000,'kokpit-1'!$R$4:$R$2000,I47)</f>
        <v>0</v>
      </c>
    </row>
    <row r="48" spans="1:21" x14ac:dyDescent="0.3">
      <c r="A48" s="114"/>
      <c r="B48" s="114"/>
      <c r="C48" s="114" t="str">
        <f>IF(H4="pośrednia","4","2")</f>
        <v>2</v>
      </c>
      <c r="D48" s="115"/>
      <c r="E48" s="233" t="str">
        <f>IF(H4="pośrednia","Inne wpływy finansowe","Dywidendy i inne wypłaty na rzecz właścicieli")</f>
        <v>Dywidendy i inne wypłaty na rzecz właścicieli</v>
      </c>
      <c r="F48" s="233"/>
      <c r="G48" s="185" t="str">
        <f>IFERROR(IF($H$3="ZŁ",IF(K48="Wn",M48,IF(K48="Ma",N48,IF(K48="Wn-Ma",O48,IF(K48="Ma-Wn",P48,"")))),(IF(K48="Wn",M48,IF(K48="Ma",N48,IF(K48="Wn-Ma",O48,IF(K48="Ma-Wn",P48,"")))))/1000),"")</f>
        <v/>
      </c>
      <c r="H48" s="185" t="str">
        <f>IFERROR(IF($H$3="ZŁ",IF(K48="Wn",R48,IF(K48="Ma",S48,IF(K48="Wn-Ma",T48,IF(K48="Ma-Wn",U48,"")))),(IF(K48="Wn",R48,IF(K48="Ma",S48,IF(K48="Wn-Ma",T48,IF(K48="Ma-Wn",U48,"")))))/1000),"")</f>
        <v/>
      </c>
      <c r="I48" s="116" t="str">
        <f>IF(H4="pośrednia",A43&amp;B44&amp;C48,A40&amp;B46&amp;C48)</f>
        <v>CII2</v>
      </c>
      <c r="J48" s="117"/>
      <c r="M48" s="24">
        <f>SUMIFS(kokpit!$U$4:$U$2000,kokpit!$R$4:$R$2000,I48)</f>
        <v>0</v>
      </c>
      <c r="N48" s="24">
        <f>SUMIFS(kokpit!$V$4:$V$2000,kokpit!$R$4:$R$2000,I48)</f>
        <v>0</v>
      </c>
      <c r="O48" s="24">
        <f>SUMIFS(kokpit!$U$4:$U$2000,kokpit!$R$4:$R$2000,I48)-SUMIFS(kokpit!$V$4:$V$2000,kokpit!$R$4:$R$2000,I48)</f>
        <v>0</v>
      </c>
      <c r="P48" s="24">
        <f>SUMIFS(kokpit!$V$4:$V$2000,kokpit!$R$4:$R$2000,I48)-SUMIFS(kokpit!$U$4:$U$2000,kokpit!$R$4:$R$2000,I48)</f>
        <v>0</v>
      </c>
      <c r="R48" s="24">
        <f>SUMIFS('kokpit-1'!$U$4:$U$2000,'kokpit-1'!$R$4:$R$2000,I48)</f>
        <v>0</v>
      </c>
      <c r="S48" s="24">
        <f>SUMIFS('kokpit-1'!$V$4:$V$2000,'kokpit-1'!$R$4:$R$2000,I48)</f>
        <v>0</v>
      </c>
      <c r="T48" s="24">
        <f>SUMIFS('kokpit-1'!$U$4:$U$2000,'kokpit-1'!$R$4:$R$2000,I48)-SUMIFS('kokpit-1'!$V$4:$V$2000,'kokpit-1'!$R$4:$R$2000,I48)</f>
        <v>0</v>
      </c>
      <c r="U48" s="24">
        <f>SUMIFS('kokpit-1'!$V$4:$V$2000,'kokpit-1'!$R$4:$R$2000,I48)-SUMIFS('kokpit-1'!$U$4:$U$2000,'kokpit-1'!$R$4:$R$2000,I48)</f>
        <v>0</v>
      </c>
    </row>
    <row r="49" spans="1:21" x14ac:dyDescent="0.3">
      <c r="A49" s="114"/>
      <c r="B49" s="114" t="str">
        <f>IF(H4="pośrednia","II","")</f>
        <v/>
      </c>
      <c r="C49" s="114" t="str">
        <f>IF(H4="pośrednia","","3")</f>
        <v>3</v>
      </c>
      <c r="D49" s="115"/>
      <c r="E49" s="233" t="str">
        <f>IF(H4="pośrednia","Wydatki","Inne niż wypłaty na rzecz właścicieli, wydatki z tytułu podziału zysku")</f>
        <v>Inne niż wypłaty na rzecz właścicieli, wydatki z tytułu podziału zysku</v>
      </c>
      <c r="F49" s="233"/>
      <c r="G49" s="185" t="str">
        <f>IFERROR(IF(H3="ZŁ",IF(H4="pośrednia",SUM(G50:G58),IF(K49="Wn",M49,IF(K49="Ma",N49,IF(K49="Wn-Ma",O49,IF(K49="Ma-Wn",P49,""))))),IF(H4="pośrednia",SUM(G50:G58),(IF(K49="Wn",M49,IF(K49="Ma",N49,IF(K49="Wn-Ma",O49,IF(K49="Ma-Wn",P49,""))))))/1000),"")</f>
        <v/>
      </c>
      <c r="H49" s="185" t="str">
        <f>IFERROR(IF(H3="ZŁ",IF(H4="pośrednia",SUM(H50:H58),IF(K49="Wn",R49,IF(K49="Ma",S49,IF(K49="Wn-Ma",T49,IF(K49="Ma-Wn",U49,""))))),IF(H4="pośrednia",SUM(H50:H58),(IF(K49="Wn",R49,IF(K49="Ma",S49,IF(K49="Wn-Ma",T49,IF(K49="Ma-Wn",U49,""))))))/1000),"")</f>
        <v/>
      </c>
      <c r="I49" s="116" t="str">
        <f>IF(H4="pośrednia",A43&amp;B49,A40&amp;B46&amp;C49)</f>
        <v>CII3</v>
      </c>
      <c r="J49" s="117"/>
      <c r="M49" s="24">
        <f>SUMIFS(kokpit!$U$4:$U$2000,kokpit!$R$4:$R$2000,I49)</f>
        <v>0</v>
      </c>
      <c r="N49" s="24">
        <f>SUMIFS(kokpit!$V$4:$V$2000,kokpit!$R$4:$R$2000,I49)</f>
        <v>0</v>
      </c>
      <c r="O49" s="24">
        <f>SUMIFS(kokpit!$U$4:$U$2000,kokpit!$R$4:$R$2000,I49)-SUMIFS(kokpit!$V$4:$V$2000,kokpit!$R$4:$R$2000,I49)</f>
        <v>0</v>
      </c>
      <c r="P49" s="24">
        <f>SUMIFS(kokpit!$V$4:$V$2000,kokpit!$R$4:$R$2000,I49)-SUMIFS(kokpit!$U$4:$U$2000,kokpit!$R$4:$R$2000,I49)</f>
        <v>0</v>
      </c>
      <c r="R49" s="24">
        <f>SUMIFS('kokpit-1'!$U$4:$U$2000,'kokpit-1'!$R$4:$R$2000,I49)</f>
        <v>0</v>
      </c>
      <c r="S49" s="24">
        <f>SUMIFS('kokpit-1'!$V$4:$V$2000,'kokpit-1'!$R$4:$R$2000,I49)</f>
        <v>0</v>
      </c>
      <c r="T49" s="24">
        <f>SUMIFS('kokpit-1'!$U$4:$U$2000,'kokpit-1'!$R$4:$R$2000,I49)-SUMIFS('kokpit-1'!$V$4:$V$2000,'kokpit-1'!$R$4:$R$2000,I49)</f>
        <v>0</v>
      </c>
      <c r="U49" s="24">
        <f>SUMIFS('kokpit-1'!$V$4:$V$2000,'kokpit-1'!$R$4:$R$2000,I49)-SUMIFS('kokpit-1'!$U$4:$U$2000,'kokpit-1'!$R$4:$R$2000,I49)</f>
        <v>0</v>
      </c>
    </row>
    <row r="50" spans="1:21" x14ac:dyDescent="0.3">
      <c r="A50" s="114"/>
      <c r="B50" s="114"/>
      <c r="C50" s="114" t="str">
        <f>IF(H4="pośrednia","1","4")</f>
        <v>4</v>
      </c>
      <c r="D50" s="115"/>
      <c r="E50" s="233" t="str">
        <f>IF(H4="pośrednia","Nabycie udziałów (akcji) własnych","Spłaty kredytów i pożyczek")</f>
        <v>Spłaty kredytów i pożyczek</v>
      </c>
      <c r="F50" s="233"/>
      <c r="G50" s="185" t="str">
        <f t="shared" ref="G50:G55" si="0">IFERROR(IF($H$3="ZŁ",IF(K50="Wn",M50,IF(K50="Ma",N50,IF(K50="Wn-Ma",O50,IF(K50="Ma-Wn",P50,"")))),(IF(K50="Wn",M50,IF(K50="Ma",N50,IF(K50="Wn-Ma",O50,IF(K50="Ma-Wn",P50,"")))))/1000),"")</f>
        <v/>
      </c>
      <c r="H50" s="185" t="str">
        <f t="shared" ref="H50:H55" si="1">IFERROR(IF($H$3="ZŁ",IF(K50="Wn",R50,IF(K50="Ma",S50,IF(K50="Wn-Ma",T50,IF(K50="Ma-Wn",U50,"")))),(IF(K50="Wn",R50,IF(K50="Ma",S50,IF(K50="Wn-Ma",T50,IF(K50="Ma-Wn",U50,"")))))/1000),"")</f>
        <v/>
      </c>
      <c r="I50" s="116" t="str">
        <f>IF(H4="pośrednia",A43&amp;B49&amp;C50,A40&amp;B46&amp;C50)</f>
        <v>CII4</v>
      </c>
      <c r="J50" s="117"/>
      <c r="M50" s="24">
        <f>SUMIFS(kokpit!$U$4:$U$2000,kokpit!$R$4:$R$2000,I50)</f>
        <v>0</v>
      </c>
      <c r="N50" s="24">
        <f>SUMIFS(kokpit!$V$4:$V$2000,kokpit!$R$4:$R$2000,I50)</f>
        <v>0</v>
      </c>
      <c r="O50" s="24">
        <f>SUMIFS(kokpit!$U$4:$U$2000,kokpit!$R$4:$R$2000,I50)-SUMIFS(kokpit!$V$4:$V$2000,kokpit!$R$4:$R$2000,I50)</f>
        <v>0</v>
      </c>
      <c r="P50" s="24">
        <f>SUMIFS(kokpit!$V$4:$V$2000,kokpit!$R$4:$R$2000,I50)-SUMIFS(kokpit!$U$4:$U$2000,kokpit!$R$4:$R$2000,I50)</f>
        <v>0</v>
      </c>
      <c r="R50" s="24">
        <f>SUMIFS('kokpit-1'!$U$4:$U$2000,'kokpit-1'!$R$4:$R$2000,I50)</f>
        <v>0</v>
      </c>
      <c r="S50" s="24">
        <f>SUMIFS('kokpit-1'!$V$4:$V$2000,'kokpit-1'!$R$4:$R$2000,I50)</f>
        <v>0</v>
      </c>
      <c r="T50" s="24">
        <f>SUMIFS('kokpit-1'!$U$4:$U$2000,'kokpit-1'!$R$4:$R$2000,I50)-SUMIFS('kokpit-1'!$V$4:$V$2000,'kokpit-1'!$R$4:$R$2000,I50)</f>
        <v>0</v>
      </c>
      <c r="U50" s="24">
        <f>SUMIFS('kokpit-1'!$V$4:$V$2000,'kokpit-1'!$R$4:$R$2000,I50)-SUMIFS('kokpit-1'!$U$4:$U$2000,'kokpit-1'!$R$4:$R$2000,I50)</f>
        <v>0</v>
      </c>
    </row>
    <row r="51" spans="1:21" x14ac:dyDescent="0.3">
      <c r="A51" s="114"/>
      <c r="B51" s="114"/>
      <c r="C51" s="114" t="str">
        <f>IF(H4="pośrednia","2","5")</f>
        <v>5</v>
      </c>
      <c r="D51" s="115"/>
      <c r="E51" s="233" t="str">
        <f>IF(H4="pośrednia","Dywidendy i inne wypłaty na rzecz właścicieli","Wykup dłużnych papierów wartościowych")</f>
        <v>Wykup dłużnych papierów wartościowych</v>
      </c>
      <c r="F51" s="233"/>
      <c r="G51" s="185" t="str">
        <f t="shared" si="0"/>
        <v/>
      </c>
      <c r="H51" s="185" t="str">
        <f t="shared" si="1"/>
        <v/>
      </c>
      <c r="I51" s="116" t="str">
        <f>IF(H4="pośrednia",A43&amp;B49&amp;C51,A40&amp;B46&amp;C51)</f>
        <v>CII5</v>
      </c>
      <c r="J51" s="117"/>
      <c r="M51" s="24">
        <f>SUMIFS(kokpit!$U$4:$U$2000,kokpit!$R$4:$R$2000,I51)</f>
        <v>0</v>
      </c>
      <c r="N51" s="24">
        <f>SUMIFS(kokpit!$V$4:$V$2000,kokpit!$R$4:$R$2000,I51)</f>
        <v>0</v>
      </c>
      <c r="O51" s="24">
        <f>SUMIFS(kokpit!$U$4:$U$2000,kokpit!$R$4:$R$2000,I51)-SUMIFS(kokpit!$V$4:$V$2000,kokpit!$R$4:$R$2000,I51)</f>
        <v>0</v>
      </c>
      <c r="P51" s="24">
        <f>SUMIFS(kokpit!$V$4:$V$2000,kokpit!$R$4:$R$2000,I51)-SUMIFS(kokpit!$U$4:$U$2000,kokpit!$R$4:$R$2000,I51)</f>
        <v>0</v>
      </c>
      <c r="R51" s="24">
        <f>SUMIFS('kokpit-1'!$U$4:$U$2000,'kokpit-1'!$R$4:$R$2000,I51)</f>
        <v>0</v>
      </c>
      <c r="S51" s="24">
        <f>SUMIFS('kokpit-1'!$V$4:$V$2000,'kokpit-1'!$R$4:$R$2000,I51)</f>
        <v>0</v>
      </c>
      <c r="T51" s="24">
        <f>SUMIFS('kokpit-1'!$U$4:$U$2000,'kokpit-1'!$R$4:$R$2000,I51)-SUMIFS('kokpit-1'!$V$4:$V$2000,'kokpit-1'!$R$4:$R$2000,I51)</f>
        <v>0</v>
      </c>
      <c r="U51" s="24">
        <f>SUMIFS('kokpit-1'!$V$4:$V$2000,'kokpit-1'!$R$4:$R$2000,I51)-SUMIFS('kokpit-1'!$U$4:$U$2000,'kokpit-1'!$R$4:$R$2000,I51)</f>
        <v>0</v>
      </c>
    </row>
    <row r="52" spans="1:21" x14ac:dyDescent="0.3">
      <c r="A52" s="114"/>
      <c r="B52" s="114"/>
      <c r="C52" s="114" t="str">
        <f>IF(H4="pośrednia","3","6")</f>
        <v>6</v>
      </c>
      <c r="D52" s="115"/>
      <c r="E52" s="233" t="str">
        <f>IF(H4="pośrednia","Inne niż wypłaty na rzecz właścicieli, wydatki z tytułu podziału zysku","Z tytułu innych zobowiązań finansowych")</f>
        <v>Z tytułu innych zobowiązań finansowych</v>
      </c>
      <c r="F52" s="233"/>
      <c r="G52" s="185" t="str">
        <f t="shared" si="0"/>
        <v/>
      </c>
      <c r="H52" s="185" t="str">
        <f t="shared" si="1"/>
        <v/>
      </c>
      <c r="I52" s="116" t="str">
        <f>IF(H4="pośrednia",A43&amp;B49&amp;C52,A40&amp;B46&amp;C52)</f>
        <v>CII6</v>
      </c>
      <c r="J52" s="117"/>
      <c r="M52" s="24">
        <f>SUMIFS(kokpit!$U$4:$U$2000,kokpit!$R$4:$R$2000,I52)</f>
        <v>0</v>
      </c>
      <c r="N52" s="24">
        <f>SUMIFS(kokpit!$V$4:$V$2000,kokpit!$R$4:$R$2000,I52)</f>
        <v>0</v>
      </c>
      <c r="O52" s="24">
        <f>SUMIFS(kokpit!$U$4:$U$2000,kokpit!$R$4:$R$2000,I52)-SUMIFS(kokpit!$V$4:$V$2000,kokpit!$R$4:$R$2000,I52)</f>
        <v>0</v>
      </c>
      <c r="P52" s="24">
        <f>SUMIFS(kokpit!$V$4:$V$2000,kokpit!$R$4:$R$2000,I52)-SUMIFS(kokpit!$U$4:$U$2000,kokpit!$R$4:$R$2000,I52)</f>
        <v>0</v>
      </c>
      <c r="R52" s="24">
        <f>SUMIFS('kokpit-1'!$U$4:$U$2000,'kokpit-1'!$R$4:$R$2000,I52)</f>
        <v>0</v>
      </c>
      <c r="S52" s="24">
        <f>SUMIFS('kokpit-1'!$V$4:$V$2000,'kokpit-1'!$R$4:$R$2000,I52)</f>
        <v>0</v>
      </c>
      <c r="T52" s="24">
        <f>SUMIFS('kokpit-1'!$U$4:$U$2000,'kokpit-1'!$R$4:$R$2000,I52)-SUMIFS('kokpit-1'!$V$4:$V$2000,'kokpit-1'!$R$4:$R$2000,I52)</f>
        <v>0</v>
      </c>
      <c r="U52" s="24">
        <f>SUMIFS('kokpit-1'!$V$4:$V$2000,'kokpit-1'!$R$4:$R$2000,I52)-SUMIFS('kokpit-1'!$U$4:$U$2000,'kokpit-1'!$R$4:$R$2000,I52)</f>
        <v>0</v>
      </c>
    </row>
    <row r="53" spans="1:21" x14ac:dyDescent="0.3">
      <c r="A53" s="114"/>
      <c r="B53" s="114"/>
      <c r="C53" s="114" t="str">
        <f>IF(H4="pośrednia","4","7")</f>
        <v>7</v>
      </c>
      <c r="D53" s="115"/>
      <c r="E53" s="233" t="str">
        <f>IF(H4="pośrednia","Spłaty kredytów i pożyczek","Płatności zobowiązań z tytułu umów leasingu finansowego")</f>
        <v>Płatności zobowiązań z tytułu umów leasingu finansowego</v>
      </c>
      <c r="F53" s="233"/>
      <c r="G53" s="185" t="str">
        <f t="shared" si="0"/>
        <v/>
      </c>
      <c r="H53" s="185" t="str">
        <f t="shared" si="1"/>
        <v/>
      </c>
      <c r="I53" s="116" t="str">
        <f>IF(H4="pośrednia",A43&amp;B49&amp;C53,A40&amp;B46&amp;C53)</f>
        <v>CII7</v>
      </c>
      <c r="J53" s="117"/>
      <c r="M53" s="24">
        <f>SUMIFS(kokpit!$U$4:$U$2000,kokpit!$R$4:$R$2000,I53)</f>
        <v>0</v>
      </c>
      <c r="N53" s="24">
        <f>SUMIFS(kokpit!$V$4:$V$2000,kokpit!$R$4:$R$2000,I53)</f>
        <v>0</v>
      </c>
      <c r="O53" s="24">
        <f>SUMIFS(kokpit!$U$4:$U$2000,kokpit!$R$4:$R$2000,I53)-SUMIFS(kokpit!$V$4:$V$2000,kokpit!$R$4:$R$2000,I53)</f>
        <v>0</v>
      </c>
      <c r="P53" s="24">
        <f>SUMIFS(kokpit!$V$4:$V$2000,kokpit!$R$4:$R$2000,I53)-SUMIFS(kokpit!$U$4:$U$2000,kokpit!$R$4:$R$2000,I53)</f>
        <v>0</v>
      </c>
      <c r="R53" s="24">
        <f>SUMIFS('kokpit-1'!$U$4:$U$2000,'kokpit-1'!$R$4:$R$2000,I53)</f>
        <v>0</v>
      </c>
      <c r="S53" s="24">
        <f>SUMIFS('kokpit-1'!$V$4:$V$2000,'kokpit-1'!$R$4:$R$2000,I53)</f>
        <v>0</v>
      </c>
      <c r="T53" s="24">
        <f>SUMIFS('kokpit-1'!$U$4:$U$2000,'kokpit-1'!$R$4:$R$2000,I53)-SUMIFS('kokpit-1'!$V$4:$V$2000,'kokpit-1'!$R$4:$R$2000,I53)</f>
        <v>0</v>
      </c>
      <c r="U53" s="24">
        <f>SUMIFS('kokpit-1'!$V$4:$V$2000,'kokpit-1'!$R$4:$R$2000,I53)-SUMIFS('kokpit-1'!$U$4:$U$2000,'kokpit-1'!$R$4:$R$2000,I53)</f>
        <v>0</v>
      </c>
    </row>
    <row r="54" spans="1:21" x14ac:dyDescent="0.3">
      <c r="A54" s="114"/>
      <c r="B54" s="114"/>
      <c r="C54" s="114" t="str">
        <f>IF(H4="pośrednia","5","8")</f>
        <v>8</v>
      </c>
      <c r="D54" s="115"/>
      <c r="E54" s="233" t="str">
        <f>IF(H4="pośrednia","Wykup dłużnych papierów wartościowych","Odsetki")</f>
        <v>Odsetki</v>
      </c>
      <c r="F54" s="233"/>
      <c r="G54" s="185" t="str">
        <f t="shared" si="0"/>
        <v/>
      </c>
      <c r="H54" s="185" t="str">
        <f t="shared" si="1"/>
        <v/>
      </c>
      <c r="I54" s="116" t="str">
        <f>IF(H4="pośrednia",A43&amp;B49&amp;C54,A40&amp;B46&amp;C54)</f>
        <v>CII8</v>
      </c>
      <c r="J54" s="117"/>
      <c r="M54" s="24">
        <f>SUMIFS(kokpit!$U$4:$U$2000,kokpit!$R$4:$R$2000,I54)</f>
        <v>0</v>
      </c>
      <c r="N54" s="24">
        <f>SUMIFS(kokpit!$V$4:$V$2000,kokpit!$R$4:$R$2000,I54)</f>
        <v>0</v>
      </c>
      <c r="O54" s="24">
        <f>SUMIFS(kokpit!$U$4:$U$2000,kokpit!$R$4:$R$2000,I54)-SUMIFS(kokpit!$V$4:$V$2000,kokpit!$R$4:$R$2000,I54)</f>
        <v>0</v>
      </c>
      <c r="P54" s="24">
        <f>SUMIFS(kokpit!$V$4:$V$2000,kokpit!$R$4:$R$2000,I54)-SUMIFS(kokpit!$U$4:$U$2000,kokpit!$R$4:$R$2000,I54)</f>
        <v>0</v>
      </c>
      <c r="R54" s="24">
        <f>SUMIFS('kokpit-1'!$U$4:$U$2000,'kokpit-1'!$R$4:$R$2000,I54)</f>
        <v>0</v>
      </c>
      <c r="S54" s="24">
        <f>SUMIFS('kokpit-1'!$V$4:$V$2000,'kokpit-1'!$R$4:$R$2000,I54)</f>
        <v>0</v>
      </c>
      <c r="T54" s="24">
        <f>SUMIFS('kokpit-1'!$U$4:$U$2000,'kokpit-1'!$R$4:$R$2000,I54)-SUMIFS('kokpit-1'!$V$4:$V$2000,'kokpit-1'!$R$4:$R$2000,I54)</f>
        <v>0</v>
      </c>
      <c r="U54" s="24">
        <f>SUMIFS('kokpit-1'!$V$4:$V$2000,'kokpit-1'!$R$4:$R$2000,I54)-SUMIFS('kokpit-1'!$U$4:$U$2000,'kokpit-1'!$R$4:$R$2000,I54)</f>
        <v>0</v>
      </c>
    </row>
    <row r="55" spans="1:21" x14ac:dyDescent="0.3">
      <c r="A55" s="114"/>
      <c r="B55" s="114"/>
      <c r="C55" s="114" t="str">
        <f>IF(H4="pośrednia","6","9")</f>
        <v>9</v>
      </c>
      <c r="D55" s="115"/>
      <c r="E55" s="233" t="str">
        <f>IF(H4="pośrednia","Z tytułu innych zobowiązań finansowych","Inne wydatki finansowe")</f>
        <v>Inne wydatki finansowe</v>
      </c>
      <c r="F55" s="233"/>
      <c r="G55" s="185" t="str">
        <f t="shared" si="0"/>
        <v/>
      </c>
      <c r="H55" s="185" t="str">
        <f t="shared" si="1"/>
        <v/>
      </c>
      <c r="I55" s="116" t="str">
        <f>IF(H4="pośrednia",A43&amp;B49&amp;C55,A40&amp;B46&amp;C55)</f>
        <v>CII9</v>
      </c>
      <c r="J55" s="117"/>
      <c r="M55" s="24">
        <f>SUMIFS(kokpit!$U$4:$U$2000,kokpit!$R$4:$R$2000,I55)</f>
        <v>0</v>
      </c>
      <c r="N55" s="24">
        <f>SUMIFS(kokpit!$V$4:$V$2000,kokpit!$R$4:$R$2000,I55)</f>
        <v>0</v>
      </c>
      <c r="O55" s="24">
        <f>SUMIFS(kokpit!$U$4:$U$2000,kokpit!$R$4:$R$2000,I55)-SUMIFS(kokpit!$V$4:$V$2000,kokpit!$R$4:$R$2000,I55)</f>
        <v>0</v>
      </c>
      <c r="P55" s="24">
        <f>SUMIFS(kokpit!$V$4:$V$2000,kokpit!$R$4:$R$2000,I55)-SUMIFS(kokpit!$U$4:$U$2000,kokpit!$R$4:$R$2000,I55)</f>
        <v>0</v>
      </c>
      <c r="R55" s="24">
        <f>SUMIFS('kokpit-1'!$U$4:$U$2000,'kokpit-1'!$R$4:$R$2000,I55)</f>
        <v>0</v>
      </c>
      <c r="S55" s="24">
        <f>SUMIFS('kokpit-1'!$V$4:$V$2000,'kokpit-1'!$R$4:$R$2000,I55)</f>
        <v>0</v>
      </c>
      <c r="T55" s="24">
        <f>SUMIFS('kokpit-1'!$U$4:$U$2000,'kokpit-1'!$R$4:$R$2000,I55)-SUMIFS('kokpit-1'!$V$4:$V$2000,'kokpit-1'!$R$4:$R$2000,I55)</f>
        <v>0</v>
      </c>
      <c r="U55" s="24">
        <f>SUMIFS('kokpit-1'!$V$4:$V$2000,'kokpit-1'!$R$4:$R$2000,I55)-SUMIFS('kokpit-1'!$U$4:$U$2000,'kokpit-1'!$R$4:$R$2000,I55)</f>
        <v>0</v>
      </c>
    </row>
    <row r="56" spans="1:21" x14ac:dyDescent="0.3">
      <c r="A56" s="114"/>
      <c r="B56" s="114" t="str">
        <f>IF(H4="pośrednia","","III")</f>
        <v>III</v>
      </c>
      <c r="C56" s="114" t="str">
        <f>IF(H4="pośrednia","7","")</f>
        <v/>
      </c>
      <c r="D56" s="115"/>
      <c r="E56" s="233" t="str">
        <f>IF(H4="pośrednia","Płatności zobowiązań z tytułu umów leasingu finansowego","Przepływy pieniężne netto z działalności finansowej (I-II)")</f>
        <v>Przepływy pieniężne netto z działalności finansowej (I-II)</v>
      </c>
      <c r="F56" s="233"/>
      <c r="G56" s="185">
        <f>IFERROR(IF(H3="ZŁ",IF(H4="pośrednia",IF(K56="Wn",M56,IF(K56="Ma",N56,IF(K56="Wn-Ma",O56,IF(K56="Ma-Wn",P56,"")))),G41-G46),IF(H4="pośrednia",(IF(K56="Wn",M56,IF(K56="Ma",N56,IF(K56="Wn-Ma",O56,IF(K56="Ma-Wn",P56,"")))))/1000,G41-G46)),"")</f>
        <v>0</v>
      </c>
      <c r="H56" s="185">
        <f>IFERROR(IF(H3="ZŁ",IF(H4="pośrednia",IF(K56="Wn",R56,IF(K56="Ma",S56,IF(K56="Wn-Ma",T56,IF(K56="Ma-Wn",U56,"")))),H41-H46),IF(H4="pośrednia",(IF(K56="Wn",R56,IF(K56="Ma",S56,IF(K56="Wn-Ma",T56,IF(K56="Ma-Wn",U56,"")))))/1000,H41-H46)),"")</f>
        <v>0</v>
      </c>
      <c r="I56" s="116" t="str">
        <f>IF(H4="pośrednia",A43&amp;B49&amp;C56,A40&amp;B56)</f>
        <v>CIII</v>
      </c>
      <c r="J56" s="117"/>
      <c r="M56" s="24">
        <f>SUMIFS(kokpit!$U$4:$U$2000,kokpit!$R$4:$R$2000,I56)</f>
        <v>0</v>
      </c>
      <c r="N56" s="24">
        <f>SUMIFS(kokpit!$V$4:$V$2000,kokpit!$R$4:$R$2000,I56)</f>
        <v>0</v>
      </c>
      <c r="O56" s="24">
        <f>SUMIFS(kokpit!$U$4:$U$2000,kokpit!$R$4:$R$2000,I56)-SUMIFS(kokpit!$V$4:$V$2000,kokpit!$R$4:$R$2000,I56)</f>
        <v>0</v>
      </c>
      <c r="P56" s="24">
        <f>SUMIFS(kokpit!$V$4:$V$2000,kokpit!$R$4:$R$2000,I56)-SUMIFS(kokpit!$U$4:$U$2000,kokpit!$R$4:$R$2000,I56)</f>
        <v>0</v>
      </c>
      <c r="R56" s="24">
        <f>SUMIFS('kokpit-1'!$U$4:$U$2000,'kokpit-1'!$R$4:$R$2000,I56)</f>
        <v>0</v>
      </c>
      <c r="S56" s="24">
        <f>SUMIFS('kokpit-1'!$V$4:$V$2000,'kokpit-1'!$R$4:$R$2000,I56)</f>
        <v>0</v>
      </c>
      <c r="T56" s="24">
        <f>SUMIFS('kokpit-1'!$U$4:$U$2000,'kokpit-1'!$R$4:$R$2000,I56)-SUMIFS('kokpit-1'!$V$4:$V$2000,'kokpit-1'!$R$4:$R$2000,I56)</f>
        <v>0</v>
      </c>
      <c r="U56" s="24">
        <f>SUMIFS('kokpit-1'!$V$4:$V$2000,'kokpit-1'!$R$4:$R$2000,I56)-SUMIFS('kokpit-1'!$U$4:$U$2000,'kokpit-1'!$R$4:$R$2000,I56)</f>
        <v>0</v>
      </c>
    </row>
    <row r="57" spans="1:21" x14ac:dyDescent="0.3">
      <c r="A57" s="114" t="str">
        <f>IF(H4="pośrednia","","D")</f>
        <v>D</v>
      </c>
      <c r="B57" s="114"/>
      <c r="C57" s="114" t="str">
        <f>IF(H4="pośrednia","8","")</f>
        <v/>
      </c>
      <c r="D57" s="115"/>
      <c r="E57" s="233" t="str">
        <f>IF(H4="pośrednia","Odsetki","Przepływy pieniężne netto razem (A.III+/-B.III+/-C.III)")</f>
        <v>Przepływy pieniężne netto razem (A.III+/-B.III+/-C.III)</v>
      </c>
      <c r="F57" s="233"/>
      <c r="G57" s="185" t="str">
        <f>IFERROR(IF(H3="ZŁ",IF(H4="pośrednia",IF(K57="Wn",M57,IF(K57="Ma",N57,IF(K57="Wn-Ma",O57,IF(K57="Ma-Wn",P57,"")))),G16+G39+G56),IF(H4="pośrednia",(IF(K57="Wn",M57,IF(K57="Ma",N57,IF(K57="Wn-Ma",O57,IF(K57="Ma-Wn",P57,"")))))/1000,G16+G39+G56)),"")</f>
        <v/>
      </c>
      <c r="H57" s="185" t="str">
        <f>IFERROR(IF(H3="ZŁ",IF(H4="pośrednia",IF(K57="Wn",R57,IF(K57="Ma",S57,IF(K57="Wn-Ma",T57,IF(K57="Ma-Wn",U57,"")))),H16+H39+H56),IF(H4="pośrednia",(IF(K57="Wn",R57,IF(K57="Ma",S57,IF(K57="Wn-Ma",T57,IF(K57="Ma-Wn",U57,"")))))/1000,H16+H39+H56)),"")</f>
        <v/>
      </c>
      <c r="I57" s="116" t="str">
        <f>IF(H4="pośrednia",A43&amp;B49&amp;C57,A57)</f>
        <v>D</v>
      </c>
      <c r="J57" s="117"/>
      <c r="M57" s="24">
        <f>SUMIFS(kokpit!$U$4:$U$2000,kokpit!$R$4:$R$2000,I57)</f>
        <v>0</v>
      </c>
      <c r="N57" s="24">
        <f>SUMIFS(kokpit!$V$4:$V$2000,kokpit!$R$4:$R$2000,I57)</f>
        <v>0</v>
      </c>
      <c r="O57" s="24">
        <f>SUMIFS(kokpit!$U$4:$U$2000,kokpit!$R$4:$R$2000,I57)-SUMIFS(kokpit!$V$4:$V$2000,kokpit!$R$4:$R$2000,I57)</f>
        <v>0</v>
      </c>
      <c r="P57" s="24">
        <f>SUMIFS(kokpit!$V$4:$V$2000,kokpit!$R$4:$R$2000,I57)-SUMIFS(kokpit!$U$4:$U$2000,kokpit!$R$4:$R$2000,I57)</f>
        <v>0</v>
      </c>
      <c r="R57" s="24">
        <f>SUMIFS('kokpit-1'!$U$4:$U$2000,'kokpit-1'!$R$4:$R$2000,I57)</f>
        <v>0</v>
      </c>
      <c r="S57" s="24">
        <f>SUMIFS('kokpit-1'!$V$4:$V$2000,'kokpit-1'!$R$4:$R$2000,I57)</f>
        <v>0</v>
      </c>
      <c r="T57" s="24">
        <f>SUMIFS('kokpit-1'!$U$4:$U$2000,'kokpit-1'!$R$4:$R$2000,I57)-SUMIFS('kokpit-1'!$V$4:$V$2000,'kokpit-1'!$R$4:$R$2000,I57)</f>
        <v>0</v>
      </c>
      <c r="U57" s="24">
        <f>SUMIFS('kokpit-1'!$V$4:$V$2000,'kokpit-1'!$R$4:$R$2000,I57)-SUMIFS('kokpit-1'!$U$4:$U$2000,'kokpit-1'!$R$4:$R$2000,I57)</f>
        <v>0</v>
      </c>
    </row>
    <row r="58" spans="1:21" x14ac:dyDescent="0.3">
      <c r="A58" s="114" t="str">
        <f>IF(H4="pośrednia","","E")</f>
        <v>E</v>
      </c>
      <c r="B58" s="114"/>
      <c r="C58" s="114" t="str">
        <f>IF(H4="pośrednia","9","")</f>
        <v/>
      </c>
      <c r="D58" s="115"/>
      <c r="E58" s="233" t="str">
        <f>IF(H4="pośrednia","Inne wydatki finansowe","Bilansowa zmiana stanu środków pieniężnych, w tym")</f>
        <v>Bilansowa zmiana stanu środków pieniężnych, w tym</v>
      </c>
      <c r="F58" s="233"/>
      <c r="G58" s="185" t="str">
        <f>IFERROR(IF($H$3="ZŁ",IF(K58="Wn",M58,IF(K58="Ma",N58,IF(K58="Wn-Ma",O58,IF(K58="Ma-Wn",P58,"")))),(IF(K58="Wn",M58,IF(K58="Ma",N58,IF(K58="Wn-Ma",O58,IF(K58="Ma-Wn",P58,"")))))/1000),"")</f>
        <v/>
      </c>
      <c r="H58" s="185" t="str">
        <f>IFERROR(IF($H$3="ZŁ",IF(K58="Wn",R58,IF(K58="Ma",S58,IF(K58="Wn-Ma",T58,IF(K58="Ma-Wn",U58,"")))),(IF(K58="Wn",R58,IF(K58="Ma",S58,IF(K58="Wn-Ma",T58,IF(K58="Ma-Wn",U58,"")))))/1000),"")</f>
        <v/>
      </c>
      <c r="I58" s="116" t="str">
        <f>IF(H4="pośrednia",A43&amp;B49&amp;C58,A58)</f>
        <v>E</v>
      </c>
      <c r="J58" s="117"/>
      <c r="M58" s="24">
        <f>SUMIFS(kokpit!$U$4:$U$2000,kokpit!$R$4:$R$2000,I58)</f>
        <v>0</v>
      </c>
      <c r="N58" s="24">
        <f>SUMIFS(kokpit!$V$4:$V$2000,kokpit!$R$4:$R$2000,I58)</f>
        <v>0</v>
      </c>
      <c r="O58" s="24">
        <f>SUMIFS(kokpit!$U$4:$U$2000,kokpit!$R$4:$R$2000,I58)-SUMIFS(kokpit!$V$4:$V$2000,kokpit!$R$4:$R$2000,I58)</f>
        <v>0</v>
      </c>
      <c r="P58" s="24">
        <f>SUMIFS(kokpit!$V$4:$V$2000,kokpit!$R$4:$R$2000,I58)-SUMIFS(kokpit!$U$4:$U$2000,kokpit!$R$4:$R$2000,I58)</f>
        <v>0</v>
      </c>
      <c r="R58" s="24">
        <f>SUMIFS('kokpit-1'!$U$4:$U$2000,'kokpit-1'!$R$4:$R$2000,I58)</f>
        <v>0</v>
      </c>
      <c r="S58" s="24">
        <f>SUMIFS('kokpit-1'!$V$4:$V$2000,'kokpit-1'!$R$4:$R$2000,I58)</f>
        <v>0</v>
      </c>
      <c r="T58" s="24">
        <f>SUMIFS('kokpit-1'!$U$4:$U$2000,'kokpit-1'!$R$4:$R$2000,I58)-SUMIFS('kokpit-1'!$V$4:$V$2000,'kokpit-1'!$R$4:$R$2000,I58)</f>
        <v>0</v>
      </c>
      <c r="U58" s="24">
        <f>SUMIFS('kokpit-1'!$V$4:$V$2000,'kokpit-1'!$R$4:$R$2000,I58)-SUMIFS('kokpit-1'!$U$4:$U$2000,'kokpit-1'!$R$4:$R$2000,I58)</f>
        <v>0</v>
      </c>
    </row>
    <row r="59" spans="1:21" x14ac:dyDescent="0.3">
      <c r="A59" s="114"/>
      <c r="B59" s="114" t="str">
        <f>IF(H4="pośrednia","III","")</f>
        <v/>
      </c>
      <c r="C59" s="114"/>
      <c r="D59" s="115" t="str">
        <f>IF(H4="pośrednia","","-1")</f>
        <v>-1</v>
      </c>
      <c r="E59" s="240" t="str">
        <f>IF(H4="pośrednia","Przepływy pieniężne netto z działalności finansowej (I-II)","- zmiana stanu środków pieniężnych z tytułu różnic kursowych")</f>
        <v>- zmiana stanu środków pieniężnych z tytułu różnic kursowych</v>
      </c>
      <c r="F59" s="240"/>
      <c r="G59" s="185" t="str">
        <f>IFERROR(IF(H3="ZŁ",IF(H4="pośrednia",G44+G49,IF(K59="Wn",M59,IF(K59="Ma",N59,IF(K59="Wn-Ma",O59,IF(K59="Ma-Wn",P59,""))))),IF(H4="pośrednia",G44+G49,(IF(K59="Wn",M59,IF(K59="Ma",N59,IF(K59="Wn-Ma",O59,IF(K59="Ma-Wn",P59,""))))))/1000),"")</f>
        <v/>
      </c>
      <c r="H59" s="185" t="str">
        <f>IFERROR(IF(H3="ZŁ",IF(H4="pośrednia",G44+G49,IF(K59="Wn",R59,IF(K59="Ma",S59,IF(K59="Wn-Ma",T59,IF(K59="Ma-Wn",U59,""))))),IF(H4="pośrednia",G44+G49,(IF(K59="Wn",R59,IF(K59="Ma",S59,IF(K59="Wn-Ma",T59,IF(K59="Ma-Wn",U59,""))))))/1000),"")</f>
        <v/>
      </c>
      <c r="I59" s="116" t="str">
        <f>IF(H4="pośrednia",A43&amp;B59,A58&amp;D59)</f>
        <v>E-1</v>
      </c>
      <c r="J59" s="117"/>
      <c r="M59" s="24">
        <f>SUMIFS(kokpit!$U$4:$U$2000,kokpit!$R$4:$R$2000,I59)</f>
        <v>0</v>
      </c>
      <c r="N59" s="24">
        <f>SUMIFS(kokpit!$V$4:$V$2000,kokpit!$R$4:$R$2000,I59)</f>
        <v>0</v>
      </c>
      <c r="O59" s="24">
        <f>SUMIFS(kokpit!$U$4:$U$2000,kokpit!$R$4:$R$2000,I59)-SUMIFS(kokpit!$V$4:$V$2000,kokpit!$R$4:$R$2000,I59)</f>
        <v>0</v>
      </c>
      <c r="P59" s="24">
        <f>SUMIFS(kokpit!$V$4:$V$2000,kokpit!$R$4:$R$2000,I59)-SUMIFS(kokpit!$U$4:$U$2000,kokpit!$R$4:$R$2000,I59)</f>
        <v>0</v>
      </c>
      <c r="R59" s="24">
        <f>SUMIFS('kokpit-1'!$U$4:$U$2000,'kokpit-1'!$R$4:$R$2000,I59)</f>
        <v>0</v>
      </c>
      <c r="S59" s="24">
        <f>SUMIFS('kokpit-1'!$V$4:$V$2000,'kokpit-1'!$R$4:$R$2000,I59)</f>
        <v>0</v>
      </c>
      <c r="T59" s="24">
        <f>SUMIFS('kokpit-1'!$U$4:$U$2000,'kokpit-1'!$R$4:$R$2000,I59)-SUMIFS('kokpit-1'!$V$4:$V$2000,'kokpit-1'!$R$4:$R$2000,I59)</f>
        <v>0</v>
      </c>
      <c r="U59" s="24">
        <f>SUMIFS('kokpit-1'!$V$4:$V$2000,'kokpit-1'!$R$4:$R$2000,I59)-SUMIFS('kokpit-1'!$U$4:$U$2000,'kokpit-1'!$R$4:$R$2000,I59)</f>
        <v>0</v>
      </c>
    </row>
    <row r="60" spans="1:21" x14ac:dyDescent="0.3">
      <c r="A60" s="114" t="str">
        <f>IF(H4="pośrednia","D","F")</f>
        <v>F</v>
      </c>
      <c r="B60" s="114"/>
      <c r="C60" s="114"/>
      <c r="D60" s="115"/>
      <c r="E60" s="235" t="str">
        <f>IF(H4="pośrednia","Przepływy pieniężne netto, razem (A.III+/-B.III+/-C.III)","Środki pieniężne na początek okresu")</f>
        <v>Środki pieniężne na początek okresu</v>
      </c>
      <c r="F60" s="235"/>
      <c r="G60" s="187" t="str">
        <f>IFERROR(IF(H3="ZŁ",IF(H4="pośrednia",G19+G42+G59,IF(K60="Wn",M60,IF(K60="Ma",N60,IF(K60="Wn-Ma",O60,IF(K60="Ma-Wn",P60,""))))),IF(H4="pośrednia",G19+G42+G59,(IF(K60="Wn",M60,IF(K60="Ma",N60,IF(K60="Wn-Ma",O60,IF(K60="Ma-Wn",P60,""))))))/1000),"")</f>
        <v/>
      </c>
      <c r="H60" s="187" t="str">
        <f>IFERROR(IF(H3="ZŁ",IF(H4="pośrednia",H19+H42+H59,IF(K60="Wn",R60,IF(K60="Ma",S60,IF(K60="Wn-Ma",T60,IF(K60="Ma-Wn",U60,""))))),IF(H4="pośrednia",H19+H42+H59,(IF(K60="Wn",R60,IF(K60="Ma",S60,IF(K60="Wn-Ma",S60,IF(K60="Ma-Wn",T60,""))))))/1000),"")</f>
        <v/>
      </c>
      <c r="I60" s="116" t="str">
        <f>A60</f>
        <v>F</v>
      </c>
      <c r="J60" s="117"/>
      <c r="M60" s="24">
        <f>SUMIFS(kokpit!$U$4:$U$2000,kokpit!$R$4:$R$2000,I60)</f>
        <v>0</v>
      </c>
      <c r="N60" s="24">
        <f>SUMIFS(kokpit!$V$4:$V$2000,kokpit!$R$4:$R$2000,I60)</f>
        <v>0</v>
      </c>
      <c r="O60" s="24">
        <f>SUMIFS(kokpit!$U$4:$U$2000,kokpit!$R$4:$R$2000,I60)-SUMIFS(kokpit!$V$4:$V$2000,kokpit!$R$4:$R$2000,I60)</f>
        <v>0</v>
      </c>
      <c r="P60" s="24">
        <f>SUMIFS(kokpit!$V$4:$V$2000,kokpit!$R$4:$R$2000,I60)-SUMIFS(kokpit!$U$4:$U$2000,kokpit!$R$4:$R$2000,I60)</f>
        <v>0</v>
      </c>
      <c r="R60" s="24">
        <f>SUMIFS('kokpit-1'!$U$4:$U$2000,'kokpit-1'!$R$4:$R$2000,I60)</f>
        <v>0</v>
      </c>
      <c r="S60" s="24">
        <f>SUMIFS('kokpit-1'!$V$4:$V$2000,'kokpit-1'!$R$4:$R$2000,I60)</f>
        <v>0</v>
      </c>
      <c r="T60" s="24">
        <f>SUMIFS('kokpit-1'!$U$4:$U$2000,'kokpit-1'!$R$4:$R$2000,I60)-SUMIFS('kokpit-1'!$V$4:$V$2000,'kokpit-1'!$R$4:$R$2000,I60)</f>
        <v>0</v>
      </c>
      <c r="U60" s="24">
        <f>SUMIFS('kokpit-1'!$V$4:$V$2000,'kokpit-1'!$R$4:$R$2000,I60)-SUMIFS('kokpit-1'!$U$4:$U$2000,'kokpit-1'!$R$4:$R$2000,I60)</f>
        <v>0</v>
      </c>
    </row>
    <row r="61" spans="1:21" x14ac:dyDescent="0.3">
      <c r="A61" s="114" t="str">
        <f>IF(H4="pośrednia","E","G")</f>
        <v>G</v>
      </c>
      <c r="B61" s="114"/>
      <c r="C61" s="114"/>
      <c r="D61" s="115"/>
      <c r="E61" s="236" t="str">
        <f>IF(H4="pośrednia","Bilansowa zmiana stanu środków pieniężnych, w tym:","Środki pieniężne na koniec okresu (F+/-D), w tym")</f>
        <v>Środki pieniężne na koniec okresu (F+/-D), w tym</v>
      </c>
      <c r="F61" s="236"/>
      <c r="G61" s="185" t="str">
        <f>IFERROR(IF(H4="pośrednia",G60,G57+G60),"")</f>
        <v/>
      </c>
      <c r="H61" s="185" t="str">
        <f>IFERROR(IF(H4="pośrednia",H60,H57+H60),"")</f>
        <v/>
      </c>
      <c r="I61" s="116" t="str">
        <f>A61</f>
        <v>G</v>
      </c>
      <c r="J61" s="117"/>
      <c r="M61" s="24">
        <f>SUMIFS(kokpit!$U$4:$U$2000,kokpit!$R$4:$R$2000,I61)</f>
        <v>0</v>
      </c>
      <c r="N61" s="24">
        <f>SUMIFS(kokpit!$V$4:$V$2000,kokpit!$R$4:$R$2000,I61)</f>
        <v>0</v>
      </c>
      <c r="O61" s="24">
        <f>SUMIFS(kokpit!$U$4:$U$2000,kokpit!$R$4:$R$2000,I61)-SUMIFS(kokpit!$V$4:$V$2000,kokpit!$R$4:$R$2000,I61)</f>
        <v>0</v>
      </c>
      <c r="P61" s="24">
        <f>SUMIFS(kokpit!$V$4:$V$2000,kokpit!$R$4:$R$2000,I61)-SUMIFS(kokpit!$U$4:$U$2000,kokpit!$R$4:$R$2000,I61)</f>
        <v>0</v>
      </c>
      <c r="R61" s="24">
        <f>SUMIFS('kokpit-1'!$U$4:$U$2000,'kokpit-1'!$R$4:$R$2000,I61)</f>
        <v>0</v>
      </c>
      <c r="S61" s="24">
        <f>SUMIFS('kokpit-1'!$V$4:$V$2000,'kokpit-1'!$R$4:$R$2000,I61)</f>
        <v>0</v>
      </c>
      <c r="T61" s="24">
        <f>SUMIFS('kokpit-1'!$U$4:$U$2000,'kokpit-1'!$R$4:$R$2000,I61)-SUMIFS('kokpit-1'!$V$4:$V$2000,'kokpit-1'!$R$4:$R$2000,I61)</f>
        <v>0</v>
      </c>
      <c r="U61" s="24">
        <f>SUMIFS('kokpit-1'!$V$4:$V$2000,'kokpit-1'!$R$4:$R$2000,I61)-SUMIFS('kokpit-1'!$U$4:$U$2000,'kokpit-1'!$R$4:$R$2000,I61)</f>
        <v>0</v>
      </c>
    </row>
    <row r="62" spans="1:21" x14ac:dyDescent="0.3">
      <c r="A62" s="114"/>
      <c r="B62" s="114"/>
      <c r="C62" s="114"/>
      <c r="D62" s="115" t="str">
        <f>IF(H4="pośrednia","-1","-1")</f>
        <v>-1</v>
      </c>
      <c r="E62" s="233" t="str">
        <f>IF(H4="pośrednia","- zmiana stanu środków pieniężnych z tytułu różnic kursowych","- o ograniczonej możliwości dysponowania")</f>
        <v>- o ograniczonej możliwości dysponowania</v>
      </c>
      <c r="F62" s="233"/>
      <c r="G62" s="185" t="str">
        <f>IFERROR(IF($H$3="ZŁ",IF(K62="Wn",M62,IF(K62="Ma",N62,IF(K62="Wn-Ma",O62,IF(K62="Ma-Wn",P62,"")))),(IF(K62="Wn",M62,IF(K62="Ma",N62,IF(K62="Wn-Ma",O62,IF(K62="Ma-Wn",P62,"")))))/1000),"")</f>
        <v/>
      </c>
      <c r="H62" s="185" t="str">
        <f>IFERROR(IF($H$3="ZŁ",IF(K62="Wn",R62,IF(K62="Ma",S62,IF(K62="Wn-Ma",T62,IF(K62="Ma-Wn",U62,"")))),(IF(K62="Wn",R62,IF(K62="Ma",S62,IF(K62="Wn-Ma",T62,IF(K62="Ma-Wn",U62,"")))))/1000),"")</f>
        <v/>
      </c>
      <c r="I62" s="116" t="str">
        <f>A61&amp;D62</f>
        <v>G-1</v>
      </c>
      <c r="J62" s="117"/>
      <c r="M62" s="24">
        <f>SUMIFS(kokpit!$U$4:$U$2000,kokpit!$R$4:$R$2000,I62)</f>
        <v>0</v>
      </c>
      <c r="N62" s="24">
        <f>SUMIFS(kokpit!$V$4:$V$2000,kokpit!$R$4:$R$2000,I62)</f>
        <v>0</v>
      </c>
      <c r="O62" s="24">
        <f>SUMIFS(kokpit!$U$4:$U$2000,kokpit!$R$4:$R$2000,I62)-SUMIFS(kokpit!$V$4:$V$2000,kokpit!$R$4:$R$2000,I62)</f>
        <v>0</v>
      </c>
      <c r="P62" s="24">
        <f>SUMIFS(kokpit!$V$4:$V$2000,kokpit!$R$4:$R$2000,I62)-SUMIFS(kokpit!$U$4:$U$2000,kokpit!$R$4:$R$2000,I62)</f>
        <v>0</v>
      </c>
      <c r="R62" s="24">
        <f>SUMIFS('kokpit-1'!$U$4:$U$2000,'kokpit-1'!$R$4:$R$2000,I62)</f>
        <v>0</v>
      </c>
      <c r="S62" s="24">
        <f>SUMIFS('kokpit-1'!$V$4:$V$2000,'kokpit-1'!$R$4:$R$2000,I62)</f>
        <v>0</v>
      </c>
      <c r="T62" s="24">
        <f>SUMIFS('kokpit-1'!$U$4:$U$2000,'kokpit-1'!$R$4:$R$2000,I62)-SUMIFS('kokpit-1'!$V$4:$V$2000,'kokpit-1'!$R$4:$R$2000,I62)</f>
        <v>0</v>
      </c>
      <c r="U62" s="24">
        <f>SUMIFS('kokpit-1'!$V$4:$V$2000,'kokpit-1'!$R$4:$R$2000,I62)-SUMIFS('kokpit-1'!$U$4:$U$2000,'kokpit-1'!$R$4:$R$2000,I62)</f>
        <v>0</v>
      </c>
    </row>
    <row r="63" spans="1:21" x14ac:dyDescent="0.3">
      <c r="A63" s="114" t="str">
        <f>IF(H4="pośrednia","F","")</f>
        <v/>
      </c>
      <c r="B63" s="114"/>
      <c r="C63" s="114"/>
      <c r="D63" s="115"/>
      <c r="E63" s="236" t="str">
        <f>IF(H4="pośrednia","Środki pieniężne na początek okresu","")</f>
        <v/>
      </c>
      <c r="F63" s="236"/>
      <c r="G63" s="184" t="str">
        <f>IFERROR(IF($H$3="ZŁ",IF(K63="Wn",M63,IF(K63="Ma",N63,IF(K63="Wn-Ma",O63,IF(K63="Ma-Wn",P63,"")))),(IF(K63="Wn",M63,IF(K63="Ma",N63,IF(K63="Wn-Ma",O63,IF(K63="Ma-Wn",P63,"")))))/1000),"")</f>
        <v/>
      </c>
      <c r="H63" s="184" t="str">
        <f>IFERROR(IF($H$3="ZŁ",IF(K63="Wn",R63,IF(K63="Ma",S63,IF(K63="Wn-Ma",T63,IF(K63="Ma-Wn",U63,"")))),(IF(K63="Wn",R63,IF(K63="Ma",S63,IF(K63="Wn-Ma",T63,IF(K63="Ma-Wn",U63,"")))))/1000),"")</f>
        <v/>
      </c>
      <c r="I63" s="116" t="str">
        <f>IF(H4="pośrednia",A63,"")</f>
        <v/>
      </c>
      <c r="J63" s="117"/>
      <c r="M63" s="24">
        <f>SUMIFS(kokpit!$U$4:$U$2000,kokpit!$R$4:$R$2000,I63)</f>
        <v>0</v>
      </c>
      <c r="N63" s="24">
        <f>SUMIFS(kokpit!$V$4:$V$2000,kokpit!$R$4:$R$2000,I63)</f>
        <v>0</v>
      </c>
      <c r="O63" s="24">
        <f>SUMIFS(kokpit!$U$4:$U$2000,kokpit!$R$4:$R$2000,I63)-SUMIFS(kokpit!$V$4:$V$2000,kokpit!$R$4:$R$2000,I63)</f>
        <v>0</v>
      </c>
      <c r="P63" s="24">
        <f>SUMIFS(kokpit!$V$4:$V$2000,kokpit!$R$4:$R$2000,I63)-SUMIFS(kokpit!$U$4:$U$2000,kokpit!$R$4:$R$2000,I63)</f>
        <v>0</v>
      </c>
      <c r="R63" s="24">
        <f>SUMIFS('kokpit-1'!$U$4:$U$2000,'kokpit-1'!$R$4:$R$2000,I63)</f>
        <v>0</v>
      </c>
      <c r="S63" s="24">
        <f>SUMIFS('kokpit-1'!$V$4:$V$2000,'kokpit-1'!$R$4:$R$2000,I63)</f>
        <v>0</v>
      </c>
      <c r="T63" s="24">
        <f>SUMIFS('kokpit-1'!$U$4:$U$2000,'kokpit-1'!$R$4:$R$2000,I63)-SUMIFS('kokpit-1'!$V$4:$V$2000,'kokpit-1'!$R$4:$R$2000,I63)</f>
        <v>0</v>
      </c>
      <c r="U63" s="24">
        <f>SUMIFS('kokpit-1'!$V$4:$V$2000,'kokpit-1'!$R$4:$R$2000,I63)-SUMIFS('kokpit-1'!$U$4:$U$2000,'kokpit-1'!$R$4:$R$2000,I63)</f>
        <v>0</v>
      </c>
    </row>
    <row r="64" spans="1:21" x14ac:dyDescent="0.3">
      <c r="A64" s="114" t="str">
        <f>IF(H4="pośrednia","G","")</f>
        <v/>
      </c>
      <c r="B64" s="114"/>
      <c r="C64" s="114"/>
      <c r="D64" s="115"/>
      <c r="E64" s="236" t="str">
        <f>IF(H4="pośrednia","Środki pieniężne na koniec okresu (F+/-D), w tym:","")</f>
        <v/>
      </c>
      <c r="F64" s="236"/>
      <c r="G64" s="187" t="str">
        <f>IFERROR(G63+G60,"")</f>
        <v/>
      </c>
      <c r="H64" s="187" t="str">
        <f>IFERROR(H63+H60,"")</f>
        <v/>
      </c>
      <c r="I64" s="116" t="str">
        <f>IF(H4="pośrednia",A64,"")</f>
        <v/>
      </c>
      <c r="J64" s="117"/>
      <c r="M64" s="24">
        <f>SUMIFS(kokpit!$U$4:$U$2000,kokpit!$R$4:$R$2000,I64)</f>
        <v>0</v>
      </c>
      <c r="N64" s="24">
        <f>SUMIFS(kokpit!$V$4:$V$2000,kokpit!$R$4:$R$2000,I64)</f>
        <v>0</v>
      </c>
      <c r="O64" s="24">
        <f>SUMIFS(kokpit!$U$4:$U$2000,kokpit!$R$4:$R$2000,I64)-SUMIFS(kokpit!$V$4:$V$2000,kokpit!$R$4:$R$2000,I64)</f>
        <v>0</v>
      </c>
      <c r="P64" s="24">
        <f>SUMIFS(kokpit!$V$4:$V$2000,kokpit!$R$4:$R$2000,I64)-SUMIFS(kokpit!$U$4:$U$2000,kokpit!$R$4:$R$2000,I64)</f>
        <v>0</v>
      </c>
      <c r="R64" s="24">
        <f>SUMIFS('kokpit-1'!$U$4:$U$2000,'kokpit-1'!$R$4:$R$2000,I64)</f>
        <v>0</v>
      </c>
      <c r="S64" s="24">
        <f>SUMIFS('kokpit-1'!$V$4:$V$2000,'kokpit-1'!$R$4:$R$2000,I64)</f>
        <v>0</v>
      </c>
      <c r="T64" s="24">
        <f>SUMIFS('kokpit-1'!$U$4:$U$2000,'kokpit-1'!$R$4:$R$2000,I64)-SUMIFS('kokpit-1'!$V$4:$V$2000,'kokpit-1'!$R$4:$R$2000,I64)</f>
        <v>0</v>
      </c>
      <c r="U64" s="24">
        <f>SUMIFS('kokpit-1'!$V$4:$V$2000,'kokpit-1'!$R$4:$R$2000,I64)-SUMIFS('kokpit-1'!$U$4:$U$2000,'kokpit-1'!$R$4:$R$2000,I64)</f>
        <v>0</v>
      </c>
    </row>
    <row r="65" spans="3:21" x14ac:dyDescent="0.3">
      <c r="C65" s="114"/>
      <c r="D65" s="115" t="str">
        <f>IF(H4="pośrednia","-1","")</f>
        <v/>
      </c>
      <c r="E65" s="233" t="str">
        <f>IF(H4="pośrednia","- o ograniczonej możliwości dysponowania","")</f>
        <v/>
      </c>
      <c r="F65" s="233"/>
      <c r="G65" s="185" t="str">
        <f>IFERROR(IF($H$3="ZŁ",IF(K65="Wn",M65,IF(K65="Ma",N65,IF(K65="Wn-Ma",O65,IF(K65="Ma-Wn",P65,"")))),(IF(K65="Wn",M65,IF(K65="Ma",N65,IF(K65="Wn-Ma",O65,IF(K65="Ma-Wn",P65,"")))))/1000),"")</f>
        <v/>
      </c>
      <c r="H65" s="185" t="str">
        <f>IFERROR(IF($H$3="ZŁ",IF(K65="Wn",R65,IF(K65="Ma",S65,IF(K65="Wn-Ma",T65,IF(K65="Ma-Wn",U65,"")))),(IF(K65="Wn",R65,IF(K65="Ma",S65,IF(K65="Wn-Ma",T65,IF(K65="Ma-Wn",U65,"")))))/1000),"")</f>
        <v/>
      </c>
      <c r="I65" s="116" t="str">
        <f>A64&amp;D65</f>
        <v/>
      </c>
      <c r="J65" s="117"/>
      <c r="M65" s="24">
        <f>SUMIFS(kokpit!$U$4:$U$2000,kokpit!$R$4:$R$2000,I65)</f>
        <v>0</v>
      </c>
      <c r="N65" s="24">
        <f>SUMIFS(kokpit!$V$4:$V$2000,kokpit!$R$4:$R$2000,I65)</f>
        <v>0</v>
      </c>
      <c r="O65" s="24">
        <f>SUMIFS(kokpit!$U$4:$U$2000,kokpit!$R$4:$R$2000,I65)-SUMIFS(kokpit!$V$4:$V$2000,kokpit!$R$4:$R$2000,I65)</f>
        <v>0</v>
      </c>
      <c r="P65" s="24">
        <f>SUMIFS(kokpit!$V$4:$V$2000,kokpit!$R$4:$R$2000,I65)-SUMIFS(kokpit!$U$4:$U$2000,kokpit!$R$4:$R$2000,I65)</f>
        <v>0</v>
      </c>
      <c r="R65" s="24">
        <f>SUMIFS('kokpit-1'!$U$4:$U$2000,'kokpit-1'!$R$4:$R$2000,I65)</f>
        <v>0</v>
      </c>
      <c r="S65" s="24">
        <f>SUMIFS('kokpit-1'!$V$4:$V$2000,'kokpit-1'!$R$4:$R$2000,I65)</f>
        <v>0</v>
      </c>
      <c r="T65" s="24">
        <f>SUMIFS('kokpit-1'!$U$4:$U$2000,'kokpit-1'!$R$4:$R$2000,I65)-SUMIFS('kokpit-1'!$V$4:$V$2000,'kokpit-1'!$R$4:$R$2000,I65)</f>
        <v>0</v>
      </c>
      <c r="U65" s="24">
        <f>SUMIFS('kokpit-1'!$V$4:$V$2000,'kokpit-1'!$R$4:$R$2000,I65)-SUMIFS('kokpit-1'!$U$4:$U$2000,'kokpit-1'!$R$4:$R$2000,I65)</f>
        <v>0</v>
      </c>
    </row>
    <row r="66" spans="3:21" x14ac:dyDescent="0.3">
      <c r="E66" s="119"/>
      <c r="F66" s="119"/>
      <c r="G66" s="141"/>
      <c r="H66" s="141"/>
      <c r="I66" s="116"/>
      <c r="J66" s="117"/>
    </row>
    <row r="67" spans="3:21" x14ac:dyDescent="0.3">
      <c r="G67" s="24"/>
      <c r="H67" s="141"/>
    </row>
    <row r="68" spans="3:21" x14ac:dyDescent="0.3">
      <c r="G68" s="24"/>
      <c r="H68" s="24"/>
    </row>
    <row r="69" spans="3:21" x14ac:dyDescent="0.3">
      <c r="G69" s="24"/>
      <c r="H69" s="24"/>
    </row>
    <row r="70" spans="3:21" x14ac:dyDescent="0.3">
      <c r="G70" s="24"/>
      <c r="H70" s="24"/>
    </row>
    <row r="71" spans="3:21" x14ac:dyDescent="0.3">
      <c r="G71" s="24"/>
      <c r="H71" s="24"/>
    </row>
  </sheetData>
  <mergeCells count="62">
    <mergeCell ref="E63:F63"/>
    <mergeCell ref="E64:F64"/>
    <mergeCell ref="E65:F65"/>
    <mergeCell ref="E4:F4"/>
    <mergeCell ref="A5:F5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6:F6"/>
    <mergeCell ref="E7:F7"/>
    <mergeCell ref="E8:F8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conditionalFormatting sqref="C65:I65 A6:I64">
    <cfRule type="expression" dxfId="8" priority="3">
      <formula>$A6="G"</formula>
    </cfRule>
    <cfRule type="expression" dxfId="7" priority="4">
      <formula>$A6="F"</formula>
    </cfRule>
    <cfRule type="expression" dxfId="6" priority="5">
      <formula>$A6="E"</formula>
    </cfRule>
    <cfRule type="expression" dxfId="5" priority="6">
      <formula>$A6="D"</formula>
    </cfRule>
    <cfRule type="expression" dxfId="4" priority="7">
      <formula>$A6="C"</formula>
    </cfRule>
    <cfRule type="expression" dxfId="3" priority="8">
      <formula>$A6="B"</formula>
    </cfRule>
    <cfRule type="expression" dxfId="2" priority="9">
      <formula>$A6="A"</formula>
    </cfRule>
  </conditionalFormatting>
  <conditionalFormatting sqref="E7:I66">
    <cfRule type="expression" dxfId="1" priority="2">
      <formula>$E7&lt;&gt;""</formula>
    </cfRule>
  </conditionalFormatting>
  <conditionalFormatting sqref="K6:K65">
    <cfRule type="expression" dxfId="0" priority="1">
      <formula>I6&lt;&gt;""</formula>
    </cfRule>
  </conditionalFormatting>
  <dataValidations count="3">
    <dataValidation type="list" allowBlank="1" showInputMessage="1" showErrorMessage="1" sqref="H4">
      <formula1>CF</formula1>
    </dataValidation>
    <dataValidation type="list" allowBlank="1" showInputMessage="1" showErrorMessage="1" sqref="H3">
      <formula1>Rzad</formula1>
    </dataValidation>
    <dataValidation type="list" allowBlank="1" showInputMessage="1" showErrorMessage="1" sqref="K6:K65">
      <formula1>WnMa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971"/>
  <sheetViews>
    <sheetView workbookViewId="0">
      <selection activeCell="AL118" sqref="AL118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66.36328125" bestFit="1" customWidth="1"/>
    <col min="28" max="28" width="17.36328125" bestFit="1" customWidth="1"/>
    <col min="29" max="29" width="51.08984375" bestFit="1" customWidth="1"/>
    <col min="30" max="30" width="20.6328125" bestFit="1" customWidth="1"/>
    <col min="31" max="31" width="50.81640625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22.36328125" customWidth="1"/>
    <col min="43" max="43" width="51.7265625" bestFit="1" customWidth="1"/>
    <col min="44" max="44" width="28.6328125" customWidth="1"/>
    <col min="45" max="45" width="37.26953125" bestFit="1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80.7265625" bestFit="1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1.26953125" customWidth="1"/>
    <col min="57" max="57" width="20.90625" bestFit="1" customWidth="1"/>
    <col min="58" max="58" width="17.90625" bestFit="1" customWidth="1"/>
    <col min="59" max="59" width="51.7265625" customWidth="1"/>
    <col min="60" max="60" width="17.6328125" customWidth="1"/>
    <col min="61" max="61" width="14.6328125" bestFit="1" customWidth="1"/>
    <col min="62" max="62" width="51.7265625" customWidth="1"/>
    <col min="63" max="63" width="24.1796875" bestFit="1" customWidth="1"/>
    <col min="64" max="64" width="21.90625" bestFit="1" customWidth="1"/>
    <col min="65" max="65" width="20.90625" bestFit="1" customWidth="1"/>
    <col min="66" max="66" width="18.6328125" bestFit="1" customWidth="1"/>
    <col min="67" max="67" width="28.453125" bestFit="1" customWidth="1"/>
    <col min="68" max="68" width="17.1796875" bestFit="1" customWidth="1"/>
    <col min="69" max="69" width="13.90625" bestFit="1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133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66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67</v>
      </c>
      <c r="BC1" t="s">
        <v>51</v>
      </c>
      <c r="BD1" t="s">
        <v>52</v>
      </c>
      <c r="BE1" t="s">
        <v>53</v>
      </c>
      <c r="BF1" t="s">
        <v>54</v>
      </c>
      <c r="BG1" t="s">
        <v>57</v>
      </c>
      <c r="BH1" t="s">
        <v>58</v>
      </c>
      <c r="BI1" t="s">
        <v>59</v>
      </c>
      <c r="BJ1" t="s">
        <v>62</v>
      </c>
      <c r="BK1" t="s">
        <v>55</v>
      </c>
      <c r="BL1" t="s">
        <v>56</v>
      </c>
      <c r="BM1" t="s">
        <v>60</v>
      </c>
      <c r="BN1" t="s">
        <v>61</v>
      </c>
      <c r="BO1" t="s">
        <v>63</v>
      </c>
      <c r="BP1" t="s">
        <v>64</v>
      </c>
      <c r="BQ1" t="s">
        <v>65</v>
      </c>
    </row>
    <row r="2" spans="1:69" x14ac:dyDescent="0.35">
      <c r="A2" s="1" t="s">
        <v>68</v>
      </c>
      <c r="B2" s="1" t="s">
        <v>69</v>
      </c>
      <c r="C2" s="1" t="s">
        <v>70</v>
      </c>
      <c r="D2">
        <v>1</v>
      </c>
      <c r="E2">
        <v>1</v>
      </c>
      <c r="F2" s="2">
        <v>43585.43</v>
      </c>
      <c r="G2" s="3">
        <v>41275</v>
      </c>
      <c r="H2" s="3">
        <v>41639</v>
      </c>
      <c r="I2" s="1" t="s">
        <v>71</v>
      </c>
      <c r="J2">
        <v>4521</v>
      </c>
      <c r="K2">
        <v>0</v>
      </c>
      <c r="L2" s="1" t="s">
        <v>384</v>
      </c>
      <c r="M2" s="1" t="s">
        <v>72</v>
      </c>
      <c r="N2" s="1" t="s">
        <v>134</v>
      </c>
      <c r="O2" s="1" t="s">
        <v>385</v>
      </c>
      <c r="P2" s="1" t="s">
        <v>386</v>
      </c>
      <c r="Q2" s="1" t="s">
        <v>387</v>
      </c>
      <c r="R2">
        <v>103</v>
      </c>
      <c r="S2" s="1" t="s">
        <v>135</v>
      </c>
      <c r="T2" s="1" t="s">
        <v>388</v>
      </c>
      <c r="U2" s="1" t="s">
        <v>135</v>
      </c>
      <c r="V2" s="1" t="s">
        <v>74</v>
      </c>
      <c r="W2" s="1" t="s">
        <v>1640</v>
      </c>
      <c r="X2" s="1" t="s">
        <v>1643</v>
      </c>
      <c r="Y2" s="1" t="s">
        <v>76</v>
      </c>
      <c r="Z2">
        <v>0</v>
      </c>
      <c r="AA2" s="1" t="s">
        <v>78</v>
      </c>
      <c r="AB2">
        <v>10</v>
      </c>
      <c r="AC2" s="1" t="s">
        <v>108</v>
      </c>
      <c r="AD2" s="1" t="s">
        <v>89</v>
      </c>
      <c r="AE2" s="1" t="s">
        <v>674</v>
      </c>
      <c r="AF2">
        <v>0</v>
      </c>
      <c r="AG2">
        <v>0</v>
      </c>
      <c r="AH2">
        <v>120560</v>
      </c>
      <c r="AI2">
        <v>0</v>
      </c>
      <c r="AJ2">
        <v>120560</v>
      </c>
      <c r="AK2">
        <v>0</v>
      </c>
      <c r="AL2">
        <v>120560</v>
      </c>
      <c r="AM2">
        <v>0</v>
      </c>
      <c r="AN2" s="1"/>
      <c r="AP2" s="1"/>
      <c r="AQ2" s="1"/>
      <c r="AR2" s="1"/>
      <c r="AS2" s="1"/>
      <c r="AT2" s="3"/>
      <c r="AU2" s="3"/>
      <c r="AV2" s="3"/>
      <c r="AW2" s="1"/>
      <c r="AX2" s="1"/>
      <c r="AZ2">
        <v>253</v>
      </c>
      <c r="BA2">
        <v>4654734.66</v>
      </c>
      <c r="BB2" s="1"/>
      <c r="BD2" s="1"/>
      <c r="BE2" s="1"/>
      <c r="BG2" s="1"/>
      <c r="BH2" s="1"/>
      <c r="BJ2" s="1"/>
      <c r="BL2" s="1"/>
      <c r="BN2" s="1"/>
      <c r="BO2">
        <v>599</v>
      </c>
      <c r="BP2">
        <v>4654734.66</v>
      </c>
      <c r="BQ2">
        <v>4654734.66</v>
      </c>
    </row>
    <row r="3" spans="1:69" x14ac:dyDescent="0.35">
      <c r="A3" s="1" t="s">
        <v>68</v>
      </c>
      <c r="B3" s="1" t="s">
        <v>69</v>
      </c>
      <c r="C3" s="1" t="s">
        <v>70</v>
      </c>
      <c r="D3">
        <v>1</v>
      </c>
      <c r="E3">
        <v>1</v>
      </c>
      <c r="F3" s="2">
        <v>43585.43</v>
      </c>
      <c r="G3" s="3">
        <v>41275</v>
      </c>
      <c r="H3" s="3">
        <v>41639</v>
      </c>
      <c r="I3" s="1" t="s">
        <v>71</v>
      </c>
      <c r="J3">
        <v>4521</v>
      </c>
      <c r="K3">
        <v>0</v>
      </c>
      <c r="L3" s="1" t="s">
        <v>384</v>
      </c>
      <c r="M3" s="1" t="s">
        <v>72</v>
      </c>
      <c r="N3" s="1" t="s">
        <v>134</v>
      </c>
      <c r="O3" s="1" t="s">
        <v>385</v>
      </c>
      <c r="P3" s="1" t="s">
        <v>386</v>
      </c>
      <c r="Q3" s="1" t="s">
        <v>387</v>
      </c>
      <c r="R3">
        <v>103</v>
      </c>
      <c r="S3" s="1" t="s">
        <v>135</v>
      </c>
      <c r="T3" s="1" t="s">
        <v>388</v>
      </c>
      <c r="U3" s="1" t="s">
        <v>135</v>
      </c>
      <c r="V3" s="1" t="s">
        <v>74</v>
      </c>
      <c r="W3" s="1" t="s">
        <v>1641</v>
      </c>
      <c r="X3" s="1" t="s">
        <v>1644</v>
      </c>
      <c r="Y3" s="1" t="s">
        <v>76</v>
      </c>
      <c r="Z3">
        <v>0</v>
      </c>
      <c r="AA3" s="1" t="s">
        <v>78</v>
      </c>
      <c r="AB3">
        <v>10</v>
      </c>
      <c r="AC3" s="1" t="s">
        <v>108</v>
      </c>
      <c r="AD3" s="1" t="s">
        <v>86</v>
      </c>
      <c r="AE3" s="1" t="s">
        <v>675</v>
      </c>
      <c r="AF3">
        <v>0</v>
      </c>
      <c r="AG3">
        <v>0</v>
      </c>
      <c r="AH3">
        <v>75900</v>
      </c>
      <c r="AI3">
        <v>0</v>
      </c>
      <c r="AJ3">
        <v>75900</v>
      </c>
      <c r="AK3">
        <v>0</v>
      </c>
      <c r="AL3">
        <v>75900</v>
      </c>
      <c r="AM3">
        <v>0</v>
      </c>
      <c r="AN3" s="1"/>
      <c r="AP3" s="1"/>
      <c r="AQ3" s="1"/>
      <c r="AR3" s="1"/>
      <c r="AS3" s="1"/>
      <c r="AT3" s="3"/>
      <c r="AU3" s="3"/>
      <c r="AV3" s="3"/>
      <c r="AW3" s="1"/>
      <c r="AX3" s="1"/>
      <c r="AZ3">
        <v>253</v>
      </c>
      <c r="BA3">
        <v>4654734.66</v>
      </c>
      <c r="BB3" s="1"/>
      <c r="BD3" s="1"/>
      <c r="BE3" s="1"/>
      <c r="BG3" s="1"/>
      <c r="BH3" s="1"/>
      <c r="BJ3" s="1"/>
      <c r="BL3" s="1"/>
      <c r="BN3" s="1"/>
      <c r="BO3">
        <v>599</v>
      </c>
      <c r="BP3">
        <v>4654734.66</v>
      </c>
      <c r="BQ3">
        <v>4654734.66</v>
      </c>
    </row>
    <row r="4" spans="1:69" x14ac:dyDescent="0.35">
      <c r="A4" s="1" t="s">
        <v>68</v>
      </c>
      <c r="B4" s="1" t="s">
        <v>69</v>
      </c>
      <c r="C4" s="1" t="s">
        <v>70</v>
      </c>
      <c r="D4">
        <v>1</v>
      </c>
      <c r="E4">
        <v>1</v>
      </c>
      <c r="F4" s="2">
        <v>43585.43</v>
      </c>
      <c r="G4" s="3">
        <v>41275</v>
      </c>
      <c r="H4" s="3">
        <v>41639</v>
      </c>
      <c r="I4" s="1" t="s">
        <v>71</v>
      </c>
      <c r="J4">
        <v>4521</v>
      </c>
      <c r="K4">
        <v>0</v>
      </c>
      <c r="L4" s="1" t="s">
        <v>384</v>
      </c>
      <c r="M4" s="1" t="s">
        <v>72</v>
      </c>
      <c r="N4" s="1" t="s">
        <v>134</v>
      </c>
      <c r="O4" s="1" t="s">
        <v>385</v>
      </c>
      <c r="P4" s="1" t="s">
        <v>386</v>
      </c>
      <c r="Q4" s="1" t="s">
        <v>387</v>
      </c>
      <c r="R4">
        <v>103</v>
      </c>
      <c r="S4" s="1" t="s">
        <v>135</v>
      </c>
      <c r="T4" s="1" t="s">
        <v>388</v>
      </c>
      <c r="U4" s="1" t="s">
        <v>135</v>
      </c>
      <c r="V4" s="1" t="s">
        <v>74</v>
      </c>
      <c r="W4" s="1" t="s">
        <v>1642</v>
      </c>
      <c r="X4" s="1" t="s">
        <v>1645</v>
      </c>
      <c r="Y4" s="1" t="s">
        <v>76</v>
      </c>
      <c r="Z4">
        <v>0</v>
      </c>
      <c r="AA4" s="1" t="s">
        <v>78</v>
      </c>
      <c r="AB4">
        <v>10</v>
      </c>
      <c r="AC4" s="1" t="s">
        <v>108</v>
      </c>
      <c r="AD4" s="1" t="s">
        <v>87</v>
      </c>
      <c r="AE4" s="1" t="s">
        <v>676</v>
      </c>
      <c r="AF4">
        <v>0</v>
      </c>
      <c r="AG4">
        <v>0</v>
      </c>
      <c r="AH4">
        <v>39236</v>
      </c>
      <c r="AI4">
        <v>0</v>
      </c>
      <c r="AJ4">
        <v>39236</v>
      </c>
      <c r="AK4">
        <v>0</v>
      </c>
      <c r="AL4">
        <v>39236</v>
      </c>
      <c r="AM4">
        <v>0</v>
      </c>
      <c r="AN4" s="1"/>
      <c r="AP4" s="1"/>
      <c r="AQ4" s="1"/>
      <c r="AR4" s="1"/>
      <c r="AS4" s="1"/>
      <c r="AT4" s="3"/>
      <c r="AU4" s="3"/>
      <c r="AV4" s="3"/>
      <c r="AW4" s="1"/>
      <c r="AX4" s="1"/>
      <c r="AZ4">
        <v>253</v>
      </c>
      <c r="BA4">
        <v>4654734.66</v>
      </c>
      <c r="BB4" s="1"/>
      <c r="BD4" s="1"/>
      <c r="BE4" s="1"/>
      <c r="BG4" s="1"/>
      <c r="BH4" s="1"/>
      <c r="BJ4" s="1"/>
      <c r="BL4" s="1"/>
      <c r="BN4" s="1"/>
      <c r="BO4">
        <v>599</v>
      </c>
      <c r="BP4">
        <v>4654734.66</v>
      </c>
      <c r="BQ4">
        <v>4654734.66</v>
      </c>
    </row>
    <row r="5" spans="1:69" x14ac:dyDescent="0.35">
      <c r="A5" s="1" t="s">
        <v>68</v>
      </c>
      <c r="B5" s="1" t="s">
        <v>69</v>
      </c>
      <c r="C5" s="1" t="s">
        <v>70</v>
      </c>
      <c r="D5">
        <v>1</v>
      </c>
      <c r="E5">
        <v>1</v>
      </c>
      <c r="F5" s="2">
        <v>43585.43</v>
      </c>
      <c r="G5" s="3">
        <v>41275</v>
      </c>
      <c r="H5" s="3">
        <v>41639</v>
      </c>
      <c r="I5" s="1" t="s">
        <v>71</v>
      </c>
      <c r="J5">
        <v>4521</v>
      </c>
      <c r="K5">
        <v>0</v>
      </c>
      <c r="L5" s="1" t="s">
        <v>384</v>
      </c>
      <c r="M5" s="1" t="s">
        <v>72</v>
      </c>
      <c r="N5" s="1" t="s">
        <v>134</v>
      </c>
      <c r="O5" s="1" t="s">
        <v>385</v>
      </c>
      <c r="P5" s="1" t="s">
        <v>386</v>
      </c>
      <c r="Q5" s="1" t="s">
        <v>387</v>
      </c>
      <c r="R5">
        <v>103</v>
      </c>
      <c r="S5" s="1" t="s">
        <v>135</v>
      </c>
      <c r="T5" s="1" t="s">
        <v>388</v>
      </c>
      <c r="U5" s="1" t="s">
        <v>135</v>
      </c>
      <c r="V5" s="1" t="s">
        <v>74</v>
      </c>
      <c r="W5" s="1" t="s">
        <v>389</v>
      </c>
      <c r="X5" s="1" t="s">
        <v>494</v>
      </c>
      <c r="Y5" s="1" t="s">
        <v>76</v>
      </c>
      <c r="Z5">
        <v>0</v>
      </c>
      <c r="AA5" s="1" t="s">
        <v>78</v>
      </c>
      <c r="AB5">
        <v>70</v>
      </c>
      <c r="AC5" s="1" t="s">
        <v>599</v>
      </c>
      <c r="AD5" s="1" t="s">
        <v>89</v>
      </c>
      <c r="AE5" s="1" t="s">
        <v>674</v>
      </c>
      <c r="AF5">
        <v>0</v>
      </c>
      <c r="AG5">
        <v>0</v>
      </c>
      <c r="AH5">
        <v>0</v>
      </c>
      <c r="AI5">
        <v>7487.88</v>
      </c>
      <c r="AJ5">
        <v>0</v>
      </c>
      <c r="AK5">
        <v>7487.88</v>
      </c>
      <c r="AL5">
        <v>0</v>
      </c>
      <c r="AM5">
        <v>7487.88</v>
      </c>
      <c r="AN5" s="1"/>
      <c r="AP5" s="1"/>
      <c r="AQ5" s="1"/>
      <c r="AR5" s="1"/>
      <c r="AS5" s="1"/>
      <c r="AT5" s="3"/>
      <c r="AU5" s="3"/>
      <c r="AV5" s="3"/>
      <c r="AW5" s="1"/>
      <c r="AX5" s="1"/>
      <c r="AZ5">
        <v>253</v>
      </c>
      <c r="BA5">
        <v>4654734.66</v>
      </c>
      <c r="BB5" s="1"/>
      <c r="BD5" s="1"/>
      <c r="BE5" s="1"/>
      <c r="BG5" s="1"/>
      <c r="BH5" s="1"/>
      <c r="BJ5" s="1"/>
      <c r="BL5" s="1"/>
      <c r="BN5" s="1"/>
      <c r="BO5">
        <v>599</v>
      </c>
      <c r="BP5">
        <v>4654734.66</v>
      </c>
      <c r="BQ5">
        <v>4654734.66</v>
      </c>
    </row>
    <row r="6" spans="1:69" x14ac:dyDescent="0.35">
      <c r="A6" s="1" t="s">
        <v>68</v>
      </c>
      <c r="B6" s="1" t="s">
        <v>69</v>
      </c>
      <c r="C6" s="1" t="s">
        <v>70</v>
      </c>
      <c r="D6">
        <v>1</v>
      </c>
      <c r="E6">
        <v>1</v>
      </c>
      <c r="F6" s="2">
        <v>43585.43</v>
      </c>
      <c r="G6" s="3">
        <v>41275</v>
      </c>
      <c r="H6" s="3">
        <v>41639</v>
      </c>
      <c r="I6" s="1" t="s">
        <v>71</v>
      </c>
      <c r="J6">
        <v>4521</v>
      </c>
      <c r="K6">
        <v>0</v>
      </c>
      <c r="L6" s="1" t="s">
        <v>384</v>
      </c>
      <c r="M6" s="1" t="s">
        <v>72</v>
      </c>
      <c r="N6" s="1" t="s">
        <v>134</v>
      </c>
      <c r="O6" s="1" t="s">
        <v>385</v>
      </c>
      <c r="P6" s="1" t="s">
        <v>386</v>
      </c>
      <c r="Q6" s="1" t="s">
        <v>387</v>
      </c>
      <c r="R6">
        <v>103</v>
      </c>
      <c r="S6" s="1" t="s">
        <v>135</v>
      </c>
      <c r="T6" s="1" t="s">
        <v>388</v>
      </c>
      <c r="U6" s="1" t="s">
        <v>135</v>
      </c>
      <c r="V6" s="1" t="s">
        <v>74</v>
      </c>
      <c r="W6" s="1" t="s">
        <v>390</v>
      </c>
      <c r="X6" s="1" t="s">
        <v>495</v>
      </c>
      <c r="Y6" s="1" t="s">
        <v>76</v>
      </c>
      <c r="Z6">
        <v>0</v>
      </c>
      <c r="AA6" s="1" t="s">
        <v>78</v>
      </c>
      <c r="AB6">
        <v>70</v>
      </c>
      <c r="AC6" s="1" t="s">
        <v>599</v>
      </c>
      <c r="AD6" s="1" t="s">
        <v>86</v>
      </c>
      <c r="AE6" s="1" t="s">
        <v>675</v>
      </c>
      <c r="AF6">
        <v>0</v>
      </c>
      <c r="AG6">
        <v>0</v>
      </c>
      <c r="AH6">
        <v>0</v>
      </c>
      <c r="AI6">
        <v>4404</v>
      </c>
      <c r="AJ6">
        <v>0</v>
      </c>
      <c r="AK6">
        <v>4404</v>
      </c>
      <c r="AL6">
        <v>0</v>
      </c>
      <c r="AM6">
        <v>4404</v>
      </c>
      <c r="AN6" s="1"/>
      <c r="AP6" s="1"/>
      <c r="AQ6" s="1"/>
      <c r="AR6" s="1"/>
      <c r="AS6" s="1"/>
      <c r="AT6" s="3"/>
      <c r="AU6" s="3"/>
      <c r="AV6" s="3"/>
      <c r="AW6" s="1"/>
      <c r="AX6" s="1"/>
      <c r="AZ6">
        <v>253</v>
      </c>
      <c r="BA6">
        <v>4654734.66</v>
      </c>
      <c r="BB6" s="1"/>
      <c r="BD6" s="1"/>
      <c r="BE6" s="1"/>
      <c r="BG6" s="1"/>
      <c r="BH6" s="1"/>
      <c r="BJ6" s="1"/>
      <c r="BL6" s="1"/>
      <c r="BN6" s="1"/>
      <c r="BO6">
        <v>599</v>
      </c>
      <c r="BP6">
        <v>4654734.66</v>
      </c>
      <c r="BQ6">
        <v>4654734.66</v>
      </c>
    </row>
    <row r="7" spans="1:69" x14ac:dyDescent="0.35">
      <c r="A7" s="1" t="s">
        <v>68</v>
      </c>
      <c r="B7" s="1" t="s">
        <v>69</v>
      </c>
      <c r="C7" s="1" t="s">
        <v>70</v>
      </c>
      <c r="D7">
        <v>1</v>
      </c>
      <c r="E7">
        <v>1</v>
      </c>
      <c r="F7" s="2">
        <v>43585.43</v>
      </c>
      <c r="G7" s="3">
        <v>41275</v>
      </c>
      <c r="H7" s="3">
        <v>41639</v>
      </c>
      <c r="I7" s="1" t="s">
        <v>71</v>
      </c>
      <c r="J7">
        <v>4521</v>
      </c>
      <c r="K7">
        <v>0</v>
      </c>
      <c r="L7" s="1" t="s">
        <v>384</v>
      </c>
      <c r="M7" s="1" t="s">
        <v>72</v>
      </c>
      <c r="N7" s="1" t="s">
        <v>134</v>
      </c>
      <c r="O7" s="1" t="s">
        <v>385</v>
      </c>
      <c r="P7" s="1" t="s">
        <v>386</v>
      </c>
      <c r="Q7" s="1" t="s">
        <v>387</v>
      </c>
      <c r="R7">
        <v>103</v>
      </c>
      <c r="S7" s="1" t="s">
        <v>135</v>
      </c>
      <c r="T7" s="1" t="s">
        <v>388</v>
      </c>
      <c r="U7" s="1" t="s">
        <v>135</v>
      </c>
      <c r="V7" s="1" t="s">
        <v>74</v>
      </c>
      <c r="W7" s="1" t="s">
        <v>391</v>
      </c>
      <c r="X7" s="1" t="s">
        <v>496</v>
      </c>
      <c r="Y7" s="1" t="s">
        <v>76</v>
      </c>
      <c r="Z7">
        <v>0</v>
      </c>
      <c r="AA7" s="1" t="s">
        <v>78</v>
      </c>
      <c r="AB7">
        <v>70</v>
      </c>
      <c r="AC7" s="1" t="s">
        <v>599</v>
      </c>
      <c r="AD7" s="1" t="s">
        <v>87</v>
      </c>
      <c r="AE7" s="1" t="s">
        <v>676</v>
      </c>
      <c r="AF7">
        <v>0</v>
      </c>
      <c r="AG7">
        <v>0</v>
      </c>
      <c r="AH7">
        <v>0</v>
      </c>
      <c r="AI7">
        <v>8262.5</v>
      </c>
      <c r="AJ7">
        <v>0</v>
      </c>
      <c r="AK7">
        <v>8262.5</v>
      </c>
      <c r="AL7">
        <v>0</v>
      </c>
      <c r="AM7">
        <v>8262.5</v>
      </c>
      <c r="AN7" s="1"/>
      <c r="AP7" s="1"/>
      <c r="AQ7" s="1"/>
      <c r="AR7" s="1"/>
      <c r="AS7" s="1"/>
      <c r="AT7" s="3"/>
      <c r="AU7" s="3"/>
      <c r="AV7" s="3"/>
      <c r="AW7" s="1"/>
      <c r="AX7" s="1"/>
      <c r="AZ7">
        <v>253</v>
      </c>
      <c r="BA7">
        <v>4654734.66</v>
      </c>
      <c r="BB7" s="1"/>
      <c r="BD7" s="1"/>
      <c r="BE7" s="1"/>
      <c r="BG7" s="1"/>
      <c r="BH7" s="1"/>
      <c r="BJ7" s="1"/>
      <c r="BL7" s="1"/>
      <c r="BN7" s="1"/>
      <c r="BO7">
        <v>599</v>
      </c>
      <c r="BP7">
        <v>4654734.66</v>
      </c>
      <c r="BQ7">
        <v>4654734.66</v>
      </c>
    </row>
    <row r="8" spans="1:69" x14ac:dyDescent="0.35">
      <c r="A8" s="1" t="s">
        <v>68</v>
      </c>
      <c r="B8" s="1" t="s">
        <v>69</v>
      </c>
      <c r="C8" s="1" t="s">
        <v>70</v>
      </c>
      <c r="D8">
        <v>1</v>
      </c>
      <c r="E8">
        <v>1</v>
      </c>
      <c r="F8" s="2">
        <v>43585.43</v>
      </c>
      <c r="G8" s="3">
        <v>41275</v>
      </c>
      <c r="H8" s="3">
        <v>41639</v>
      </c>
      <c r="I8" s="1" t="s">
        <v>71</v>
      </c>
      <c r="J8">
        <v>4521</v>
      </c>
      <c r="K8">
        <v>0</v>
      </c>
      <c r="L8" s="1" t="s">
        <v>384</v>
      </c>
      <c r="M8" s="1" t="s">
        <v>72</v>
      </c>
      <c r="N8" s="1" t="s">
        <v>134</v>
      </c>
      <c r="O8" s="1" t="s">
        <v>385</v>
      </c>
      <c r="P8" s="1" t="s">
        <v>386</v>
      </c>
      <c r="Q8" s="1" t="s">
        <v>387</v>
      </c>
      <c r="R8">
        <v>103</v>
      </c>
      <c r="S8" s="1" t="s">
        <v>135</v>
      </c>
      <c r="T8" s="1" t="s">
        <v>388</v>
      </c>
      <c r="U8" s="1" t="s">
        <v>135</v>
      </c>
      <c r="V8" s="1" t="s">
        <v>74</v>
      </c>
      <c r="W8" s="1" t="s">
        <v>392</v>
      </c>
      <c r="X8" s="1" t="s">
        <v>497</v>
      </c>
      <c r="Y8" s="1" t="s">
        <v>76</v>
      </c>
      <c r="Z8">
        <v>1</v>
      </c>
      <c r="AA8" s="1" t="s">
        <v>79</v>
      </c>
      <c r="AB8">
        <v>100</v>
      </c>
      <c r="AC8" s="1" t="s">
        <v>600</v>
      </c>
      <c r="AD8" s="1" t="s">
        <v>88</v>
      </c>
      <c r="AE8" s="1" t="s">
        <v>677</v>
      </c>
      <c r="AF8">
        <v>4070</v>
      </c>
      <c r="AG8">
        <v>0</v>
      </c>
      <c r="AH8">
        <v>44521.58</v>
      </c>
      <c r="AI8">
        <v>22028.68</v>
      </c>
      <c r="AJ8">
        <v>44521.58</v>
      </c>
      <c r="AK8">
        <v>22028.68</v>
      </c>
      <c r="AL8">
        <v>26562.9</v>
      </c>
      <c r="AM8">
        <v>0</v>
      </c>
      <c r="AN8" s="1"/>
      <c r="AP8" s="1"/>
      <c r="AQ8" s="1"/>
      <c r="AR8" s="1"/>
      <c r="AS8" s="1"/>
      <c r="AT8" s="3"/>
      <c r="AU8" s="3"/>
      <c r="AV8" s="3"/>
      <c r="AW8" s="1"/>
      <c r="AX8" s="1"/>
      <c r="AZ8">
        <v>253</v>
      </c>
      <c r="BA8">
        <v>4654734.66</v>
      </c>
      <c r="BB8" s="1"/>
      <c r="BD8" s="1"/>
      <c r="BE8" s="1"/>
      <c r="BG8" s="1"/>
      <c r="BH8" s="1"/>
      <c r="BJ8" s="1"/>
      <c r="BL8" s="1"/>
      <c r="BN8" s="1"/>
      <c r="BO8">
        <v>599</v>
      </c>
      <c r="BP8">
        <v>4654734.66</v>
      </c>
      <c r="BQ8">
        <v>4654734.66</v>
      </c>
    </row>
    <row r="9" spans="1:69" x14ac:dyDescent="0.35">
      <c r="A9" s="1" t="s">
        <v>68</v>
      </c>
      <c r="B9" s="1" t="s">
        <v>69</v>
      </c>
      <c r="C9" s="1" t="s">
        <v>70</v>
      </c>
      <c r="D9">
        <v>1</v>
      </c>
      <c r="E9">
        <v>1</v>
      </c>
      <c r="F9" s="2">
        <v>43585.43</v>
      </c>
      <c r="G9" s="3">
        <v>41275</v>
      </c>
      <c r="H9" s="3">
        <v>41639</v>
      </c>
      <c r="I9" s="1" t="s">
        <v>71</v>
      </c>
      <c r="J9">
        <v>4521</v>
      </c>
      <c r="K9">
        <v>0</v>
      </c>
      <c r="L9" s="1" t="s">
        <v>384</v>
      </c>
      <c r="M9" s="1" t="s">
        <v>72</v>
      </c>
      <c r="N9" s="1" t="s">
        <v>134</v>
      </c>
      <c r="O9" s="1" t="s">
        <v>385</v>
      </c>
      <c r="P9" s="1" t="s">
        <v>386</v>
      </c>
      <c r="Q9" s="1" t="s">
        <v>387</v>
      </c>
      <c r="R9">
        <v>103</v>
      </c>
      <c r="S9" s="1" t="s">
        <v>135</v>
      </c>
      <c r="T9" s="1" t="s">
        <v>388</v>
      </c>
      <c r="U9" s="1" t="s">
        <v>135</v>
      </c>
      <c r="V9" s="1" t="s">
        <v>74</v>
      </c>
      <c r="W9" s="1" t="s">
        <v>393</v>
      </c>
      <c r="X9" s="1" t="s">
        <v>498</v>
      </c>
      <c r="Y9" s="1" t="s">
        <v>76</v>
      </c>
      <c r="Z9">
        <v>1</v>
      </c>
      <c r="AA9" s="1" t="s">
        <v>79</v>
      </c>
      <c r="AB9">
        <v>100</v>
      </c>
      <c r="AC9" s="1" t="s">
        <v>600</v>
      </c>
      <c r="AD9" s="1" t="s">
        <v>89</v>
      </c>
      <c r="AE9" s="1" t="s">
        <v>678</v>
      </c>
      <c r="AF9">
        <v>0</v>
      </c>
      <c r="AG9">
        <v>0</v>
      </c>
      <c r="AH9">
        <v>1786.45</v>
      </c>
      <c r="AI9">
        <v>0</v>
      </c>
      <c r="AJ9">
        <v>1786.45</v>
      </c>
      <c r="AK9">
        <v>0</v>
      </c>
      <c r="AL9">
        <v>1786.45</v>
      </c>
      <c r="AM9">
        <v>0</v>
      </c>
      <c r="AN9" s="1"/>
      <c r="AP9" s="1"/>
      <c r="AQ9" s="1"/>
      <c r="AR9" s="1"/>
      <c r="AS9" s="1"/>
      <c r="AT9" s="3"/>
      <c r="AU9" s="3"/>
      <c r="AV9" s="3"/>
      <c r="AW9" s="1"/>
      <c r="AX9" s="1"/>
      <c r="AZ9">
        <v>253</v>
      </c>
      <c r="BA9">
        <v>4654734.66</v>
      </c>
      <c r="BB9" s="1"/>
      <c r="BD9" s="1"/>
      <c r="BE9" s="1"/>
      <c r="BG9" s="1"/>
      <c r="BH9" s="1"/>
      <c r="BJ9" s="1"/>
      <c r="BL9" s="1"/>
      <c r="BN9" s="1"/>
      <c r="BO9">
        <v>599</v>
      </c>
      <c r="BP9">
        <v>4654734.66</v>
      </c>
      <c r="BQ9">
        <v>4654734.66</v>
      </c>
    </row>
    <row r="10" spans="1:69" x14ac:dyDescent="0.35">
      <c r="A10" s="1" t="s">
        <v>68</v>
      </c>
      <c r="B10" s="1" t="s">
        <v>69</v>
      </c>
      <c r="C10" s="1" t="s">
        <v>70</v>
      </c>
      <c r="D10">
        <v>1</v>
      </c>
      <c r="E10">
        <v>1</v>
      </c>
      <c r="F10" s="2">
        <v>43585.43</v>
      </c>
      <c r="G10" s="3">
        <v>41275</v>
      </c>
      <c r="H10" s="3">
        <v>41639</v>
      </c>
      <c r="I10" s="1" t="s">
        <v>71</v>
      </c>
      <c r="J10">
        <v>4521</v>
      </c>
      <c r="K10">
        <v>0</v>
      </c>
      <c r="L10" s="1" t="s">
        <v>384</v>
      </c>
      <c r="M10" s="1" t="s">
        <v>72</v>
      </c>
      <c r="N10" s="1" t="s">
        <v>134</v>
      </c>
      <c r="O10" s="1" t="s">
        <v>385</v>
      </c>
      <c r="P10" s="1" t="s">
        <v>386</v>
      </c>
      <c r="Q10" s="1" t="s">
        <v>387</v>
      </c>
      <c r="R10">
        <v>103</v>
      </c>
      <c r="S10" s="1" t="s">
        <v>135</v>
      </c>
      <c r="T10" s="1" t="s">
        <v>388</v>
      </c>
      <c r="U10" s="1" t="s">
        <v>135</v>
      </c>
      <c r="V10" s="1" t="s">
        <v>74</v>
      </c>
      <c r="W10" s="1" t="s">
        <v>394</v>
      </c>
      <c r="X10" s="1" t="s">
        <v>499</v>
      </c>
      <c r="Y10" s="1" t="s">
        <v>76</v>
      </c>
      <c r="Z10">
        <v>1</v>
      </c>
      <c r="AA10" s="1" t="s">
        <v>79</v>
      </c>
      <c r="AB10">
        <v>130</v>
      </c>
      <c r="AC10" s="1" t="s">
        <v>601</v>
      </c>
      <c r="AD10" s="1" t="s">
        <v>88</v>
      </c>
      <c r="AE10" s="1" t="s">
        <v>146</v>
      </c>
      <c r="AF10">
        <v>0</v>
      </c>
      <c r="AG10">
        <v>22673.4</v>
      </c>
      <c r="AH10">
        <v>1352000</v>
      </c>
      <c r="AI10">
        <v>809700.5</v>
      </c>
      <c r="AJ10">
        <v>1352000</v>
      </c>
      <c r="AK10">
        <v>809700.5</v>
      </c>
      <c r="AL10">
        <v>519626.1</v>
      </c>
      <c r="AM10">
        <v>0</v>
      </c>
      <c r="AN10" s="1"/>
      <c r="AP10" s="1"/>
      <c r="AQ10" s="1"/>
      <c r="AR10" s="1"/>
      <c r="AS10" s="1"/>
      <c r="AT10" s="3"/>
      <c r="AU10" s="3"/>
      <c r="AV10" s="3"/>
      <c r="AW10" s="1"/>
      <c r="AX10" s="1"/>
      <c r="AZ10">
        <v>253</v>
      </c>
      <c r="BA10">
        <v>4654734.66</v>
      </c>
      <c r="BB10" s="1"/>
      <c r="BD10" s="1"/>
      <c r="BE10" s="1"/>
      <c r="BG10" s="1"/>
      <c r="BH10" s="1"/>
      <c r="BJ10" s="1"/>
      <c r="BL10" s="1"/>
      <c r="BN10" s="1"/>
      <c r="BO10">
        <v>599</v>
      </c>
      <c r="BP10">
        <v>4654734.66</v>
      </c>
      <c r="BQ10">
        <v>4654734.66</v>
      </c>
    </row>
    <row r="11" spans="1:69" x14ac:dyDescent="0.35">
      <c r="A11" s="1" t="s">
        <v>68</v>
      </c>
      <c r="B11" s="1" t="s">
        <v>69</v>
      </c>
      <c r="C11" s="1" t="s">
        <v>70</v>
      </c>
      <c r="D11">
        <v>1</v>
      </c>
      <c r="E11">
        <v>1</v>
      </c>
      <c r="F11" s="2">
        <v>43585.43</v>
      </c>
      <c r="G11" s="3">
        <v>41275</v>
      </c>
      <c r="H11" s="3">
        <v>41639</v>
      </c>
      <c r="I11" s="1" t="s">
        <v>71</v>
      </c>
      <c r="J11">
        <v>4521</v>
      </c>
      <c r="K11">
        <v>0</v>
      </c>
      <c r="L11" s="1" t="s">
        <v>384</v>
      </c>
      <c r="M11" s="1" t="s">
        <v>72</v>
      </c>
      <c r="N11" s="1" t="s">
        <v>134</v>
      </c>
      <c r="O11" s="1" t="s">
        <v>385</v>
      </c>
      <c r="P11" s="1" t="s">
        <v>386</v>
      </c>
      <c r="Q11" s="1" t="s">
        <v>387</v>
      </c>
      <c r="R11">
        <v>103</v>
      </c>
      <c r="S11" s="1" t="s">
        <v>135</v>
      </c>
      <c r="T11" s="1" t="s">
        <v>388</v>
      </c>
      <c r="U11" s="1" t="s">
        <v>135</v>
      </c>
      <c r="V11" s="1" t="s">
        <v>74</v>
      </c>
      <c r="W11" s="1" t="s">
        <v>395</v>
      </c>
      <c r="X11" s="1" t="s">
        <v>500</v>
      </c>
      <c r="Y11" s="1" t="s">
        <v>76</v>
      </c>
      <c r="Z11">
        <v>1</v>
      </c>
      <c r="AA11" s="1" t="s">
        <v>79</v>
      </c>
      <c r="AB11">
        <v>130</v>
      </c>
      <c r="AC11" s="1" t="s">
        <v>601</v>
      </c>
      <c r="AD11" s="1" t="s">
        <v>89</v>
      </c>
      <c r="AE11" s="1" t="s">
        <v>679</v>
      </c>
      <c r="AF11">
        <v>0</v>
      </c>
      <c r="AG11">
        <v>0</v>
      </c>
      <c r="AH11">
        <v>0</v>
      </c>
      <c r="AI11">
        <v>6289.8</v>
      </c>
      <c r="AJ11">
        <v>0</v>
      </c>
      <c r="AK11">
        <v>6289.8</v>
      </c>
      <c r="AL11">
        <v>0</v>
      </c>
      <c r="AM11">
        <v>6289.8</v>
      </c>
      <c r="AN11" s="1"/>
      <c r="AP11" s="1"/>
      <c r="AQ11" s="1"/>
      <c r="AR11" s="1"/>
      <c r="AS11" s="1"/>
      <c r="AT11" s="3"/>
      <c r="AU11" s="3"/>
      <c r="AV11" s="3"/>
      <c r="AW11" s="1"/>
      <c r="AX11" s="1"/>
      <c r="AZ11">
        <v>253</v>
      </c>
      <c r="BA11">
        <v>4654734.66</v>
      </c>
      <c r="BB11" s="1"/>
      <c r="BD11" s="1"/>
      <c r="BE11" s="1"/>
      <c r="BG11" s="1"/>
      <c r="BH11" s="1"/>
      <c r="BJ11" s="1"/>
      <c r="BL11" s="1"/>
      <c r="BN11" s="1"/>
      <c r="BO11">
        <v>599</v>
      </c>
      <c r="BP11">
        <v>4654734.66</v>
      </c>
      <c r="BQ11">
        <v>4654734.66</v>
      </c>
    </row>
    <row r="12" spans="1:69" x14ac:dyDescent="0.35">
      <c r="A12" s="1" t="s">
        <v>68</v>
      </c>
      <c r="B12" s="1" t="s">
        <v>69</v>
      </c>
      <c r="C12" s="1" t="s">
        <v>70</v>
      </c>
      <c r="D12">
        <v>1</v>
      </c>
      <c r="E12">
        <v>1</v>
      </c>
      <c r="F12" s="2">
        <v>43585.43</v>
      </c>
      <c r="G12" s="3">
        <v>41275</v>
      </c>
      <c r="H12" s="3">
        <v>41639</v>
      </c>
      <c r="I12" s="1" t="s">
        <v>71</v>
      </c>
      <c r="J12">
        <v>4521</v>
      </c>
      <c r="K12">
        <v>0</v>
      </c>
      <c r="L12" s="1" t="s">
        <v>384</v>
      </c>
      <c r="M12" s="1" t="s">
        <v>72</v>
      </c>
      <c r="N12" s="1" t="s">
        <v>134</v>
      </c>
      <c r="O12" s="1" t="s">
        <v>385</v>
      </c>
      <c r="P12" s="1" t="s">
        <v>386</v>
      </c>
      <c r="Q12" s="1" t="s">
        <v>387</v>
      </c>
      <c r="R12">
        <v>103</v>
      </c>
      <c r="S12" s="1" t="s">
        <v>135</v>
      </c>
      <c r="T12" s="1" t="s">
        <v>388</v>
      </c>
      <c r="U12" s="1" t="s">
        <v>135</v>
      </c>
      <c r="V12" s="1" t="s">
        <v>74</v>
      </c>
      <c r="W12" s="1" t="s">
        <v>396</v>
      </c>
      <c r="X12" s="1" t="s">
        <v>501</v>
      </c>
      <c r="Y12" s="1" t="s">
        <v>76</v>
      </c>
      <c r="Z12">
        <v>1</v>
      </c>
      <c r="AA12" s="1" t="s">
        <v>79</v>
      </c>
      <c r="AB12">
        <v>132</v>
      </c>
      <c r="AC12" s="1" t="s">
        <v>501</v>
      </c>
      <c r="AD12" s="1"/>
      <c r="AE12" s="1" t="s">
        <v>501</v>
      </c>
      <c r="AF12">
        <v>74125</v>
      </c>
      <c r="AG12">
        <v>0</v>
      </c>
      <c r="AH12">
        <v>0</v>
      </c>
      <c r="AI12">
        <v>444</v>
      </c>
      <c r="AJ12">
        <v>0</v>
      </c>
      <c r="AK12">
        <v>444</v>
      </c>
      <c r="AL12">
        <v>73681</v>
      </c>
      <c r="AM12">
        <v>0</v>
      </c>
      <c r="AN12" s="1"/>
      <c r="AP12" s="1"/>
      <c r="AQ12" s="1"/>
      <c r="AR12" s="1"/>
      <c r="AS12" s="1"/>
      <c r="AT12" s="3"/>
      <c r="AU12" s="3"/>
      <c r="AV12" s="3"/>
      <c r="AW12" s="1"/>
      <c r="AX12" s="1"/>
      <c r="AZ12">
        <v>253</v>
      </c>
      <c r="BA12">
        <v>4654734.66</v>
      </c>
      <c r="BB12" s="1"/>
      <c r="BD12" s="1"/>
      <c r="BE12" s="1"/>
      <c r="BG12" s="1"/>
      <c r="BH12" s="1"/>
      <c r="BJ12" s="1"/>
      <c r="BL12" s="1"/>
      <c r="BN12" s="1"/>
      <c r="BO12">
        <v>599</v>
      </c>
      <c r="BP12">
        <v>4654734.66</v>
      </c>
      <c r="BQ12">
        <v>4654734.66</v>
      </c>
    </row>
    <row r="13" spans="1:69" x14ac:dyDescent="0.35">
      <c r="A13" s="1" t="s">
        <v>68</v>
      </c>
      <c r="B13" s="1" t="s">
        <v>69</v>
      </c>
      <c r="C13" s="1" t="s">
        <v>70</v>
      </c>
      <c r="D13">
        <v>1</v>
      </c>
      <c r="E13">
        <v>1</v>
      </c>
      <c r="F13" s="2">
        <v>43585.43</v>
      </c>
      <c r="G13" s="3">
        <v>41275</v>
      </c>
      <c r="H13" s="3">
        <v>41639</v>
      </c>
      <c r="I13" s="1" t="s">
        <v>71</v>
      </c>
      <c r="J13">
        <v>4521</v>
      </c>
      <c r="K13">
        <v>0</v>
      </c>
      <c r="L13" s="1" t="s">
        <v>384</v>
      </c>
      <c r="M13" s="1" t="s">
        <v>72</v>
      </c>
      <c r="N13" s="1" t="s">
        <v>134</v>
      </c>
      <c r="O13" s="1" t="s">
        <v>385</v>
      </c>
      <c r="P13" s="1" t="s">
        <v>386</v>
      </c>
      <c r="Q13" s="1" t="s">
        <v>387</v>
      </c>
      <c r="R13">
        <v>103</v>
      </c>
      <c r="S13" s="1" t="s">
        <v>135</v>
      </c>
      <c r="T13" s="1" t="s">
        <v>388</v>
      </c>
      <c r="U13" s="1" t="s">
        <v>135</v>
      </c>
      <c r="V13" s="1" t="s">
        <v>74</v>
      </c>
      <c r="W13" s="1" t="s">
        <v>397</v>
      </c>
      <c r="X13" s="1" t="s">
        <v>502</v>
      </c>
      <c r="Y13" s="1" t="s">
        <v>76</v>
      </c>
      <c r="Z13">
        <v>1</v>
      </c>
      <c r="AA13" s="1" t="s">
        <v>79</v>
      </c>
      <c r="AB13">
        <v>138</v>
      </c>
      <c r="AC13" s="1" t="s">
        <v>602</v>
      </c>
      <c r="AD13" s="1" t="s">
        <v>89</v>
      </c>
      <c r="AE13" s="1" t="s">
        <v>680</v>
      </c>
      <c r="AF13">
        <v>0</v>
      </c>
      <c r="AG13">
        <v>0</v>
      </c>
      <c r="AH13">
        <v>0</v>
      </c>
      <c r="AI13">
        <v>750000</v>
      </c>
      <c r="AJ13">
        <v>0</v>
      </c>
      <c r="AK13">
        <v>750000</v>
      </c>
      <c r="AL13">
        <v>0</v>
      </c>
      <c r="AM13">
        <v>750000</v>
      </c>
      <c r="AN13" s="1"/>
      <c r="AP13" s="1"/>
      <c r="AQ13" s="1"/>
      <c r="AR13" s="1"/>
      <c r="AS13" s="1"/>
      <c r="AT13" s="3"/>
      <c r="AU13" s="3"/>
      <c r="AV13" s="3"/>
      <c r="AW13" s="1"/>
      <c r="AX13" s="1"/>
      <c r="AZ13">
        <v>253</v>
      </c>
      <c r="BA13">
        <v>4654734.66</v>
      </c>
      <c r="BB13" s="1"/>
      <c r="BD13" s="1"/>
      <c r="BE13" s="1"/>
      <c r="BG13" s="1"/>
      <c r="BH13" s="1"/>
      <c r="BJ13" s="1"/>
      <c r="BL13" s="1"/>
      <c r="BN13" s="1"/>
      <c r="BO13">
        <v>599</v>
      </c>
      <c r="BP13">
        <v>4654734.66</v>
      </c>
      <c r="BQ13">
        <v>4654734.66</v>
      </c>
    </row>
    <row r="14" spans="1:69" x14ac:dyDescent="0.35">
      <c r="A14" s="1" t="s">
        <v>68</v>
      </c>
      <c r="B14" s="1" t="s">
        <v>69</v>
      </c>
      <c r="C14" s="1" t="s">
        <v>70</v>
      </c>
      <c r="D14">
        <v>1</v>
      </c>
      <c r="E14">
        <v>1</v>
      </c>
      <c r="F14" s="2">
        <v>43585.43</v>
      </c>
      <c r="G14" s="3">
        <v>41275</v>
      </c>
      <c r="H14" s="3">
        <v>41639</v>
      </c>
      <c r="I14" s="1" t="s">
        <v>71</v>
      </c>
      <c r="J14">
        <v>4521</v>
      </c>
      <c r="K14">
        <v>0</v>
      </c>
      <c r="L14" s="1" t="s">
        <v>384</v>
      </c>
      <c r="M14" s="1" t="s">
        <v>72</v>
      </c>
      <c r="N14" s="1" t="s">
        <v>134</v>
      </c>
      <c r="O14" s="1" t="s">
        <v>385</v>
      </c>
      <c r="P14" s="1" t="s">
        <v>386</v>
      </c>
      <c r="Q14" s="1" t="s">
        <v>387</v>
      </c>
      <c r="R14">
        <v>103</v>
      </c>
      <c r="S14" s="1" t="s">
        <v>135</v>
      </c>
      <c r="T14" s="1" t="s">
        <v>388</v>
      </c>
      <c r="U14" s="1" t="s">
        <v>135</v>
      </c>
      <c r="V14" s="1" t="s">
        <v>74</v>
      </c>
      <c r="W14" s="1" t="s">
        <v>75</v>
      </c>
      <c r="X14" s="1" t="s">
        <v>503</v>
      </c>
      <c r="Y14" s="1" t="s">
        <v>76</v>
      </c>
      <c r="Z14">
        <v>2</v>
      </c>
      <c r="AA14" s="1" t="s">
        <v>80</v>
      </c>
      <c r="AB14">
        <v>200</v>
      </c>
      <c r="AC14" s="1" t="s">
        <v>503</v>
      </c>
      <c r="AD14" s="1"/>
      <c r="AE14" s="1" t="s">
        <v>503</v>
      </c>
      <c r="AF14">
        <v>0</v>
      </c>
      <c r="AG14">
        <v>0</v>
      </c>
      <c r="AH14">
        <v>6579.23</v>
      </c>
      <c r="AI14">
        <v>247700.52</v>
      </c>
      <c r="AJ14">
        <v>6579.23</v>
      </c>
      <c r="AK14">
        <v>247700.52</v>
      </c>
      <c r="AL14">
        <v>0</v>
      </c>
      <c r="AM14">
        <v>241121.29</v>
      </c>
      <c r="AN14" s="1"/>
      <c r="AP14" s="1"/>
      <c r="AQ14" s="1"/>
      <c r="AR14" s="1"/>
      <c r="AS14" s="1"/>
      <c r="AT14" s="3"/>
      <c r="AU14" s="3"/>
      <c r="AV14" s="3"/>
      <c r="AW14" s="1"/>
      <c r="AX14" s="1"/>
      <c r="AZ14">
        <v>253</v>
      </c>
      <c r="BA14">
        <v>4654734.66</v>
      </c>
      <c r="BB14" s="1"/>
      <c r="BD14" s="1"/>
      <c r="BE14" s="1"/>
      <c r="BG14" s="1"/>
      <c r="BH14" s="1"/>
      <c r="BJ14" s="1"/>
      <c r="BL14" s="1"/>
      <c r="BN14" s="1"/>
      <c r="BO14">
        <v>599</v>
      </c>
      <c r="BP14">
        <v>4654734.66</v>
      </c>
      <c r="BQ14">
        <v>4654734.66</v>
      </c>
    </row>
    <row r="15" spans="1:69" x14ac:dyDescent="0.35">
      <c r="A15" s="1" t="s">
        <v>68</v>
      </c>
      <c r="B15" s="1" t="s">
        <v>69</v>
      </c>
      <c r="C15" s="1" t="s">
        <v>70</v>
      </c>
      <c r="D15">
        <v>1</v>
      </c>
      <c r="E15">
        <v>1</v>
      </c>
      <c r="F15" s="2">
        <v>43585.43</v>
      </c>
      <c r="G15" s="3">
        <v>41275</v>
      </c>
      <c r="H15" s="3">
        <v>41639</v>
      </c>
      <c r="I15" s="1" t="s">
        <v>71</v>
      </c>
      <c r="J15">
        <v>4521</v>
      </c>
      <c r="K15">
        <v>0</v>
      </c>
      <c r="L15" s="1" t="s">
        <v>384</v>
      </c>
      <c r="M15" s="1" t="s">
        <v>72</v>
      </c>
      <c r="N15" s="1" t="s">
        <v>134</v>
      </c>
      <c r="O15" s="1" t="s">
        <v>385</v>
      </c>
      <c r="P15" s="1" t="s">
        <v>386</v>
      </c>
      <c r="Q15" s="1" t="s">
        <v>387</v>
      </c>
      <c r="R15">
        <v>103</v>
      </c>
      <c r="S15" s="1" t="s">
        <v>135</v>
      </c>
      <c r="T15" s="1" t="s">
        <v>388</v>
      </c>
      <c r="U15" s="1" t="s">
        <v>135</v>
      </c>
      <c r="V15" s="1" t="s">
        <v>74</v>
      </c>
      <c r="W15" s="1" t="s">
        <v>398</v>
      </c>
      <c r="X15" s="1" t="s">
        <v>504</v>
      </c>
      <c r="Y15" s="1" t="s">
        <v>76</v>
      </c>
      <c r="Z15">
        <v>2</v>
      </c>
      <c r="AA15" s="1" t="s">
        <v>80</v>
      </c>
      <c r="AB15">
        <v>201</v>
      </c>
      <c r="AC15" s="1" t="s">
        <v>603</v>
      </c>
      <c r="AD15" s="1" t="s">
        <v>622</v>
      </c>
      <c r="AE15" s="1" t="s">
        <v>681</v>
      </c>
      <c r="AF15">
        <v>0</v>
      </c>
      <c r="AG15">
        <v>1879.82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1879.82</v>
      </c>
      <c r="AN15" s="1"/>
      <c r="AP15" s="1"/>
      <c r="AQ15" s="1"/>
      <c r="AR15" s="1"/>
      <c r="AS15" s="1"/>
      <c r="AT15" s="3"/>
      <c r="AU15" s="3"/>
      <c r="AV15" s="3"/>
      <c r="AW15" s="1"/>
      <c r="AX15" s="1"/>
      <c r="AZ15">
        <v>253</v>
      </c>
      <c r="BA15">
        <v>4654734.66</v>
      </c>
      <c r="BB15" s="1"/>
      <c r="BD15" s="1"/>
      <c r="BE15" s="1"/>
      <c r="BG15" s="1"/>
      <c r="BH15" s="1"/>
      <c r="BJ15" s="1"/>
      <c r="BL15" s="1"/>
      <c r="BN15" s="1"/>
      <c r="BO15">
        <v>599</v>
      </c>
      <c r="BP15">
        <v>4654734.66</v>
      </c>
      <c r="BQ15">
        <v>4654734.66</v>
      </c>
    </row>
    <row r="16" spans="1:69" x14ac:dyDescent="0.35">
      <c r="A16" s="1" t="s">
        <v>68</v>
      </c>
      <c r="B16" s="1" t="s">
        <v>69</v>
      </c>
      <c r="C16" s="1" t="s">
        <v>70</v>
      </c>
      <c r="D16">
        <v>1</v>
      </c>
      <c r="E16">
        <v>1</v>
      </c>
      <c r="F16" s="2">
        <v>43585.43</v>
      </c>
      <c r="G16" s="3">
        <v>41275</v>
      </c>
      <c r="H16" s="3">
        <v>41639</v>
      </c>
      <c r="I16" s="1" t="s">
        <v>71</v>
      </c>
      <c r="J16">
        <v>4521</v>
      </c>
      <c r="K16">
        <v>0</v>
      </c>
      <c r="L16" s="1" t="s">
        <v>384</v>
      </c>
      <c r="M16" s="1" t="s">
        <v>72</v>
      </c>
      <c r="N16" s="1" t="s">
        <v>134</v>
      </c>
      <c r="O16" s="1" t="s">
        <v>385</v>
      </c>
      <c r="P16" s="1" t="s">
        <v>386</v>
      </c>
      <c r="Q16" s="1" t="s">
        <v>387</v>
      </c>
      <c r="R16">
        <v>103</v>
      </c>
      <c r="S16" s="1" t="s">
        <v>135</v>
      </c>
      <c r="T16" s="1" t="s">
        <v>388</v>
      </c>
      <c r="U16" s="1" t="s">
        <v>135</v>
      </c>
      <c r="V16" s="1" t="s">
        <v>74</v>
      </c>
      <c r="W16" s="1" t="s">
        <v>399</v>
      </c>
      <c r="X16" s="1" t="s">
        <v>505</v>
      </c>
      <c r="Y16" s="1" t="s">
        <v>76</v>
      </c>
      <c r="Z16">
        <v>2</v>
      </c>
      <c r="AA16" s="1" t="s">
        <v>80</v>
      </c>
      <c r="AB16">
        <v>201</v>
      </c>
      <c r="AC16" s="1" t="s">
        <v>603</v>
      </c>
      <c r="AD16" s="1" t="s">
        <v>623</v>
      </c>
      <c r="AE16" s="1" t="s">
        <v>682</v>
      </c>
      <c r="AF16">
        <v>0</v>
      </c>
      <c r="AG16">
        <v>0</v>
      </c>
      <c r="AH16">
        <v>0</v>
      </c>
      <c r="AI16">
        <v>1786.45</v>
      </c>
      <c r="AJ16">
        <v>0</v>
      </c>
      <c r="AK16">
        <v>1786.45</v>
      </c>
      <c r="AL16">
        <v>0</v>
      </c>
      <c r="AM16">
        <v>1786.45</v>
      </c>
      <c r="AN16" s="1"/>
      <c r="AP16" s="1"/>
      <c r="AQ16" s="1"/>
      <c r="AR16" s="1"/>
      <c r="AS16" s="1"/>
      <c r="AT16" s="3"/>
      <c r="AU16" s="3"/>
      <c r="AV16" s="3"/>
      <c r="AW16" s="1"/>
      <c r="AX16" s="1"/>
      <c r="AZ16">
        <v>253</v>
      </c>
      <c r="BA16">
        <v>4654734.66</v>
      </c>
      <c r="BB16" s="1"/>
      <c r="BD16" s="1"/>
      <c r="BE16" s="1"/>
      <c r="BG16" s="1"/>
      <c r="BH16" s="1"/>
      <c r="BJ16" s="1"/>
      <c r="BL16" s="1"/>
      <c r="BN16" s="1"/>
      <c r="BO16">
        <v>599</v>
      </c>
      <c r="BP16">
        <v>4654734.66</v>
      </c>
      <c r="BQ16">
        <v>4654734.66</v>
      </c>
    </row>
    <row r="17" spans="1:69" x14ac:dyDescent="0.35">
      <c r="A17" s="1" t="s">
        <v>68</v>
      </c>
      <c r="B17" s="1" t="s">
        <v>69</v>
      </c>
      <c r="C17" s="1" t="s">
        <v>70</v>
      </c>
      <c r="D17">
        <v>1</v>
      </c>
      <c r="E17">
        <v>1</v>
      </c>
      <c r="F17" s="2">
        <v>43585.43</v>
      </c>
      <c r="G17" s="3">
        <v>41275</v>
      </c>
      <c r="H17" s="3">
        <v>41639</v>
      </c>
      <c r="I17" s="1" t="s">
        <v>71</v>
      </c>
      <c r="J17">
        <v>4521</v>
      </c>
      <c r="K17">
        <v>0</v>
      </c>
      <c r="L17" s="1" t="s">
        <v>384</v>
      </c>
      <c r="M17" s="1" t="s">
        <v>72</v>
      </c>
      <c r="N17" s="1" t="s">
        <v>134</v>
      </c>
      <c r="O17" s="1" t="s">
        <v>385</v>
      </c>
      <c r="P17" s="1" t="s">
        <v>386</v>
      </c>
      <c r="Q17" s="1" t="s">
        <v>387</v>
      </c>
      <c r="R17">
        <v>103</v>
      </c>
      <c r="S17" s="1" t="s">
        <v>135</v>
      </c>
      <c r="T17" s="1" t="s">
        <v>388</v>
      </c>
      <c r="U17" s="1" t="s">
        <v>135</v>
      </c>
      <c r="V17" s="1" t="s">
        <v>74</v>
      </c>
      <c r="W17" s="1" t="s">
        <v>400</v>
      </c>
      <c r="X17" s="1" t="s">
        <v>506</v>
      </c>
      <c r="Y17" s="1" t="s">
        <v>76</v>
      </c>
      <c r="Z17">
        <v>2</v>
      </c>
      <c r="AA17" s="1" t="s">
        <v>80</v>
      </c>
      <c r="AB17">
        <v>201</v>
      </c>
      <c r="AC17" s="1" t="s">
        <v>603</v>
      </c>
      <c r="AD17" s="1" t="s">
        <v>624</v>
      </c>
      <c r="AE17" s="1" t="s">
        <v>683</v>
      </c>
      <c r="AF17">
        <v>0</v>
      </c>
      <c r="AG17">
        <v>0</v>
      </c>
      <c r="AH17">
        <v>0</v>
      </c>
      <c r="AI17">
        <v>800</v>
      </c>
      <c r="AJ17">
        <v>0</v>
      </c>
      <c r="AK17">
        <v>800</v>
      </c>
      <c r="AL17">
        <v>0</v>
      </c>
      <c r="AM17">
        <v>800</v>
      </c>
      <c r="AN17" s="1"/>
      <c r="AP17" s="1"/>
      <c r="AQ17" s="1"/>
      <c r="AR17" s="1"/>
      <c r="AS17" s="1"/>
      <c r="AT17" s="3"/>
      <c r="AU17" s="3"/>
      <c r="AV17" s="3"/>
      <c r="AW17" s="1"/>
      <c r="AX17" s="1"/>
      <c r="AZ17">
        <v>253</v>
      </c>
      <c r="BA17">
        <v>4654734.66</v>
      </c>
      <c r="BB17" s="1"/>
      <c r="BD17" s="1"/>
      <c r="BE17" s="1"/>
      <c r="BG17" s="1"/>
      <c r="BH17" s="1"/>
      <c r="BJ17" s="1"/>
      <c r="BL17" s="1"/>
      <c r="BN17" s="1"/>
      <c r="BO17">
        <v>599</v>
      </c>
      <c r="BP17">
        <v>4654734.66</v>
      </c>
      <c r="BQ17">
        <v>4654734.66</v>
      </c>
    </row>
    <row r="18" spans="1:69" x14ac:dyDescent="0.35">
      <c r="A18" s="1" t="s">
        <v>68</v>
      </c>
      <c r="B18" s="1" t="s">
        <v>69</v>
      </c>
      <c r="C18" s="1" t="s">
        <v>70</v>
      </c>
      <c r="D18">
        <v>1</v>
      </c>
      <c r="E18">
        <v>1</v>
      </c>
      <c r="F18" s="2">
        <v>43585.43</v>
      </c>
      <c r="G18" s="3">
        <v>41275</v>
      </c>
      <c r="H18" s="3">
        <v>41639</v>
      </c>
      <c r="I18" s="1" t="s">
        <v>71</v>
      </c>
      <c r="J18">
        <v>4521</v>
      </c>
      <c r="K18">
        <v>0</v>
      </c>
      <c r="L18" s="1" t="s">
        <v>384</v>
      </c>
      <c r="M18" s="1" t="s">
        <v>72</v>
      </c>
      <c r="N18" s="1" t="s">
        <v>134</v>
      </c>
      <c r="O18" s="1" t="s">
        <v>385</v>
      </c>
      <c r="P18" s="1" t="s">
        <v>386</v>
      </c>
      <c r="Q18" s="1" t="s">
        <v>387</v>
      </c>
      <c r="R18">
        <v>103</v>
      </c>
      <c r="S18" s="1" t="s">
        <v>135</v>
      </c>
      <c r="T18" s="1" t="s">
        <v>388</v>
      </c>
      <c r="U18" s="1" t="s">
        <v>135</v>
      </c>
      <c r="V18" s="1" t="s">
        <v>74</v>
      </c>
      <c r="W18" s="1" t="s">
        <v>401</v>
      </c>
      <c r="X18" s="1" t="s">
        <v>507</v>
      </c>
      <c r="Y18" s="1" t="s">
        <v>76</v>
      </c>
      <c r="Z18">
        <v>2</v>
      </c>
      <c r="AA18" s="1" t="s">
        <v>80</v>
      </c>
      <c r="AB18">
        <v>201</v>
      </c>
      <c r="AC18" s="1" t="s">
        <v>603</v>
      </c>
      <c r="AD18" s="1" t="s">
        <v>625</v>
      </c>
      <c r="AE18" s="1" t="s">
        <v>684</v>
      </c>
      <c r="AF18">
        <v>704.79</v>
      </c>
      <c r="AG18">
        <v>0</v>
      </c>
      <c r="AH18">
        <v>282.89999999999998</v>
      </c>
      <c r="AI18">
        <v>0</v>
      </c>
      <c r="AJ18">
        <v>282.89999999999998</v>
      </c>
      <c r="AK18">
        <v>0</v>
      </c>
      <c r="AL18">
        <v>987.69</v>
      </c>
      <c r="AM18">
        <v>0</v>
      </c>
      <c r="AN18" s="1"/>
      <c r="AP18" s="1"/>
      <c r="AQ18" s="1"/>
      <c r="AR18" s="1"/>
      <c r="AS18" s="1"/>
      <c r="AT18" s="3"/>
      <c r="AU18" s="3"/>
      <c r="AV18" s="3"/>
      <c r="AW18" s="1"/>
      <c r="AX18" s="1"/>
      <c r="AZ18">
        <v>253</v>
      </c>
      <c r="BA18">
        <v>4654734.66</v>
      </c>
      <c r="BB18" s="1"/>
      <c r="BD18" s="1"/>
      <c r="BE18" s="1"/>
      <c r="BG18" s="1"/>
      <c r="BH18" s="1"/>
      <c r="BJ18" s="1"/>
      <c r="BL18" s="1"/>
      <c r="BN18" s="1"/>
      <c r="BO18">
        <v>599</v>
      </c>
      <c r="BP18">
        <v>4654734.66</v>
      </c>
      <c r="BQ18">
        <v>4654734.66</v>
      </c>
    </row>
    <row r="19" spans="1:69" x14ac:dyDescent="0.35">
      <c r="A19" s="1" t="s">
        <v>68</v>
      </c>
      <c r="B19" s="1" t="s">
        <v>69</v>
      </c>
      <c r="C19" s="1" t="s">
        <v>70</v>
      </c>
      <c r="D19">
        <v>1</v>
      </c>
      <c r="E19">
        <v>1</v>
      </c>
      <c r="F19" s="2">
        <v>43585.43</v>
      </c>
      <c r="G19" s="3">
        <v>41275</v>
      </c>
      <c r="H19" s="3">
        <v>41639</v>
      </c>
      <c r="I19" s="1" t="s">
        <v>71</v>
      </c>
      <c r="J19">
        <v>4521</v>
      </c>
      <c r="K19">
        <v>0</v>
      </c>
      <c r="L19" s="1" t="s">
        <v>384</v>
      </c>
      <c r="M19" s="1" t="s">
        <v>72</v>
      </c>
      <c r="N19" s="1" t="s">
        <v>134</v>
      </c>
      <c r="O19" s="1" t="s">
        <v>385</v>
      </c>
      <c r="P19" s="1" t="s">
        <v>386</v>
      </c>
      <c r="Q19" s="1" t="s">
        <v>387</v>
      </c>
      <c r="R19">
        <v>103</v>
      </c>
      <c r="S19" s="1" t="s">
        <v>135</v>
      </c>
      <c r="T19" s="1" t="s">
        <v>388</v>
      </c>
      <c r="U19" s="1" t="s">
        <v>135</v>
      </c>
      <c r="V19" s="1" t="s">
        <v>74</v>
      </c>
      <c r="W19" s="1" t="s">
        <v>402</v>
      </c>
      <c r="X19" s="1" t="s">
        <v>508</v>
      </c>
      <c r="Y19" s="1" t="s">
        <v>76</v>
      </c>
      <c r="Z19">
        <v>2</v>
      </c>
      <c r="AA19" s="1" t="s">
        <v>80</v>
      </c>
      <c r="AB19">
        <v>201</v>
      </c>
      <c r="AC19" s="1" t="s">
        <v>603</v>
      </c>
      <c r="AD19" s="1" t="s">
        <v>626</v>
      </c>
      <c r="AE19" s="1" t="s">
        <v>681</v>
      </c>
      <c r="AF19">
        <v>0</v>
      </c>
      <c r="AG19">
        <v>0</v>
      </c>
      <c r="AH19">
        <v>134172.34</v>
      </c>
      <c r="AI19">
        <v>0</v>
      </c>
      <c r="AJ19">
        <v>134172.34</v>
      </c>
      <c r="AK19">
        <v>0</v>
      </c>
      <c r="AL19">
        <v>134172.34</v>
      </c>
      <c r="AM19">
        <v>0</v>
      </c>
      <c r="AN19" s="1"/>
      <c r="AP19" s="1"/>
      <c r="AQ19" s="1"/>
      <c r="AR19" s="1"/>
      <c r="AS19" s="1"/>
      <c r="AT19" s="3"/>
      <c r="AU19" s="3"/>
      <c r="AV19" s="3"/>
      <c r="AW19" s="1"/>
      <c r="AX19" s="1"/>
      <c r="AZ19">
        <v>253</v>
      </c>
      <c r="BA19">
        <v>4654734.66</v>
      </c>
      <c r="BB19" s="1"/>
      <c r="BD19" s="1"/>
      <c r="BE19" s="1"/>
      <c r="BG19" s="1"/>
      <c r="BH19" s="1"/>
      <c r="BJ19" s="1"/>
      <c r="BL19" s="1"/>
      <c r="BN19" s="1"/>
      <c r="BO19">
        <v>599</v>
      </c>
      <c r="BP19">
        <v>4654734.66</v>
      </c>
      <c r="BQ19">
        <v>4654734.66</v>
      </c>
    </row>
    <row r="20" spans="1:69" x14ac:dyDescent="0.35">
      <c r="A20" s="1" t="s">
        <v>68</v>
      </c>
      <c r="B20" s="1" t="s">
        <v>69</v>
      </c>
      <c r="C20" s="1" t="s">
        <v>70</v>
      </c>
      <c r="D20">
        <v>1</v>
      </c>
      <c r="E20">
        <v>1</v>
      </c>
      <c r="F20" s="2">
        <v>43585.43</v>
      </c>
      <c r="G20" s="3">
        <v>41275</v>
      </c>
      <c r="H20" s="3">
        <v>41639</v>
      </c>
      <c r="I20" s="1" t="s">
        <v>71</v>
      </c>
      <c r="J20">
        <v>4521</v>
      </c>
      <c r="K20">
        <v>0</v>
      </c>
      <c r="L20" s="1" t="s">
        <v>384</v>
      </c>
      <c r="M20" s="1" t="s">
        <v>72</v>
      </c>
      <c r="N20" s="1" t="s">
        <v>134</v>
      </c>
      <c r="O20" s="1" t="s">
        <v>385</v>
      </c>
      <c r="P20" s="1" t="s">
        <v>386</v>
      </c>
      <c r="Q20" s="1" t="s">
        <v>387</v>
      </c>
      <c r="R20">
        <v>103</v>
      </c>
      <c r="S20" s="1" t="s">
        <v>135</v>
      </c>
      <c r="T20" s="1" t="s">
        <v>388</v>
      </c>
      <c r="U20" s="1" t="s">
        <v>135</v>
      </c>
      <c r="V20" s="1" t="s">
        <v>74</v>
      </c>
      <c r="W20" s="1" t="s">
        <v>403</v>
      </c>
      <c r="X20" s="1" t="s">
        <v>509</v>
      </c>
      <c r="Y20" s="1" t="s">
        <v>76</v>
      </c>
      <c r="Z20">
        <v>2</v>
      </c>
      <c r="AA20" s="1" t="s">
        <v>80</v>
      </c>
      <c r="AB20">
        <v>201</v>
      </c>
      <c r="AC20" s="1" t="s">
        <v>603</v>
      </c>
      <c r="AD20" s="1" t="s">
        <v>627</v>
      </c>
      <c r="AE20" s="1" t="s">
        <v>682</v>
      </c>
      <c r="AF20">
        <v>0</v>
      </c>
      <c r="AG20">
        <v>0</v>
      </c>
      <c r="AH20">
        <v>6572.32</v>
      </c>
      <c r="AI20">
        <v>0</v>
      </c>
      <c r="AJ20">
        <v>6572.32</v>
      </c>
      <c r="AK20">
        <v>0</v>
      </c>
      <c r="AL20">
        <v>6572.32</v>
      </c>
      <c r="AM20">
        <v>0</v>
      </c>
      <c r="AN20" s="1"/>
      <c r="AP20" s="1"/>
      <c r="AQ20" s="1"/>
      <c r="AR20" s="1"/>
      <c r="AS20" s="1"/>
      <c r="AT20" s="3"/>
      <c r="AU20" s="3"/>
      <c r="AV20" s="3"/>
      <c r="AW20" s="1"/>
      <c r="AX20" s="1"/>
      <c r="AZ20">
        <v>253</v>
      </c>
      <c r="BA20">
        <v>4654734.66</v>
      </c>
      <c r="BB20" s="1"/>
      <c r="BD20" s="1"/>
      <c r="BE20" s="1"/>
      <c r="BG20" s="1"/>
      <c r="BH20" s="1"/>
      <c r="BJ20" s="1"/>
      <c r="BL20" s="1"/>
      <c r="BN20" s="1"/>
      <c r="BO20">
        <v>599</v>
      </c>
      <c r="BP20">
        <v>4654734.66</v>
      </c>
      <c r="BQ20">
        <v>4654734.66</v>
      </c>
    </row>
    <row r="21" spans="1:69" x14ac:dyDescent="0.35">
      <c r="A21" s="1" t="s">
        <v>68</v>
      </c>
      <c r="B21" s="1" t="s">
        <v>69</v>
      </c>
      <c r="C21" s="1" t="s">
        <v>70</v>
      </c>
      <c r="D21">
        <v>1</v>
      </c>
      <c r="E21">
        <v>1</v>
      </c>
      <c r="F21" s="2">
        <v>43585.43</v>
      </c>
      <c r="G21" s="3">
        <v>41275</v>
      </c>
      <c r="H21" s="3">
        <v>41639</v>
      </c>
      <c r="I21" s="1" t="s">
        <v>71</v>
      </c>
      <c r="J21">
        <v>4521</v>
      </c>
      <c r="K21">
        <v>0</v>
      </c>
      <c r="L21" s="1" t="s">
        <v>384</v>
      </c>
      <c r="M21" s="1" t="s">
        <v>72</v>
      </c>
      <c r="N21" s="1" t="s">
        <v>134</v>
      </c>
      <c r="O21" s="1" t="s">
        <v>385</v>
      </c>
      <c r="P21" s="1" t="s">
        <v>386</v>
      </c>
      <c r="Q21" s="1" t="s">
        <v>387</v>
      </c>
      <c r="R21">
        <v>103</v>
      </c>
      <c r="S21" s="1" t="s">
        <v>135</v>
      </c>
      <c r="T21" s="1" t="s">
        <v>388</v>
      </c>
      <c r="U21" s="1" t="s">
        <v>135</v>
      </c>
      <c r="V21" s="1" t="s">
        <v>74</v>
      </c>
      <c r="W21" s="1" t="s">
        <v>404</v>
      </c>
      <c r="X21" s="1" t="s">
        <v>510</v>
      </c>
      <c r="Y21" s="1" t="s">
        <v>76</v>
      </c>
      <c r="Z21">
        <v>2</v>
      </c>
      <c r="AA21" s="1" t="s">
        <v>80</v>
      </c>
      <c r="AB21">
        <v>201</v>
      </c>
      <c r="AC21" s="1" t="s">
        <v>603</v>
      </c>
      <c r="AD21" s="1" t="s">
        <v>628</v>
      </c>
      <c r="AE21" s="1" t="s">
        <v>685</v>
      </c>
      <c r="AF21">
        <v>10942.79</v>
      </c>
      <c r="AG21">
        <v>0</v>
      </c>
      <c r="AH21">
        <v>10659.18</v>
      </c>
      <c r="AI21">
        <v>0</v>
      </c>
      <c r="AJ21">
        <v>10659.18</v>
      </c>
      <c r="AK21">
        <v>0</v>
      </c>
      <c r="AL21">
        <v>21601.97</v>
      </c>
      <c r="AM21">
        <v>0</v>
      </c>
      <c r="AN21" s="1"/>
      <c r="AP21" s="1"/>
      <c r="AQ21" s="1"/>
      <c r="AR21" s="1"/>
      <c r="AS21" s="1"/>
      <c r="AT21" s="3"/>
      <c r="AU21" s="3"/>
      <c r="AV21" s="3"/>
      <c r="AW21" s="1"/>
      <c r="AX21" s="1"/>
      <c r="AZ21">
        <v>253</v>
      </c>
      <c r="BA21">
        <v>4654734.66</v>
      </c>
      <c r="BB21" s="1"/>
      <c r="BD21" s="1"/>
      <c r="BE21" s="1"/>
      <c r="BG21" s="1"/>
      <c r="BH21" s="1"/>
      <c r="BJ21" s="1"/>
      <c r="BL21" s="1"/>
      <c r="BN21" s="1"/>
      <c r="BO21">
        <v>599</v>
      </c>
      <c r="BP21">
        <v>4654734.66</v>
      </c>
      <c r="BQ21">
        <v>4654734.66</v>
      </c>
    </row>
    <row r="22" spans="1:69" x14ac:dyDescent="0.35">
      <c r="A22" s="1" t="s">
        <v>68</v>
      </c>
      <c r="B22" s="1" t="s">
        <v>69</v>
      </c>
      <c r="C22" s="1" t="s">
        <v>70</v>
      </c>
      <c r="D22">
        <v>1</v>
      </c>
      <c r="E22">
        <v>1</v>
      </c>
      <c r="F22" s="2">
        <v>43585.43</v>
      </c>
      <c r="G22" s="3">
        <v>41275</v>
      </c>
      <c r="H22" s="3">
        <v>41639</v>
      </c>
      <c r="I22" s="1" t="s">
        <v>71</v>
      </c>
      <c r="J22">
        <v>4521</v>
      </c>
      <c r="K22">
        <v>0</v>
      </c>
      <c r="L22" s="1" t="s">
        <v>384</v>
      </c>
      <c r="M22" s="1" t="s">
        <v>72</v>
      </c>
      <c r="N22" s="1" t="s">
        <v>134</v>
      </c>
      <c r="O22" s="1" t="s">
        <v>385</v>
      </c>
      <c r="P22" s="1" t="s">
        <v>386</v>
      </c>
      <c r="Q22" s="1" t="s">
        <v>387</v>
      </c>
      <c r="R22">
        <v>103</v>
      </c>
      <c r="S22" s="1" t="s">
        <v>135</v>
      </c>
      <c r="T22" s="1" t="s">
        <v>388</v>
      </c>
      <c r="U22" s="1" t="s">
        <v>135</v>
      </c>
      <c r="V22" s="1" t="s">
        <v>74</v>
      </c>
      <c r="W22" s="1" t="s">
        <v>405</v>
      </c>
      <c r="X22" s="1" t="s">
        <v>511</v>
      </c>
      <c r="Y22" s="1" t="s">
        <v>76</v>
      </c>
      <c r="Z22">
        <v>2</v>
      </c>
      <c r="AA22" s="1" t="s">
        <v>80</v>
      </c>
      <c r="AB22">
        <v>201</v>
      </c>
      <c r="AC22" s="1" t="s">
        <v>603</v>
      </c>
      <c r="AD22" s="1" t="s">
        <v>629</v>
      </c>
      <c r="AE22" s="1" t="s">
        <v>686</v>
      </c>
      <c r="AF22">
        <v>0</v>
      </c>
      <c r="AG22">
        <v>0</v>
      </c>
      <c r="AH22">
        <v>28905</v>
      </c>
      <c r="AI22">
        <v>0</v>
      </c>
      <c r="AJ22">
        <v>28905</v>
      </c>
      <c r="AK22">
        <v>0</v>
      </c>
      <c r="AL22">
        <v>28905</v>
      </c>
      <c r="AM22">
        <v>0</v>
      </c>
      <c r="AN22" s="1"/>
      <c r="AP22" s="1"/>
      <c r="AQ22" s="1"/>
      <c r="AR22" s="1"/>
      <c r="AS22" s="1"/>
      <c r="AT22" s="3"/>
      <c r="AU22" s="3"/>
      <c r="AV22" s="3"/>
      <c r="AW22" s="1"/>
      <c r="AX22" s="1"/>
      <c r="AZ22">
        <v>253</v>
      </c>
      <c r="BA22">
        <v>4654734.66</v>
      </c>
      <c r="BB22" s="1"/>
      <c r="BD22" s="1"/>
      <c r="BE22" s="1"/>
      <c r="BG22" s="1"/>
      <c r="BH22" s="1"/>
      <c r="BJ22" s="1"/>
      <c r="BL22" s="1"/>
      <c r="BN22" s="1"/>
      <c r="BO22">
        <v>599</v>
      </c>
      <c r="BP22">
        <v>4654734.66</v>
      </c>
      <c r="BQ22">
        <v>4654734.66</v>
      </c>
    </row>
    <row r="23" spans="1:69" x14ac:dyDescent="0.35">
      <c r="A23" s="1" t="s">
        <v>68</v>
      </c>
      <c r="B23" s="1" t="s">
        <v>69</v>
      </c>
      <c r="C23" s="1" t="s">
        <v>70</v>
      </c>
      <c r="D23">
        <v>1</v>
      </c>
      <c r="E23">
        <v>1</v>
      </c>
      <c r="F23" s="2">
        <v>43585.43</v>
      </c>
      <c r="G23" s="3">
        <v>41275</v>
      </c>
      <c r="H23" s="3">
        <v>41639</v>
      </c>
      <c r="I23" s="1" t="s">
        <v>71</v>
      </c>
      <c r="J23">
        <v>4521</v>
      </c>
      <c r="K23">
        <v>0</v>
      </c>
      <c r="L23" s="1" t="s">
        <v>384</v>
      </c>
      <c r="M23" s="1" t="s">
        <v>72</v>
      </c>
      <c r="N23" s="1" t="s">
        <v>134</v>
      </c>
      <c r="O23" s="1" t="s">
        <v>385</v>
      </c>
      <c r="P23" s="1" t="s">
        <v>386</v>
      </c>
      <c r="Q23" s="1" t="s">
        <v>387</v>
      </c>
      <c r="R23">
        <v>103</v>
      </c>
      <c r="S23" s="1" t="s">
        <v>135</v>
      </c>
      <c r="T23" s="1" t="s">
        <v>388</v>
      </c>
      <c r="U23" s="1" t="s">
        <v>135</v>
      </c>
      <c r="V23" s="1" t="s">
        <v>74</v>
      </c>
      <c r="W23" s="1" t="s">
        <v>406</v>
      </c>
      <c r="X23" s="1" t="s">
        <v>512</v>
      </c>
      <c r="Y23" s="1" t="s">
        <v>76</v>
      </c>
      <c r="Z23">
        <v>2</v>
      </c>
      <c r="AA23" s="1" t="s">
        <v>80</v>
      </c>
      <c r="AB23">
        <v>201</v>
      </c>
      <c r="AC23" s="1" t="s">
        <v>603</v>
      </c>
      <c r="AD23" s="1" t="s">
        <v>630</v>
      </c>
      <c r="AE23" s="1" t="s">
        <v>683</v>
      </c>
      <c r="AF23">
        <v>0</v>
      </c>
      <c r="AG23">
        <v>0</v>
      </c>
      <c r="AH23">
        <v>21981.5</v>
      </c>
      <c r="AI23">
        <v>0</v>
      </c>
      <c r="AJ23">
        <v>21981.5</v>
      </c>
      <c r="AK23">
        <v>0</v>
      </c>
      <c r="AL23">
        <v>21981.5</v>
      </c>
      <c r="AM23">
        <v>0</v>
      </c>
      <c r="AN23" s="1"/>
      <c r="AP23" s="1"/>
      <c r="AQ23" s="1"/>
      <c r="AR23" s="1"/>
      <c r="AS23" s="1"/>
      <c r="AT23" s="3"/>
      <c r="AU23" s="3"/>
      <c r="AV23" s="3"/>
      <c r="AW23" s="1"/>
      <c r="AX23" s="1"/>
      <c r="AZ23">
        <v>253</v>
      </c>
      <c r="BA23">
        <v>4654734.66</v>
      </c>
      <c r="BB23" s="1"/>
      <c r="BD23" s="1"/>
      <c r="BE23" s="1"/>
      <c r="BG23" s="1"/>
      <c r="BH23" s="1"/>
      <c r="BJ23" s="1"/>
      <c r="BL23" s="1"/>
      <c r="BN23" s="1"/>
      <c r="BO23">
        <v>599</v>
      </c>
      <c r="BP23">
        <v>4654734.66</v>
      </c>
      <c r="BQ23">
        <v>4654734.66</v>
      </c>
    </row>
    <row r="24" spans="1:69" x14ac:dyDescent="0.35">
      <c r="A24" s="1" t="s">
        <v>68</v>
      </c>
      <c r="B24" s="1" t="s">
        <v>69</v>
      </c>
      <c r="C24" s="1" t="s">
        <v>70</v>
      </c>
      <c r="D24">
        <v>1</v>
      </c>
      <c r="E24">
        <v>1</v>
      </c>
      <c r="F24" s="2">
        <v>43585.43</v>
      </c>
      <c r="G24" s="3">
        <v>41275</v>
      </c>
      <c r="H24" s="3">
        <v>41639</v>
      </c>
      <c r="I24" s="1" t="s">
        <v>71</v>
      </c>
      <c r="J24">
        <v>4521</v>
      </c>
      <c r="K24">
        <v>0</v>
      </c>
      <c r="L24" s="1" t="s">
        <v>384</v>
      </c>
      <c r="M24" s="1" t="s">
        <v>72</v>
      </c>
      <c r="N24" s="1" t="s">
        <v>134</v>
      </c>
      <c r="O24" s="1" t="s">
        <v>385</v>
      </c>
      <c r="P24" s="1" t="s">
        <v>386</v>
      </c>
      <c r="Q24" s="1" t="s">
        <v>387</v>
      </c>
      <c r="R24">
        <v>103</v>
      </c>
      <c r="S24" s="1" t="s">
        <v>135</v>
      </c>
      <c r="T24" s="1" t="s">
        <v>388</v>
      </c>
      <c r="U24" s="1" t="s">
        <v>135</v>
      </c>
      <c r="V24" s="1" t="s">
        <v>74</v>
      </c>
      <c r="W24" s="1" t="s">
        <v>407</v>
      </c>
      <c r="X24" s="1" t="s">
        <v>513</v>
      </c>
      <c r="Y24" s="1" t="s">
        <v>76</v>
      </c>
      <c r="Z24">
        <v>2</v>
      </c>
      <c r="AA24" s="1" t="s">
        <v>80</v>
      </c>
      <c r="AB24">
        <v>201</v>
      </c>
      <c r="AC24" s="1" t="s">
        <v>603</v>
      </c>
      <c r="AD24" s="1" t="s">
        <v>631</v>
      </c>
      <c r="AE24" s="1" t="s">
        <v>687</v>
      </c>
      <c r="AF24">
        <v>292.5</v>
      </c>
      <c r="AG24">
        <v>0</v>
      </c>
      <c r="AH24">
        <v>58188.23</v>
      </c>
      <c r="AI24">
        <v>0</v>
      </c>
      <c r="AJ24">
        <v>58188.23</v>
      </c>
      <c r="AK24">
        <v>0</v>
      </c>
      <c r="AL24">
        <v>58480.73</v>
      </c>
      <c r="AM24">
        <v>0</v>
      </c>
      <c r="AN24" s="1"/>
      <c r="AP24" s="1"/>
      <c r="AQ24" s="1"/>
      <c r="AR24" s="1"/>
      <c r="AS24" s="1"/>
      <c r="AT24" s="3"/>
      <c r="AU24" s="3"/>
      <c r="AV24" s="3"/>
      <c r="AW24" s="1"/>
      <c r="AX24" s="1"/>
      <c r="AZ24">
        <v>253</v>
      </c>
      <c r="BA24">
        <v>4654734.66</v>
      </c>
      <c r="BB24" s="1"/>
      <c r="BD24" s="1"/>
      <c r="BE24" s="1"/>
      <c r="BG24" s="1"/>
      <c r="BH24" s="1"/>
      <c r="BJ24" s="1"/>
      <c r="BL24" s="1"/>
      <c r="BN24" s="1"/>
      <c r="BO24">
        <v>599</v>
      </c>
      <c r="BP24">
        <v>4654734.66</v>
      </c>
      <c r="BQ24">
        <v>4654734.66</v>
      </c>
    </row>
    <row r="25" spans="1:69" x14ac:dyDescent="0.35">
      <c r="A25" s="1" t="s">
        <v>68</v>
      </c>
      <c r="B25" s="1" t="s">
        <v>69</v>
      </c>
      <c r="C25" s="1" t="s">
        <v>70</v>
      </c>
      <c r="D25">
        <v>1</v>
      </c>
      <c r="E25">
        <v>1</v>
      </c>
      <c r="F25" s="2">
        <v>43585.43</v>
      </c>
      <c r="G25" s="3">
        <v>41275</v>
      </c>
      <c r="H25" s="3">
        <v>41639</v>
      </c>
      <c r="I25" s="1" t="s">
        <v>71</v>
      </c>
      <c r="J25">
        <v>4521</v>
      </c>
      <c r="K25">
        <v>0</v>
      </c>
      <c r="L25" s="1" t="s">
        <v>384</v>
      </c>
      <c r="M25" s="1" t="s">
        <v>72</v>
      </c>
      <c r="N25" s="1" t="s">
        <v>134</v>
      </c>
      <c r="O25" s="1" t="s">
        <v>385</v>
      </c>
      <c r="P25" s="1" t="s">
        <v>386</v>
      </c>
      <c r="Q25" s="1" t="s">
        <v>387</v>
      </c>
      <c r="R25">
        <v>103</v>
      </c>
      <c r="S25" s="1" t="s">
        <v>135</v>
      </c>
      <c r="T25" s="1" t="s">
        <v>388</v>
      </c>
      <c r="U25" s="1" t="s">
        <v>135</v>
      </c>
      <c r="V25" s="1" t="s">
        <v>74</v>
      </c>
      <c r="W25" s="1" t="s">
        <v>408</v>
      </c>
      <c r="X25" s="1" t="s">
        <v>514</v>
      </c>
      <c r="Y25" s="1" t="s">
        <v>76</v>
      </c>
      <c r="Z25">
        <v>2</v>
      </c>
      <c r="AA25" s="1" t="s">
        <v>80</v>
      </c>
      <c r="AB25">
        <v>201</v>
      </c>
      <c r="AC25" s="1" t="s">
        <v>603</v>
      </c>
      <c r="AD25" s="1" t="s">
        <v>632</v>
      </c>
      <c r="AE25" s="1" t="s">
        <v>688</v>
      </c>
      <c r="AF25">
        <v>0</v>
      </c>
      <c r="AG25">
        <v>0</v>
      </c>
      <c r="AH25">
        <v>81595.05</v>
      </c>
      <c r="AI25">
        <v>0</v>
      </c>
      <c r="AJ25">
        <v>81595.05</v>
      </c>
      <c r="AK25">
        <v>0</v>
      </c>
      <c r="AL25">
        <v>81595.05</v>
      </c>
      <c r="AM25">
        <v>0</v>
      </c>
      <c r="AN25" s="1"/>
      <c r="AP25" s="1"/>
      <c r="AQ25" s="1"/>
      <c r="AR25" s="1"/>
      <c r="AS25" s="1"/>
      <c r="AT25" s="3"/>
      <c r="AU25" s="3"/>
      <c r="AV25" s="3"/>
      <c r="AW25" s="1"/>
      <c r="AX25" s="1"/>
      <c r="AZ25">
        <v>253</v>
      </c>
      <c r="BA25">
        <v>4654734.66</v>
      </c>
      <c r="BB25" s="1"/>
      <c r="BD25" s="1"/>
      <c r="BE25" s="1"/>
      <c r="BG25" s="1"/>
      <c r="BH25" s="1"/>
      <c r="BJ25" s="1"/>
      <c r="BL25" s="1"/>
      <c r="BN25" s="1"/>
      <c r="BO25">
        <v>599</v>
      </c>
      <c r="BP25">
        <v>4654734.66</v>
      </c>
      <c r="BQ25">
        <v>4654734.66</v>
      </c>
    </row>
    <row r="26" spans="1:69" x14ac:dyDescent="0.35">
      <c r="A26" s="1" t="s">
        <v>68</v>
      </c>
      <c r="B26" s="1" t="s">
        <v>69</v>
      </c>
      <c r="C26" s="1" t="s">
        <v>70</v>
      </c>
      <c r="D26">
        <v>1</v>
      </c>
      <c r="E26">
        <v>1</v>
      </c>
      <c r="F26" s="2">
        <v>43585.43</v>
      </c>
      <c r="G26" s="3">
        <v>41275</v>
      </c>
      <c r="H26" s="3">
        <v>41639</v>
      </c>
      <c r="I26" s="1" t="s">
        <v>71</v>
      </c>
      <c r="J26">
        <v>4521</v>
      </c>
      <c r="K26">
        <v>0</v>
      </c>
      <c r="L26" s="1" t="s">
        <v>384</v>
      </c>
      <c r="M26" s="1" t="s">
        <v>72</v>
      </c>
      <c r="N26" s="1" t="s">
        <v>134</v>
      </c>
      <c r="O26" s="1" t="s">
        <v>385</v>
      </c>
      <c r="P26" s="1" t="s">
        <v>386</v>
      </c>
      <c r="Q26" s="1" t="s">
        <v>387</v>
      </c>
      <c r="R26">
        <v>103</v>
      </c>
      <c r="S26" s="1" t="s">
        <v>135</v>
      </c>
      <c r="T26" s="1" t="s">
        <v>388</v>
      </c>
      <c r="U26" s="1" t="s">
        <v>135</v>
      </c>
      <c r="V26" s="1" t="s">
        <v>74</v>
      </c>
      <c r="W26" s="1" t="s">
        <v>409</v>
      </c>
      <c r="X26" s="1" t="s">
        <v>515</v>
      </c>
      <c r="Y26" s="1" t="s">
        <v>76</v>
      </c>
      <c r="Z26">
        <v>2</v>
      </c>
      <c r="AA26" s="1" t="s">
        <v>80</v>
      </c>
      <c r="AB26">
        <v>201</v>
      </c>
      <c r="AC26" s="1" t="s">
        <v>603</v>
      </c>
      <c r="AD26" s="1" t="s">
        <v>633</v>
      </c>
      <c r="AE26" s="1" t="s">
        <v>689</v>
      </c>
      <c r="AF26">
        <v>12</v>
      </c>
      <c r="AG26">
        <v>0</v>
      </c>
      <c r="AH26">
        <v>12</v>
      </c>
      <c r="AI26">
        <v>0</v>
      </c>
      <c r="AJ26">
        <v>12</v>
      </c>
      <c r="AK26">
        <v>0</v>
      </c>
      <c r="AL26">
        <v>24</v>
      </c>
      <c r="AM26">
        <v>0</v>
      </c>
      <c r="AN26" s="1"/>
      <c r="AP26" s="1"/>
      <c r="AQ26" s="1"/>
      <c r="AR26" s="1"/>
      <c r="AS26" s="1"/>
      <c r="AT26" s="3"/>
      <c r="AU26" s="3"/>
      <c r="AV26" s="3"/>
      <c r="AW26" s="1"/>
      <c r="AX26" s="1"/>
      <c r="AZ26">
        <v>253</v>
      </c>
      <c r="BA26">
        <v>4654734.66</v>
      </c>
      <c r="BB26" s="1"/>
      <c r="BD26" s="1"/>
      <c r="BE26" s="1"/>
      <c r="BG26" s="1"/>
      <c r="BH26" s="1"/>
      <c r="BJ26" s="1"/>
      <c r="BL26" s="1"/>
      <c r="BN26" s="1"/>
      <c r="BO26">
        <v>599</v>
      </c>
      <c r="BP26">
        <v>4654734.66</v>
      </c>
      <c r="BQ26">
        <v>4654734.66</v>
      </c>
    </row>
    <row r="27" spans="1:69" x14ac:dyDescent="0.35">
      <c r="A27" s="1" t="s">
        <v>68</v>
      </c>
      <c r="B27" s="1" t="s">
        <v>69</v>
      </c>
      <c r="C27" s="1" t="s">
        <v>70</v>
      </c>
      <c r="D27">
        <v>1</v>
      </c>
      <c r="E27">
        <v>1</v>
      </c>
      <c r="F27" s="2">
        <v>43585.43</v>
      </c>
      <c r="G27" s="3">
        <v>41275</v>
      </c>
      <c r="H27" s="3">
        <v>41639</v>
      </c>
      <c r="I27" s="1" t="s">
        <v>71</v>
      </c>
      <c r="J27">
        <v>4521</v>
      </c>
      <c r="K27">
        <v>0</v>
      </c>
      <c r="L27" s="1" t="s">
        <v>384</v>
      </c>
      <c r="M27" s="1" t="s">
        <v>72</v>
      </c>
      <c r="N27" s="1" t="s">
        <v>134</v>
      </c>
      <c r="O27" s="1" t="s">
        <v>385</v>
      </c>
      <c r="P27" s="1" t="s">
        <v>386</v>
      </c>
      <c r="Q27" s="1" t="s">
        <v>387</v>
      </c>
      <c r="R27">
        <v>103</v>
      </c>
      <c r="S27" s="1" t="s">
        <v>135</v>
      </c>
      <c r="T27" s="1" t="s">
        <v>388</v>
      </c>
      <c r="U27" s="1" t="s">
        <v>135</v>
      </c>
      <c r="V27" s="1" t="s">
        <v>74</v>
      </c>
      <c r="W27" s="1" t="s">
        <v>410</v>
      </c>
      <c r="X27" s="1" t="s">
        <v>516</v>
      </c>
      <c r="Y27" s="1" t="s">
        <v>76</v>
      </c>
      <c r="Z27">
        <v>2</v>
      </c>
      <c r="AA27" s="1" t="s">
        <v>80</v>
      </c>
      <c r="AB27">
        <v>201</v>
      </c>
      <c r="AC27" s="1" t="s">
        <v>603</v>
      </c>
      <c r="AD27" s="1" t="s">
        <v>634</v>
      </c>
      <c r="AE27" s="1" t="s">
        <v>690</v>
      </c>
      <c r="AF27">
        <v>0</v>
      </c>
      <c r="AG27">
        <v>2560.83</v>
      </c>
      <c r="AH27">
        <v>12164.03</v>
      </c>
      <c r="AI27">
        <v>0</v>
      </c>
      <c r="AJ27">
        <v>12164.03</v>
      </c>
      <c r="AK27">
        <v>0</v>
      </c>
      <c r="AL27">
        <v>9603.2000000000007</v>
      </c>
      <c r="AM27">
        <v>0</v>
      </c>
      <c r="AN27" s="1"/>
      <c r="AP27" s="1"/>
      <c r="AQ27" s="1"/>
      <c r="AR27" s="1"/>
      <c r="AS27" s="1"/>
      <c r="AT27" s="3"/>
      <c r="AU27" s="3"/>
      <c r="AV27" s="3"/>
      <c r="AW27" s="1"/>
      <c r="AX27" s="1"/>
      <c r="AZ27">
        <v>253</v>
      </c>
      <c r="BA27">
        <v>4654734.66</v>
      </c>
      <c r="BB27" s="1"/>
      <c r="BD27" s="1"/>
      <c r="BE27" s="1"/>
      <c r="BG27" s="1"/>
      <c r="BH27" s="1"/>
      <c r="BJ27" s="1"/>
      <c r="BL27" s="1"/>
      <c r="BN27" s="1"/>
      <c r="BO27">
        <v>599</v>
      </c>
      <c r="BP27">
        <v>4654734.66</v>
      </c>
      <c r="BQ27">
        <v>4654734.66</v>
      </c>
    </row>
    <row r="28" spans="1:69" x14ac:dyDescent="0.35">
      <c r="A28" s="1" t="s">
        <v>68</v>
      </c>
      <c r="B28" s="1" t="s">
        <v>69</v>
      </c>
      <c r="C28" s="1" t="s">
        <v>70</v>
      </c>
      <c r="D28">
        <v>1</v>
      </c>
      <c r="E28">
        <v>1</v>
      </c>
      <c r="F28" s="2">
        <v>43585.43</v>
      </c>
      <c r="G28" s="3">
        <v>41275</v>
      </c>
      <c r="H28" s="3">
        <v>41639</v>
      </c>
      <c r="I28" s="1" t="s">
        <v>71</v>
      </c>
      <c r="J28">
        <v>4521</v>
      </c>
      <c r="K28">
        <v>0</v>
      </c>
      <c r="L28" s="1" t="s">
        <v>384</v>
      </c>
      <c r="M28" s="1" t="s">
        <v>72</v>
      </c>
      <c r="N28" s="1" t="s">
        <v>134</v>
      </c>
      <c r="O28" s="1" t="s">
        <v>385</v>
      </c>
      <c r="P28" s="1" t="s">
        <v>386</v>
      </c>
      <c r="Q28" s="1" t="s">
        <v>387</v>
      </c>
      <c r="R28">
        <v>103</v>
      </c>
      <c r="S28" s="1" t="s">
        <v>135</v>
      </c>
      <c r="T28" s="1" t="s">
        <v>388</v>
      </c>
      <c r="U28" s="1" t="s">
        <v>135</v>
      </c>
      <c r="V28" s="1" t="s">
        <v>74</v>
      </c>
      <c r="W28" s="1" t="s">
        <v>411</v>
      </c>
      <c r="X28" s="1" t="s">
        <v>517</v>
      </c>
      <c r="Y28" s="1" t="s">
        <v>76</v>
      </c>
      <c r="Z28">
        <v>2</v>
      </c>
      <c r="AA28" s="1" t="s">
        <v>80</v>
      </c>
      <c r="AB28">
        <v>201</v>
      </c>
      <c r="AC28" s="1" t="s">
        <v>603</v>
      </c>
      <c r="AD28" s="1" t="s">
        <v>635</v>
      </c>
      <c r="AE28" s="1" t="s">
        <v>691</v>
      </c>
      <c r="AF28">
        <v>0</v>
      </c>
      <c r="AG28">
        <v>74125</v>
      </c>
      <c r="AH28">
        <v>63870</v>
      </c>
      <c r="AI28">
        <v>0</v>
      </c>
      <c r="AJ28">
        <v>63870</v>
      </c>
      <c r="AK28">
        <v>0</v>
      </c>
      <c r="AL28">
        <v>0</v>
      </c>
      <c r="AM28">
        <v>10255</v>
      </c>
      <c r="AN28" s="1"/>
      <c r="AP28" s="1"/>
      <c r="AQ28" s="1"/>
      <c r="AR28" s="1"/>
      <c r="AS28" s="1"/>
      <c r="AT28" s="3"/>
      <c r="AU28" s="3"/>
      <c r="AV28" s="3"/>
      <c r="AW28" s="1"/>
      <c r="AX28" s="1"/>
      <c r="AZ28">
        <v>253</v>
      </c>
      <c r="BA28">
        <v>4654734.66</v>
      </c>
      <c r="BB28" s="1"/>
      <c r="BD28" s="1"/>
      <c r="BE28" s="1"/>
      <c r="BG28" s="1"/>
      <c r="BH28" s="1"/>
      <c r="BJ28" s="1"/>
      <c r="BL28" s="1"/>
      <c r="BN28" s="1"/>
      <c r="BO28">
        <v>599</v>
      </c>
      <c r="BP28">
        <v>4654734.66</v>
      </c>
      <c r="BQ28">
        <v>4654734.66</v>
      </c>
    </row>
    <row r="29" spans="1:69" x14ac:dyDescent="0.35">
      <c r="A29" s="1" t="s">
        <v>68</v>
      </c>
      <c r="B29" s="1" t="s">
        <v>69</v>
      </c>
      <c r="C29" s="1" t="s">
        <v>70</v>
      </c>
      <c r="D29">
        <v>1</v>
      </c>
      <c r="E29">
        <v>1</v>
      </c>
      <c r="F29" s="2">
        <v>43585.43</v>
      </c>
      <c r="G29" s="3">
        <v>41275</v>
      </c>
      <c r="H29" s="3">
        <v>41639</v>
      </c>
      <c r="I29" s="1" t="s">
        <v>71</v>
      </c>
      <c r="J29">
        <v>4521</v>
      </c>
      <c r="K29">
        <v>0</v>
      </c>
      <c r="L29" s="1" t="s">
        <v>384</v>
      </c>
      <c r="M29" s="1" t="s">
        <v>72</v>
      </c>
      <c r="N29" s="1" t="s">
        <v>134</v>
      </c>
      <c r="O29" s="1" t="s">
        <v>385</v>
      </c>
      <c r="P29" s="1" t="s">
        <v>386</v>
      </c>
      <c r="Q29" s="1" t="s">
        <v>387</v>
      </c>
      <c r="R29">
        <v>103</v>
      </c>
      <c r="S29" s="1" t="s">
        <v>135</v>
      </c>
      <c r="T29" s="1" t="s">
        <v>388</v>
      </c>
      <c r="U29" s="1" t="s">
        <v>135</v>
      </c>
      <c r="V29" s="1" t="s">
        <v>74</v>
      </c>
      <c r="W29" s="1" t="s">
        <v>412</v>
      </c>
      <c r="X29" s="1" t="s">
        <v>518</v>
      </c>
      <c r="Y29" s="1" t="s">
        <v>76</v>
      </c>
      <c r="Z29">
        <v>2</v>
      </c>
      <c r="AA29" s="1" t="s">
        <v>80</v>
      </c>
      <c r="AB29">
        <v>201</v>
      </c>
      <c r="AC29" s="1" t="s">
        <v>603</v>
      </c>
      <c r="AD29" s="1" t="s">
        <v>636</v>
      </c>
      <c r="AE29" s="1" t="s">
        <v>692</v>
      </c>
      <c r="AF29">
        <v>0</v>
      </c>
      <c r="AG29">
        <v>0</v>
      </c>
      <c r="AH29">
        <v>260.76</v>
      </c>
      <c r="AI29">
        <v>0</v>
      </c>
      <c r="AJ29">
        <v>260.76</v>
      </c>
      <c r="AK29">
        <v>0</v>
      </c>
      <c r="AL29">
        <v>260.76</v>
      </c>
      <c r="AM29">
        <v>0</v>
      </c>
      <c r="AN29" s="1"/>
      <c r="AP29" s="1"/>
      <c r="AQ29" s="1"/>
      <c r="AR29" s="1"/>
      <c r="AS29" s="1"/>
      <c r="AT29" s="3"/>
      <c r="AU29" s="3"/>
      <c r="AV29" s="3"/>
      <c r="AW29" s="1"/>
      <c r="AX29" s="1"/>
      <c r="AZ29">
        <v>253</v>
      </c>
      <c r="BA29">
        <v>4654734.66</v>
      </c>
      <c r="BB29" s="1"/>
      <c r="BD29" s="1"/>
      <c r="BE29" s="1"/>
      <c r="BG29" s="1"/>
      <c r="BH29" s="1"/>
      <c r="BJ29" s="1"/>
      <c r="BL29" s="1"/>
      <c r="BN29" s="1"/>
      <c r="BO29">
        <v>599</v>
      </c>
      <c r="BP29">
        <v>4654734.66</v>
      </c>
      <c r="BQ29">
        <v>4654734.66</v>
      </c>
    </row>
    <row r="30" spans="1:69" x14ac:dyDescent="0.35">
      <c r="A30" s="1" t="s">
        <v>68</v>
      </c>
      <c r="B30" s="1" t="s">
        <v>69</v>
      </c>
      <c r="C30" s="1" t="s">
        <v>70</v>
      </c>
      <c r="D30">
        <v>1</v>
      </c>
      <c r="E30">
        <v>1</v>
      </c>
      <c r="F30" s="2">
        <v>43585.43</v>
      </c>
      <c r="G30" s="3">
        <v>41275</v>
      </c>
      <c r="H30" s="3">
        <v>41639</v>
      </c>
      <c r="I30" s="1" t="s">
        <v>71</v>
      </c>
      <c r="J30">
        <v>4521</v>
      </c>
      <c r="K30">
        <v>0</v>
      </c>
      <c r="L30" s="1" t="s">
        <v>384</v>
      </c>
      <c r="M30" s="1" t="s">
        <v>72</v>
      </c>
      <c r="N30" s="1" t="s">
        <v>134</v>
      </c>
      <c r="O30" s="1" t="s">
        <v>385</v>
      </c>
      <c r="P30" s="1" t="s">
        <v>386</v>
      </c>
      <c r="Q30" s="1" t="s">
        <v>387</v>
      </c>
      <c r="R30">
        <v>103</v>
      </c>
      <c r="S30" s="1" t="s">
        <v>135</v>
      </c>
      <c r="T30" s="1" t="s">
        <v>388</v>
      </c>
      <c r="U30" s="1" t="s">
        <v>135</v>
      </c>
      <c r="V30" s="1" t="s">
        <v>74</v>
      </c>
      <c r="W30" s="1" t="s">
        <v>413</v>
      </c>
      <c r="X30" s="1" t="s">
        <v>519</v>
      </c>
      <c r="Y30" s="1" t="s">
        <v>76</v>
      </c>
      <c r="Z30">
        <v>2</v>
      </c>
      <c r="AA30" s="1" t="s">
        <v>80</v>
      </c>
      <c r="AB30">
        <v>201</v>
      </c>
      <c r="AC30" s="1" t="s">
        <v>603</v>
      </c>
      <c r="AD30" s="1" t="s">
        <v>637</v>
      </c>
      <c r="AE30" s="1" t="s">
        <v>693</v>
      </c>
      <c r="AF30">
        <v>0</v>
      </c>
      <c r="AG30">
        <v>330.87</v>
      </c>
      <c r="AH30">
        <v>2656.8</v>
      </c>
      <c r="AI30">
        <v>0</v>
      </c>
      <c r="AJ30">
        <v>2656.8</v>
      </c>
      <c r="AK30">
        <v>0</v>
      </c>
      <c r="AL30">
        <v>2325.9299999999998</v>
      </c>
      <c r="AM30">
        <v>0</v>
      </c>
      <c r="AN30" s="1"/>
      <c r="AP30" s="1"/>
      <c r="AQ30" s="1"/>
      <c r="AR30" s="1"/>
      <c r="AS30" s="1"/>
      <c r="AT30" s="3"/>
      <c r="AU30" s="3"/>
      <c r="AV30" s="3"/>
      <c r="AW30" s="1"/>
      <c r="AX30" s="1"/>
      <c r="AZ30">
        <v>253</v>
      </c>
      <c r="BA30">
        <v>4654734.66</v>
      </c>
      <c r="BB30" s="1"/>
      <c r="BD30" s="1"/>
      <c r="BE30" s="1"/>
      <c r="BG30" s="1"/>
      <c r="BH30" s="1"/>
      <c r="BJ30" s="1"/>
      <c r="BL30" s="1"/>
      <c r="BN30" s="1"/>
      <c r="BO30">
        <v>599</v>
      </c>
      <c r="BP30">
        <v>4654734.66</v>
      </c>
      <c r="BQ30">
        <v>4654734.66</v>
      </c>
    </row>
    <row r="31" spans="1:69" x14ac:dyDescent="0.35">
      <c r="A31" s="1" t="s">
        <v>68</v>
      </c>
      <c r="B31" s="1" t="s">
        <v>69</v>
      </c>
      <c r="C31" s="1" t="s">
        <v>70</v>
      </c>
      <c r="D31">
        <v>1</v>
      </c>
      <c r="E31">
        <v>1</v>
      </c>
      <c r="F31" s="2">
        <v>43585.43</v>
      </c>
      <c r="G31" s="3">
        <v>41275</v>
      </c>
      <c r="H31" s="3">
        <v>41639</v>
      </c>
      <c r="I31" s="1" t="s">
        <v>71</v>
      </c>
      <c r="J31">
        <v>4521</v>
      </c>
      <c r="K31">
        <v>0</v>
      </c>
      <c r="L31" s="1" t="s">
        <v>384</v>
      </c>
      <c r="M31" s="1" t="s">
        <v>72</v>
      </c>
      <c r="N31" s="1" t="s">
        <v>134</v>
      </c>
      <c r="O31" s="1" t="s">
        <v>385</v>
      </c>
      <c r="P31" s="1" t="s">
        <v>386</v>
      </c>
      <c r="Q31" s="1" t="s">
        <v>387</v>
      </c>
      <c r="R31">
        <v>103</v>
      </c>
      <c r="S31" s="1" t="s">
        <v>135</v>
      </c>
      <c r="T31" s="1" t="s">
        <v>388</v>
      </c>
      <c r="U31" s="1" t="s">
        <v>135</v>
      </c>
      <c r="V31" s="1" t="s">
        <v>74</v>
      </c>
      <c r="W31" s="1" t="s">
        <v>414</v>
      </c>
      <c r="X31" s="1" t="s">
        <v>520</v>
      </c>
      <c r="Y31" s="1" t="s">
        <v>76</v>
      </c>
      <c r="Z31">
        <v>2</v>
      </c>
      <c r="AA31" s="1" t="s">
        <v>80</v>
      </c>
      <c r="AB31">
        <v>201</v>
      </c>
      <c r="AC31" s="1" t="s">
        <v>603</v>
      </c>
      <c r="AD31" s="1" t="s">
        <v>638</v>
      </c>
      <c r="AE31" s="1" t="s">
        <v>694</v>
      </c>
      <c r="AF31">
        <v>1430.5</v>
      </c>
      <c r="AG31">
        <v>0</v>
      </c>
      <c r="AH31">
        <v>405.77</v>
      </c>
      <c r="AI31">
        <v>0</v>
      </c>
      <c r="AJ31">
        <v>405.77</v>
      </c>
      <c r="AK31">
        <v>0</v>
      </c>
      <c r="AL31">
        <v>1836.27</v>
      </c>
      <c r="AM31">
        <v>0</v>
      </c>
      <c r="AN31" s="1"/>
      <c r="AP31" s="1"/>
      <c r="AQ31" s="1"/>
      <c r="AR31" s="1"/>
      <c r="AS31" s="1"/>
      <c r="AT31" s="3"/>
      <c r="AU31" s="3"/>
      <c r="AV31" s="3"/>
      <c r="AW31" s="1"/>
      <c r="AX31" s="1"/>
      <c r="AZ31">
        <v>253</v>
      </c>
      <c r="BA31">
        <v>4654734.66</v>
      </c>
      <c r="BB31" s="1"/>
      <c r="BD31" s="1"/>
      <c r="BE31" s="1"/>
      <c r="BG31" s="1"/>
      <c r="BH31" s="1"/>
      <c r="BJ31" s="1"/>
      <c r="BL31" s="1"/>
      <c r="BN31" s="1"/>
      <c r="BO31">
        <v>599</v>
      </c>
      <c r="BP31">
        <v>4654734.66</v>
      </c>
      <c r="BQ31">
        <v>4654734.66</v>
      </c>
    </row>
    <row r="32" spans="1:69" x14ac:dyDescent="0.35">
      <c r="A32" s="1" t="s">
        <v>68</v>
      </c>
      <c r="B32" s="1" t="s">
        <v>69</v>
      </c>
      <c r="C32" s="1" t="s">
        <v>70</v>
      </c>
      <c r="D32">
        <v>1</v>
      </c>
      <c r="E32">
        <v>1</v>
      </c>
      <c r="F32" s="2">
        <v>43585.43</v>
      </c>
      <c r="G32" s="3">
        <v>41275</v>
      </c>
      <c r="H32" s="3">
        <v>41639</v>
      </c>
      <c r="I32" s="1" t="s">
        <v>71</v>
      </c>
      <c r="J32">
        <v>4521</v>
      </c>
      <c r="K32">
        <v>0</v>
      </c>
      <c r="L32" s="1" t="s">
        <v>384</v>
      </c>
      <c r="M32" s="1" t="s">
        <v>72</v>
      </c>
      <c r="N32" s="1" t="s">
        <v>134</v>
      </c>
      <c r="O32" s="1" t="s">
        <v>385</v>
      </c>
      <c r="P32" s="1" t="s">
        <v>386</v>
      </c>
      <c r="Q32" s="1" t="s">
        <v>387</v>
      </c>
      <c r="R32">
        <v>103</v>
      </c>
      <c r="S32" s="1" t="s">
        <v>135</v>
      </c>
      <c r="T32" s="1" t="s">
        <v>388</v>
      </c>
      <c r="U32" s="1" t="s">
        <v>135</v>
      </c>
      <c r="V32" s="1" t="s">
        <v>74</v>
      </c>
      <c r="W32" s="1" t="s">
        <v>415</v>
      </c>
      <c r="X32" s="1" t="s">
        <v>521</v>
      </c>
      <c r="Y32" s="1" t="s">
        <v>76</v>
      </c>
      <c r="Z32">
        <v>2</v>
      </c>
      <c r="AA32" s="1" t="s">
        <v>80</v>
      </c>
      <c r="AB32">
        <v>201</v>
      </c>
      <c r="AC32" s="1" t="s">
        <v>603</v>
      </c>
      <c r="AD32" s="1" t="s">
        <v>639</v>
      </c>
      <c r="AE32" s="1" t="s">
        <v>695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1"/>
      <c r="AP32" s="1"/>
      <c r="AQ32" s="1"/>
      <c r="AR32" s="1"/>
      <c r="AS32" s="1"/>
      <c r="AT32" s="3"/>
      <c r="AU32" s="3"/>
      <c r="AV32" s="3"/>
      <c r="AW32" s="1"/>
      <c r="AX32" s="1"/>
      <c r="AZ32">
        <v>253</v>
      </c>
      <c r="BA32">
        <v>4654734.66</v>
      </c>
      <c r="BB32" s="1"/>
      <c r="BD32" s="1"/>
      <c r="BE32" s="1"/>
      <c r="BG32" s="1"/>
      <c r="BH32" s="1"/>
      <c r="BJ32" s="1"/>
      <c r="BL32" s="1"/>
      <c r="BN32" s="1"/>
      <c r="BO32">
        <v>599</v>
      </c>
      <c r="BP32">
        <v>4654734.66</v>
      </c>
      <c r="BQ32">
        <v>4654734.66</v>
      </c>
    </row>
    <row r="33" spans="1:69" x14ac:dyDescent="0.35">
      <c r="A33" s="1" t="s">
        <v>68</v>
      </c>
      <c r="B33" s="1" t="s">
        <v>69</v>
      </c>
      <c r="C33" s="1" t="s">
        <v>70</v>
      </c>
      <c r="D33">
        <v>1</v>
      </c>
      <c r="E33">
        <v>1</v>
      </c>
      <c r="F33" s="2">
        <v>43585.43</v>
      </c>
      <c r="G33" s="3">
        <v>41275</v>
      </c>
      <c r="H33" s="3">
        <v>41639</v>
      </c>
      <c r="I33" s="1" t="s">
        <v>71</v>
      </c>
      <c r="J33">
        <v>4521</v>
      </c>
      <c r="K33">
        <v>0</v>
      </c>
      <c r="L33" s="1" t="s">
        <v>384</v>
      </c>
      <c r="M33" s="1" t="s">
        <v>72</v>
      </c>
      <c r="N33" s="1" t="s">
        <v>134</v>
      </c>
      <c r="O33" s="1" t="s">
        <v>385</v>
      </c>
      <c r="P33" s="1" t="s">
        <v>386</v>
      </c>
      <c r="Q33" s="1" t="s">
        <v>387</v>
      </c>
      <c r="R33">
        <v>103</v>
      </c>
      <c r="S33" s="1" t="s">
        <v>135</v>
      </c>
      <c r="T33" s="1" t="s">
        <v>388</v>
      </c>
      <c r="U33" s="1" t="s">
        <v>135</v>
      </c>
      <c r="V33" s="1" t="s">
        <v>74</v>
      </c>
      <c r="W33" s="1" t="s">
        <v>416</v>
      </c>
      <c r="X33" s="1" t="s">
        <v>522</v>
      </c>
      <c r="Y33" s="1" t="s">
        <v>76</v>
      </c>
      <c r="Z33">
        <v>2</v>
      </c>
      <c r="AA33" s="1" t="s">
        <v>80</v>
      </c>
      <c r="AB33">
        <v>201</v>
      </c>
      <c r="AC33" s="1" t="s">
        <v>603</v>
      </c>
      <c r="AD33" s="1" t="s">
        <v>640</v>
      </c>
      <c r="AE33" s="1" t="s">
        <v>684</v>
      </c>
      <c r="AF33">
        <v>0</v>
      </c>
      <c r="AG33">
        <v>2029.5</v>
      </c>
      <c r="AH33">
        <v>200.49</v>
      </c>
      <c r="AI33">
        <v>0</v>
      </c>
      <c r="AJ33">
        <v>200.49</v>
      </c>
      <c r="AK33">
        <v>0</v>
      </c>
      <c r="AL33">
        <v>0</v>
      </c>
      <c r="AM33">
        <v>1829.01</v>
      </c>
      <c r="AN33" s="1"/>
      <c r="AP33" s="1"/>
      <c r="AQ33" s="1"/>
      <c r="AR33" s="1"/>
      <c r="AS33" s="1"/>
      <c r="AT33" s="3"/>
      <c r="AU33" s="3"/>
      <c r="AV33" s="3"/>
      <c r="AW33" s="1"/>
      <c r="AX33" s="1"/>
      <c r="AZ33">
        <v>253</v>
      </c>
      <c r="BA33">
        <v>4654734.66</v>
      </c>
      <c r="BB33" s="1"/>
      <c r="BD33" s="1"/>
      <c r="BE33" s="1"/>
      <c r="BG33" s="1"/>
      <c r="BH33" s="1"/>
      <c r="BJ33" s="1"/>
      <c r="BL33" s="1"/>
      <c r="BN33" s="1"/>
      <c r="BO33">
        <v>599</v>
      </c>
      <c r="BP33">
        <v>4654734.66</v>
      </c>
      <c r="BQ33">
        <v>4654734.66</v>
      </c>
    </row>
    <row r="34" spans="1:69" x14ac:dyDescent="0.35">
      <c r="A34" s="1" t="s">
        <v>68</v>
      </c>
      <c r="B34" s="1" t="s">
        <v>69</v>
      </c>
      <c r="C34" s="1" t="s">
        <v>70</v>
      </c>
      <c r="D34">
        <v>1</v>
      </c>
      <c r="E34">
        <v>1</v>
      </c>
      <c r="F34" s="2">
        <v>43585.43</v>
      </c>
      <c r="G34" s="3">
        <v>41275</v>
      </c>
      <c r="H34" s="3">
        <v>41639</v>
      </c>
      <c r="I34" s="1" t="s">
        <v>71</v>
      </c>
      <c r="J34">
        <v>4521</v>
      </c>
      <c r="K34">
        <v>0</v>
      </c>
      <c r="L34" s="1" t="s">
        <v>384</v>
      </c>
      <c r="M34" s="1" t="s">
        <v>72</v>
      </c>
      <c r="N34" s="1" t="s">
        <v>134</v>
      </c>
      <c r="O34" s="1" t="s">
        <v>385</v>
      </c>
      <c r="P34" s="1" t="s">
        <v>386</v>
      </c>
      <c r="Q34" s="1" t="s">
        <v>387</v>
      </c>
      <c r="R34">
        <v>103</v>
      </c>
      <c r="S34" s="1" t="s">
        <v>135</v>
      </c>
      <c r="T34" s="1" t="s">
        <v>388</v>
      </c>
      <c r="U34" s="1" t="s">
        <v>135</v>
      </c>
      <c r="V34" s="1" t="s">
        <v>74</v>
      </c>
      <c r="W34" s="1" t="s">
        <v>417</v>
      </c>
      <c r="X34" s="1" t="s">
        <v>512</v>
      </c>
      <c r="Y34" s="1" t="s">
        <v>76</v>
      </c>
      <c r="Z34">
        <v>2</v>
      </c>
      <c r="AA34" s="1" t="s">
        <v>80</v>
      </c>
      <c r="AB34">
        <v>201</v>
      </c>
      <c r="AC34" s="1" t="s">
        <v>603</v>
      </c>
      <c r="AD34" s="1" t="s">
        <v>641</v>
      </c>
      <c r="AE34" s="1" t="s">
        <v>683</v>
      </c>
      <c r="AF34">
        <v>0</v>
      </c>
      <c r="AG34">
        <v>0</v>
      </c>
      <c r="AH34">
        <v>1566.53</v>
      </c>
      <c r="AI34">
        <v>0</v>
      </c>
      <c r="AJ34">
        <v>1566.53</v>
      </c>
      <c r="AK34">
        <v>0</v>
      </c>
      <c r="AL34">
        <v>1566.53</v>
      </c>
      <c r="AM34">
        <v>0</v>
      </c>
      <c r="AN34" s="1"/>
      <c r="AP34" s="1"/>
      <c r="AQ34" s="1"/>
      <c r="AR34" s="1"/>
      <c r="AS34" s="1"/>
      <c r="AT34" s="3"/>
      <c r="AU34" s="3"/>
      <c r="AV34" s="3"/>
      <c r="AW34" s="1"/>
      <c r="AX34" s="1"/>
      <c r="AZ34">
        <v>253</v>
      </c>
      <c r="BA34">
        <v>4654734.66</v>
      </c>
      <c r="BB34" s="1"/>
      <c r="BD34" s="1"/>
      <c r="BE34" s="1"/>
      <c r="BG34" s="1"/>
      <c r="BH34" s="1"/>
      <c r="BJ34" s="1"/>
      <c r="BL34" s="1"/>
      <c r="BN34" s="1"/>
      <c r="BO34">
        <v>599</v>
      </c>
      <c r="BP34">
        <v>4654734.66</v>
      </c>
      <c r="BQ34">
        <v>4654734.66</v>
      </c>
    </row>
    <row r="35" spans="1:69" x14ac:dyDescent="0.35">
      <c r="A35" s="1" t="s">
        <v>68</v>
      </c>
      <c r="B35" s="1" t="s">
        <v>69</v>
      </c>
      <c r="C35" s="1" t="s">
        <v>70</v>
      </c>
      <c r="D35">
        <v>1</v>
      </c>
      <c r="E35">
        <v>1</v>
      </c>
      <c r="F35" s="2">
        <v>43585.43</v>
      </c>
      <c r="G35" s="3">
        <v>41275</v>
      </c>
      <c r="H35" s="3">
        <v>41639</v>
      </c>
      <c r="I35" s="1" t="s">
        <v>71</v>
      </c>
      <c r="J35">
        <v>4521</v>
      </c>
      <c r="K35">
        <v>0</v>
      </c>
      <c r="L35" s="1" t="s">
        <v>384</v>
      </c>
      <c r="M35" s="1" t="s">
        <v>72</v>
      </c>
      <c r="N35" s="1" t="s">
        <v>134</v>
      </c>
      <c r="O35" s="1" t="s">
        <v>385</v>
      </c>
      <c r="P35" s="1" t="s">
        <v>386</v>
      </c>
      <c r="Q35" s="1" t="s">
        <v>387</v>
      </c>
      <c r="R35">
        <v>103</v>
      </c>
      <c r="S35" s="1" t="s">
        <v>135</v>
      </c>
      <c r="T35" s="1" t="s">
        <v>388</v>
      </c>
      <c r="U35" s="1" t="s">
        <v>135</v>
      </c>
      <c r="V35" s="1" t="s">
        <v>74</v>
      </c>
      <c r="W35" s="1" t="s">
        <v>418</v>
      </c>
      <c r="X35" s="1" t="s">
        <v>523</v>
      </c>
      <c r="Y35" s="1" t="s">
        <v>76</v>
      </c>
      <c r="Z35">
        <v>2</v>
      </c>
      <c r="AA35" s="1" t="s">
        <v>80</v>
      </c>
      <c r="AB35">
        <v>202</v>
      </c>
      <c r="AC35" s="1" t="s">
        <v>604</v>
      </c>
      <c r="AD35" s="1" t="s">
        <v>642</v>
      </c>
      <c r="AE35" s="1" t="s">
        <v>696</v>
      </c>
      <c r="AF35">
        <v>3570</v>
      </c>
      <c r="AG35">
        <v>0</v>
      </c>
      <c r="AH35">
        <v>3570</v>
      </c>
      <c r="AI35">
        <v>0</v>
      </c>
      <c r="AJ35">
        <v>3570</v>
      </c>
      <c r="AK35">
        <v>0</v>
      </c>
      <c r="AL35">
        <v>7140</v>
      </c>
      <c r="AM35">
        <v>0</v>
      </c>
      <c r="AN35" s="1"/>
      <c r="AP35" s="1"/>
      <c r="AQ35" s="1"/>
      <c r="AR35" s="1"/>
      <c r="AS35" s="1"/>
      <c r="AT35" s="3"/>
      <c r="AU35" s="3"/>
      <c r="AV35" s="3"/>
      <c r="AW35" s="1"/>
      <c r="AX35" s="1"/>
      <c r="AZ35">
        <v>253</v>
      </c>
      <c r="BA35">
        <v>4654734.66</v>
      </c>
      <c r="BB35" s="1"/>
      <c r="BD35" s="1"/>
      <c r="BE35" s="1"/>
      <c r="BG35" s="1"/>
      <c r="BH35" s="1"/>
      <c r="BJ35" s="1"/>
      <c r="BL35" s="1"/>
      <c r="BN35" s="1"/>
      <c r="BO35">
        <v>599</v>
      </c>
      <c r="BP35">
        <v>4654734.66</v>
      </c>
      <c r="BQ35">
        <v>4654734.66</v>
      </c>
    </row>
    <row r="36" spans="1:69" x14ac:dyDescent="0.35">
      <c r="A36" s="1" t="s">
        <v>68</v>
      </c>
      <c r="B36" s="1" t="s">
        <v>69</v>
      </c>
      <c r="C36" s="1" t="s">
        <v>70</v>
      </c>
      <c r="D36">
        <v>1</v>
      </c>
      <c r="E36">
        <v>1</v>
      </c>
      <c r="F36" s="2">
        <v>43585.43</v>
      </c>
      <c r="G36" s="3">
        <v>41275</v>
      </c>
      <c r="H36" s="3">
        <v>41639</v>
      </c>
      <c r="I36" s="1" t="s">
        <v>71</v>
      </c>
      <c r="J36">
        <v>4521</v>
      </c>
      <c r="K36">
        <v>0</v>
      </c>
      <c r="L36" s="1" t="s">
        <v>384</v>
      </c>
      <c r="M36" s="1" t="s">
        <v>72</v>
      </c>
      <c r="N36" s="1" t="s">
        <v>134</v>
      </c>
      <c r="O36" s="1" t="s">
        <v>385</v>
      </c>
      <c r="P36" s="1" t="s">
        <v>386</v>
      </c>
      <c r="Q36" s="1" t="s">
        <v>387</v>
      </c>
      <c r="R36">
        <v>103</v>
      </c>
      <c r="S36" s="1" t="s">
        <v>135</v>
      </c>
      <c r="T36" s="1" t="s">
        <v>388</v>
      </c>
      <c r="U36" s="1" t="s">
        <v>135</v>
      </c>
      <c r="V36" s="1" t="s">
        <v>74</v>
      </c>
      <c r="W36" s="1" t="s">
        <v>419</v>
      </c>
      <c r="X36" s="1" t="s">
        <v>524</v>
      </c>
      <c r="Y36" s="1" t="s">
        <v>76</v>
      </c>
      <c r="Z36">
        <v>2</v>
      </c>
      <c r="AA36" s="1" t="s">
        <v>80</v>
      </c>
      <c r="AB36">
        <v>202</v>
      </c>
      <c r="AC36" s="1" t="s">
        <v>604</v>
      </c>
      <c r="AD36" s="1" t="s">
        <v>623</v>
      </c>
      <c r="AE36" s="1" t="s">
        <v>682</v>
      </c>
      <c r="AF36">
        <v>660</v>
      </c>
      <c r="AG36">
        <v>0</v>
      </c>
      <c r="AH36">
        <v>660</v>
      </c>
      <c r="AI36">
        <v>0</v>
      </c>
      <c r="AJ36">
        <v>660</v>
      </c>
      <c r="AK36">
        <v>0</v>
      </c>
      <c r="AL36">
        <v>1320</v>
      </c>
      <c r="AM36">
        <v>0</v>
      </c>
      <c r="AN36" s="1"/>
      <c r="AP36" s="1"/>
      <c r="AQ36" s="1"/>
      <c r="AR36" s="1"/>
      <c r="AS36" s="1"/>
      <c r="AT36" s="3"/>
      <c r="AU36" s="3"/>
      <c r="AV36" s="3"/>
      <c r="AW36" s="1"/>
      <c r="AX36" s="1"/>
      <c r="AZ36">
        <v>253</v>
      </c>
      <c r="BA36">
        <v>4654734.66</v>
      </c>
      <c r="BB36" s="1"/>
      <c r="BD36" s="1"/>
      <c r="BE36" s="1"/>
      <c r="BG36" s="1"/>
      <c r="BH36" s="1"/>
      <c r="BJ36" s="1"/>
      <c r="BL36" s="1"/>
      <c r="BN36" s="1"/>
      <c r="BO36">
        <v>599</v>
      </c>
      <c r="BP36">
        <v>4654734.66</v>
      </c>
      <c r="BQ36">
        <v>4654734.66</v>
      </c>
    </row>
    <row r="37" spans="1:69" x14ac:dyDescent="0.35">
      <c r="A37" s="1" t="s">
        <v>68</v>
      </c>
      <c r="B37" s="1" t="s">
        <v>69</v>
      </c>
      <c r="C37" s="1" t="s">
        <v>70</v>
      </c>
      <c r="D37">
        <v>1</v>
      </c>
      <c r="E37">
        <v>1</v>
      </c>
      <c r="F37" s="2">
        <v>43585.43</v>
      </c>
      <c r="G37" s="3">
        <v>41275</v>
      </c>
      <c r="H37" s="3">
        <v>41639</v>
      </c>
      <c r="I37" s="1" t="s">
        <v>71</v>
      </c>
      <c r="J37">
        <v>4521</v>
      </c>
      <c r="K37">
        <v>0</v>
      </c>
      <c r="L37" s="1" t="s">
        <v>384</v>
      </c>
      <c r="M37" s="1" t="s">
        <v>72</v>
      </c>
      <c r="N37" s="1" t="s">
        <v>134</v>
      </c>
      <c r="O37" s="1" t="s">
        <v>385</v>
      </c>
      <c r="P37" s="1" t="s">
        <v>386</v>
      </c>
      <c r="Q37" s="1" t="s">
        <v>387</v>
      </c>
      <c r="R37">
        <v>103</v>
      </c>
      <c r="S37" s="1" t="s">
        <v>135</v>
      </c>
      <c r="T37" s="1" t="s">
        <v>388</v>
      </c>
      <c r="U37" s="1" t="s">
        <v>135</v>
      </c>
      <c r="V37" s="1" t="s">
        <v>74</v>
      </c>
      <c r="W37" s="1" t="s">
        <v>420</v>
      </c>
      <c r="X37" s="1" t="s">
        <v>525</v>
      </c>
      <c r="Y37" s="1" t="s">
        <v>76</v>
      </c>
      <c r="Z37">
        <v>2</v>
      </c>
      <c r="AA37" s="1" t="s">
        <v>80</v>
      </c>
      <c r="AB37">
        <v>202</v>
      </c>
      <c r="AC37" s="1" t="s">
        <v>604</v>
      </c>
      <c r="AD37" s="1" t="s">
        <v>643</v>
      </c>
      <c r="AE37" s="1" t="s">
        <v>685</v>
      </c>
      <c r="AF37">
        <v>5890</v>
      </c>
      <c r="AG37">
        <v>0</v>
      </c>
      <c r="AH37">
        <v>5890</v>
      </c>
      <c r="AI37">
        <v>0</v>
      </c>
      <c r="AJ37">
        <v>5890</v>
      </c>
      <c r="AK37">
        <v>0</v>
      </c>
      <c r="AL37">
        <v>11780</v>
      </c>
      <c r="AM37">
        <v>0</v>
      </c>
      <c r="AN37" s="1"/>
      <c r="AP37" s="1"/>
      <c r="AQ37" s="1"/>
      <c r="AR37" s="1"/>
      <c r="AS37" s="1"/>
      <c r="AT37" s="3"/>
      <c r="AU37" s="3"/>
      <c r="AV37" s="3"/>
      <c r="AW37" s="1"/>
      <c r="AX37" s="1"/>
      <c r="AZ37">
        <v>253</v>
      </c>
      <c r="BA37">
        <v>4654734.66</v>
      </c>
      <c r="BB37" s="1"/>
      <c r="BD37" s="1"/>
      <c r="BE37" s="1"/>
      <c r="BG37" s="1"/>
      <c r="BH37" s="1"/>
      <c r="BJ37" s="1"/>
      <c r="BL37" s="1"/>
      <c r="BN37" s="1"/>
      <c r="BO37">
        <v>599</v>
      </c>
      <c r="BP37">
        <v>4654734.66</v>
      </c>
      <c r="BQ37">
        <v>4654734.66</v>
      </c>
    </row>
    <row r="38" spans="1:69" x14ac:dyDescent="0.35">
      <c r="A38" s="1" t="s">
        <v>68</v>
      </c>
      <c r="B38" s="1" t="s">
        <v>69</v>
      </c>
      <c r="C38" s="1" t="s">
        <v>70</v>
      </c>
      <c r="D38">
        <v>1</v>
      </c>
      <c r="E38">
        <v>1</v>
      </c>
      <c r="F38" s="2">
        <v>43585.43</v>
      </c>
      <c r="G38" s="3">
        <v>41275</v>
      </c>
      <c r="H38" s="3">
        <v>41639</v>
      </c>
      <c r="I38" s="1" t="s">
        <v>71</v>
      </c>
      <c r="J38">
        <v>4521</v>
      </c>
      <c r="K38">
        <v>0</v>
      </c>
      <c r="L38" s="1" t="s">
        <v>384</v>
      </c>
      <c r="M38" s="1" t="s">
        <v>72</v>
      </c>
      <c r="N38" s="1" t="s">
        <v>134</v>
      </c>
      <c r="O38" s="1" t="s">
        <v>385</v>
      </c>
      <c r="P38" s="1" t="s">
        <v>386</v>
      </c>
      <c r="Q38" s="1" t="s">
        <v>387</v>
      </c>
      <c r="R38">
        <v>103</v>
      </c>
      <c r="S38" s="1" t="s">
        <v>135</v>
      </c>
      <c r="T38" s="1" t="s">
        <v>388</v>
      </c>
      <c r="U38" s="1" t="s">
        <v>135</v>
      </c>
      <c r="V38" s="1" t="s">
        <v>74</v>
      </c>
      <c r="W38" s="1" t="s">
        <v>421</v>
      </c>
      <c r="X38" s="1" t="s">
        <v>526</v>
      </c>
      <c r="Y38" s="1" t="s">
        <v>76</v>
      </c>
      <c r="Z38">
        <v>2</v>
      </c>
      <c r="AA38" s="1" t="s">
        <v>80</v>
      </c>
      <c r="AB38">
        <v>202</v>
      </c>
      <c r="AC38" s="1" t="s">
        <v>604</v>
      </c>
      <c r="AD38" s="1" t="s">
        <v>644</v>
      </c>
      <c r="AE38" s="1" t="s">
        <v>682</v>
      </c>
      <c r="AF38">
        <v>1500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1500</v>
      </c>
      <c r="AM38">
        <v>0</v>
      </c>
      <c r="AN38" s="1"/>
      <c r="AP38" s="1"/>
      <c r="AQ38" s="1"/>
      <c r="AR38" s="1"/>
      <c r="AS38" s="1"/>
      <c r="AT38" s="3"/>
      <c r="AU38" s="3"/>
      <c r="AV38" s="3"/>
      <c r="AW38" s="1"/>
      <c r="AX38" s="1"/>
      <c r="AZ38">
        <v>253</v>
      </c>
      <c r="BA38">
        <v>4654734.66</v>
      </c>
      <c r="BB38" s="1"/>
      <c r="BD38" s="1"/>
      <c r="BE38" s="1"/>
      <c r="BG38" s="1"/>
      <c r="BH38" s="1"/>
      <c r="BJ38" s="1"/>
      <c r="BL38" s="1"/>
      <c r="BN38" s="1"/>
      <c r="BO38">
        <v>599</v>
      </c>
      <c r="BP38">
        <v>4654734.66</v>
      </c>
      <c r="BQ38">
        <v>4654734.66</v>
      </c>
    </row>
    <row r="39" spans="1:69" x14ac:dyDescent="0.35">
      <c r="A39" s="1" t="s">
        <v>68</v>
      </c>
      <c r="B39" s="1" t="s">
        <v>69</v>
      </c>
      <c r="C39" s="1" t="s">
        <v>70</v>
      </c>
      <c r="D39">
        <v>1</v>
      </c>
      <c r="E39">
        <v>1</v>
      </c>
      <c r="F39" s="2">
        <v>43585.43</v>
      </c>
      <c r="G39" s="3">
        <v>41275</v>
      </c>
      <c r="H39" s="3">
        <v>41639</v>
      </c>
      <c r="I39" s="1" t="s">
        <v>71</v>
      </c>
      <c r="J39">
        <v>4521</v>
      </c>
      <c r="K39">
        <v>0</v>
      </c>
      <c r="L39" s="1" t="s">
        <v>384</v>
      </c>
      <c r="M39" s="1" t="s">
        <v>72</v>
      </c>
      <c r="N39" s="1" t="s">
        <v>134</v>
      </c>
      <c r="O39" s="1" t="s">
        <v>385</v>
      </c>
      <c r="P39" s="1" t="s">
        <v>386</v>
      </c>
      <c r="Q39" s="1" t="s">
        <v>387</v>
      </c>
      <c r="R39">
        <v>103</v>
      </c>
      <c r="S39" s="1" t="s">
        <v>135</v>
      </c>
      <c r="T39" s="1" t="s">
        <v>388</v>
      </c>
      <c r="U39" s="1" t="s">
        <v>135</v>
      </c>
      <c r="V39" s="1" t="s">
        <v>74</v>
      </c>
      <c r="W39" s="1" t="s">
        <v>422</v>
      </c>
      <c r="X39" s="1" t="s">
        <v>527</v>
      </c>
      <c r="Y39" s="1" t="s">
        <v>76</v>
      </c>
      <c r="Z39">
        <v>2</v>
      </c>
      <c r="AA39" s="1" t="s">
        <v>80</v>
      </c>
      <c r="AB39">
        <v>202</v>
      </c>
      <c r="AC39" s="1" t="s">
        <v>604</v>
      </c>
      <c r="AD39" s="1" t="s">
        <v>645</v>
      </c>
      <c r="AE39" s="1" t="s">
        <v>693</v>
      </c>
      <c r="AF39">
        <v>0</v>
      </c>
      <c r="AG39">
        <v>0</v>
      </c>
      <c r="AH39">
        <v>1000</v>
      </c>
      <c r="AI39">
        <v>0</v>
      </c>
      <c r="AJ39">
        <v>1000</v>
      </c>
      <c r="AK39">
        <v>0</v>
      </c>
      <c r="AL39">
        <v>1000</v>
      </c>
      <c r="AM39">
        <v>0</v>
      </c>
      <c r="AN39" s="1"/>
      <c r="AP39" s="1"/>
      <c r="AQ39" s="1"/>
      <c r="AR39" s="1"/>
      <c r="AS39" s="1"/>
      <c r="AT39" s="3"/>
      <c r="AU39" s="3"/>
      <c r="AV39" s="3"/>
      <c r="AW39" s="1"/>
      <c r="AX39" s="1"/>
      <c r="AZ39">
        <v>253</v>
      </c>
      <c r="BA39">
        <v>4654734.66</v>
      </c>
      <c r="BB39" s="1"/>
      <c r="BD39" s="1"/>
      <c r="BE39" s="1"/>
      <c r="BG39" s="1"/>
      <c r="BH39" s="1"/>
      <c r="BJ39" s="1"/>
      <c r="BL39" s="1"/>
      <c r="BN39" s="1"/>
      <c r="BO39">
        <v>599</v>
      </c>
      <c r="BP39">
        <v>4654734.66</v>
      </c>
      <c r="BQ39">
        <v>4654734.66</v>
      </c>
    </row>
    <row r="40" spans="1:69" x14ac:dyDescent="0.35">
      <c r="A40" s="1" t="s">
        <v>68</v>
      </c>
      <c r="B40" s="1" t="s">
        <v>69</v>
      </c>
      <c r="C40" s="1" t="s">
        <v>70</v>
      </c>
      <c r="D40">
        <v>1</v>
      </c>
      <c r="E40">
        <v>1</v>
      </c>
      <c r="F40" s="2">
        <v>43585.43</v>
      </c>
      <c r="G40" s="3">
        <v>41275</v>
      </c>
      <c r="H40" s="3">
        <v>41639</v>
      </c>
      <c r="I40" s="1" t="s">
        <v>71</v>
      </c>
      <c r="J40">
        <v>4521</v>
      </c>
      <c r="K40">
        <v>0</v>
      </c>
      <c r="L40" s="1" t="s">
        <v>384</v>
      </c>
      <c r="M40" s="1" t="s">
        <v>72</v>
      </c>
      <c r="N40" s="1" t="s">
        <v>134</v>
      </c>
      <c r="O40" s="1" t="s">
        <v>385</v>
      </c>
      <c r="P40" s="1" t="s">
        <v>386</v>
      </c>
      <c r="Q40" s="1" t="s">
        <v>387</v>
      </c>
      <c r="R40">
        <v>103</v>
      </c>
      <c r="S40" s="1" t="s">
        <v>135</v>
      </c>
      <c r="T40" s="1" t="s">
        <v>388</v>
      </c>
      <c r="U40" s="1" t="s">
        <v>135</v>
      </c>
      <c r="V40" s="1" t="s">
        <v>74</v>
      </c>
      <c r="W40" s="1" t="s">
        <v>423</v>
      </c>
      <c r="X40" s="1" t="s">
        <v>528</v>
      </c>
      <c r="Y40" s="1" t="s">
        <v>76</v>
      </c>
      <c r="Z40">
        <v>2</v>
      </c>
      <c r="AA40" s="1" t="s">
        <v>80</v>
      </c>
      <c r="AB40">
        <v>202</v>
      </c>
      <c r="AC40" s="1" t="s">
        <v>604</v>
      </c>
      <c r="AD40" s="1" t="s">
        <v>646</v>
      </c>
      <c r="AE40" s="1" t="s">
        <v>694</v>
      </c>
      <c r="AF40">
        <v>0</v>
      </c>
      <c r="AG40">
        <v>0</v>
      </c>
      <c r="AH40">
        <v>4500</v>
      </c>
      <c r="AI40">
        <v>0</v>
      </c>
      <c r="AJ40">
        <v>4500</v>
      </c>
      <c r="AK40">
        <v>0</v>
      </c>
      <c r="AL40">
        <v>4500</v>
      </c>
      <c r="AM40">
        <v>0</v>
      </c>
      <c r="AN40" s="1"/>
      <c r="AP40" s="1"/>
      <c r="AQ40" s="1"/>
      <c r="AR40" s="1"/>
      <c r="AS40" s="1"/>
      <c r="AT40" s="3"/>
      <c r="AU40" s="3"/>
      <c r="AV40" s="3"/>
      <c r="AW40" s="1"/>
      <c r="AX40" s="1"/>
      <c r="AZ40">
        <v>253</v>
      </c>
      <c r="BA40">
        <v>4654734.66</v>
      </c>
      <c r="BB40" s="1"/>
      <c r="BD40" s="1"/>
      <c r="BE40" s="1"/>
      <c r="BG40" s="1"/>
      <c r="BH40" s="1"/>
      <c r="BJ40" s="1"/>
      <c r="BL40" s="1"/>
      <c r="BN40" s="1"/>
      <c r="BO40">
        <v>599</v>
      </c>
      <c r="BP40">
        <v>4654734.66</v>
      </c>
      <c r="BQ40">
        <v>4654734.66</v>
      </c>
    </row>
    <row r="41" spans="1:69" x14ac:dyDescent="0.35">
      <c r="A41" s="1" t="s">
        <v>68</v>
      </c>
      <c r="B41" s="1" t="s">
        <v>69</v>
      </c>
      <c r="C41" s="1" t="s">
        <v>70</v>
      </c>
      <c r="D41">
        <v>1</v>
      </c>
      <c r="E41">
        <v>1</v>
      </c>
      <c r="F41" s="2">
        <v>43585.43</v>
      </c>
      <c r="G41" s="3">
        <v>41275</v>
      </c>
      <c r="H41" s="3">
        <v>41639</v>
      </c>
      <c r="I41" s="1" t="s">
        <v>71</v>
      </c>
      <c r="J41">
        <v>4521</v>
      </c>
      <c r="K41">
        <v>0</v>
      </c>
      <c r="L41" s="1" t="s">
        <v>384</v>
      </c>
      <c r="M41" s="1" t="s">
        <v>72</v>
      </c>
      <c r="N41" s="1" t="s">
        <v>134</v>
      </c>
      <c r="O41" s="1" t="s">
        <v>385</v>
      </c>
      <c r="P41" s="1" t="s">
        <v>386</v>
      </c>
      <c r="Q41" s="1" t="s">
        <v>387</v>
      </c>
      <c r="R41">
        <v>103</v>
      </c>
      <c r="S41" s="1" t="s">
        <v>135</v>
      </c>
      <c r="T41" s="1" t="s">
        <v>388</v>
      </c>
      <c r="U41" s="1" t="s">
        <v>135</v>
      </c>
      <c r="V41" s="1" t="s">
        <v>74</v>
      </c>
      <c r="W41" s="1" t="s">
        <v>424</v>
      </c>
      <c r="X41" s="1" t="s">
        <v>529</v>
      </c>
      <c r="Y41" s="1" t="s">
        <v>76</v>
      </c>
      <c r="Z41">
        <v>2</v>
      </c>
      <c r="AA41" s="1" t="s">
        <v>80</v>
      </c>
      <c r="AB41">
        <v>202</v>
      </c>
      <c r="AC41" s="1" t="s">
        <v>604</v>
      </c>
      <c r="AD41" s="1" t="s">
        <v>647</v>
      </c>
      <c r="AE41" s="1" t="s">
        <v>696</v>
      </c>
      <c r="AF41">
        <v>0</v>
      </c>
      <c r="AG41">
        <v>0</v>
      </c>
      <c r="AH41">
        <v>0</v>
      </c>
      <c r="AI41">
        <v>24846</v>
      </c>
      <c r="AJ41">
        <v>0</v>
      </c>
      <c r="AK41">
        <v>24846</v>
      </c>
      <c r="AL41">
        <v>0</v>
      </c>
      <c r="AM41">
        <v>24846</v>
      </c>
      <c r="AN41" s="1"/>
      <c r="AP41" s="1"/>
      <c r="AQ41" s="1"/>
      <c r="AR41" s="1"/>
      <c r="AS41" s="1"/>
      <c r="AT41" s="3"/>
      <c r="AU41" s="3"/>
      <c r="AV41" s="3"/>
      <c r="AW41" s="1"/>
      <c r="AX41" s="1"/>
      <c r="AZ41">
        <v>253</v>
      </c>
      <c r="BA41">
        <v>4654734.66</v>
      </c>
      <c r="BB41" s="1"/>
      <c r="BD41" s="1"/>
      <c r="BE41" s="1"/>
      <c r="BG41" s="1"/>
      <c r="BH41" s="1"/>
      <c r="BJ41" s="1"/>
      <c r="BL41" s="1"/>
      <c r="BN41" s="1"/>
      <c r="BO41">
        <v>599</v>
      </c>
      <c r="BP41">
        <v>4654734.66</v>
      </c>
      <c r="BQ41">
        <v>4654734.66</v>
      </c>
    </row>
    <row r="42" spans="1:69" x14ac:dyDescent="0.35">
      <c r="A42" s="1" t="s">
        <v>68</v>
      </c>
      <c r="B42" s="1" t="s">
        <v>69</v>
      </c>
      <c r="C42" s="1" t="s">
        <v>70</v>
      </c>
      <c r="D42">
        <v>1</v>
      </c>
      <c r="E42">
        <v>1</v>
      </c>
      <c r="F42" s="2">
        <v>43585.43</v>
      </c>
      <c r="G42" s="3">
        <v>41275</v>
      </c>
      <c r="H42" s="3">
        <v>41639</v>
      </c>
      <c r="I42" s="1" t="s">
        <v>71</v>
      </c>
      <c r="J42">
        <v>4521</v>
      </c>
      <c r="K42">
        <v>0</v>
      </c>
      <c r="L42" s="1" t="s">
        <v>384</v>
      </c>
      <c r="M42" s="1" t="s">
        <v>72</v>
      </c>
      <c r="N42" s="1" t="s">
        <v>134</v>
      </c>
      <c r="O42" s="1" t="s">
        <v>385</v>
      </c>
      <c r="P42" s="1" t="s">
        <v>386</v>
      </c>
      <c r="Q42" s="1" t="s">
        <v>387</v>
      </c>
      <c r="R42">
        <v>103</v>
      </c>
      <c r="S42" s="1" t="s">
        <v>135</v>
      </c>
      <c r="T42" s="1" t="s">
        <v>388</v>
      </c>
      <c r="U42" s="1" t="s">
        <v>135</v>
      </c>
      <c r="V42" s="1" t="s">
        <v>74</v>
      </c>
      <c r="W42" s="1" t="s">
        <v>425</v>
      </c>
      <c r="X42" s="1" t="s">
        <v>530</v>
      </c>
      <c r="Y42" s="1" t="s">
        <v>76</v>
      </c>
      <c r="Z42">
        <v>2</v>
      </c>
      <c r="AA42" s="1" t="s">
        <v>80</v>
      </c>
      <c r="AB42">
        <v>202</v>
      </c>
      <c r="AC42" s="1" t="s">
        <v>604</v>
      </c>
      <c r="AD42" s="1" t="s">
        <v>626</v>
      </c>
      <c r="AE42" s="1" t="s">
        <v>681</v>
      </c>
      <c r="AF42">
        <v>0</v>
      </c>
      <c r="AG42">
        <v>1205.4000000000001</v>
      </c>
      <c r="AH42">
        <v>0</v>
      </c>
      <c r="AI42">
        <v>2081.4299999999998</v>
      </c>
      <c r="AJ42">
        <v>0</v>
      </c>
      <c r="AK42">
        <v>2081.4299999999998</v>
      </c>
      <c r="AL42">
        <v>0</v>
      </c>
      <c r="AM42">
        <v>3286.83</v>
      </c>
      <c r="AN42" s="1"/>
      <c r="AP42" s="1"/>
      <c r="AQ42" s="1"/>
      <c r="AR42" s="1"/>
      <c r="AS42" s="1"/>
      <c r="AT42" s="3"/>
      <c r="AU42" s="3"/>
      <c r="AV42" s="3"/>
      <c r="AW42" s="1"/>
      <c r="AX42" s="1"/>
      <c r="AZ42">
        <v>253</v>
      </c>
      <c r="BA42">
        <v>4654734.66</v>
      </c>
      <c r="BB42" s="1"/>
      <c r="BD42" s="1"/>
      <c r="BE42" s="1"/>
      <c r="BG42" s="1"/>
      <c r="BH42" s="1"/>
      <c r="BJ42" s="1"/>
      <c r="BL42" s="1"/>
      <c r="BN42" s="1"/>
      <c r="BO42">
        <v>599</v>
      </c>
      <c r="BP42">
        <v>4654734.66</v>
      </c>
      <c r="BQ42">
        <v>4654734.66</v>
      </c>
    </row>
    <row r="43" spans="1:69" x14ac:dyDescent="0.35">
      <c r="A43" s="1" t="s">
        <v>68</v>
      </c>
      <c r="B43" s="1" t="s">
        <v>69</v>
      </c>
      <c r="C43" s="1" t="s">
        <v>70</v>
      </c>
      <c r="D43">
        <v>1</v>
      </c>
      <c r="E43">
        <v>1</v>
      </c>
      <c r="F43" s="2">
        <v>43585.43</v>
      </c>
      <c r="G43" s="3">
        <v>41275</v>
      </c>
      <c r="H43" s="3">
        <v>41639</v>
      </c>
      <c r="I43" s="1" t="s">
        <v>71</v>
      </c>
      <c r="J43">
        <v>4521</v>
      </c>
      <c r="K43">
        <v>0</v>
      </c>
      <c r="L43" s="1" t="s">
        <v>384</v>
      </c>
      <c r="M43" s="1" t="s">
        <v>72</v>
      </c>
      <c r="N43" s="1" t="s">
        <v>134</v>
      </c>
      <c r="O43" s="1" t="s">
        <v>385</v>
      </c>
      <c r="P43" s="1" t="s">
        <v>386</v>
      </c>
      <c r="Q43" s="1" t="s">
        <v>387</v>
      </c>
      <c r="R43">
        <v>103</v>
      </c>
      <c r="S43" s="1" t="s">
        <v>135</v>
      </c>
      <c r="T43" s="1" t="s">
        <v>388</v>
      </c>
      <c r="U43" s="1" t="s">
        <v>135</v>
      </c>
      <c r="V43" s="1" t="s">
        <v>74</v>
      </c>
      <c r="W43" s="1" t="s">
        <v>426</v>
      </c>
      <c r="X43" s="1" t="s">
        <v>531</v>
      </c>
      <c r="Y43" s="1" t="s">
        <v>76</v>
      </c>
      <c r="Z43">
        <v>2</v>
      </c>
      <c r="AA43" s="1" t="s">
        <v>80</v>
      </c>
      <c r="AB43">
        <v>202</v>
      </c>
      <c r="AC43" s="1" t="s">
        <v>604</v>
      </c>
      <c r="AD43" s="1" t="s">
        <v>628</v>
      </c>
      <c r="AE43" s="1" t="s">
        <v>685</v>
      </c>
      <c r="AF43">
        <v>0</v>
      </c>
      <c r="AG43">
        <v>0</v>
      </c>
      <c r="AH43">
        <v>0</v>
      </c>
      <c r="AI43">
        <v>646.98</v>
      </c>
      <c r="AJ43">
        <v>0</v>
      </c>
      <c r="AK43">
        <v>646.98</v>
      </c>
      <c r="AL43">
        <v>0</v>
      </c>
      <c r="AM43">
        <v>646.98</v>
      </c>
      <c r="AN43" s="1"/>
      <c r="AP43" s="1"/>
      <c r="AQ43" s="1"/>
      <c r="AR43" s="1"/>
      <c r="AS43" s="1"/>
      <c r="AT43" s="3"/>
      <c r="AU43" s="3"/>
      <c r="AV43" s="3"/>
      <c r="AW43" s="1"/>
      <c r="AX43" s="1"/>
      <c r="AZ43">
        <v>253</v>
      </c>
      <c r="BA43">
        <v>4654734.66</v>
      </c>
      <c r="BB43" s="1"/>
      <c r="BD43" s="1"/>
      <c r="BE43" s="1"/>
      <c r="BG43" s="1"/>
      <c r="BH43" s="1"/>
      <c r="BJ43" s="1"/>
      <c r="BL43" s="1"/>
      <c r="BN43" s="1"/>
      <c r="BO43">
        <v>599</v>
      </c>
      <c r="BP43">
        <v>4654734.66</v>
      </c>
      <c r="BQ43">
        <v>4654734.66</v>
      </c>
    </row>
    <row r="44" spans="1:69" x14ac:dyDescent="0.35">
      <c r="A44" s="1" t="s">
        <v>68</v>
      </c>
      <c r="B44" s="1" t="s">
        <v>69</v>
      </c>
      <c r="C44" s="1" t="s">
        <v>70</v>
      </c>
      <c r="D44">
        <v>1</v>
      </c>
      <c r="E44">
        <v>1</v>
      </c>
      <c r="F44" s="2">
        <v>43585.43</v>
      </c>
      <c r="G44" s="3">
        <v>41275</v>
      </c>
      <c r="H44" s="3">
        <v>41639</v>
      </c>
      <c r="I44" s="1" t="s">
        <v>71</v>
      </c>
      <c r="J44">
        <v>4521</v>
      </c>
      <c r="K44">
        <v>0</v>
      </c>
      <c r="L44" s="1" t="s">
        <v>384</v>
      </c>
      <c r="M44" s="1" t="s">
        <v>72</v>
      </c>
      <c r="N44" s="1" t="s">
        <v>134</v>
      </c>
      <c r="O44" s="1" t="s">
        <v>385</v>
      </c>
      <c r="P44" s="1" t="s">
        <v>386</v>
      </c>
      <c r="Q44" s="1" t="s">
        <v>387</v>
      </c>
      <c r="R44">
        <v>103</v>
      </c>
      <c r="S44" s="1" t="s">
        <v>135</v>
      </c>
      <c r="T44" s="1" t="s">
        <v>388</v>
      </c>
      <c r="U44" s="1" t="s">
        <v>135</v>
      </c>
      <c r="V44" s="1" t="s">
        <v>74</v>
      </c>
      <c r="W44" s="1" t="s">
        <v>427</v>
      </c>
      <c r="X44" s="1" t="s">
        <v>532</v>
      </c>
      <c r="Y44" s="1" t="s">
        <v>76</v>
      </c>
      <c r="Z44">
        <v>2</v>
      </c>
      <c r="AA44" s="1" t="s">
        <v>80</v>
      </c>
      <c r="AB44">
        <v>202</v>
      </c>
      <c r="AC44" s="1" t="s">
        <v>604</v>
      </c>
      <c r="AD44" s="1" t="s">
        <v>629</v>
      </c>
      <c r="AE44" s="1" t="s">
        <v>686</v>
      </c>
      <c r="AF44">
        <v>0</v>
      </c>
      <c r="AG44">
        <v>0</v>
      </c>
      <c r="AH44">
        <v>0</v>
      </c>
      <c r="AI44">
        <v>19315.919999999998</v>
      </c>
      <c r="AJ44">
        <v>0</v>
      </c>
      <c r="AK44">
        <v>19315.919999999998</v>
      </c>
      <c r="AL44">
        <v>0</v>
      </c>
      <c r="AM44">
        <v>19315.919999999998</v>
      </c>
      <c r="AN44" s="1"/>
      <c r="AP44" s="1"/>
      <c r="AQ44" s="1"/>
      <c r="AR44" s="1"/>
      <c r="AS44" s="1"/>
      <c r="AT44" s="3"/>
      <c r="AU44" s="3"/>
      <c r="AV44" s="3"/>
      <c r="AW44" s="1"/>
      <c r="AX44" s="1"/>
      <c r="AZ44">
        <v>253</v>
      </c>
      <c r="BA44">
        <v>4654734.66</v>
      </c>
      <c r="BB44" s="1"/>
      <c r="BD44" s="1"/>
      <c r="BE44" s="1"/>
      <c r="BG44" s="1"/>
      <c r="BH44" s="1"/>
      <c r="BJ44" s="1"/>
      <c r="BL44" s="1"/>
      <c r="BN44" s="1"/>
      <c r="BO44">
        <v>599</v>
      </c>
      <c r="BP44">
        <v>4654734.66</v>
      </c>
      <c r="BQ44">
        <v>4654734.66</v>
      </c>
    </row>
    <row r="45" spans="1:69" x14ac:dyDescent="0.35">
      <c r="A45" s="1" t="s">
        <v>68</v>
      </c>
      <c r="B45" s="1" t="s">
        <v>69</v>
      </c>
      <c r="C45" s="1" t="s">
        <v>70</v>
      </c>
      <c r="D45">
        <v>1</v>
      </c>
      <c r="E45">
        <v>1</v>
      </c>
      <c r="F45" s="2">
        <v>43585.43</v>
      </c>
      <c r="G45" s="3">
        <v>41275</v>
      </c>
      <c r="H45" s="3">
        <v>41639</v>
      </c>
      <c r="I45" s="1" t="s">
        <v>71</v>
      </c>
      <c r="J45">
        <v>4521</v>
      </c>
      <c r="K45">
        <v>0</v>
      </c>
      <c r="L45" s="1" t="s">
        <v>384</v>
      </c>
      <c r="M45" s="1" t="s">
        <v>72</v>
      </c>
      <c r="N45" s="1" t="s">
        <v>134</v>
      </c>
      <c r="O45" s="1" t="s">
        <v>385</v>
      </c>
      <c r="P45" s="1" t="s">
        <v>386</v>
      </c>
      <c r="Q45" s="1" t="s">
        <v>387</v>
      </c>
      <c r="R45">
        <v>103</v>
      </c>
      <c r="S45" s="1" t="s">
        <v>135</v>
      </c>
      <c r="T45" s="1" t="s">
        <v>388</v>
      </c>
      <c r="U45" s="1" t="s">
        <v>135</v>
      </c>
      <c r="V45" s="1" t="s">
        <v>74</v>
      </c>
      <c r="W45" s="1" t="s">
        <v>428</v>
      </c>
      <c r="X45" s="1" t="s">
        <v>533</v>
      </c>
      <c r="Y45" s="1" t="s">
        <v>76</v>
      </c>
      <c r="Z45">
        <v>2</v>
      </c>
      <c r="AA45" s="1" t="s">
        <v>80</v>
      </c>
      <c r="AB45">
        <v>202</v>
      </c>
      <c r="AC45" s="1" t="s">
        <v>604</v>
      </c>
      <c r="AD45" s="1" t="s">
        <v>630</v>
      </c>
      <c r="AE45" s="1" t="s">
        <v>683</v>
      </c>
      <c r="AF45">
        <v>5700</v>
      </c>
      <c r="AG45">
        <v>0</v>
      </c>
      <c r="AH45">
        <v>5700</v>
      </c>
      <c r="AI45">
        <v>0</v>
      </c>
      <c r="AJ45">
        <v>5700</v>
      </c>
      <c r="AK45">
        <v>0</v>
      </c>
      <c r="AL45">
        <v>11400</v>
      </c>
      <c r="AM45">
        <v>0</v>
      </c>
      <c r="AN45" s="1"/>
      <c r="AP45" s="1"/>
      <c r="AQ45" s="1"/>
      <c r="AR45" s="1"/>
      <c r="AS45" s="1"/>
      <c r="AT45" s="3"/>
      <c r="AU45" s="3"/>
      <c r="AV45" s="3"/>
      <c r="AW45" s="1"/>
      <c r="AX45" s="1"/>
      <c r="AZ45">
        <v>253</v>
      </c>
      <c r="BA45">
        <v>4654734.66</v>
      </c>
      <c r="BB45" s="1"/>
      <c r="BD45" s="1"/>
      <c r="BE45" s="1"/>
      <c r="BG45" s="1"/>
      <c r="BH45" s="1"/>
      <c r="BJ45" s="1"/>
      <c r="BL45" s="1"/>
      <c r="BN45" s="1"/>
      <c r="BO45">
        <v>599</v>
      </c>
      <c r="BP45">
        <v>4654734.66</v>
      </c>
      <c r="BQ45">
        <v>4654734.66</v>
      </c>
    </row>
    <row r="46" spans="1:69" x14ac:dyDescent="0.35">
      <c r="A46" s="1" t="s">
        <v>68</v>
      </c>
      <c r="B46" s="1" t="s">
        <v>69</v>
      </c>
      <c r="C46" s="1" t="s">
        <v>70</v>
      </c>
      <c r="D46">
        <v>1</v>
      </c>
      <c r="E46">
        <v>1</v>
      </c>
      <c r="F46" s="2">
        <v>43585.43</v>
      </c>
      <c r="G46" s="3">
        <v>41275</v>
      </c>
      <c r="H46" s="3">
        <v>41639</v>
      </c>
      <c r="I46" s="1" t="s">
        <v>71</v>
      </c>
      <c r="J46">
        <v>4521</v>
      </c>
      <c r="K46">
        <v>0</v>
      </c>
      <c r="L46" s="1" t="s">
        <v>384</v>
      </c>
      <c r="M46" s="1" t="s">
        <v>72</v>
      </c>
      <c r="N46" s="1" t="s">
        <v>134</v>
      </c>
      <c r="O46" s="1" t="s">
        <v>385</v>
      </c>
      <c r="P46" s="1" t="s">
        <v>386</v>
      </c>
      <c r="Q46" s="1" t="s">
        <v>387</v>
      </c>
      <c r="R46">
        <v>103</v>
      </c>
      <c r="S46" s="1" t="s">
        <v>135</v>
      </c>
      <c r="T46" s="1" t="s">
        <v>388</v>
      </c>
      <c r="U46" s="1" t="s">
        <v>135</v>
      </c>
      <c r="V46" s="1" t="s">
        <v>74</v>
      </c>
      <c r="W46" s="1" t="s">
        <v>429</v>
      </c>
      <c r="X46" s="1" t="s">
        <v>534</v>
      </c>
      <c r="Y46" s="1" t="s">
        <v>76</v>
      </c>
      <c r="Z46">
        <v>2</v>
      </c>
      <c r="AA46" s="1" t="s">
        <v>80</v>
      </c>
      <c r="AB46">
        <v>202</v>
      </c>
      <c r="AC46" s="1" t="s">
        <v>604</v>
      </c>
      <c r="AD46" s="1" t="s">
        <v>631</v>
      </c>
      <c r="AE46" s="1" t="s">
        <v>687</v>
      </c>
      <c r="AF46">
        <v>0</v>
      </c>
      <c r="AG46">
        <v>1205.4000000000001</v>
      </c>
      <c r="AH46">
        <v>0</v>
      </c>
      <c r="AI46">
        <v>16774.86</v>
      </c>
      <c r="AJ46">
        <v>0</v>
      </c>
      <c r="AK46">
        <v>16774.86</v>
      </c>
      <c r="AL46">
        <v>0</v>
      </c>
      <c r="AM46">
        <v>17980.259999999998</v>
      </c>
      <c r="AN46" s="1"/>
      <c r="AP46" s="1"/>
      <c r="AQ46" s="1"/>
      <c r="AR46" s="1"/>
      <c r="AS46" s="1"/>
      <c r="AT46" s="3"/>
      <c r="AU46" s="3"/>
      <c r="AV46" s="3"/>
      <c r="AW46" s="1"/>
      <c r="AX46" s="1"/>
      <c r="AZ46">
        <v>253</v>
      </c>
      <c r="BA46">
        <v>4654734.66</v>
      </c>
      <c r="BB46" s="1"/>
      <c r="BD46" s="1"/>
      <c r="BE46" s="1"/>
      <c r="BG46" s="1"/>
      <c r="BH46" s="1"/>
      <c r="BJ46" s="1"/>
      <c r="BL46" s="1"/>
      <c r="BN46" s="1"/>
      <c r="BO46">
        <v>599</v>
      </c>
      <c r="BP46">
        <v>4654734.66</v>
      </c>
      <c r="BQ46">
        <v>4654734.66</v>
      </c>
    </row>
    <row r="47" spans="1:69" x14ac:dyDescent="0.35">
      <c r="A47" s="1" t="s">
        <v>68</v>
      </c>
      <c r="B47" s="1" t="s">
        <v>69</v>
      </c>
      <c r="C47" s="1" t="s">
        <v>70</v>
      </c>
      <c r="D47">
        <v>1</v>
      </c>
      <c r="E47">
        <v>1</v>
      </c>
      <c r="F47" s="2">
        <v>43585.43</v>
      </c>
      <c r="G47" s="3">
        <v>41275</v>
      </c>
      <c r="H47" s="3">
        <v>41639</v>
      </c>
      <c r="I47" s="1" t="s">
        <v>71</v>
      </c>
      <c r="J47">
        <v>4521</v>
      </c>
      <c r="K47">
        <v>0</v>
      </c>
      <c r="L47" s="1" t="s">
        <v>384</v>
      </c>
      <c r="M47" s="1" t="s">
        <v>72</v>
      </c>
      <c r="N47" s="1" t="s">
        <v>134</v>
      </c>
      <c r="O47" s="1" t="s">
        <v>385</v>
      </c>
      <c r="P47" s="1" t="s">
        <v>386</v>
      </c>
      <c r="Q47" s="1" t="s">
        <v>387</v>
      </c>
      <c r="R47">
        <v>103</v>
      </c>
      <c r="S47" s="1" t="s">
        <v>135</v>
      </c>
      <c r="T47" s="1" t="s">
        <v>388</v>
      </c>
      <c r="U47" s="1" t="s">
        <v>135</v>
      </c>
      <c r="V47" s="1" t="s">
        <v>74</v>
      </c>
      <c r="W47" s="1" t="s">
        <v>430</v>
      </c>
      <c r="X47" s="1" t="s">
        <v>535</v>
      </c>
      <c r="Y47" s="1" t="s">
        <v>76</v>
      </c>
      <c r="Z47">
        <v>2</v>
      </c>
      <c r="AA47" s="1" t="s">
        <v>80</v>
      </c>
      <c r="AB47">
        <v>202</v>
      </c>
      <c r="AC47" s="1" t="s">
        <v>604</v>
      </c>
      <c r="AD47" s="1" t="s">
        <v>632</v>
      </c>
      <c r="AE47" s="1" t="s">
        <v>688</v>
      </c>
      <c r="AF47">
        <v>0</v>
      </c>
      <c r="AG47">
        <v>0</v>
      </c>
      <c r="AH47">
        <v>278750</v>
      </c>
      <c r="AI47">
        <v>118184.55</v>
      </c>
      <c r="AJ47">
        <v>278750</v>
      </c>
      <c r="AK47">
        <v>118184.55</v>
      </c>
      <c r="AL47">
        <v>160565.45000000001</v>
      </c>
      <c r="AM47">
        <v>0</v>
      </c>
      <c r="AN47" s="1"/>
      <c r="AP47" s="1"/>
      <c r="AQ47" s="1"/>
      <c r="AR47" s="1"/>
      <c r="AS47" s="1"/>
      <c r="AT47" s="3"/>
      <c r="AU47" s="3"/>
      <c r="AV47" s="3"/>
      <c r="AW47" s="1"/>
      <c r="AX47" s="1"/>
      <c r="AZ47">
        <v>253</v>
      </c>
      <c r="BA47">
        <v>4654734.66</v>
      </c>
      <c r="BB47" s="1"/>
      <c r="BD47" s="1"/>
      <c r="BE47" s="1"/>
      <c r="BG47" s="1"/>
      <c r="BH47" s="1"/>
      <c r="BJ47" s="1"/>
      <c r="BL47" s="1"/>
      <c r="BN47" s="1"/>
      <c r="BO47">
        <v>599</v>
      </c>
      <c r="BP47">
        <v>4654734.66</v>
      </c>
      <c r="BQ47">
        <v>4654734.66</v>
      </c>
    </row>
    <row r="48" spans="1:69" x14ac:dyDescent="0.35">
      <c r="A48" s="1" t="s">
        <v>68</v>
      </c>
      <c r="B48" s="1" t="s">
        <v>69</v>
      </c>
      <c r="C48" s="1" t="s">
        <v>70</v>
      </c>
      <c r="D48">
        <v>1</v>
      </c>
      <c r="E48">
        <v>1</v>
      </c>
      <c r="F48" s="2">
        <v>43585.43</v>
      </c>
      <c r="G48" s="3">
        <v>41275</v>
      </c>
      <c r="H48" s="3">
        <v>41639</v>
      </c>
      <c r="I48" s="1" t="s">
        <v>71</v>
      </c>
      <c r="J48">
        <v>4521</v>
      </c>
      <c r="K48">
        <v>0</v>
      </c>
      <c r="L48" s="1" t="s">
        <v>384</v>
      </c>
      <c r="M48" s="1" t="s">
        <v>72</v>
      </c>
      <c r="N48" s="1" t="s">
        <v>134</v>
      </c>
      <c r="O48" s="1" t="s">
        <v>385</v>
      </c>
      <c r="P48" s="1" t="s">
        <v>386</v>
      </c>
      <c r="Q48" s="1" t="s">
        <v>387</v>
      </c>
      <c r="R48">
        <v>103</v>
      </c>
      <c r="S48" s="1" t="s">
        <v>135</v>
      </c>
      <c r="T48" s="1" t="s">
        <v>388</v>
      </c>
      <c r="U48" s="1" t="s">
        <v>135</v>
      </c>
      <c r="V48" s="1" t="s">
        <v>74</v>
      </c>
      <c r="W48" s="1" t="s">
        <v>431</v>
      </c>
      <c r="X48" s="1" t="s">
        <v>536</v>
      </c>
      <c r="Y48" s="1" t="s">
        <v>76</v>
      </c>
      <c r="Z48">
        <v>2</v>
      </c>
      <c r="AA48" s="1" t="s">
        <v>80</v>
      </c>
      <c r="AB48">
        <v>202</v>
      </c>
      <c r="AC48" s="1" t="s">
        <v>604</v>
      </c>
      <c r="AD48" s="1" t="s">
        <v>648</v>
      </c>
      <c r="AE48" s="1" t="s">
        <v>697</v>
      </c>
      <c r="AF48">
        <v>0</v>
      </c>
      <c r="AG48">
        <v>0</v>
      </c>
      <c r="AH48">
        <v>0</v>
      </c>
      <c r="AI48">
        <v>2007.36</v>
      </c>
      <c r="AJ48">
        <v>0</v>
      </c>
      <c r="AK48">
        <v>2007.36</v>
      </c>
      <c r="AL48">
        <v>0</v>
      </c>
      <c r="AM48">
        <v>2007.36</v>
      </c>
      <c r="AN48" s="1"/>
      <c r="AP48" s="1"/>
      <c r="AQ48" s="1"/>
      <c r="AR48" s="1"/>
      <c r="AS48" s="1"/>
      <c r="AT48" s="3"/>
      <c r="AU48" s="3"/>
      <c r="AV48" s="3"/>
      <c r="AW48" s="1"/>
      <c r="AX48" s="1"/>
      <c r="AZ48">
        <v>253</v>
      </c>
      <c r="BA48">
        <v>4654734.66</v>
      </c>
      <c r="BB48" s="1"/>
      <c r="BD48" s="1"/>
      <c r="BE48" s="1"/>
      <c r="BG48" s="1"/>
      <c r="BH48" s="1"/>
      <c r="BJ48" s="1"/>
      <c r="BL48" s="1"/>
      <c r="BN48" s="1"/>
      <c r="BO48">
        <v>599</v>
      </c>
      <c r="BP48">
        <v>4654734.66</v>
      </c>
      <c r="BQ48">
        <v>4654734.66</v>
      </c>
    </row>
    <row r="49" spans="1:69" x14ac:dyDescent="0.35">
      <c r="A49" s="1" t="s">
        <v>68</v>
      </c>
      <c r="B49" s="1" t="s">
        <v>69</v>
      </c>
      <c r="C49" s="1" t="s">
        <v>70</v>
      </c>
      <c r="D49">
        <v>1</v>
      </c>
      <c r="E49">
        <v>1</v>
      </c>
      <c r="F49" s="2">
        <v>43585.43</v>
      </c>
      <c r="G49" s="3">
        <v>41275</v>
      </c>
      <c r="H49" s="3">
        <v>41639</v>
      </c>
      <c r="I49" s="1" t="s">
        <v>71</v>
      </c>
      <c r="J49">
        <v>4521</v>
      </c>
      <c r="K49">
        <v>0</v>
      </c>
      <c r="L49" s="1" t="s">
        <v>384</v>
      </c>
      <c r="M49" s="1" t="s">
        <v>72</v>
      </c>
      <c r="N49" s="1" t="s">
        <v>134</v>
      </c>
      <c r="O49" s="1" t="s">
        <v>385</v>
      </c>
      <c r="P49" s="1" t="s">
        <v>386</v>
      </c>
      <c r="Q49" s="1" t="s">
        <v>387</v>
      </c>
      <c r="R49">
        <v>103</v>
      </c>
      <c r="S49" s="1" t="s">
        <v>135</v>
      </c>
      <c r="T49" s="1" t="s">
        <v>388</v>
      </c>
      <c r="U49" s="1" t="s">
        <v>135</v>
      </c>
      <c r="V49" s="1" t="s">
        <v>74</v>
      </c>
      <c r="W49" s="1" t="s">
        <v>432</v>
      </c>
      <c r="X49" s="1" t="s">
        <v>537</v>
      </c>
      <c r="Y49" s="1" t="s">
        <v>76</v>
      </c>
      <c r="Z49">
        <v>2</v>
      </c>
      <c r="AA49" s="1" t="s">
        <v>80</v>
      </c>
      <c r="AB49">
        <v>202</v>
      </c>
      <c r="AC49" s="1" t="s">
        <v>604</v>
      </c>
      <c r="AD49" s="1" t="s">
        <v>633</v>
      </c>
      <c r="AE49" s="1" t="s">
        <v>689</v>
      </c>
      <c r="AF49">
        <v>0</v>
      </c>
      <c r="AG49">
        <v>0</v>
      </c>
      <c r="AH49">
        <v>0</v>
      </c>
      <c r="AI49">
        <v>45.51</v>
      </c>
      <c r="AJ49">
        <v>0</v>
      </c>
      <c r="AK49">
        <v>45.51</v>
      </c>
      <c r="AL49">
        <v>0</v>
      </c>
      <c r="AM49">
        <v>45.51</v>
      </c>
      <c r="AN49" s="1"/>
      <c r="AP49" s="1"/>
      <c r="AQ49" s="1"/>
      <c r="AR49" s="1"/>
      <c r="AS49" s="1"/>
      <c r="AT49" s="3"/>
      <c r="AU49" s="3"/>
      <c r="AV49" s="3"/>
      <c r="AW49" s="1"/>
      <c r="AX49" s="1"/>
      <c r="AZ49">
        <v>253</v>
      </c>
      <c r="BA49">
        <v>4654734.66</v>
      </c>
      <c r="BB49" s="1"/>
      <c r="BD49" s="1"/>
      <c r="BE49" s="1"/>
      <c r="BG49" s="1"/>
      <c r="BH49" s="1"/>
      <c r="BJ49" s="1"/>
      <c r="BL49" s="1"/>
      <c r="BN49" s="1"/>
      <c r="BO49">
        <v>599</v>
      </c>
      <c r="BP49">
        <v>4654734.66</v>
      </c>
      <c r="BQ49">
        <v>4654734.66</v>
      </c>
    </row>
    <row r="50" spans="1:69" x14ac:dyDescent="0.35">
      <c r="A50" s="1" t="s">
        <v>68</v>
      </c>
      <c r="B50" s="1" t="s">
        <v>69</v>
      </c>
      <c r="C50" s="1" t="s">
        <v>70</v>
      </c>
      <c r="D50">
        <v>1</v>
      </c>
      <c r="E50">
        <v>1</v>
      </c>
      <c r="F50" s="2">
        <v>43585.43</v>
      </c>
      <c r="G50" s="3">
        <v>41275</v>
      </c>
      <c r="H50" s="3">
        <v>41639</v>
      </c>
      <c r="I50" s="1" t="s">
        <v>71</v>
      </c>
      <c r="J50">
        <v>4521</v>
      </c>
      <c r="K50">
        <v>0</v>
      </c>
      <c r="L50" s="1" t="s">
        <v>384</v>
      </c>
      <c r="M50" s="1" t="s">
        <v>72</v>
      </c>
      <c r="N50" s="1" t="s">
        <v>134</v>
      </c>
      <c r="O50" s="1" t="s">
        <v>385</v>
      </c>
      <c r="P50" s="1" t="s">
        <v>386</v>
      </c>
      <c r="Q50" s="1" t="s">
        <v>387</v>
      </c>
      <c r="R50">
        <v>103</v>
      </c>
      <c r="S50" s="1" t="s">
        <v>135</v>
      </c>
      <c r="T50" s="1" t="s">
        <v>388</v>
      </c>
      <c r="U50" s="1" t="s">
        <v>135</v>
      </c>
      <c r="V50" s="1" t="s">
        <v>74</v>
      </c>
      <c r="W50" s="1" t="s">
        <v>433</v>
      </c>
      <c r="X50" s="1" t="s">
        <v>538</v>
      </c>
      <c r="Y50" s="1" t="s">
        <v>76</v>
      </c>
      <c r="Z50">
        <v>2</v>
      </c>
      <c r="AA50" s="1" t="s">
        <v>80</v>
      </c>
      <c r="AB50">
        <v>202</v>
      </c>
      <c r="AC50" s="1" t="s">
        <v>604</v>
      </c>
      <c r="AD50" s="1" t="s">
        <v>634</v>
      </c>
      <c r="AE50" s="1" t="s">
        <v>690</v>
      </c>
      <c r="AF50">
        <v>0</v>
      </c>
      <c r="AG50">
        <v>10190.549999999999</v>
      </c>
      <c r="AH50">
        <v>0</v>
      </c>
      <c r="AI50">
        <v>85266.06</v>
      </c>
      <c r="AJ50">
        <v>0</v>
      </c>
      <c r="AK50">
        <v>85266.06</v>
      </c>
      <c r="AL50">
        <v>0</v>
      </c>
      <c r="AM50">
        <v>95456.61</v>
      </c>
      <c r="AN50" s="1"/>
      <c r="AP50" s="1"/>
      <c r="AQ50" s="1"/>
      <c r="AR50" s="1"/>
      <c r="AS50" s="1"/>
      <c r="AT50" s="3"/>
      <c r="AU50" s="3"/>
      <c r="AV50" s="3"/>
      <c r="AW50" s="1"/>
      <c r="AX50" s="1"/>
      <c r="AZ50">
        <v>253</v>
      </c>
      <c r="BA50">
        <v>4654734.66</v>
      </c>
      <c r="BB50" s="1"/>
      <c r="BD50" s="1"/>
      <c r="BE50" s="1"/>
      <c r="BG50" s="1"/>
      <c r="BH50" s="1"/>
      <c r="BJ50" s="1"/>
      <c r="BL50" s="1"/>
      <c r="BN50" s="1"/>
      <c r="BO50">
        <v>599</v>
      </c>
      <c r="BP50">
        <v>4654734.66</v>
      </c>
      <c r="BQ50">
        <v>4654734.66</v>
      </c>
    </row>
    <row r="51" spans="1:69" x14ac:dyDescent="0.35">
      <c r="A51" s="1" t="s">
        <v>68</v>
      </c>
      <c r="B51" s="1" t="s">
        <v>69</v>
      </c>
      <c r="C51" s="1" t="s">
        <v>70</v>
      </c>
      <c r="D51">
        <v>1</v>
      </c>
      <c r="E51">
        <v>1</v>
      </c>
      <c r="F51" s="2">
        <v>43585.43</v>
      </c>
      <c r="G51" s="3">
        <v>41275</v>
      </c>
      <c r="H51" s="3">
        <v>41639</v>
      </c>
      <c r="I51" s="1" t="s">
        <v>71</v>
      </c>
      <c r="J51">
        <v>4521</v>
      </c>
      <c r="K51">
        <v>0</v>
      </c>
      <c r="L51" s="1" t="s">
        <v>384</v>
      </c>
      <c r="M51" s="1" t="s">
        <v>72</v>
      </c>
      <c r="N51" s="1" t="s">
        <v>134</v>
      </c>
      <c r="O51" s="1" t="s">
        <v>385</v>
      </c>
      <c r="P51" s="1" t="s">
        <v>386</v>
      </c>
      <c r="Q51" s="1" t="s">
        <v>387</v>
      </c>
      <c r="R51">
        <v>103</v>
      </c>
      <c r="S51" s="1" t="s">
        <v>135</v>
      </c>
      <c r="T51" s="1" t="s">
        <v>388</v>
      </c>
      <c r="U51" s="1" t="s">
        <v>135</v>
      </c>
      <c r="V51" s="1" t="s">
        <v>74</v>
      </c>
      <c r="W51" s="1" t="s">
        <v>434</v>
      </c>
      <c r="X51" s="1" t="s">
        <v>539</v>
      </c>
      <c r="Y51" s="1" t="s">
        <v>76</v>
      </c>
      <c r="Z51">
        <v>2</v>
      </c>
      <c r="AA51" s="1" t="s">
        <v>80</v>
      </c>
      <c r="AB51">
        <v>202</v>
      </c>
      <c r="AC51" s="1" t="s">
        <v>604</v>
      </c>
      <c r="AD51" s="1" t="s">
        <v>649</v>
      </c>
      <c r="AE51" s="1" t="s">
        <v>698</v>
      </c>
      <c r="AF51">
        <v>260</v>
      </c>
      <c r="AG51">
        <v>0</v>
      </c>
      <c r="AH51">
        <v>0</v>
      </c>
      <c r="AI51">
        <v>185963.46</v>
      </c>
      <c r="AJ51">
        <v>0</v>
      </c>
      <c r="AK51">
        <v>185963.46</v>
      </c>
      <c r="AL51">
        <v>0</v>
      </c>
      <c r="AM51">
        <v>185703.46</v>
      </c>
      <c r="AN51" s="1"/>
      <c r="AP51" s="1"/>
      <c r="AQ51" s="1"/>
      <c r="AR51" s="1"/>
      <c r="AS51" s="1"/>
      <c r="AT51" s="3"/>
      <c r="AU51" s="3"/>
      <c r="AV51" s="3"/>
      <c r="AW51" s="1"/>
      <c r="AX51" s="1"/>
      <c r="AZ51">
        <v>253</v>
      </c>
      <c r="BA51">
        <v>4654734.66</v>
      </c>
      <c r="BB51" s="1"/>
      <c r="BD51" s="1"/>
      <c r="BE51" s="1"/>
      <c r="BG51" s="1"/>
      <c r="BH51" s="1"/>
      <c r="BJ51" s="1"/>
      <c r="BL51" s="1"/>
      <c r="BN51" s="1"/>
      <c r="BO51">
        <v>599</v>
      </c>
      <c r="BP51">
        <v>4654734.66</v>
      </c>
      <c r="BQ51">
        <v>4654734.66</v>
      </c>
    </row>
    <row r="52" spans="1:69" x14ac:dyDescent="0.35">
      <c r="A52" s="1" t="s">
        <v>68</v>
      </c>
      <c r="B52" s="1" t="s">
        <v>69</v>
      </c>
      <c r="C52" s="1" t="s">
        <v>70</v>
      </c>
      <c r="D52">
        <v>1</v>
      </c>
      <c r="E52">
        <v>1</v>
      </c>
      <c r="F52" s="2">
        <v>43585.43</v>
      </c>
      <c r="G52" s="3">
        <v>41275</v>
      </c>
      <c r="H52" s="3">
        <v>41639</v>
      </c>
      <c r="I52" s="1" t="s">
        <v>71</v>
      </c>
      <c r="J52">
        <v>4521</v>
      </c>
      <c r="K52">
        <v>0</v>
      </c>
      <c r="L52" s="1" t="s">
        <v>384</v>
      </c>
      <c r="M52" s="1" t="s">
        <v>72</v>
      </c>
      <c r="N52" s="1" t="s">
        <v>134</v>
      </c>
      <c r="O52" s="1" t="s">
        <v>385</v>
      </c>
      <c r="P52" s="1" t="s">
        <v>386</v>
      </c>
      <c r="Q52" s="1" t="s">
        <v>387</v>
      </c>
      <c r="R52">
        <v>103</v>
      </c>
      <c r="S52" s="1" t="s">
        <v>135</v>
      </c>
      <c r="T52" s="1" t="s">
        <v>388</v>
      </c>
      <c r="U52" s="1" t="s">
        <v>135</v>
      </c>
      <c r="V52" s="1" t="s">
        <v>74</v>
      </c>
      <c r="W52" s="1" t="s">
        <v>435</v>
      </c>
      <c r="X52" s="1" t="s">
        <v>540</v>
      </c>
      <c r="Y52" s="1" t="s">
        <v>76</v>
      </c>
      <c r="Z52">
        <v>2</v>
      </c>
      <c r="AA52" s="1" t="s">
        <v>80</v>
      </c>
      <c r="AB52">
        <v>202</v>
      </c>
      <c r="AC52" s="1" t="s">
        <v>604</v>
      </c>
      <c r="AD52" s="1" t="s">
        <v>650</v>
      </c>
      <c r="AE52" s="1" t="s">
        <v>699</v>
      </c>
      <c r="AF52">
        <v>0</v>
      </c>
      <c r="AG52">
        <v>277.2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277.2</v>
      </c>
      <c r="AN52" s="1"/>
      <c r="AP52" s="1"/>
      <c r="AQ52" s="1"/>
      <c r="AR52" s="1"/>
      <c r="AS52" s="1"/>
      <c r="AT52" s="3"/>
      <c r="AU52" s="3"/>
      <c r="AV52" s="3"/>
      <c r="AW52" s="1"/>
      <c r="AX52" s="1"/>
      <c r="AZ52">
        <v>253</v>
      </c>
      <c r="BA52">
        <v>4654734.66</v>
      </c>
      <c r="BB52" s="1"/>
      <c r="BD52" s="1"/>
      <c r="BE52" s="1"/>
      <c r="BG52" s="1"/>
      <c r="BH52" s="1"/>
      <c r="BJ52" s="1"/>
      <c r="BL52" s="1"/>
      <c r="BN52" s="1"/>
      <c r="BO52">
        <v>599</v>
      </c>
      <c r="BP52">
        <v>4654734.66</v>
      </c>
      <c r="BQ52">
        <v>4654734.66</v>
      </c>
    </row>
    <row r="53" spans="1:69" x14ac:dyDescent="0.35">
      <c r="A53" s="1" t="s">
        <v>68</v>
      </c>
      <c r="B53" s="1" t="s">
        <v>69</v>
      </c>
      <c r="C53" s="1" t="s">
        <v>70</v>
      </c>
      <c r="D53">
        <v>1</v>
      </c>
      <c r="E53">
        <v>1</v>
      </c>
      <c r="F53" s="2">
        <v>43585.43</v>
      </c>
      <c r="G53" s="3">
        <v>41275</v>
      </c>
      <c r="H53" s="3">
        <v>41639</v>
      </c>
      <c r="I53" s="1" t="s">
        <v>71</v>
      </c>
      <c r="J53">
        <v>4521</v>
      </c>
      <c r="K53">
        <v>0</v>
      </c>
      <c r="L53" s="1" t="s">
        <v>384</v>
      </c>
      <c r="M53" s="1" t="s">
        <v>72</v>
      </c>
      <c r="N53" s="1" t="s">
        <v>134</v>
      </c>
      <c r="O53" s="1" t="s">
        <v>385</v>
      </c>
      <c r="P53" s="1" t="s">
        <v>386</v>
      </c>
      <c r="Q53" s="1" t="s">
        <v>387</v>
      </c>
      <c r="R53">
        <v>103</v>
      </c>
      <c r="S53" s="1" t="s">
        <v>135</v>
      </c>
      <c r="T53" s="1" t="s">
        <v>388</v>
      </c>
      <c r="U53" s="1" t="s">
        <v>135</v>
      </c>
      <c r="V53" s="1" t="s">
        <v>74</v>
      </c>
      <c r="W53" s="1" t="s">
        <v>436</v>
      </c>
      <c r="X53" s="1" t="s">
        <v>541</v>
      </c>
      <c r="Y53" s="1" t="s">
        <v>76</v>
      </c>
      <c r="Z53">
        <v>2</v>
      </c>
      <c r="AA53" s="1" t="s">
        <v>80</v>
      </c>
      <c r="AB53">
        <v>202</v>
      </c>
      <c r="AC53" s="1" t="s">
        <v>604</v>
      </c>
      <c r="AD53" s="1" t="s">
        <v>637</v>
      </c>
      <c r="AE53" s="1" t="s">
        <v>693</v>
      </c>
      <c r="AF53">
        <v>0</v>
      </c>
      <c r="AG53">
        <v>0</v>
      </c>
      <c r="AH53">
        <v>0</v>
      </c>
      <c r="AI53">
        <v>257.25</v>
      </c>
      <c r="AJ53">
        <v>0</v>
      </c>
      <c r="AK53">
        <v>257.25</v>
      </c>
      <c r="AL53">
        <v>0</v>
      </c>
      <c r="AM53">
        <v>257.25</v>
      </c>
      <c r="AN53" s="1"/>
      <c r="AP53" s="1"/>
      <c r="AQ53" s="1"/>
      <c r="AR53" s="1"/>
      <c r="AS53" s="1"/>
      <c r="AT53" s="3"/>
      <c r="AU53" s="3"/>
      <c r="AV53" s="3"/>
      <c r="AW53" s="1"/>
      <c r="AX53" s="1"/>
      <c r="AZ53">
        <v>253</v>
      </c>
      <c r="BA53">
        <v>4654734.66</v>
      </c>
      <c r="BB53" s="1"/>
      <c r="BD53" s="1"/>
      <c r="BE53" s="1"/>
      <c r="BG53" s="1"/>
      <c r="BH53" s="1"/>
      <c r="BJ53" s="1"/>
      <c r="BL53" s="1"/>
      <c r="BN53" s="1"/>
      <c r="BO53">
        <v>599</v>
      </c>
      <c r="BP53">
        <v>4654734.66</v>
      </c>
      <c r="BQ53">
        <v>4654734.66</v>
      </c>
    </row>
    <row r="54" spans="1:69" x14ac:dyDescent="0.35">
      <c r="A54" s="1" t="s">
        <v>68</v>
      </c>
      <c r="B54" s="1" t="s">
        <v>69</v>
      </c>
      <c r="C54" s="1" t="s">
        <v>70</v>
      </c>
      <c r="D54">
        <v>1</v>
      </c>
      <c r="E54">
        <v>1</v>
      </c>
      <c r="F54" s="2">
        <v>43585.43</v>
      </c>
      <c r="G54" s="3">
        <v>41275</v>
      </c>
      <c r="H54" s="3">
        <v>41639</v>
      </c>
      <c r="I54" s="1" t="s">
        <v>71</v>
      </c>
      <c r="J54">
        <v>4521</v>
      </c>
      <c r="K54">
        <v>0</v>
      </c>
      <c r="L54" s="1" t="s">
        <v>384</v>
      </c>
      <c r="M54" s="1" t="s">
        <v>72</v>
      </c>
      <c r="N54" s="1" t="s">
        <v>134</v>
      </c>
      <c r="O54" s="1" t="s">
        <v>385</v>
      </c>
      <c r="P54" s="1" t="s">
        <v>386</v>
      </c>
      <c r="Q54" s="1" t="s">
        <v>387</v>
      </c>
      <c r="R54">
        <v>103</v>
      </c>
      <c r="S54" s="1" t="s">
        <v>135</v>
      </c>
      <c r="T54" s="1" t="s">
        <v>388</v>
      </c>
      <c r="U54" s="1" t="s">
        <v>135</v>
      </c>
      <c r="V54" s="1" t="s">
        <v>74</v>
      </c>
      <c r="W54" s="1" t="s">
        <v>437</v>
      </c>
      <c r="X54" s="1" t="s">
        <v>542</v>
      </c>
      <c r="Y54" s="1" t="s">
        <v>76</v>
      </c>
      <c r="Z54">
        <v>2</v>
      </c>
      <c r="AA54" s="1" t="s">
        <v>80</v>
      </c>
      <c r="AB54">
        <v>202</v>
      </c>
      <c r="AC54" s="1" t="s">
        <v>604</v>
      </c>
      <c r="AD54" s="1" t="s">
        <v>651</v>
      </c>
      <c r="AE54" s="1" t="s">
        <v>700</v>
      </c>
      <c r="AF54">
        <v>0</v>
      </c>
      <c r="AG54">
        <v>0</v>
      </c>
      <c r="AH54">
        <v>38990</v>
      </c>
      <c r="AI54">
        <v>0</v>
      </c>
      <c r="AJ54">
        <v>38990</v>
      </c>
      <c r="AK54">
        <v>0</v>
      </c>
      <c r="AL54">
        <v>38990</v>
      </c>
      <c r="AM54">
        <v>0</v>
      </c>
      <c r="AN54" s="1"/>
      <c r="AP54" s="1"/>
      <c r="AQ54" s="1"/>
      <c r="AR54" s="1"/>
      <c r="AS54" s="1"/>
      <c r="AT54" s="3"/>
      <c r="AU54" s="3"/>
      <c r="AV54" s="3"/>
      <c r="AW54" s="1"/>
      <c r="AX54" s="1"/>
      <c r="AZ54">
        <v>253</v>
      </c>
      <c r="BA54">
        <v>4654734.66</v>
      </c>
      <c r="BB54" s="1"/>
      <c r="BD54" s="1"/>
      <c r="BE54" s="1"/>
      <c r="BG54" s="1"/>
      <c r="BH54" s="1"/>
      <c r="BJ54" s="1"/>
      <c r="BL54" s="1"/>
      <c r="BN54" s="1"/>
      <c r="BO54">
        <v>599</v>
      </c>
      <c r="BP54">
        <v>4654734.66</v>
      </c>
      <c r="BQ54">
        <v>4654734.66</v>
      </c>
    </row>
    <row r="55" spans="1:69" x14ac:dyDescent="0.35">
      <c r="A55" s="1" t="s">
        <v>68</v>
      </c>
      <c r="B55" s="1" t="s">
        <v>69</v>
      </c>
      <c r="C55" s="1" t="s">
        <v>70</v>
      </c>
      <c r="D55">
        <v>1</v>
      </c>
      <c r="E55">
        <v>1</v>
      </c>
      <c r="F55" s="2">
        <v>43585.43</v>
      </c>
      <c r="G55" s="3">
        <v>41275</v>
      </c>
      <c r="H55" s="3">
        <v>41639</v>
      </c>
      <c r="I55" s="1" t="s">
        <v>71</v>
      </c>
      <c r="J55">
        <v>4521</v>
      </c>
      <c r="K55">
        <v>0</v>
      </c>
      <c r="L55" s="1" t="s">
        <v>384</v>
      </c>
      <c r="M55" s="1" t="s">
        <v>72</v>
      </c>
      <c r="N55" s="1" t="s">
        <v>134</v>
      </c>
      <c r="O55" s="1" t="s">
        <v>385</v>
      </c>
      <c r="P55" s="1" t="s">
        <v>386</v>
      </c>
      <c r="Q55" s="1" t="s">
        <v>387</v>
      </c>
      <c r="R55">
        <v>103</v>
      </c>
      <c r="S55" s="1" t="s">
        <v>135</v>
      </c>
      <c r="T55" s="1" t="s">
        <v>388</v>
      </c>
      <c r="U55" s="1" t="s">
        <v>135</v>
      </c>
      <c r="V55" s="1" t="s">
        <v>74</v>
      </c>
      <c r="W55" s="1" t="s">
        <v>438</v>
      </c>
      <c r="X55" s="1" t="s">
        <v>543</v>
      </c>
      <c r="Y55" s="1" t="s">
        <v>76</v>
      </c>
      <c r="Z55">
        <v>2</v>
      </c>
      <c r="AA55" s="1" t="s">
        <v>80</v>
      </c>
      <c r="AB55">
        <v>202</v>
      </c>
      <c r="AC55" s="1" t="s">
        <v>604</v>
      </c>
      <c r="AD55" s="1" t="s">
        <v>652</v>
      </c>
      <c r="AE55" s="1" t="s">
        <v>701</v>
      </c>
      <c r="AF55">
        <v>0</v>
      </c>
      <c r="AG55">
        <v>0</v>
      </c>
      <c r="AH55">
        <v>25000</v>
      </c>
      <c r="AI55">
        <v>0</v>
      </c>
      <c r="AJ55">
        <v>25000</v>
      </c>
      <c r="AK55">
        <v>0</v>
      </c>
      <c r="AL55">
        <v>25000</v>
      </c>
      <c r="AM55">
        <v>0</v>
      </c>
      <c r="AN55" s="1"/>
      <c r="AP55" s="1"/>
      <c r="AQ55" s="1"/>
      <c r="AR55" s="1"/>
      <c r="AS55" s="1"/>
      <c r="AT55" s="3"/>
      <c r="AU55" s="3"/>
      <c r="AV55" s="3"/>
      <c r="AW55" s="1"/>
      <c r="AX55" s="1"/>
      <c r="AZ55">
        <v>253</v>
      </c>
      <c r="BA55">
        <v>4654734.66</v>
      </c>
      <c r="BB55" s="1"/>
      <c r="BD55" s="1"/>
      <c r="BE55" s="1"/>
      <c r="BG55" s="1"/>
      <c r="BH55" s="1"/>
      <c r="BJ55" s="1"/>
      <c r="BL55" s="1"/>
      <c r="BN55" s="1"/>
      <c r="BO55">
        <v>599</v>
      </c>
      <c r="BP55">
        <v>4654734.66</v>
      </c>
      <c r="BQ55">
        <v>4654734.66</v>
      </c>
    </row>
    <row r="56" spans="1:69" x14ac:dyDescent="0.35">
      <c r="A56" s="1" t="s">
        <v>68</v>
      </c>
      <c r="B56" s="1" t="s">
        <v>69</v>
      </c>
      <c r="C56" s="1" t="s">
        <v>70</v>
      </c>
      <c r="D56">
        <v>1</v>
      </c>
      <c r="E56">
        <v>1</v>
      </c>
      <c r="F56" s="2">
        <v>43585.43</v>
      </c>
      <c r="G56" s="3">
        <v>41275</v>
      </c>
      <c r="H56" s="3">
        <v>41639</v>
      </c>
      <c r="I56" s="1" t="s">
        <v>71</v>
      </c>
      <c r="J56">
        <v>4521</v>
      </c>
      <c r="K56">
        <v>0</v>
      </c>
      <c r="L56" s="1" t="s">
        <v>384</v>
      </c>
      <c r="M56" s="1" t="s">
        <v>72</v>
      </c>
      <c r="N56" s="1" t="s">
        <v>134</v>
      </c>
      <c r="O56" s="1" t="s">
        <v>385</v>
      </c>
      <c r="P56" s="1" t="s">
        <v>386</v>
      </c>
      <c r="Q56" s="1" t="s">
        <v>387</v>
      </c>
      <c r="R56">
        <v>103</v>
      </c>
      <c r="S56" s="1" t="s">
        <v>135</v>
      </c>
      <c r="T56" s="1" t="s">
        <v>388</v>
      </c>
      <c r="U56" s="1" t="s">
        <v>135</v>
      </c>
      <c r="V56" s="1" t="s">
        <v>74</v>
      </c>
      <c r="W56" s="1" t="s">
        <v>439</v>
      </c>
      <c r="X56" s="1" t="s">
        <v>544</v>
      </c>
      <c r="Y56" s="1" t="s">
        <v>76</v>
      </c>
      <c r="Z56">
        <v>2</v>
      </c>
      <c r="AA56" s="1" t="s">
        <v>80</v>
      </c>
      <c r="AB56">
        <v>202</v>
      </c>
      <c r="AC56" s="1" t="s">
        <v>604</v>
      </c>
      <c r="AD56" s="1" t="s">
        <v>640</v>
      </c>
      <c r="AE56" s="1" t="s">
        <v>684</v>
      </c>
      <c r="AF56">
        <v>0</v>
      </c>
      <c r="AG56">
        <v>257.25</v>
      </c>
      <c r="AH56">
        <v>102980</v>
      </c>
      <c r="AI56">
        <v>1158.6600000000001</v>
      </c>
      <c r="AJ56">
        <v>102980</v>
      </c>
      <c r="AK56">
        <v>1158.6600000000001</v>
      </c>
      <c r="AL56">
        <v>101564.09</v>
      </c>
      <c r="AM56">
        <v>0</v>
      </c>
      <c r="AN56" s="1"/>
      <c r="AP56" s="1"/>
      <c r="AQ56" s="1"/>
      <c r="AR56" s="1"/>
      <c r="AS56" s="1"/>
      <c r="AT56" s="3"/>
      <c r="AU56" s="3"/>
      <c r="AV56" s="3"/>
      <c r="AW56" s="1"/>
      <c r="AX56" s="1"/>
      <c r="AZ56">
        <v>253</v>
      </c>
      <c r="BA56">
        <v>4654734.66</v>
      </c>
      <c r="BB56" s="1"/>
      <c r="BD56" s="1"/>
      <c r="BE56" s="1"/>
      <c r="BG56" s="1"/>
      <c r="BH56" s="1"/>
      <c r="BJ56" s="1"/>
      <c r="BL56" s="1"/>
      <c r="BN56" s="1"/>
      <c r="BO56">
        <v>599</v>
      </c>
      <c r="BP56">
        <v>4654734.66</v>
      </c>
      <c r="BQ56">
        <v>4654734.66</v>
      </c>
    </row>
    <row r="57" spans="1:69" x14ac:dyDescent="0.35">
      <c r="A57" s="1" t="s">
        <v>68</v>
      </c>
      <c r="B57" s="1" t="s">
        <v>69</v>
      </c>
      <c r="C57" s="1" t="s">
        <v>70</v>
      </c>
      <c r="D57">
        <v>1</v>
      </c>
      <c r="E57">
        <v>1</v>
      </c>
      <c r="F57" s="2">
        <v>43585.43</v>
      </c>
      <c r="G57" s="3">
        <v>41275</v>
      </c>
      <c r="H57" s="3">
        <v>41639</v>
      </c>
      <c r="I57" s="1" t="s">
        <v>71</v>
      </c>
      <c r="J57">
        <v>4521</v>
      </c>
      <c r="K57">
        <v>0</v>
      </c>
      <c r="L57" s="1" t="s">
        <v>384</v>
      </c>
      <c r="M57" s="1" t="s">
        <v>72</v>
      </c>
      <c r="N57" s="1" t="s">
        <v>134</v>
      </c>
      <c r="O57" s="1" t="s">
        <v>385</v>
      </c>
      <c r="P57" s="1" t="s">
        <v>386</v>
      </c>
      <c r="Q57" s="1" t="s">
        <v>387</v>
      </c>
      <c r="R57">
        <v>103</v>
      </c>
      <c r="S57" s="1" t="s">
        <v>135</v>
      </c>
      <c r="T57" s="1" t="s">
        <v>388</v>
      </c>
      <c r="U57" s="1" t="s">
        <v>135</v>
      </c>
      <c r="V57" s="1" t="s">
        <v>74</v>
      </c>
      <c r="W57" s="1" t="s">
        <v>440</v>
      </c>
      <c r="X57" s="1" t="s">
        <v>545</v>
      </c>
      <c r="Y57" s="1" t="s">
        <v>76</v>
      </c>
      <c r="Z57">
        <v>2</v>
      </c>
      <c r="AA57" s="1" t="s">
        <v>80</v>
      </c>
      <c r="AB57">
        <v>202</v>
      </c>
      <c r="AC57" s="1" t="s">
        <v>604</v>
      </c>
      <c r="AD57" s="1" t="s">
        <v>653</v>
      </c>
      <c r="AE57" s="1" t="s">
        <v>701</v>
      </c>
      <c r="AF57">
        <v>0</v>
      </c>
      <c r="AG57">
        <v>0</v>
      </c>
      <c r="AH57">
        <v>269000</v>
      </c>
      <c r="AI57">
        <v>0</v>
      </c>
      <c r="AJ57">
        <v>269000</v>
      </c>
      <c r="AK57">
        <v>0</v>
      </c>
      <c r="AL57">
        <v>269000</v>
      </c>
      <c r="AM57">
        <v>0</v>
      </c>
      <c r="AN57" s="1"/>
      <c r="AP57" s="1"/>
      <c r="AQ57" s="1"/>
      <c r="AR57" s="1"/>
      <c r="AS57" s="1"/>
      <c r="AT57" s="3"/>
      <c r="AU57" s="3"/>
      <c r="AV57" s="3"/>
      <c r="AW57" s="1"/>
      <c r="AX57" s="1"/>
      <c r="AZ57">
        <v>253</v>
      </c>
      <c r="BA57">
        <v>4654734.66</v>
      </c>
      <c r="BB57" s="1"/>
      <c r="BD57" s="1"/>
      <c r="BE57" s="1"/>
      <c r="BG57" s="1"/>
      <c r="BH57" s="1"/>
      <c r="BJ57" s="1"/>
      <c r="BL57" s="1"/>
      <c r="BN57" s="1"/>
      <c r="BO57">
        <v>599</v>
      </c>
      <c r="BP57">
        <v>4654734.66</v>
      </c>
      <c r="BQ57">
        <v>4654734.66</v>
      </c>
    </row>
    <row r="58" spans="1:69" x14ac:dyDescent="0.35">
      <c r="A58" s="1" t="s">
        <v>68</v>
      </c>
      <c r="B58" s="1" t="s">
        <v>69</v>
      </c>
      <c r="C58" s="1" t="s">
        <v>70</v>
      </c>
      <c r="D58">
        <v>1</v>
      </c>
      <c r="E58">
        <v>1</v>
      </c>
      <c r="F58" s="2">
        <v>43585.43</v>
      </c>
      <c r="G58" s="3">
        <v>41275</v>
      </c>
      <c r="H58" s="3">
        <v>41639</v>
      </c>
      <c r="I58" s="1" t="s">
        <v>71</v>
      </c>
      <c r="J58">
        <v>4521</v>
      </c>
      <c r="K58">
        <v>0</v>
      </c>
      <c r="L58" s="1" t="s">
        <v>384</v>
      </c>
      <c r="M58" s="1" t="s">
        <v>72</v>
      </c>
      <c r="N58" s="1" t="s">
        <v>134</v>
      </c>
      <c r="O58" s="1" t="s">
        <v>385</v>
      </c>
      <c r="P58" s="1" t="s">
        <v>386</v>
      </c>
      <c r="Q58" s="1" t="s">
        <v>387</v>
      </c>
      <c r="R58">
        <v>103</v>
      </c>
      <c r="S58" s="1" t="s">
        <v>135</v>
      </c>
      <c r="T58" s="1" t="s">
        <v>388</v>
      </c>
      <c r="U58" s="1" t="s">
        <v>135</v>
      </c>
      <c r="V58" s="1" t="s">
        <v>74</v>
      </c>
      <c r="W58" s="1" t="s">
        <v>441</v>
      </c>
      <c r="X58" s="1" t="s">
        <v>546</v>
      </c>
      <c r="Y58" s="1" t="s">
        <v>76</v>
      </c>
      <c r="Z58">
        <v>2</v>
      </c>
      <c r="AA58" s="1" t="s">
        <v>80</v>
      </c>
      <c r="AB58">
        <v>202</v>
      </c>
      <c r="AC58" s="1" t="s">
        <v>604</v>
      </c>
      <c r="AD58" s="1" t="s">
        <v>654</v>
      </c>
      <c r="AE58" s="1" t="s">
        <v>702</v>
      </c>
      <c r="AF58">
        <v>0</v>
      </c>
      <c r="AG58">
        <v>0</v>
      </c>
      <c r="AH58">
        <v>25000</v>
      </c>
      <c r="AI58">
        <v>0</v>
      </c>
      <c r="AJ58">
        <v>25000</v>
      </c>
      <c r="AK58">
        <v>0</v>
      </c>
      <c r="AL58">
        <v>25000</v>
      </c>
      <c r="AM58">
        <v>0</v>
      </c>
      <c r="AN58" s="1"/>
      <c r="AP58" s="1"/>
      <c r="AQ58" s="1"/>
      <c r="AR58" s="1"/>
      <c r="AS58" s="1"/>
      <c r="AT58" s="3"/>
      <c r="AU58" s="3"/>
      <c r="AV58" s="3"/>
      <c r="AW58" s="1"/>
      <c r="AX58" s="1"/>
      <c r="AZ58">
        <v>253</v>
      </c>
      <c r="BA58">
        <v>4654734.66</v>
      </c>
      <c r="BB58" s="1"/>
      <c r="BD58" s="1"/>
      <c r="BE58" s="1"/>
      <c r="BG58" s="1"/>
      <c r="BH58" s="1"/>
      <c r="BJ58" s="1"/>
      <c r="BL58" s="1"/>
      <c r="BN58" s="1"/>
      <c r="BO58">
        <v>599</v>
      </c>
      <c r="BP58">
        <v>4654734.66</v>
      </c>
      <c r="BQ58">
        <v>4654734.66</v>
      </c>
    </row>
    <row r="59" spans="1:69" x14ac:dyDescent="0.35">
      <c r="A59" s="1" t="s">
        <v>68</v>
      </c>
      <c r="B59" s="1" t="s">
        <v>69</v>
      </c>
      <c r="C59" s="1" t="s">
        <v>70</v>
      </c>
      <c r="D59">
        <v>1</v>
      </c>
      <c r="E59">
        <v>1</v>
      </c>
      <c r="F59" s="2">
        <v>43585.43</v>
      </c>
      <c r="G59" s="3">
        <v>41275</v>
      </c>
      <c r="H59" s="3">
        <v>41639</v>
      </c>
      <c r="I59" s="1" t="s">
        <v>71</v>
      </c>
      <c r="J59">
        <v>4521</v>
      </c>
      <c r="K59">
        <v>0</v>
      </c>
      <c r="L59" s="1" t="s">
        <v>384</v>
      </c>
      <c r="M59" s="1" t="s">
        <v>72</v>
      </c>
      <c r="N59" s="1" t="s">
        <v>134</v>
      </c>
      <c r="O59" s="1" t="s">
        <v>385</v>
      </c>
      <c r="P59" s="1" t="s">
        <v>386</v>
      </c>
      <c r="Q59" s="1" t="s">
        <v>387</v>
      </c>
      <c r="R59">
        <v>103</v>
      </c>
      <c r="S59" s="1" t="s">
        <v>135</v>
      </c>
      <c r="T59" s="1" t="s">
        <v>388</v>
      </c>
      <c r="U59" s="1" t="s">
        <v>135</v>
      </c>
      <c r="V59" s="1" t="s">
        <v>74</v>
      </c>
      <c r="W59" s="1" t="s">
        <v>1302</v>
      </c>
      <c r="X59" s="1" t="s">
        <v>1320</v>
      </c>
      <c r="Y59" s="1" t="s">
        <v>76</v>
      </c>
      <c r="Z59">
        <v>2</v>
      </c>
      <c r="AA59" s="1" t="s">
        <v>80</v>
      </c>
      <c r="AB59">
        <v>203</v>
      </c>
      <c r="AC59" s="1" t="s">
        <v>605</v>
      </c>
      <c r="AD59" s="1" t="s">
        <v>659</v>
      </c>
      <c r="AE59" s="1" t="s">
        <v>704</v>
      </c>
      <c r="AF59">
        <v>10500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10500</v>
      </c>
      <c r="AM59">
        <v>0</v>
      </c>
      <c r="AN59" s="1"/>
      <c r="AP59" s="1"/>
      <c r="AQ59" s="1"/>
      <c r="AR59" s="1"/>
      <c r="AS59" s="1"/>
      <c r="AT59" s="3"/>
      <c r="AU59" s="3"/>
      <c r="AV59" s="3"/>
      <c r="AW59" s="1"/>
      <c r="AX59" s="1"/>
      <c r="AZ59">
        <v>253</v>
      </c>
      <c r="BA59">
        <v>4654734.66</v>
      </c>
      <c r="BB59" s="1"/>
      <c r="BD59" s="1"/>
      <c r="BE59" s="1"/>
      <c r="BG59" s="1"/>
      <c r="BH59" s="1"/>
      <c r="BJ59" s="1"/>
      <c r="BL59" s="1"/>
      <c r="BN59" s="1"/>
      <c r="BO59">
        <v>599</v>
      </c>
      <c r="BP59">
        <v>4654734.66</v>
      </c>
      <c r="BQ59">
        <v>4654734.66</v>
      </c>
    </row>
    <row r="60" spans="1:69" x14ac:dyDescent="0.35">
      <c r="A60" s="1" t="s">
        <v>68</v>
      </c>
      <c r="B60" s="1" t="s">
        <v>69</v>
      </c>
      <c r="C60" s="1" t="s">
        <v>70</v>
      </c>
      <c r="D60">
        <v>1</v>
      </c>
      <c r="E60">
        <v>1</v>
      </c>
      <c r="F60" s="2">
        <v>43585.43</v>
      </c>
      <c r="G60" s="3">
        <v>41275</v>
      </c>
      <c r="H60" s="3">
        <v>41639</v>
      </c>
      <c r="I60" s="1" t="s">
        <v>71</v>
      </c>
      <c r="J60">
        <v>4521</v>
      </c>
      <c r="K60">
        <v>0</v>
      </c>
      <c r="L60" s="1" t="s">
        <v>384</v>
      </c>
      <c r="M60" s="1" t="s">
        <v>72</v>
      </c>
      <c r="N60" s="1" t="s">
        <v>134</v>
      </c>
      <c r="O60" s="1" t="s">
        <v>385</v>
      </c>
      <c r="P60" s="1" t="s">
        <v>386</v>
      </c>
      <c r="Q60" s="1" t="s">
        <v>387</v>
      </c>
      <c r="R60">
        <v>103</v>
      </c>
      <c r="S60" s="1" t="s">
        <v>135</v>
      </c>
      <c r="T60" s="1" t="s">
        <v>388</v>
      </c>
      <c r="U60" s="1" t="s">
        <v>135</v>
      </c>
      <c r="V60" s="1" t="s">
        <v>74</v>
      </c>
      <c r="W60" s="1" t="s">
        <v>1303</v>
      </c>
      <c r="X60" s="1" t="s">
        <v>1321</v>
      </c>
      <c r="Y60" s="1" t="s">
        <v>76</v>
      </c>
      <c r="Z60">
        <v>2</v>
      </c>
      <c r="AA60" s="1" t="s">
        <v>80</v>
      </c>
      <c r="AB60">
        <v>203</v>
      </c>
      <c r="AC60" s="1" t="s">
        <v>605</v>
      </c>
      <c r="AD60" s="1" t="s">
        <v>1339</v>
      </c>
      <c r="AE60" s="1" t="s">
        <v>1345</v>
      </c>
      <c r="AF60">
        <v>412.3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412.3</v>
      </c>
      <c r="AM60">
        <v>0</v>
      </c>
      <c r="AN60" s="1"/>
      <c r="AP60" s="1"/>
      <c r="AQ60" s="1"/>
      <c r="AR60" s="1"/>
      <c r="AS60" s="1"/>
      <c r="AT60" s="3"/>
      <c r="AU60" s="3"/>
      <c r="AV60" s="3"/>
      <c r="AW60" s="1"/>
      <c r="AX60" s="1"/>
      <c r="AZ60">
        <v>253</v>
      </c>
      <c r="BA60">
        <v>4654734.66</v>
      </c>
      <c r="BB60" s="1"/>
      <c r="BD60" s="1"/>
      <c r="BE60" s="1"/>
      <c r="BG60" s="1"/>
      <c r="BH60" s="1"/>
      <c r="BJ60" s="1"/>
      <c r="BL60" s="1"/>
      <c r="BN60" s="1"/>
      <c r="BO60">
        <v>599</v>
      </c>
      <c r="BP60">
        <v>4654734.66</v>
      </c>
      <c r="BQ60">
        <v>4654734.66</v>
      </c>
    </row>
    <row r="61" spans="1:69" x14ac:dyDescent="0.35">
      <c r="A61" s="1" t="s">
        <v>68</v>
      </c>
      <c r="B61" s="1" t="s">
        <v>69</v>
      </c>
      <c r="C61" s="1" t="s">
        <v>70</v>
      </c>
      <c r="D61">
        <v>1</v>
      </c>
      <c r="E61">
        <v>1</v>
      </c>
      <c r="F61" s="2">
        <v>43585.43</v>
      </c>
      <c r="G61" s="3">
        <v>41275</v>
      </c>
      <c r="H61" s="3">
        <v>41639</v>
      </c>
      <c r="I61" s="1" t="s">
        <v>71</v>
      </c>
      <c r="J61">
        <v>4521</v>
      </c>
      <c r="K61">
        <v>0</v>
      </c>
      <c r="L61" s="1" t="s">
        <v>384</v>
      </c>
      <c r="M61" s="1" t="s">
        <v>72</v>
      </c>
      <c r="N61" s="1" t="s">
        <v>134</v>
      </c>
      <c r="O61" s="1" t="s">
        <v>385</v>
      </c>
      <c r="P61" s="1" t="s">
        <v>386</v>
      </c>
      <c r="Q61" s="1" t="s">
        <v>387</v>
      </c>
      <c r="R61">
        <v>103</v>
      </c>
      <c r="S61" s="1" t="s">
        <v>135</v>
      </c>
      <c r="T61" s="1" t="s">
        <v>388</v>
      </c>
      <c r="U61" s="1" t="s">
        <v>135</v>
      </c>
      <c r="V61" s="1" t="s">
        <v>74</v>
      </c>
      <c r="W61" s="1" t="s">
        <v>442</v>
      </c>
      <c r="X61" s="1" t="s">
        <v>547</v>
      </c>
      <c r="Y61" s="1" t="s">
        <v>76</v>
      </c>
      <c r="Z61">
        <v>2</v>
      </c>
      <c r="AA61" s="1" t="s">
        <v>80</v>
      </c>
      <c r="AB61">
        <v>203</v>
      </c>
      <c r="AC61" s="1" t="s">
        <v>605</v>
      </c>
      <c r="AD61" s="1" t="s">
        <v>655</v>
      </c>
      <c r="AE61" s="1" t="s">
        <v>703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1"/>
      <c r="AP61" s="1"/>
      <c r="AQ61" s="1"/>
      <c r="AR61" s="1"/>
      <c r="AS61" s="1"/>
      <c r="AT61" s="3"/>
      <c r="AU61" s="3"/>
      <c r="AV61" s="3"/>
      <c r="AW61" s="1"/>
      <c r="AX61" s="1"/>
      <c r="AZ61">
        <v>253</v>
      </c>
      <c r="BA61">
        <v>4654734.66</v>
      </c>
      <c r="BB61" s="1"/>
      <c r="BD61" s="1"/>
      <c r="BE61" s="1"/>
      <c r="BG61" s="1"/>
      <c r="BH61" s="1"/>
      <c r="BJ61" s="1"/>
      <c r="BL61" s="1"/>
      <c r="BN61" s="1"/>
      <c r="BO61">
        <v>599</v>
      </c>
      <c r="BP61">
        <v>4654734.66</v>
      </c>
      <c r="BQ61">
        <v>4654734.66</v>
      </c>
    </row>
    <row r="62" spans="1:69" x14ac:dyDescent="0.35">
      <c r="A62" s="1" t="s">
        <v>68</v>
      </c>
      <c r="B62" s="1" t="s">
        <v>69</v>
      </c>
      <c r="C62" s="1" t="s">
        <v>70</v>
      </c>
      <c r="D62">
        <v>1</v>
      </c>
      <c r="E62">
        <v>1</v>
      </c>
      <c r="F62" s="2">
        <v>43585.43</v>
      </c>
      <c r="G62" s="3">
        <v>41275</v>
      </c>
      <c r="H62" s="3">
        <v>41639</v>
      </c>
      <c r="I62" s="1" t="s">
        <v>71</v>
      </c>
      <c r="J62">
        <v>4521</v>
      </c>
      <c r="K62">
        <v>0</v>
      </c>
      <c r="L62" s="1" t="s">
        <v>384</v>
      </c>
      <c r="M62" s="1" t="s">
        <v>72</v>
      </c>
      <c r="N62" s="1" t="s">
        <v>134</v>
      </c>
      <c r="O62" s="1" t="s">
        <v>385</v>
      </c>
      <c r="P62" s="1" t="s">
        <v>386</v>
      </c>
      <c r="Q62" s="1" t="s">
        <v>387</v>
      </c>
      <c r="R62">
        <v>103</v>
      </c>
      <c r="S62" s="1" t="s">
        <v>135</v>
      </c>
      <c r="T62" s="1" t="s">
        <v>388</v>
      </c>
      <c r="U62" s="1" t="s">
        <v>135</v>
      </c>
      <c r="V62" s="1" t="s">
        <v>74</v>
      </c>
      <c r="W62" s="1" t="s">
        <v>443</v>
      </c>
      <c r="X62" s="1" t="s">
        <v>548</v>
      </c>
      <c r="Y62" s="1" t="s">
        <v>76</v>
      </c>
      <c r="Z62">
        <v>2</v>
      </c>
      <c r="AA62" s="1" t="s">
        <v>80</v>
      </c>
      <c r="AB62">
        <v>203</v>
      </c>
      <c r="AC62" s="1" t="s">
        <v>605</v>
      </c>
      <c r="AD62" s="1" t="s">
        <v>656</v>
      </c>
      <c r="AE62" s="1" t="s">
        <v>704</v>
      </c>
      <c r="AF62">
        <v>11145.74</v>
      </c>
      <c r="AG62">
        <v>0</v>
      </c>
      <c r="AH62">
        <v>22777.57</v>
      </c>
      <c r="AI62">
        <v>17872.189999999999</v>
      </c>
      <c r="AJ62">
        <v>22777.57</v>
      </c>
      <c r="AK62">
        <v>17872.189999999999</v>
      </c>
      <c r="AL62">
        <v>16051.12</v>
      </c>
      <c r="AM62">
        <v>0</v>
      </c>
      <c r="AN62" s="1"/>
      <c r="AP62" s="1"/>
      <c r="AQ62" s="1"/>
      <c r="AR62" s="1"/>
      <c r="AS62" s="1"/>
      <c r="AT62" s="3"/>
      <c r="AU62" s="3"/>
      <c r="AV62" s="3"/>
      <c r="AW62" s="1"/>
      <c r="AX62" s="1"/>
      <c r="AZ62">
        <v>253</v>
      </c>
      <c r="BA62">
        <v>4654734.66</v>
      </c>
      <c r="BB62" s="1"/>
      <c r="BD62" s="1"/>
      <c r="BE62" s="1"/>
      <c r="BG62" s="1"/>
      <c r="BH62" s="1"/>
      <c r="BJ62" s="1"/>
      <c r="BL62" s="1"/>
      <c r="BN62" s="1"/>
      <c r="BO62">
        <v>599</v>
      </c>
      <c r="BP62">
        <v>4654734.66</v>
      </c>
      <c r="BQ62">
        <v>4654734.66</v>
      </c>
    </row>
    <row r="63" spans="1:69" x14ac:dyDescent="0.35">
      <c r="A63" s="1" t="s">
        <v>68</v>
      </c>
      <c r="B63" s="1" t="s">
        <v>69</v>
      </c>
      <c r="C63" s="1" t="s">
        <v>70</v>
      </c>
      <c r="D63">
        <v>1</v>
      </c>
      <c r="E63">
        <v>1</v>
      </c>
      <c r="F63" s="2">
        <v>43585.43</v>
      </c>
      <c r="G63" s="3">
        <v>41275</v>
      </c>
      <c r="H63" s="3">
        <v>41639</v>
      </c>
      <c r="I63" s="1" t="s">
        <v>71</v>
      </c>
      <c r="J63">
        <v>4521</v>
      </c>
      <c r="K63">
        <v>0</v>
      </c>
      <c r="L63" s="1" t="s">
        <v>384</v>
      </c>
      <c r="M63" s="1" t="s">
        <v>72</v>
      </c>
      <c r="N63" s="1" t="s">
        <v>134</v>
      </c>
      <c r="O63" s="1" t="s">
        <v>385</v>
      </c>
      <c r="P63" s="1" t="s">
        <v>386</v>
      </c>
      <c r="Q63" s="1" t="s">
        <v>387</v>
      </c>
      <c r="R63">
        <v>103</v>
      </c>
      <c r="S63" s="1" t="s">
        <v>135</v>
      </c>
      <c r="T63" s="1" t="s">
        <v>388</v>
      </c>
      <c r="U63" s="1" t="s">
        <v>135</v>
      </c>
      <c r="V63" s="1" t="s">
        <v>74</v>
      </c>
      <c r="W63" s="1" t="s">
        <v>444</v>
      </c>
      <c r="X63" s="1" t="s">
        <v>549</v>
      </c>
      <c r="Y63" s="1" t="s">
        <v>76</v>
      </c>
      <c r="Z63">
        <v>2</v>
      </c>
      <c r="AA63" s="1" t="s">
        <v>80</v>
      </c>
      <c r="AB63">
        <v>203</v>
      </c>
      <c r="AC63" s="1" t="s">
        <v>605</v>
      </c>
      <c r="AD63" s="1" t="s">
        <v>657</v>
      </c>
      <c r="AE63" s="1" t="s">
        <v>705</v>
      </c>
      <c r="AF63">
        <v>3662.24</v>
      </c>
      <c r="AG63">
        <v>0</v>
      </c>
      <c r="AH63">
        <v>7240</v>
      </c>
      <c r="AI63">
        <v>0</v>
      </c>
      <c r="AJ63">
        <v>7240</v>
      </c>
      <c r="AK63">
        <v>0</v>
      </c>
      <c r="AL63">
        <v>10902.24</v>
      </c>
      <c r="AM63">
        <v>0</v>
      </c>
      <c r="AN63" s="1"/>
      <c r="AP63" s="1"/>
      <c r="AQ63" s="1"/>
      <c r="AR63" s="1"/>
      <c r="AS63" s="1"/>
      <c r="AT63" s="3"/>
      <c r="AU63" s="3"/>
      <c r="AV63" s="3"/>
      <c r="AW63" s="1"/>
      <c r="AX63" s="1"/>
      <c r="AZ63">
        <v>253</v>
      </c>
      <c r="BA63">
        <v>4654734.66</v>
      </c>
      <c r="BB63" s="1"/>
      <c r="BD63" s="1"/>
      <c r="BE63" s="1"/>
      <c r="BG63" s="1"/>
      <c r="BH63" s="1"/>
      <c r="BJ63" s="1"/>
      <c r="BL63" s="1"/>
      <c r="BN63" s="1"/>
      <c r="BO63">
        <v>599</v>
      </c>
      <c r="BP63">
        <v>4654734.66</v>
      </c>
      <c r="BQ63">
        <v>4654734.66</v>
      </c>
    </row>
    <row r="64" spans="1:69" x14ac:dyDescent="0.35">
      <c r="A64" s="1" t="s">
        <v>68</v>
      </c>
      <c r="B64" s="1" t="s">
        <v>69</v>
      </c>
      <c r="C64" s="1" t="s">
        <v>70</v>
      </c>
      <c r="D64">
        <v>1</v>
      </c>
      <c r="E64">
        <v>1</v>
      </c>
      <c r="F64" s="2">
        <v>43585.43</v>
      </c>
      <c r="G64" s="3">
        <v>41275</v>
      </c>
      <c r="H64" s="3">
        <v>41639</v>
      </c>
      <c r="I64" s="1" t="s">
        <v>71</v>
      </c>
      <c r="J64">
        <v>4521</v>
      </c>
      <c r="K64">
        <v>0</v>
      </c>
      <c r="L64" s="1" t="s">
        <v>384</v>
      </c>
      <c r="M64" s="1" t="s">
        <v>72</v>
      </c>
      <c r="N64" s="1" t="s">
        <v>134</v>
      </c>
      <c r="O64" s="1" t="s">
        <v>385</v>
      </c>
      <c r="P64" s="1" t="s">
        <v>386</v>
      </c>
      <c r="Q64" s="1" t="s">
        <v>387</v>
      </c>
      <c r="R64">
        <v>103</v>
      </c>
      <c r="S64" s="1" t="s">
        <v>135</v>
      </c>
      <c r="T64" s="1" t="s">
        <v>388</v>
      </c>
      <c r="U64" s="1" t="s">
        <v>135</v>
      </c>
      <c r="V64" s="1" t="s">
        <v>74</v>
      </c>
      <c r="W64" s="1" t="s">
        <v>445</v>
      </c>
      <c r="X64" s="1" t="s">
        <v>550</v>
      </c>
      <c r="Y64" s="1" t="s">
        <v>76</v>
      </c>
      <c r="Z64">
        <v>2</v>
      </c>
      <c r="AA64" s="1" t="s">
        <v>80</v>
      </c>
      <c r="AB64">
        <v>203</v>
      </c>
      <c r="AC64" s="1" t="s">
        <v>605</v>
      </c>
      <c r="AD64" s="1" t="s">
        <v>658</v>
      </c>
      <c r="AE64" s="1" t="s">
        <v>703</v>
      </c>
      <c r="AF64">
        <v>8192.91</v>
      </c>
      <c r="AG64">
        <v>0</v>
      </c>
      <c r="AH64">
        <v>9994.81</v>
      </c>
      <c r="AI64">
        <v>0</v>
      </c>
      <c r="AJ64">
        <v>9994.81</v>
      </c>
      <c r="AK64">
        <v>0</v>
      </c>
      <c r="AL64">
        <v>18187.72</v>
      </c>
      <c r="AM64">
        <v>0</v>
      </c>
      <c r="AN64" s="1"/>
      <c r="AP64" s="1"/>
      <c r="AQ64" s="1"/>
      <c r="AR64" s="1"/>
      <c r="AS64" s="1"/>
      <c r="AT64" s="3"/>
      <c r="AU64" s="3"/>
      <c r="AV64" s="3"/>
      <c r="AW64" s="1"/>
      <c r="AX64" s="1"/>
      <c r="AZ64">
        <v>253</v>
      </c>
      <c r="BA64">
        <v>4654734.66</v>
      </c>
      <c r="BB64" s="1"/>
      <c r="BD64" s="1"/>
      <c r="BE64" s="1"/>
      <c r="BG64" s="1"/>
      <c r="BH64" s="1"/>
      <c r="BJ64" s="1"/>
      <c r="BL64" s="1"/>
      <c r="BN64" s="1"/>
      <c r="BO64">
        <v>599</v>
      </c>
      <c r="BP64">
        <v>4654734.66</v>
      </c>
      <c r="BQ64">
        <v>4654734.66</v>
      </c>
    </row>
    <row r="65" spans="1:69" x14ac:dyDescent="0.35">
      <c r="A65" s="1" t="s">
        <v>68</v>
      </c>
      <c r="B65" s="1" t="s">
        <v>69</v>
      </c>
      <c r="C65" s="1" t="s">
        <v>70</v>
      </c>
      <c r="D65">
        <v>1</v>
      </c>
      <c r="E65">
        <v>1</v>
      </c>
      <c r="F65" s="2">
        <v>43585.43</v>
      </c>
      <c r="G65" s="3">
        <v>41275</v>
      </c>
      <c r="H65" s="3">
        <v>41639</v>
      </c>
      <c r="I65" s="1" t="s">
        <v>71</v>
      </c>
      <c r="J65">
        <v>4521</v>
      </c>
      <c r="K65">
        <v>0</v>
      </c>
      <c r="L65" s="1" t="s">
        <v>384</v>
      </c>
      <c r="M65" s="1" t="s">
        <v>72</v>
      </c>
      <c r="N65" s="1" t="s">
        <v>134</v>
      </c>
      <c r="O65" s="1" t="s">
        <v>385</v>
      </c>
      <c r="P65" s="1" t="s">
        <v>386</v>
      </c>
      <c r="Q65" s="1" t="s">
        <v>387</v>
      </c>
      <c r="R65">
        <v>103</v>
      </c>
      <c r="S65" s="1" t="s">
        <v>135</v>
      </c>
      <c r="T65" s="1" t="s">
        <v>388</v>
      </c>
      <c r="U65" s="1" t="s">
        <v>135</v>
      </c>
      <c r="V65" s="1" t="s">
        <v>74</v>
      </c>
      <c r="W65" s="1" t="s">
        <v>446</v>
      </c>
      <c r="X65" s="1" t="s">
        <v>551</v>
      </c>
      <c r="Y65" s="1" t="s">
        <v>76</v>
      </c>
      <c r="Z65">
        <v>2</v>
      </c>
      <c r="AA65" s="1" t="s">
        <v>80</v>
      </c>
      <c r="AB65">
        <v>204</v>
      </c>
      <c r="AC65" s="1" t="s">
        <v>606</v>
      </c>
      <c r="AD65" s="1" t="s">
        <v>659</v>
      </c>
      <c r="AE65" s="1" t="s">
        <v>704</v>
      </c>
      <c r="AF65">
        <v>0</v>
      </c>
      <c r="AG65">
        <v>11626.86</v>
      </c>
      <c r="AH65">
        <v>0</v>
      </c>
      <c r="AI65">
        <v>204731.14</v>
      </c>
      <c r="AJ65">
        <v>0</v>
      </c>
      <c r="AK65">
        <v>204731.14</v>
      </c>
      <c r="AL65">
        <v>0</v>
      </c>
      <c r="AM65">
        <v>216358</v>
      </c>
      <c r="AN65" s="1"/>
      <c r="AP65" s="1"/>
      <c r="AQ65" s="1"/>
      <c r="AR65" s="1"/>
      <c r="AS65" s="1"/>
      <c r="AT65" s="3"/>
      <c r="AU65" s="3"/>
      <c r="AV65" s="3"/>
      <c r="AW65" s="1"/>
      <c r="AX65" s="1"/>
      <c r="AZ65">
        <v>253</v>
      </c>
      <c r="BA65">
        <v>4654734.66</v>
      </c>
      <c r="BB65" s="1"/>
      <c r="BD65" s="1"/>
      <c r="BE65" s="1"/>
      <c r="BG65" s="1"/>
      <c r="BH65" s="1"/>
      <c r="BJ65" s="1"/>
      <c r="BL65" s="1"/>
      <c r="BN65" s="1"/>
      <c r="BO65">
        <v>599</v>
      </c>
      <c r="BP65">
        <v>4654734.66</v>
      </c>
      <c r="BQ65">
        <v>4654734.66</v>
      </c>
    </row>
    <row r="66" spans="1:69" x14ac:dyDescent="0.35">
      <c r="A66" s="1" t="s">
        <v>68</v>
      </c>
      <c r="B66" s="1" t="s">
        <v>69</v>
      </c>
      <c r="C66" s="1" t="s">
        <v>70</v>
      </c>
      <c r="D66">
        <v>1</v>
      </c>
      <c r="E66">
        <v>1</v>
      </c>
      <c r="F66" s="2">
        <v>43585.43</v>
      </c>
      <c r="G66" s="3">
        <v>41275</v>
      </c>
      <c r="H66" s="3">
        <v>41639</v>
      </c>
      <c r="I66" s="1" t="s">
        <v>71</v>
      </c>
      <c r="J66">
        <v>4521</v>
      </c>
      <c r="K66">
        <v>0</v>
      </c>
      <c r="L66" s="1" t="s">
        <v>384</v>
      </c>
      <c r="M66" s="1" t="s">
        <v>72</v>
      </c>
      <c r="N66" s="1" t="s">
        <v>134</v>
      </c>
      <c r="O66" s="1" t="s">
        <v>385</v>
      </c>
      <c r="P66" s="1" t="s">
        <v>386</v>
      </c>
      <c r="Q66" s="1" t="s">
        <v>387</v>
      </c>
      <c r="R66">
        <v>103</v>
      </c>
      <c r="S66" s="1" t="s">
        <v>135</v>
      </c>
      <c r="T66" s="1" t="s">
        <v>388</v>
      </c>
      <c r="U66" s="1" t="s">
        <v>135</v>
      </c>
      <c r="V66" s="1" t="s">
        <v>74</v>
      </c>
      <c r="W66" s="1" t="s">
        <v>447</v>
      </c>
      <c r="X66" s="1" t="s">
        <v>552</v>
      </c>
      <c r="Y66" s="1" t="s">
        <v>76</v>
      </c>
      <c r="Z66">
        <v>2</v>
      </c>
      <c r="AA66" s="1" t="s">
        <v>80</v>
      </c>
      <c r="AB66">
        <v>204</v>
      </c>
      <c r="AC66" s="1" t="s">
        <v>606</v>
      </c>
      <c r="AD66" s="1" t="s">
        <v>660</v>
      </c>
      <c r="AE66" s="1" t="s">
        <v>706</v>
      </c>
      <c r="AF66">
        <v>0</v>
      </c>
      <c r="AG66">
        <v>0</v>
      </c>
      <c r="AH66">
        <v>0</v>
      </c>
      <c r="AI66">
        <v>26992.5</v>
      </c>
      <c r="AJ66">
        <v>0</v>
      </c>
      <c r="AK66">
        <v>26992.5</v>
      </c>
      <c r="AL66">
        <v>0</v>
      </c>
      <c r="AM66">
        <v>26992.5</v>
      </c>
      <c r="AN66" s="1"/>
      <c r="AP66" s="1"/>
      <c r="AQ66" s="1"/>
      <c r="AR66" s="1"/>
      <c r="AS66" s="1"/>
      <c r="AT66" s="3"/>
      <c r="AU66" s="3"/>
      <c r="AV66" s="3"/>
      <c r="AW66" s="1"/>
      <c r="AX66" s="1"/>
      <c r="AZ66">
        <v>253</v>
      </c>
      <c r="BA66">
        <v>4654734.66</v>
      </c>
      <c r="BB66" s="1"/>
      <c r="BD66" s="1"/>
      <c r="BE66" s="1"/>
      <c r="BG66" s="1"/>
      <c r="BH66" s="1"/>
      <c r="BJ66" s="1"/>
      <c r="BL66" s="1"/>
      <c r="BN66" s="1"/>
      <c r="BO66">
        <v>599</v>
      </c>
      <c r="BP66">
        <v>4654734.66</v>
      </c>
      <c r="BQ66">
        <v>4654734.66</v>
      </c>
    </row>
    <row r="67" spans="1:69" x14ac:dyDescent="0.35">
      <c r="A67" s="1" t="s">
        <v>68</v>
      </c>
      <c r="B67" s="1" t="s">
        <v>69</v>
      </c>
      <c r="C67" s="1" t="s">
        <v>70</v>
      </c>
      <c r="D67">
        <v>1</v>
      </c>
      <c r="E67">
        <v>1</v>
      </c>
      <c r="F67" s="2">
        <v>43585.43</v>
      </c>
      <c r="G67" s="3">
        <v>41275</v>
      </c>
      <c r="H67" s="3">
        <v>41639</v>
      </c>
      <c r="I67" s="1" t="s">
        <v>71</v>
      </c>
      <c r="J67">
        <v>4521</v>
      </c>
      <c r="K67">
        <v>0</v>
      </c>
      <c r="L67" s="1" t="s">
        <v>384</v>
      </c>
      <c r="M67" s="1" t="s">
        <v>72</v>
      </c>
      <c r="N67" s="1" t="s">
        <v>134</v>
      </c>
      <c r="O67" s="1" t="s">
        <v>385</v>
      </c>
      <c r="P67" s="1" t="s">
        <v>386</v>
      </c>
      <c r="Q67" s="1" t="s">
        <v>387</v>
      </c>
      <c r="R67">
        <v>103</v>
      </c>
      <c r="S67" s="1" t="s">
        <v>135</v>
      </c>
      <c r="T67" s="1" t="s">
        <v>388</v>
      </c>
      <c r="U67" s="1" t="s">
        <v>135</v>
      </c>
      <c r="V67" s="1" t="s">
        <v>74</v>
      </c>
      <c r="W67" s="1" t="s">
        <v>1304</v>
      </c>
      <c r="X67" s="1" t="s">
        <v>555</v>
      </c>
      <c r="Y67" s="1" t="s">
        <v>76</v>
      </c>
      <c r="Z67">
        <v>2</v>
      </c>
      <c r="AA67" s="1" t="s">
        <v>80</v>
      </c>
      <c r="AB67">
        <v>204</v>
      </c>
      <c r="AC67" s="1" t="s">
        <v>606</v>
      </c>
      <c r="AD67" s="1" t="s">
        <v>1340</v>
      </c>
      <c r="AE67" s="1" t="s">
        <v>700</v>
      </c>
      <c r="AF67">
        <v>0</v>
      </c>
      <c r="AG67">
        <v>335.79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335.79</v>
      </c>
      <c r="AN67" s="1"/>
      <c r="AP67" s="1"/>
      <c r="AQ67" s="1"/>
      <c r="AR67" s="1"/>
      <c r="AS67" s="1"/>
      <c r="AT67" s="3"/>
      <c r="AU67" s="3"/>
      <c r="AV67" s="3"/>
      <c r="AW67" s="1"/>
      <c r="AX67" s="1"/>
      <c r="AZ67">
        <v>253</v>
      </c>
      <c r="BA67">
        <v>4654734.66</v>
      </c>
      <c r="BB67" s="1"/>
      <c r="BD67" s="1"/>
      <c r="BE67" s="1"/>
      <c r="BG67" s="1"/>
      <c r="BH67" s="1"/>
      <c r="BJ67" s="1"/>
      <c r="BL67" s="1"/>
      <c r="BN67" s="1"/>
      <c r="BO67">
        <v>599</v>
      </c>
      <c r="BP67">
        <v>4654734.66</v>
      </c>
      <c r="BQ67">
        <v>4654734.66</v>
      </c>
    </row>
    <row r="68" spans="1:69" x14ac:dyDescent="0.35">
      <c r="A68" s="1" t="s">
        <v>68</v>
      </c>
      <c r="B68" s="1" t="s">
        <v>69</v>
      </c>
      <c r="C68" s="1" t="s">
        <v>70</v>
      </c>
      <c r="D68">
        <v>1</v>
      </c>
      <c r="E68">
        <v>1</v>
      </c>
      <c r="F68" s="2">
        <v>43585.43</v>
      </c>
      <c r="G68" s="3">
        <v>41275</v>
      </c>
      <c r="H68" s="3">
        <v>41639</v>
      </c>
      <c r="I68" s="1" t="s">
        <v>71</v>
      </c>
      <c r="J68">
        <v>4521</v>
      </c>
      <c r="K68">
        <v>0</v>
      </c>
      <c r="L68" s="1" t="s">
        <v>384</v>
      </c>
      <c r="M68" s="1" t="s">
        <v>72</v>
      </c>
      <c r="N68" s="1" t="s">
        <v>134</v>
      </c>
      <c r="O68" s="1" t="s">
        <v>385</v>
      </c>
      <c r="P68" s="1" t="s">
        <v>386</v>
      </c>
      <c r="Q68" s="1" t="s">
        <v>387</v>
      </c>
      <c r="R68">
        <v>103</v>
      </c>
      <c r="S68" s="1" t="s">
        <v>135</v>
      </c>
      <c r="T68" s="1" t="s">
        <v>388</v>
      </c>
      <c r="U68" s="1" t="s">
        <v>135</v>
      </c>
      <c r="V68" s="1" t="s">
        <v>74</v>
      </c>
      <c r="W68" s="1" t="s">
        <v>448</v>
      </c>
      <c r="X68" s="1" t="s">
        <v>553</v>
      </c>
      <c r="Y68" s="1" t="s">
        <v>76</v>
      </c>
      <c r="Z68">
        <v>2</v>
      </c>
      <c r="AA68" s="1" t="s">
        <v>80</v>
      </c>
      <c r="AB68">
        <v>204</v>
      </c>
      <c r="AC68" s="1" t="s">
        <v>606</v>
      </c>
      <c r="AD68" s="1" t="s">
        <v>656</v>
      </c>
      <c r="AE68" s="1" t="s">
        <v>704</v>
      </c>
      <c r="AF68">
        <v>0</v>
      </c>
      <c r="AG68">
        <v>18909.95</v>
      </c>
      <c r="AH68">
        <v>6205.69</v>
      </c>
      <c r="AI68">
        <v>20248.189999999999</v>
      </c>
      <c r="AJ68">
        <v>6205.69</v>
      </c>
      <c r="AK68">
        <v>20248.189999999999</v>
      </c>
      <c r="AL68">
        <v>0</v>
      </c>
      <c r="AM68">
        <v>32952.449999999997</v>
      </c>
      <c r="AN68" s="1"/>
      <c r="AP68" s="1"/>
      <c r="AQ68" s="1"/>
      <c r="AR68" s="1"/>
      <c r="AS68" s="1"/>
      <c r="AT68" s="3"/>
      <c r="AU68" s="3"/>
      <c r="AV68" s="3"/>
      <c r="AW68" s="1"/>
      <c r="AX68" s="1"/>
      <c r="AZ68">
        <v>253</v>
      </c>
      <c r="BA68">
        <v>4654734.66</v>
      </c>
      <c r="BB68" s="1"/>
      <c r="BD68" s="1"/>
      <c r="BE68" s="1"/>
      <c r="BG68" s="1"/>
      <c r="BH68" s="1"/>
      <c r="BJ68" s="1"/>
      <c r="BL68" s="1"/>
      <c r="BN68" s="1"/>
      <c r="BO68">
        <v>599</v>
      </c>
      <c r="BP68">
        <v>4654734.66</v>
      </c>
      <c r="BQ68">
        <v>4654734.66</v>
      </c>
    </row>
    <row r="69" spans="1:69" x14ac:dyDescent="0.35">
      <c r="A69" s="1" t="s">
        <v>68</v>
      </c>
      <c r="B69" s="1" t="s">
        <v>69</v>
      </c>
      <c r="C69" s="1" t="s">
        <v>70</v>
      </c>
      <c r="D69">
        <v>1</v>
      </c>
      <c r="E69">
        <v>1</v>
      </c>
      <c r="F69" s="2">
        <v>43585.43</v>
      </c>
      <c r="G69" s="3">
        <v>41275</v>
      </c>
      <c r="H69" s="3">
        <v>41639</v>
      </c>
      <c r="I69" s="1" t="s">
        <v>71</v>
      </c>
      <c r="J69">
        <v>4521</v>
      </c>
      <c r="K69">
        <v>0</v>
      </c>
      <c r="L69" s="1" t="s">
        <v>384</v>
      </c>
      <c r="M69" s="1" t="s">
        <v>72</v>
      </c>
      <c r="N69" s="1" t="s">
        <v>134</v>
      </c>
      <c r="O69" s="1" t="s">
        <v>385</v>
      </c>
      <c r="P69" s="1" t="s">
        <v>386</v>
      </c>
      <c r="Q69" s="1" t="s">
        <v>387</v>
      </c>
      <c r="R69">
        <v>103</v>
      </c>
      <c r="S69" s="1" t="s">
        <v>135</v>
      </c>
      <c r="T69" s="1" t="s">
        <v>388</v>
      </c>
      <c r="U69" s="1" t="s">
        <v>135</v>
      </c>
      <c r="V69" s="1" t="s">
        <v>74</v>
      </c>
      <c r="W69" s="1" t="s">
        <v>449</v>
      </c>
      <c r="X69" s="1" t="s">
        <v>554</v>
      </c>
      <c r="Y69" s="1" t="s">
        <v>76</v>
      </c>
      <c r="Z69">
        <v>2</v>
      </c>
      <c r="AA69" s="1" t="s">
        <v>80</v>
      </c>
      <c r="AB69">
        <v>204</v>
      </c>
      <c r="AC69" s="1" t="s">
        <v>606</v>
      </c>
      <c r="AD69" s="1" t="s">
        <v>661</v>
      </c>
      <c r="AE69" s="1" t="s">
        <v>706</v>
      </c>
      <c r="AF69">
        <v>0</v>
      </c>
      <c r="AG69">
        <v>0</v>
      </c>
      <c r="AH69">
        <v>6289.8</v>
      </c>
      <c r="AI69">
        <v>271.8</v>
      </c>
      <c r="AJ69">
        <v>6289.8</v>
      </c>
      <c r="AK69">
        <v>271.8</v>
      </c>
      <c r="AL69">
        <v>6018</v>
      </c>
      <c r="AM69">
        <v>0</v>
      </c>
      <c r="AN69" s="1"/>
      <c r="AP69" s="1"/>
      <c r="AQ69" s="1"/>
      <c r="AR69" s="1"/>
      <c r="AS69" s="1"/>
      <c r="AT69" s="3"/>
      <c r="AU69" s="3"/>
      <c r="AV69" s="3"/>
      <c r="AW69" s="1"/>
      <c r="AX69" s="1"/>
      <c r="AZ69">
        <v>253</v>
      </c>
      <c r="BA69">
        <v>4654734.66</v>
      </c>
      <c r="BB69" s="1"/>
      <c r="BD69" s="1"/>
      <c r="BE69" s="1"/>
      <c r="BG69" s="1"/>
      <c r="BH69" s="1"/>
      <c r="BJ69" s="1"/>
      <c r="BL69" s="1"/>
      <c r="BN69" s="1"/>
      <c r="BO69">
        <v>599</v>
      </c>
      <c r="BP69">
        <v>4654734.66</v>
      </c>
      <c r="BQ69">
        <v>4654734.66</v>
      </c>
    </row>
    <row r="70" spans="1:69" x14ac:dyDescent="0.35">
      <c r="A70" s="1" t="s">
        <v>68</v>
      </c>
      <c r="B70" s="1" t="s">
        <v>69</v>
      </c>
      <c r="C70" s="1" t="s">
        <v>70</v>
      </c>
      <c r="D70">
        <v>1</v>
      </c>
      <c r="E70">
        <v>1</v>
      </c>
      <c r="F70" s="2">
        <v>43585.43</v>
      </c>
      <c r="G70" s="3">
        <v>41275</v>
      </c>
      <c r="H70" s="3">
        <v>41639</v>
      </c>
      <c r="I70" s="1" t="s">
        <v>71</v>
      </c>
      <c r="J70">
        <v>4521</v>
      </c>
      <c r="K70">
        <v>0</v>
      </c>
      <c r="L70" s="1" t="s">
        <v>384</v>
      </c>
      <c r="M70" s="1" t="s">
        <v>72</v>
      </c>
      <c r="N70" s="1" t="s">
        <v>134</v>
      </c>
      <c r="O70" s="1" t="s">
        <v>385</v>
      </c>
      <c r="P70" s="1" t="s">
        <v>386</v>
      </c>
      <c r="Q70" s="1" t="s">
        <v>387</v>
      </c>
      <c r="R70">
        <v>103</v>
      </c>
      <c r="S70" s="1" t="s">
        <v>135</v>
      </c>
      <c r="T70" s="1" t="s">
        <v>388</v>
      </c>
      <c r="U70" s="1" t="s">
        <v>135</v>
      </c>
      <c r="V70" s="1" t="s">
        <v>74</v>
      </c>
      <c r="W70" s="1" t="s">
        <v>450</v>
      </c>
      <c r="X70" s="1" t="s">
        <v>555</v>
      </c>
      <c r="Y70" s="1" t="s">
        <v>76</v>
      </c>
      <c r="Z70">
        <v>2</v>
      </c>
      <c r="AA70" s="1" t="s">
        <v>80</v>
      </c>
      <c r="AB70">
        <v>204</v>
      </c>
      <c r="AC70" s="1" t="s">
        <v>606</v>
      </c>
      <c r="AD70" s="1" t="s">
        <v>651</v>
      </c>
      <c r="AE70" s="1" t="s">
        <v>700</v>
      </c>
      <c r="AF70">
        <v>0</v>
      </c>
      <c r="AG70">
        <v>0</v>
      </c>
      <c r="AH70">
        <v>0</v>
      </c>
      <c r="AI70">
        <v>8134.48</v>
      </c>
      <c r="AJ70">
        <v>0</v>
      </c>
      <c r="AK70">
        <v>8134.48</v>
      </c>
      <c r="AL70">
        <v>0</v>
      </c>
      <c r="AM70">
        <v>8134.48</v>
      </c>
      <c r="AN70" s="1"/>
      <c r="AP70" s="1"/>
      <c r="AQ70" s="1"/>
      <c r="AR70" s="1"/>
      <c r="AS70" s="1"/>
      <c r="AT70" s="3"/>
      <c r="AU70" s="3"/>
      <c r="AV70" s="3"/>
      <c r="AW70" s="1"/>
      <c r="AX70" s="1"/>
      <c r="AZ70">
        <v>253</v>
      </c>
      <c r="BA70">
        <v>4654734.66</v>
      </c>
      <c r="BB70" s="1"/>
      <c r="BD70" s="1"/>
      <c r="BE70" s="1"/>
      <c r="BG70" s="1"/>
      <c r="BH70" s="1"/>
      <c r="BJ70" s="1"/>
      <c r="BL70" s="1"/>
      <c r="BN70" s="1"/>
      <c r="BO70">
        <v>599</v>
      </c>
      <c r="BP70">
        <v>4654734.66</v>
      </c>
      <c r="BQ70">
        <v>4654734.66</v>
      </c>
    </row>
    <row r="71" spans="1:69" x14ac:dyDescent="0.35">
      <c r="A71" s="1" t="s">
        <v>68</v>
      </c>
      <c r="B71" s="1" t="s">
        <v>69</v>
      </c>
      <c r="C71" s="1" t="s">
        <v>70</v>
      </c>
      <c r="D71">
        <v>1</v>
      </c>
      <c r="E71">
        <v>1</v>
      </c>
      <c r="F71" s="2">
        <v>43585.43</v>
      </c>
      <c r="G71" s="3">
        <v>41275</v>
      </c>
      <c r="H71" s="3">
        <v>41639</v>
      </c>
      <c r="I71" s="1" t="s">
        <v>71</v>
      </c>
      <c r="J71">
        <v>4521</v>
      </c>
      <c r="K71">
        <v>0</v>
      </c>
      <c r="L71" s="1" t="s">
        <v>384</v>
      </c>
      <c r="M71" s="1" t="s">
        <v>72</v>
      </c>
      <c r="N71" s="1" t="s">
        <v>134</v>
      </c>
      <c r="O71" s="1" t="s">
        <v>385</v>
      </c>
      <c r="P71" s="1" t="s">
        <v>386</v>
      </c>
      <c r="Q71" s="1" t="s">
        <v>387</v>
      </c>
      <c r="R71">
        <v>103</v>
      </c>
      <c r="S71" s="1" t="s">
        <v>135</v>
      </c>
      <c r="T71" s="1" t="s">
        <v>388</v>
      </c>
      <c r="U71" s="1" t="s">
        <v>135</v>
      </c>
      <c r="V71" s="1" t="s">
        <v>74</v>
      </c>
      <c r="W71" s="1" t="s">
        <v>1305</v>
      </c>
      <c r="X71" s="1" t="s">
        <v>1322</v>
      </c>
      <c r="Y71" s="1" t="s">
        <v>76</v>
      </c>
      <c r="Z71">
        <v>2</v>
      </c>
      <c r="AA71" s="1" t="s">
        <v>80</v>
      </c>
      <c r="AB71">
        <v>205</v>
      </c>
      <c r="AC71" s="1" t="s">
        <v>1334</v>
      </c>
      <c r="AD71" s="1" t="s">
        <v>1341</v>
      </c>
      <c r="AE71" s="1" t="s">
        <v>698</v>
      </c>
      <c r="AF71">
        <v>1537.5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1537.5</v>
      </c>
      <c r="AM71">
        <v>0</v>
      </c>
      <c r="AN71" s="1"/>
      <c r="AP71" s="1"/>
      <c r="AQ71" s="1"/>
      <c r="AR71" s="1"/>
      <c r="AS71" s="1"/>
      <c r="AT71" s="3"/>
      <c r="AU71" s="3"/>
      <c r="AV71" s="3"/>
      <c r="AW71" s="1"/>
      <c r="AX71" s="1"/>
      <c r="AZ71">
        <v>253</v>
      </c>
      <c r="BA71">
        <v>4654734.66</v>
      </c>
      <c r="BB71" s="1"/>
      <c r="BD71" s="1"/>
      <c r="BE71" s="1"/>
      <c r="BG71" s="1"/>
      <c r="BH71" s="1"/>
      <c r="BJ71" s="1"/>
      <c r="BL71" s="1"/>
      <c r="BN71" s="1"/>
      <c r="BO71">
        <v>599</v>
      </c>
      <c r="BP71">
        <v>4654734.66</v>
      </c>
      <c r="BQ71">
        <v>4654734.66</v>
      </c>
    </row>
    <row r="72" spans="1:69" x14ac:dyDescent="0.35">
      <c r="A72" s="1" t="s">
        <v>68</v>
      </c>
      <c r="B72" s="1" t="s">
        <v>69</v>
      </c>
      <c r="C72" s="1" t="s">
        <v>70</v>
      </c>
      <c r="D72">
        <v>1</v>
      </c>
      <c r="E72">
        <v>1</v>
      </c>
      <c r="F72" s="2">
        <v>43585.43</v>
      </c>
      <c r="G72" s="3">
        <v>41275</v>
      </c>
      <c r="H72" s="3">
        <v>41639</v>
      </c>
      <c r="I72" s="1" t="s">
        <v>71</v>
      </c>
      <c r="J72">
        <v>4521</v>
      </c>
      <c r="K72">
        <v>0</v>
      </c>
      <c r="L72" s="1" t="s">
        <v>384</v>
      </c>
      <c r="M72" s="1" t="s">
        <v>72</v>
      </c>
      <c r="N72" s="1" t="s">
        <v>134</v>
      </c>
      <c r="O72" s="1" t="s">
        <v>385</v>
      </c>
      <c r="P72" s="1" t="s">
        <v>386</v>
      </c>
      <c r="Q72" s="1" t="s">
        <v>387</v>
      </c>
      <c r="R72">
        <v>103</v>
      </c>
      <c r="S72" s="1" t="s">
        <v>135</v>
      </c>
      <c r="T72" s="1" t="s">
        <v>388</v>
      </c>
      <c r="U72" s="1" t="s">
        <v>135</v>
      </c>
      <c r="V72" s="1" t="s">
        <v>74</v>
      </c>
      <c r="W72" s="1" t="s">
        <v>451</v>
      </c>
      <c r="X72" s="1" t="s">
        <v>556</v>
      </c>
      <c r="Y72" s="1" t="s">
        <v>76</v>
      </c>
      <c r="Z72">
        <v>2</v>
      </c>
      <c r="AA72" s="1" t="s">
        <v>80</v>
      </c>
      <c r="AB72">
        <v>221</v>
      </c>
      <c r="AC72" s="1" t="s">
        <v>607</v>
      </c>
      <c r="AD72" s="1" t="s">
        <v>88</v>
      </c>
      <c r="AE72" s="1" t="s">
        <v>707</v>
      </c>
      <c r="AF72">
        <v>0</v>
      </c>
      <c r="AG72">
        <v>23065.24</v>
      </c>
      <c r="AH72">
        <v>5140.47</v>
      </c>
      <c r="AI72">
        <v>78608.95</v>
      </c>
      <c r="AJ72">
        <v>5140.47</v>
      </c>
      <c r="AK72">
        <v>78608.95</v>
      </c>
      <c r="AL72">
        <v>0</v>
      </c>
      <c r="AM72">
        <v>96533.72</v>
      </c>
      <c r="AN72" s="1"/>
      <c r="AP72" s="1"/>
      <c r="AQ72" s="1"/>
      <c r="AR72" s="1"/>
      <c r="AS72" s="1"/>
      <c r="AT72" s="3"/>
      <c r="AU72" s="3"/>
      <c r="AV72" s="3"/>
      <c r="AW72" s="1"/>
      <c r="AX72" s="1"/>
      <c r="AZ72">
        <v>253</v>
      </c>
      <c r="BA72">
        <v>4654734.66</v>
      </c>
      <c r="BB72" s="1"/>
      <c r="BD72" s="1"/>
      <c r="BE72" s="1"/>
      <c r="BG72" s="1"/>
      <c r="BH72" s="1"/>
      <c r="BJ72" s="1"/>
      <c r="BL72" s="1"/>
      <c r="BN72" s="1"/>
      <c r="BO72">
        <v>599</v>
      </c>
      <c r="BP72">
        <v>4654734.66</v>
      </c>
      <c r="BQ72">
        <v>4654734.66</v>
      </c>
    </row>
    <row r="73" spans="1:69" x14ac:dyDescent="0.35">
      <c r="A73" s="1" t="s">
        <v>68</v>
      </c>
      <c r="B73" s="1" t="s">
        <v>69</v>
      </c>
      <c r="C73" s="1" t="s">
        <v>70</v>
      </c>
      <c r="D73">
        <v>1</v>
      </c>
      <c r="E73">
        <v>1</v>
      </c>
      <c r="F73" s="2">
        <v>43585.43</v>
      </c>
      <c r="G73" s="3">
        <v>41275</v>
      </c>
      <c r="H73" s="3">
        <v>41639</v>
      </c>
      <c r="I73" s="1" t="s">
        <v>71</v>
      </c>
      <c r="J73">
        <v>4521</v>
      </c>
      <c r="K73">
        <v>0</v>
      </c>
      <c r="L73" s="1" t="s">
        <v>384</v>
      </c>
      <c r="M73" s="1" t="s">
        <v>72</v>
      </c>
      <c r="N73" s="1" t="s">
        <v>134</v>
      </c>
      <c r="O73" s="1" t="s">
        <v>385</v>
      </c>
      <c r="P73" s="1" t="s">
        <v>386</v>
      </c>
      <c r="Q73" s="1" t="s">
        <v>387</v>
      </c>
      <c r="R73">
        <v>103</v>
      </c>
      <c r="S73" s="1" t="s">
        <v>135</v>
      </c>
      <c r="T73" s="1" t="s">
        <v>388</v>
      </c>
      <c r="U73" s="1" t="s">
        <v>135</v>
      </c>
      <c r="V73" s="1" t="s">
        <v>74</v>
      </c>
      <c r="W73" s="1" t="s">
        <v>452</v>
      </c>
      <c r="X73" s="1" t="s">
        <v>557</v>
      </c>
      <c r="Y73" s="1" t="s">
        <v>76</v>
      </c>
      <c r="Z73">
        <v>2</v>
      </c>
      <c r="AA73" s="1" t="s">
        <v>80</v>
      </c>
      <c r="AB73">
        <v>221</v>
      </c>
      <c r="AC73" s="1" t="s">
        <v>607</v>
      </c>
      <c r="AD73" s="1" t="s">
        <v>89</v>
      </c>
      <c r="AE73" s="1" t="s">
        <v>708</v>
      </c>
      <c r="AF73">
        <v>24087.48</v>
      </c>
      <c r="AG73">
        <v>0</v>
      </c>
      <c r="AH73">
        <v>101598.36</v>
      </c>
      <c r="AI73">
        <v>0</v>
      </c>
      <c r="AJ73">
        <v>101598.36</v>
      </c>
      <c r="AK73">
        <v>0</v>
      </c>
      <c r="AL73">
        <v>125685.84</v>
      </c>
      <c r="AM73">
        <v>0</v>
      </c>
      <c r="AN73" s="1"/>
      <c r="AP73" s="1"/>
      <c r="AQ73" s="1"/>
      <c r="AR73" s="1"/>
      <c r="AS73" s="1"/>
      <c r="AT73" s="3"/>
      <c r="AU73" s="3"/>
      <c r="AV73" s="3"/>
      <c r="AW73" s="1"/>
      <c r="AX73" s="1"/>
      <c r="AZ73">
        <v>253</v>
      </c>
      <c r="BA73">
        <v>4654734.66</v>
      </c>
      <c r="BB73" s="1"/>
      <c r="BD73" s="1"/>
      <c r="BE73" s="1"/>
      <c r="BG73" s="1"/>
      <c r="BH73" s="1"/>
      <c r="BJ73" s="1"/>
      <c r="BL73" s="1"/>
      <c r="BN73" s="1"/>
      <c r="BO73">
        <v>599</v>
      </c>
      <c r="BP73">
        <v>4654734.66</v>
      </c>
      <c r="BQ73">
        <v>4654734.66</v>
      </c>
    </row>
    <row r="74" spans="1:69" x14ac:dyDescent="0.35">
      <c r="A74" s="1" t="s">
        <v>68</v>
      </c>
      <c r="B74" s="1" t="s">
        <v>69</v>
      </c>
      <c r="C74" s="1" t="s">
        <v>70</v>
      </c>
      <c r="D74">
        <v>1</v>
      </c>
      <c r="E74">
        <v>1</v>
      </c>
      <c r="F74" s="2">
        <v>43585.43</v>
      </c>
      <c r="G74" s="3">
        <v>41275</v>
      </c>
      <c r="H74" s="3">
        <v>41639</v>
      </c>
      <c r="I74" s="1" t="s">
        <v>71</v>
      </c>
      <c r="J74">
        <v>4521</v>
      </c>
      <c r="K74">
        <v>0</v>
      </c>
      <c r="L74" s="1" t="s">
        <v>384</v>
      </c>
      <c r="M74" s="1" t="s">
        <v>72</v>
      </c>
      <c r="N74" s="1" t="s">
        <v>134</v>
      </c>
      <c r="O74" s="1" t="s">
        <v>385</v>
      </c>
      <c r="P74" s="1" t="s">
        <v>386</v>
      </c>
      <c r="Q74" s="1" t="s">
        <v>387</v>
      </c>
      <c r="R74">
        <v>103</v>
      </c>
      <c r="S74" s="1" t="s">
        <v>135</v>
      </c>
      <c r="T74" s="1" t="s">
        <v>388</v>
      </c>
      <c r="U74" s="1" t="s">
        <v>135</v>
      </c>
      <c r="V74" s="1" t="s">
        <v>74</v>
      </c>
      <c r="W74" s="1" t="s">
        <v>453</v>
      </c>
      <c r="X74" s="1" t="s">
        <v>558</v>
      </c>
      <c r="Y74" s="1" t="s">
        <v>76</v>
      </c>
      <c r="Z74">
        <v>2</v>
      </c>
      <c r="AA74" s="1" t="s">
        <v>80</v>
      </c>
      <c r="AB74">
        <v>234</v>
      </c>
      <c r="AC74" s="1" t="s">
        <v>608</v>
      </c>
      <c r="AD74" s="1" t="s">
        <v>144</v>
      </c>
      <c r="AE74" s="1" t="s">
        <v>709</v>
      </c>
      <c r="AF74">
        <v>130</v>
      </c>
      <c r="AG74">
        <v>0</v>
      </c>
      <c r="AH74">
        <v>556</v>
      </c>
      <c r="AI74">
        <v>1377.12</v>
      </c>
      <c r="AJ74">
        <v>556</v>
      </c>
      <c r="AK74">
        <v>1377.12</v>
      </c>
      <c r="AL74">
        <v>0</v>
      </c>
      <c r="AM74">
        <v>691.12</v>
      </c>
      <c r="AN74" s="1"/>
      <c r="AP74" s="1"/>
      <c r="AQ74" s="1"/>
      <c r="AR74" s="1"/>
      <c r="AS74" s="1"/>
      <c r="AT74" s="3"/>
      <c r="AU74" s="3"/>
      <c r="AV74" s="3"/>
      <c r="AW74" s="1"/>
      <c r="AX74" s="1"/>
      <c r="AZ74">
        <v>253</v>
      </c>
      <c r="BA74">
        <v>4654734.66</v>
      </c>
      <c r="BB74" s="1"/>
      <c r="BD74" s="1"/>
      <c r="BE74" s="1"/>
      <c r="BG74" s="1"/>
      <c r="BH74" s="1"/>
      <c r="BJ74" s="1"/>
      <c r="BL74" s="1"/>
      <c r="BN74" s="1"/>
      <c r="BO74">
        <v>599</v>
      </c>
      <c r="BP74">
        <v>4654734.66</v>
      </c>
      <c r="BQ74">
        <v>4654734.66</v>
      </c>
    </row>
    <row r="75" spans="1:69" x14ac:dyDescent="0.35">
      <c r="A75" s="1" t="s">
        <v>68</v>
      </c>
      <c r="B75" s="1" t="s">
        <v>69</v>
      </c>
      <c r="C75" s="1" t="s">
        <v>70</v>
      </c>
      <c r="D75">
        <v>1</v>
      </c>
      <c r="E75">
        <v>1</v>
      </c>
      <c r="F75" s="2">
        <v>43585.43</v>
      </c>
      <c r="G75" s="3">
        <v>41275</v>
      </c>
      <c r="H75" s="3">
        <v>41639</v>
      </c>
      <c r="I75" s="1" t="s">
        <v>71</v>
      </c>
      <c r="J75">
        <v>4521</v>
      </c>
      <c r="K75">
        <v>0</v>
      </c>
      <c r="L75" s="1" t="s">
        <v>384</v>
      </c>
      <c r="M75" s="1" t="s">
        <v>72</v>
      </c>
      <c r="N75" s="1" t="s">
        <v>134</v>
      </c>
      <c r="O75" s="1" t="s">
        <v>385</v>
      </c>
      <c r="P75" s="1" t="s">
        <v>386</v>
      </c>
      <c r="Q75" s="1" t="s">
        <v>387</v>
      </c>
      <c r="R75">
        <v>103</v>
      </c>
      <c r="S75" s="1" t="s">
        <v>135</v>
      </c>
      <c r="T75" s="1" t="s">
        <v>388</v>
      </c>
      <c r="U75" s="1" t="s">
        <v>135</v>
      </c>
      <c r="V75" s="1" t="s">
        <v>74</v>
      </c>
      <c r="W75" s="1" t="s">
        <v>454</v>
      </c>
      <c r="X75" s="1" t="s">
        <v>559</v>
      </c>
      <c r="Y75" s="1" t="s">
        <v>76</v>
      </c>
      <c r="Z75">
        <v>2</v>
      </c>
      <c r="AA75" s="1" t="s">
        <v>80</v>
      </c>
      <c r="AB75">
        <v>234</v>
      </c>
      <c r="AC75" s="1" t="s">
        <v>608</v>
      </c>
      <c r="AD75" s="1" t="s">
        <v>662</v>
      </c>
      <c r="AE75" s="1" t="s">
        <v>710</v>
      </c>
      <c r="AF75">
        <v>0</v>
      </c>
      <c r="AG75">
        <v>0</v>
      </c>
      <c r="AH75">
        <v>0</v>
      </c>
      <c r="AI75">
        <v>356.1</v>
      </c>
      <c r="AJ75">
        <v>0</v>
      </c>
      <c r="AK75">
        <v>356.1</v>
      </c>
      <c r="AL75">
        <v>0</v>
      </c>
      <c r="AM75">
        <v>356.1</v>
      </c>
      <c r="AN75" s="1"/>
      <c r="AP75" s="1"/>
      <c r="AQ75" s="1"/>
      <c r="AR75" s="1"/>
      <c r="AS75" s="1"/>
      <c r="AT75" s="3"/>
      <c r="AU75" s="3"/>
      <c r="AV75" s="3"/>
      <c r="AW75" s="1"/>
      <c r="AX75" s="1"/>
      <c r="AZ75">
        <v>253</v>
      </c>
      <c r="BA75">
        <v>4654734.66</v>
      </c>
      <c r="BB75" s="1"/>
      <c r="BD75" s="1"/>
      <c r="BE75" s="1"/>
      <c r="BG75" s="1"/>
      <c r="BH75" s="1"/>
      <c r="BJ75" s="1"/>
      <c r="BL75" s="1"/>
      <c r="BN75" s="1"/>
      <c r="BO75">
        <v>599</v>
      </c>
      <c r="BP75">
        <v>4654734.66</v>
      </c>
      <c r="BQ75">
        <v>4654734.66</v>
      </c>
    </row>
    <row r="76" spans="1:69" x14ac:dyDescent="0.35">
      <c r="A76" s="1" t="s">
        <v>68</v>
      </c>
      <c r="B76" s="1" t="s">
        <v>69</v>
      </c>
      <c r="C76" s="1" t="s">
        <v>70</v>
      </c>
      <c r="D76">
        <v>1</v>
      </c>
      <c r="E76">
        <v>1</v>
      </c>
      <c r="F76" s="2">
        <v>43585.43</v>
      </c>
      <c r="G76" s="3">
        <v>41275</v>
      </c>
      <c r="H76" s="3">
        <v>41639</v>
      </c>
      <c r="I76" s="1" t="s">
        <v>71</v>
      </c>
      <c r="J76">
        <v>4521</v>
      </c>
      <c r="K76">
        <v>0</v>
      </c>
      <c r="L76" s="1" t="s">
        <v>384</v>
      </c>
      <c r="M76" s="1" t="s">
        <v>72</v>
      </c>
      <c r="N76" s="1" t="s">
        <v>134</v>
      </c>
      <c r="O76" s="1" t="s">
        <v>385</v>
      </c>
      <c r="P76" s="1" t="s">
        <v>386</v>
      </c>
      <c r="Q76" s="1" t="s">
        <v>387</v>
      </c>
      <c r="R76">
        <v>103</v>
      </c>
      <c r="S76" s="1" t="s">
        <v>135</v>
      </c>
      <c r="T76" s="1" t="s">
        <v>388</v>
      </c>
      <c r="U76" s="1" t="s">
        <v>135</v>
      </c>
      <c r="V76" s="1" t="s">
        <v>74</v>
      </c>
      <c r="W76" s="1" t="s">
        <v>455</v>
      </c>
      <c r="X76" s="1" t="s">
        <v>560</v>
      </c>
      <c r="Y76" s="1" t="s">
        <v>76</v>
      </c>
      <c r="Z76">
        <v>2</v>
      </c>
      <c r="AA76" s="1" t="s">
        <v>80</v>
      </c>
      <c r="AB76">
        <v>234</v>
      </c>
      <c r="AC76" s="1" t="s">
        <v>608</v>
      </c>
      <c r="AD76" s="1" t="s">
        <v>663</v>
      </c>
      <c r="AE76" s="1" t="s">
        <v>711</v>
      </c>
      <c r="AF76">
        <v>0</v>
      </c>
      <c r="AG76">
        <v>0</v>
      </c>
      <c r="AH76">
        <v>1522.12</v>
      </c>
      <c r="AI76">
        <v>33.119999999999997</v>
      </c>
      <c r="AJ76">
        <v>1522.12</v>
      </c>
      <c r="AK76">
        <v>33.119999999999997</v>
      </c>
      <c r="AL76">
        <v>1489</v>
      </c>
      <c r="AM76">
        <v>0</v>
      </c>
      <c r="AN76" s="1"/>
      <c r="AP76" s="1"/>
      <c r="AQ76" s="1"/>
      <c r="AR76" s="1"/>
      <c r="AS76" s="1"/>
      <c r="AT76" s="3"/>
      <c r="AU76" s="3"/>
      <c r="AV76" s="3"/>
      <c r="AW76" s="1"/>
      <c r="AX76" s="1"/>
      <c r="AZ76">
        <v>253</v>
      </c>
      <c r="BA76">
        <v>4654734.66</v>
      </c>
      <c r="BB76" s="1"/>
      <c r="BD76" s="1"/>
      <c r="BE76" s="1"/>
      <c r="BG76" s="1"/>
      <c r="BH76" s="1"/>
      <c r="BJ76" s="1"/>
      <c r="BL76" s="1"/>
      <c r="BN76" s="1"/>
      <c r="BO76">
        <v>599</v>
      </c>
      <c r="BP76">
        <v>4654734.66</v>
      </c>
      <c r="BQ76">
        <v>4654734.66</v>
      </c>
    </row>
    <row r="77" spans="1:69" x14ac:dyDescent="0.35">
      <c r="A77" s="1" t="s">
        <v>68</v>
      </c>
      <c r="B77" s="1" t="s">
        <v>69</v>
      </c>
      <c r="C77" s="1" t="s">
        <v>70</v>
      </c>
      <c r="D77">
        <v>1</v>
      </c>
      <c r="E77">
        <v>1</v>
      </c>
      <c r="F77" s="2">
        <v>43585.43</v>
      </c>
      <c r="G77" s="3">
        <v>41275</v>
      </c>
      <c r="H77" s="3">
        <v>41639</v>
      </c>
      <c r="I77" s="1" t="s">
        <v>71</v>
      </c>
      <c r="J77">
        <v>4521</v>
      </c>
      <c r="K77">
        <v>0</v>
      </c>
      <c r="L77" s="1" t="s">
        <v>384</v>
      </c>
      <c r="M77" s="1" t="s">
        <v>72</v>
      </c>
      <c r="N77" s="1" t="s">
        <v>134</v>
      </c>
      <c r="O77" s="1" t="s">
        <v>385</v>
      </c>
      <c r="P77" s="1" t="s">
        <v>386</v>
      </c>
      <c r="Q77" s="1" t="s">
        <v>387</v>
      </c>
      <c r="R77">
        <v>103</v>
      </c>
      <c r="S77" s="1" t="s">
        <v>135</v>
      </c>
      <c r="T77" s="1" t="s">
        <v>388</v>
      </c>
      <c r="U77" s="1" t="s">
        <v>135</v>
      </c>
      <c r="V77" s="1" t="s">
        <v>74</v>
      </c>
      <c r="W77" s="1" t="s">
        <v>456</v>
      </c>
      <c r="X77" s="1" t="s">
        <v>561</v>
      </c>
      <c r="Y77" s="1" t="s">
        <v>76</v>
      </c>
      <c r="Z77">
        <v>2</v>
      </c>
      <c r="AA77" s="1" t="s">
        <v>80</v>
      </c>
      <c r="AB77">
        <v>234</v>
      </c>
      <c r="AC77" s="1" t="s">
        <v>608</v>
      </c>
      <c r="AD77" s="1" t="s">
        <v>664</v>
      </c>
      <c r="AE77" s="1" t="s">
        <v>712</v>
      </c>
      <c r="AF77">
        <v>0</v>
      </c>
      <c r="AG77">
        <v>0</v>
      </c>
      <c r="AH77">
        <v>300</v>
      </c>
      <c r="AI77">
        <v>0</v>
      </c>
      <c r="AJ77">
        <v>300</v>
      </c>
      <c r="AK77">
        <v>0</v>
      </c>
      <c r="AL77">
        <v>300</v>
      </c>
      <c r="AM77">
        <v>0</v>
      </c>
      <c r="AN77" s="1"/>
      <c r="AP77" s="1"/>
      <c r="AQ77" s="1"/>
      <c r="AR77" s="1"/>
      <c r="AS77" s="1"/>
      <c r="AT77" s="3"/>
      <c r="AU77" s="3"/>
      <c r="AV77" s="3"/>
      <c r="AW77" s="1"/>
      <c r="AX77" s="1"/>
      <c r="AZ77">
        <v>253</v>
      </c>
      <c r="BA77">
        <v>4654734.66</v>
      </c>
      <c r="BB77" s="1"/>
      <c r="BD77" s="1"/>
      <c r="BE77" s="1"/>
      <c r="BG77" s="1"/>
      <c r="BH77" s="1"/>
      <c r="BJ77" s="1"/>
      <c r="BL77" s="1"/>
      <c r="BN77" s="1"/>
      <c r="BO77">
        <v>599</v>
      </c>
      <c r="BP77">
        <v>4654734.66</v>
      </c>
      <c r="BQ77">
        <v>4654734.66</v>
      </c>
    </row>
    <row r="78" spans="1:69" x14ac:dyDescent="0.35">
      <c r="A78" s="1" t="s">
        <v>68</v>
      </c>
      <c r="B78" s="1" t="s">
        <v>69</v>
      </c>
      <c r="C78" s="1" t="s">
        <v>70</v>
      </c>
      <c r="D78">
        <v>1</v>
      </c>
      <c r="E78">
        <v>1</v>
      </c>
      <c r="F78" s="2">
        <v>43585.43</v>
      </c>
      <c r="G78" s="3">
        <v>41275</v>
      </c>
      <c r="H78" s="3">
        <v>41639</v>
      </c>
      <c r="I78" s="1" t="s">
        <v>71</v>
      </c>
      <c r="J78">
        <v>4521</v>
      </c>
      <c r="K78">
        <v>0</v>
      </c>
      <c r="L78" s="1" t="s">
        <v>384</v>
      </c>
      <c r="M78" s="1" t="s">
        <v>72</v>
      </c>
      <c r="N78" s="1" t="s">
        <v>134</v>
      </c>
      <c r="O78" s="1" t="s">
        <v>385</v>
      </c>
      <c r="P78" s="1" t="s">
        <v>386</v>
      </c>
      <c r="Q78" s="1" t="s">
        <v>387</v>
      </c>
      <c r="R78">
        <v>103</v>
      </c>
      <c r="S78" s="1" t="s">
        <v>135</v>
      </c>
      <c r="T78" s="1" t="s">
        <v>388</v>
      </c>
      <c r="U78" s="1" t="s">
        <v>135</v>
      </c>
      <c r="V78" s="1" t="s">
        <v>74</v>
      </c>
      <c r="W78" s="1" t="s">
        <v>457</v>
      </c>
      <c r="X78" s="1" t="s">
        <v>562</v>
      </c>
      <c r="Y78" s="1" t="s">
        <v>76</v>
      </c>
      <c r="Z78">
        <v>2</v>
      </c>
      <c r="AA78" s="1" t="s">
        <v>80</v>
      </c>
      <c r="AB78">
        <v>234</v>
      </c>
      <c r="AC78" s="1" t="s">
        <v>608</v>
      </c>
      <c r="AD78" s="1" t="s">
        <v>665</v>
      </c>
      <c r="AE78" s="1" t="s">
        <v>713</v>
      </c>
      <c r="AF78">
        <v>0</v>
      </c>
      <c r="AG78">
        <v>0</v>
      </c>
      <c r="AH78">
        <v>325.12</v>
      </c>
      <c r="AI78">
        <v>0</v>
      </c>
      <c r="AJ78">
        <v>325.12</v>
      </c>
      <c r="AK78">
        <v>0</v>
      </c>
      <c r="AL78">
        <v>325.12</v>
      </c>
      <c r="AM78">
        <v>0</v>
      </c>
      <c r="AN78" s="1"/>
      <c r="AP78" s="1"/>
      <c r="AQ78" s="1"/>
      <c r="AR78" s="1"/>
      <c r="AS78" s="1"/>
      <c r="AT78" s="3"/>
      <c r="AU78" s="3"/>
      <c r="AV78" s="3"/>
      <c r="AW78" s="1"/>
      <c r="AX78" s="1"/>
      <c r="AZ78">
        <v>253</v>
      </c>
      <c r="BA78">
        <v>4654734.66</v>
      </c>
      <c r="BB78" s="1"/>
      <c r="BD78" s="1"/>
      <c r="BE78" s="1"/>
      <c r="BG78" s="1"/>
      <c r="BH78" s="1"/>
      <c r="BJ78" s="1"/>
      <c r="BL78" s="1"/>
      <c r="BN78" s="1"/>
      <c r="BO78">
        <v>599</v>
      </c>
      <c r="BP78">
        <v>4654734.66</v>
      </c>
      <c r="BQ78">
        <v>4654734.66</v>
      </c>
    </row>
    <row r="79" spans="1:69" x14ac:dyDescent="0.35">
      <c r="A79" s="1" t="s">
        <v>68</v>
      </c>
      <c r="B79" s="1" t="s">
        <v>69</v>
      </c>
      <c r="C79" s="1" t="s">
        <v>70</v>
      </c>
      <c r="D79">
        <v>1</v>
      </c>
      <c r="E79">
        <v>1</v>
      </c>
      <c r="F79" s="2">
        <v>43585.43</v>
      </c>
      <c r="G79" s="3">
        <v>41275</v>
      </c>
      <c r="H79" s="3">
        <v>41639</v>
      </c>
      <c r="I79" s="1" t="s">
        <v>71</v>
      </c>
      <c r="J79">
        <v>4521</v>
      </c>
      <c r="K79">
        <v>0</v>
      </c>
      <c r="L79" s="1" t="s">
        <v>384</v>
      </c>
      <c r="M79" s="1" t="s">
        <v>72</v>
      </c>
      <c r="N79" s="1" t="s">
        <v>134</v>
      </c>
      <c r="O79" s="1" t="s">
        <v>385</v>
      </c>
      <c r="P79" s="1" t="s">
        <v>386</v>
      </c>
      <c r="Q79" s="1" t="s">
        <v>387</v>
      </c>
      <c r="R79">
        <v>103</v>
      </c>
      <c r="S79" s="1" t="s">
        <v>135</v>
      </c>
      <c r="T79" s="1" t="s">
        <v>388</v>
      </c>
      <c r="U79" s="1" t="s">
        <v>135</v>
      </c>
      <c r="V79" s="1" t="s">
        <v>74</v>
      </c>
      <c r="W79" s="1" t="s">
        <v>458</v>
      </c>
      <c r="X79" s="1" t="s">
        <v>563</v>
      </c>
      <c r="Y79" s="1" t="s">
        <v>76</v>
      </c>
      <c r="Z79">
        <v>2</v>
      </c>
      <c r="AA79" s="1" t="s">
        <v>80</v>
      </c>
      <c r="AB79">
        <v>234</v>
      </c>
      <c r="AC79" s="1" t="s">
        <v>608</v>
      </c>
      <c r="AD79" s="1" t="s">
        <v>666</v>
      </c>
      <c r="AE79" s="1" t="s">
        <v>714</v>
      </c>
      <c r="AF79">
        <v>0</v>
      </c>
      <c r="AG79">
        <v>0</v>
      </c>
      <c r="AH79">
        <v>0</v>
      </c>
      <c r="AI79">
        <v>500</v>
      </c>
      <c r="AJ79">
        <v>0</v>
      </c>
      <c r="AK79">
        <v>500</v>
      </c>
      <c r="AL79">
        <v>0</v>
      </c>
      <c r="AM79">
        <v>500</v>
      </c>
      <c r="AN79" s="1"/>
      <c r="AP79" s="1"/>
      <c r="AQ79" s="1"/>
      <c r="AR79" s="1"/>
      <c r="AS79" s="1"/>
      <c r="AT79" s="3"/>
      <c r="AU79" s="3"/>
      <c r="AV79" s="3"/>
      <c r="AW79" s="1"/>
      <c r="AX79" s="1"/>
      <c r="AZ79">
        <v>253</v>
      </c>
      <c r="BA79">
        <v>4654734.66</v>
      </c>
      <c r="BB79" s="1"/>
      <c r="BD79" s="1"/>
      <c r="BE79" s="1"/>
      <c r="BG79" s="1"/>
      <c r="BH79" s="1"/>
      <c r="BJ79" s="1"/>
      <c r="BL79" s="1"/>
      <c r="BN79" s="1"/>
      <c r="BO79">
        <v>599</v>
      </c>
      <c r="BP79">
        <v>4654734.66</v>
      </c>
      <c r="BQ79">
        <v>4654734.66</v>
      </c>
    </row>
    <row r="80" spans="1:69" x14ac:dyDescent="0.35">
      <c r="A80" s="1" t="s">
        <v>68</v>
      </c>
      <c r="B80" s="1" t="s">
        <v>69</v>
      </c>
      <c r="C80" s="1" t="s">
        <v>70</v>
      </c>
      <c r="D80">
        <v>1</v>
      </c>
      <c r="E80">
        <v>1</v>
      </c>
      <c r="F80" s="2">
        <v>43585.43</v>
      </c>
      <c r="G80" s="3">
        <v>41275</v>
      </c>
      <c r="H80" s="3">
        <v>41639</v>
      </c>
      <c r="I80" s="1" t="s">
        <v>71</v>
      </c>
      <c r="J80">
        <v>4521</v>
      </c>
      <c r="K80">
        <v>0</v>
      </c>
      <c r="L80" s="1" t="s">
        <v>384</v>
      </c>
      <c r="M80" s="1" t="s">
        <v>72</v>
      </c>
      <c r="N80" s="1" t="s">
        <v>134</v>
      </c>
      <c r="O80" s="1" t="s">
        <v>385</v>
      </c>
      <c r="P80" s="1" t="s">
        <v>386</v>
      </c>
      <c r="Q80" s="1" t="s">
        <v>387</v>
      </c>
      <c r="R80">
        <v>103</v>
      </c>
      <c r="S80" s="1" t="s">
        <v>135</v>
      </c>
      <c r="T80" s="1" t="s">
        <v>388</v>
      </c>
      <c r="U80" s="1" t="s">
        <v>135</v>
      </c>
      <c r="V80" s="1" t="s">
        <v>74</v>
      </c>
      <c r="W80" s="1" t="s">
        <v>459</v>
      </c>
      <c r="X80" s="1" t="s">
        <v>564</v>
      </c>
      <c r="Y80" s="1" t="s">
        <v>76</v>
      </c>
      <c r="Z80">
        <v>2</v>
      </c>
      <c r="AA80" s="1" t="s">
        <v>80</v>
      </c>
      <c r="AB80">
        <v>234</v>
      </c>
      <c r="AC80" s="1" t="s">
        <v>608</v>
      </c>
      <c r="AD80" s="1" t="s">
        <v>667</v>
      </c>
      <c r="AE80" s="1" t="s">
        <v>715</v>
      </c>
      <c r="AF80">
        <v>0</v>
      </c>
      <c r="AG80">
        <v>0</v>
      </c>
      <c r="AH80">
        <v>6500</v>
      </c>
      <c r="AI80">
        <v>0</v>
      </c>
      <c r="AJ80">
        <v>6500</v>
      </c>
      <c r="AK80">
        <v>0</v>
      </c>
      <c r="AL80">
        <v>6500</v>
      </c>
      <c r="AM80">
        <v>0</v>
      </c>
      <c r="AN80" s="1"/>
      <c r="AP80" s="1"/>
      <c r="AQ80" s="1"/>
      <c r="AR80" s="1"/>
      <c r="AS80" s="1"/>
      <c r="AT80" s="3"/>
      <c r="AU80" s="3"/>
      <c r="AV80" s="3"/>
      <c r="AW80" s="1"/>
      <c r="AX80" s="1"/>
      <c r="AZ80">
        <v>253</v>
      </c>
      <c r="BA80">
        <v>4654734.66</v>
      </c>
      <c r="BB80" s="1"/>
      <c r="BD80" s="1"/>
      <c r="BE80" s="1"/>
      <c r="BG80" s="1"/>
      <c r="BH80" s="1"/>
      <c r="BJ80" s="1"/>
      <c r="BL80" s="1"/>
      <c r="BN80" s="1"/>
      <c r="BO80">
        <v>599</v>
      </c>
      <c r="BP80">
        <v>4654734.66</v>
      </c>
      <c r="BQ80">
        <v>4654734.66</v>
      </c>
    </row>
    <row r="81" spans="1:69" x14ac:dyDescent="0.35">
      <c r="A81" s="1" t="s">
        <v>68</v>
      </c>
      <c r="B81" s="1" t="s">
        <v>69</v>
      </c>
      <c r="C81" s="1" t="s">
        <v>70</v>
      </c>
      <c r="D81">
        <v>1</v>
      </c>
      <c r="E81">
        <v>1</v>
      </c>
      <c r="F81" s="2">
        <v>43585.43</v>
      </c>
      <c r="G81" s="3">
        <v>41275</v>
      </c>
      <c r="H81" s="3">
        <v>41639</v>
      </c>
      <c r="I81" s="1" t="s">
        <v>71</v>
      </c>
      <c r="J81">
        <v>4521</v>
      </c>
      <c r="K81">
        <v>0</v>
      </c>
      <c r="L81" s="1" t="s">
        <v>384</v>
      </c>
      <c r="M81" s="1" t="s">
        <v>72</v>
      </c>
      <c r="N81" s="1" t="s">
        <v>134</v>
      </c>
      <c r="O81" s="1" t="s">
        <v>385</v>
      </c>
      <c r="P81" s="1" t="s">
        <v>386</v>
      </c>
      <c r="Q81" s="1" t="s">
        <v>387</v>
      </c>
      <c r="R81">
        <v>103</v>
      </c>
      <c r="S81" s="1" t="s">
        <v>135</v>
      </c>
      <c r="T81" s="1" t="s">
        <v>388</v>
      </c>
      <c r="U81" s="1" t="s">
        <v>135</v>
      </c>
      <c r="V81" s="1" t="s">
        <v>74</v>
      </c>
      <c r="W81" s="1" t="s">
        <v>460</v>
      </c>
      <c r="X81" s="1" t="s">
        <v>565</v>
      </c>
      <c r="Y81" s="1" t="s">
        <v>76</v>
      </c>
      <c r="Z81">
        <v>2</v>
      </c>
      <c r="AA81" s="1" t="s">
        <v>80</v>
      </c>
      <c r="AB81">
        <v>234</v>
      </c>
      <c r="AC81" s="1" t="s">
        <v>608</v>
      </c>
      <c r="AD81" s="1" t="s">
        <v>668</v>
      </c>
      <c r="AE81" s="1" t="s">
        <v>714</v>
      </c>
      <c r="AF81">
        <v>0</v>
      </c>
      <c r="AG81">
        <v>0</v>
      </c>
      <c r="AH81">
        <v>4500</v>
      </c>
      <c r="AI81">
        <v>0</v>
      </c>
      <c r="AJ81">
        <v>4500</v>
      </c>
      <c r="AK81">
        <v>0</v>
      </c>
      <c r="AL81">
        <v>4500</v>
      </c>
      <c r="AM81">
        <v>0</v>
      </c>
      <c r="AN81" s="1"/>
      <c r="AP81" s="1"/>
      <c r="AQ81" s="1"/>
      <c r="AR81" s="1"/>
      <c r="AS81" s="1"/>
      <c r="AT81" s="3"/>
      <c r="AU81" s="3"/>
      <c r="AV81" s="3"/>
      <c r="AW81" s="1"/>
      <c r="AX81" s="1"/>
      <c r="AZ81">
        <v>253</v>
      </c>
      <c r="BA81">
        <v>4654734.66</v>
      </c>
      <c r="BB81" s="1"/>
      <c r="BD81" s="1"/>
      <c r="BE81" s="1"/>
      <c r="BG81" s="1"/>
      <c r="BH81" s="1"/>
      <c r="BJ81" s="1"/>
      <c r="BL81" s="1"/>
      <c r="BN81" s="1"/>
      <c r="BO81">
        <v>599</v>
      </c>
      <c r="BP81">
        <v>4654734.66</v>
      </c>
      <c r="BQ81">
        <v>4654734.66</v>
      </c>
    </row>
    <row r="82" spans="1:69" x14ac:dyDescent="0.35">
      <c r="A82" s="1" t="s">
        <v>68</v>
      </c>
      <c r="B82" s="1" t="s">
        <v>69</v>
      </c>
      <c r="C82" s="1" t="s">
        <v>70</v>
      </c>
      <c r="D82">
        <v>1</v>
      </c>
      <c r="E82">
        <v>1</v>
      </c>
      <c r="F82" s="2">
        <v>43585.43</v>
      </c>
      <c r="G82" s="3">
        <v>41275</v>
      </c>
      <c r="H82" s="3">
        <v>41639</v>
      </c>
      <c r="I82" s="1" t="s">
        <v>71</v>
      </c>
      <c r="J82">
        <v>4521</v>
      </c>
      <c r="K82">
        <v>0</v>
      </c>
      <c r="L82" s="1" t="s">
        <v>384</v>
      </c>
      <c r="M82" s="1" t="s">
        <v>72</v>
      </c>
      <c r="N82" s="1" t="s">
        <v>134</v>
      </c>
      <c r="O82" s="1" t="s">
        <v>385</v>
      </c>
      <c r="P82" s="1" t="s">
        <v>386</v>
      </c>
      <c r="Q82" s="1" t="s">
        <v>387</v>
      </c>
      <c r="R82">
        <v>103</v>
      </c>
      <c r="S82" s="1" t="s">
        <v>135</v>
      </c>
      <c r="T82" s="1" t="s">
        <v>388</v>
      </c>
      <c r="U82" s="1" t="s">
        <v>135</v>
      </c>
      <c r="V82" s="1" t="s">
        <v>74</v>
      </c>
      <c r="W82" s="1" t="s">
        <v>461</v>
      </c>
      <c r="X82" s="1" t="s">
        <v>566</v>
      </c>
      <c r="Y82" s="1" t="s">
        <v>76</v>
      </c>
      <c r="Z82">
        <v>2</v>
      </c>
      <c r="AA82" s="1" t="s">
        <v>80</v>
      </c>
      <c r="AB82">
        <v>234</v>
      </c>
      <c r="AC82" s="1" t="s">
        <v>608</v>
      </c>
      <c r="AD82" s="1" t="s">
        <v>669</v>
      </c>
      <c r="AE82" s="1" t="s">
        <v>716</v>
      </c>
      <c r="AF82">
        <v>0</v>
      </c>
      <c r="AG82">
        <v>0</v>
      </c>
      <c r="AH82">
        <v>0</v>
      </c>
      <c r="AI82">
        <v>6500</v>
      </c>
      <c r="AJ82">
        <v>0</v>
      </c>
      <c r="AK82">
        <v>6500</v>
      </c>
      <c r="AL82">
        <v>0</v>
      </c>
      <c r="AM82">
        <v>6500</v>
      </c>
      <c r="AN82" s="1"/>
      <c r="AP82" s="1"/>
      <c r="AQ82" s="1"/>
      <c r="AR82" s="1"/>
      <c r="AS82" s="1"/>
      <c r="AT82" s="3"/>
      <c r="AU82" s="3"/>
      <c r="AV82" s="3"/>
      <c r="AW82" s="1"/>
      <c r="AX82" s="1"/>
      <c r="AZ82">
        <v>253</v>
      </c>
      <c r="BA82">
        <v>4654734.66</v>
      </c>
      <c r="BB82" s="1"/>
      <c r="BD82" s="1"/>
      <c r="BE82" s="1"/>
      <c r="BG82" s="1"/>
      <c r="BH82" s="1"/>
      <c r="BJ82" s="1"/>
      <c r="BL82" s="1"/>
      <c r="BN82" s="1"/>
      <c r="BO82">
        <v>599</v>
      </c>
      <c r="BP82">
        <v>4654734.66</v>
      </c>
      <c r="BQ82">
        <v>4654734.66</v>
      </c>
    </row>
    <row r="83" spans="1:69" x14ac:dyDescent="0.35">
      <c r="A83" s="1" t="s">
        <v>68</v>
      </c>
      <c r="B83" s="1" t="s">
        <v>69</v>
      </c>
      <c r="C83" s="1" t="s">
        <v>70</v>
      </c>
      <c r="D83">
        <v>1</v>
      </c>
      <c r="E83">
        <v>1</v>
      </c>
      <c r="F83" s="2">
        <v>43585.43</v>
      </c>
      <c r="G83" s="3">
        <v>41275</v>
      </c>
      <c r="H83" s="3">
        <v>41639</v>
      </c>
      <c r="I83" s="1" t="s">
        <v>71</v>
      </c>
      <c r="J83">
        <v>4521</v>
      </c>
      <c r="K83">
        <v>0</v>
      </c>
      <c r="L83" s="1" t="s">
        <v>384</v>
      </c>
      <c r="M83" s="1" t="s">
        <v>72</v>
      </c>
      <c r="N83" s="1" t="s">
        <v>134</v>
      </c>
      <c r="O83" s="1" t="s">
        <v>385</v>
      </c>
      <c r="P83" s="1" t="s">
        <v>386</v>
      </c>
      <c r="Q83" s="1" t="s">
        <v>387</v>
      </c>
      <c r="R83">
        <v>103</v>
      </c>
      <c r="S83" s="1" t="s">
        <v>135</v>
      </c>
      <c r="T83" s="1" t="s">
        <v>388</v>
      </c>
      <c r="U83" s="1" t="s">
        <v>135</v>
      </c>
      <c r="V83" s="1" t="s">
        <v>74</v>
      </c>
      <c r="W83" s="1" t="s">
        <v>462</v>
      </c>
      <c r="X83" s="1" t="s">
        <v>567</v>
      </c>
      <c r="Y83" s="1" t="s">
        <v>76</v>
      </c>
      <c r="Z83">
        <v>2</v>
      </c>
      <c r="AA83" s="1" t="s">
        <v>80</v>
      </c>
      <c r="AB83">
        <v>234</v>
      </c>
      <c r="AC83" s="1" t="s">
        <v>608</v>
      </c>
      <c r="AD83" s="1" t="s">
        <v>670</v>
      </c>
      <c r="AE83" s="1" t="s">
        <v>711</v>
      </c>
      <c r="AF83">
        <v>0</v>
      </c>
      <c r="AG83">
        <v>1000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1000</v>
      </c>
      <c r="AN83" s="1"/>
      <c r="AP83" s="1"/>
      <c r="AQ83" s="1"/>
      <c r="AR83" s="1"/>
      <c r="AS83" s="1"/>
      <c r="AT83" s="3"/>
      <c r="AU83" s="3"/>
      <c r="AV83" s="3"/>
      <c r="AW83" s="1"/>
      <c r="AX83" s="1"/>
      <c r="AZ83">
        <v>253</v>
      </c>
      <c r="BA83">
        <v>4654734.66</v>
      </c>
      <c r="BB83" s="1"/>
      <c r="BD83" s="1"/>
      <c r="BE83" s="1"/>
      <c r="BG83" s="1"/>
      <c r="BH83" s="1"/>
      <c r="BJ83" s="1"/>
      <c r="BL83" s="1"/>
      <c r="BN83" s="1"/>
      <c r="BO83">
        <v>599</v>
      </c>
      <c r="BP83">
        <v>4654734.66</v>
      </c>
      <c r="BQ83">
        <v>4654734.66</v>
      </c>
    </row>
    <row r="84" spans="1:69" x14ac:dyDescent="0.35">
      <c r="A84" s="1" t="s">
        <v>68</v>
      </c>
      <c r="B84" s="1" t="s">
        <v>69</v>
      </c>
      <c r="C84" s="1" t="s">
        <v>70</v>
      </c>
      <c r="D84">
        <v>1</v>
      </c>
      <c r="E84">
        <v>1</v>
      </c>
      <c r="F84" s="2">
        <v>43585.43</v>
      </c>
      <c r="G84" s="3">
        <v>41275</v>
      </c>
      <c r="H84" s="3">
        <v>41639</v>
      </c>
      <c r="I84" s="1" t="s">
        <v>71</v>
      </c>
      <c r="J84">
        <v>4521</v>
      </c>
      <c r="K84">
        <v>0</v>
      </c>
      <c r="L84" s="1" t="s">
        <v>384</v>
      </c>
      <c r="M84" s="1" t="s">
        <v>72</v>
      </c>
      <c r="N84" s="1" t="s">
        <v>134</v>
      </c>
      <c r="O84" s="1" t="s">
        <v>385</v>
      </c>
      <c r="P84" s="1" t="s">
        <v>386</v>
      </c>
      <c r="Q84" s="1" t="s">
        <v>387</v>
      </c>
      <c r="R84">
        <v>103</v>
      </c>
      <c r="S84" s="1" t="s">
        <v>135</v>
      </c>
      <c r="T84" s="1" t="s">
        <v>388</v>
      </c>
      <c r="U84" s="1" t="s">
        <v>135</v>
      </c>
      <c r="V84" s="1" t="s">
        <v>74</v>
      </c>
      <c r="W84" s="1" t="s">
        <v>463</v>
      </c>
      <c r="X84" s="1" t="s">
        <v>568</v>
      </c>
      <c r="Y84" s="1" t="s">
        <v>76</v>
      </c>
      <c r="Z84">
        <v>2</v>
      </c>
      <c r="AA84" s="1" t="s">
        <v>80</v>
      </c>
      <c r="AB84">
        <v>234</v>
      </c>
      <c r="AC84" s="1" t="s">
        <v>608</v>
      </c>
      <c r="AD84" s="1" t="s">
        <v>145</v>
      </c>
      <c r="AE84" s="1" t="s">
        <v>717</v>
      </c>
      <c r="AF84">
        <v>0</v>
      </c>
      <c r="AG84">
        <v>0</v>
      </c>
      <c r="AH84">
        <v>0</v>
      </c>
      <c r="AI84">
        <v>156.12</v>
      </c>
      <c r="AJ84">
        <v>0</v>
      </c>
      <c r="AK84">
        <v>156.12</v>
      </c>
      <c r="AL84">
        <v>0</v>
      </c>
      <c r="AM84">
        <v>156.12</v>
      </c>
      <c r="AN84" s="1"/>
      <c r="AP84" s="1"/>
      <c r="AQ84" s="1"/>
      <c r="AR84" s="1"/>
      <c r="AS84" s="1"/>
      <c r="AT84" s="3"/>
      <c r="AU84" s="3"/>
      <c r="AV84" s="3"/>
      <c r="AW84" s="1"/>
      <c r="AX84" s="1"/>
      <c r="AZ84">
        <v>253</v>
      </c>
      <c r="BA84">
        <v>4654734.66</v>
      </c>
      <c r="BB84" s="1"/>
      <c r="BD84" s="1"/>
      <c r="BE84" s="1"/>
      <c r="BG84" s="1"/>
      <c r="BH84" s="1"/>
      <c r="BJ84" s="1"/>
      <c r="BL84" s="1"/>
      <c r="BN84" s="1"/>
      <c r="BO84">
        <v>599</v>
      </c>
      <c r="BP84">
        <v>4654734.66</v>
      </c>
      <c r="BQ84">
        <v>4654734.66</v>
      </c>
    </row>
    <row r="85" spans="1:69" x14ac:dyDescent="0.35">
      <c r="A85" s="1" t="s">
        <v>68</v>
      </c>
      <c r="B85" s="1" t="s">
        <v>69</v>
      </c>
      <c r="C85" s="1" t="s">
        <v>70</v>
      </c>
      <c r="D85">
        <v>1</v>
      </c>
      <c r="E85">
        <v>1</v>
      </c>
      <c r="F85" s="2">
        <v>43585.43</v>
      </c>
      <c r="G85" s="3">
        <v>41275</v>
      </c>
      <c r="H85" s="3">
        <v>41639</v>
      </c>
      <c r="I85" s="1" t="s">
        <v>71</v>
      </c>
      <c r="J85">
        <v>4521</v>
      </c>
      <c r="K85">
        <v>0</v>
      </c>
      <c r="L85" s="1" t="s">
        <v>384</v>
      </c>
      <c r="M85" s="1" t="s">
        <v>72</v>
      </c>
      <c r="N85" s="1" t="s">
        <v>134</v>
      </c>
      <c r="O85" s="1" t="s">
        <v>385</v>
      </c>
      <c r="P85" s="1" t="s">
        <v>386</v>
      </c>
      <c r="Q85" s="1" t="s">
        <v>387</v>
      </c>
      <c r="R85">
        <v>103</v>
      </c>
      <c r="S85" s="1" t="s">
        <v>135</v>
      </c>
      <c r="T85" s="1" t="s">
        <v>388</v>
      </c>
      <c r="U85" s="1" t="s">
        <v>135</v>
      </c>
      <c r="V85" s="1" t="s">
        <v>74</v>
      </c>
      <c r="W85" s="1" t="s">
        <v>464</v>
      </c>
      <c r="X85" s="1" t="s">
        <v>569</v>
      </c>
      <c r="Y85" s="1" t="s">
        <v>76</v>
      </c>
      <c r="Z85">
        <v>2</v>
      </c>
      <c r="AA85" s="1" t="s">
        <v>80</v>
      </c>
      <c r="AB85">
        <v>240</v>
      </c>
      <c r="AC85" s="1" t="s">
        <v>569</v>
      </c>
      <c r="AD85" s="1"/>
      <c r="AE85" s="1" t="s">
        <v>569</v>
      </c>
      <c r="AF85">
        <v>0</v>
      </c>
      <c r="AG85">
        <v>0</v>
      </c>
      <c r="AH85">
        <v>600000</v>
      </c>
      <c r="AI85">
        <v>600000</v>
      </c>
      <c r="AJ85">
        <v>600000</v>
      </c>
      <c r="AK85">
        <v>600000</v>
      </c>
      <c r="AL85">
        <v>0</v>
      </c>
      <c r="AM85">
        <v>0</v>
      </c>
      <c r="AN85" s="1"/>
      <c r="AP85" s="1"/>
      <c r="AQ85" s="1"/>
      <c r="AR85" s="1"/>
      <c r="AS85" s="1"/>
      <c r="AT85" s="3"/>
      <c r="AU85" s="3"/>
      <c r="AV85" s="3"/>
      <c r="AW85" s="1"/>
      <c r="AX85" s="1"/>
      <c r="AZ85">
        <v>253</v>
      </c>
      <c r="BA85">
        <v>4654734.66</v>
      </c>
      <c r="BB85" s="1"/>
      <c r="BD85" s="1"/>
      <c r="BE85" s="1"/>
      <c r="BG85" s="1"/>
      <c r="BH85" s="1"/>
      <c r="BJ85" s="1"/>
      <c r="BL85" s="1"/>
      <c r="BN85" s="1"/>
      <c r="BO85">
        <v>599</v>
      </c>
      <c r="BP85">
        <v>4654734.66</v>
      </c>
      <c r="BQ85">
        <v>4654734.66</v>
      </c>
    </row>
    <row r="86" spans="1:69" x14ac:dyDescent="0.35">
      <c r="A86" s="1" t="s">
        <v>68</v>
      </c>
      <c r="B86" s="1" t="s">
        <v>69</v>
      </c>
      <c r="C86" s="1" t="s">
        <v>70</v>
      </c>
      <c r="D86">
        <v>1</v>
      </c>
      <c r="E86">
        <v>1</v>
      </c>
      <c r="F86" s="2">
        <v>43585.43</v>
      </c>
      <c r="G86" s="3">
        <v>41275</v>
      </c>
      <c r="H86" s="3">
        <v>41639</v>
      </c>
      <c r="I86" s="1" t="s">
        <v>71</v>
      </c>
      <c r="J86">
        <v>4521</v>
      </c>
      <c r="K86">
        <v>0</v>
      </c>
      <c r="L86" s="1" t="s">
        <v>384</v>
      </c>
      <c r="M86" s="1" t="s">
        <v>72</v>
      </c>
      <c r="N86" s="1" t="s">
        <v>134</v>
      </c>
      <c r="O86" s="1" t="s">
        <v>385</v>
      </c>
      <c r="P86" s="1" t="s">
        <v>386</v>
      </c>
      <c r="Q86" s="1" t="s">
        <v>387</v>
      </c>
      <c r="R86">
        <v>103</v>
      </c>
      <c r="S86" s="1" t="s">
        <v>135</v>
      </c>
      <c r="T86" s="1" t="s">
        <v>388</v>
      </c>
      <c r="U86" s="1" t="s">
        <v>135</v>
      </c>
      <c r="V86" s="1" t="s">
        <v>74</v>
      </c>
      <c r="W86" s="1" t="s">
        <v>465</v>
      </c>
      <c r="X86" s="1" t="s">
        <v>570</v>
      </c>
      <c r="Y86" s="1" t="s">
        <v>76</v>
      </c>
      <c r="Z86">
        <v>3</v>
      </c>
      <c r="AA86" s="1" t="s">
        <v>598</v>
      </c>
      <c r="AB86">
        <v>301</v>
      </c>
      <c r="AC86" s="1" t="s">
        <v>609</v>
      </c>
      <c r="AD86" s="1" t="s">
        <v>90</v>
      </c>
      <c r="AE86" s="1" t="s">
        <v>718</v>
      </c>
      <c r="AF86">
        <v>245</v>
      </c>
      <c r="AG86">
        <v>0</v>
      </c>
      <c r="AH86">
        <v>825</v>
      </c>
      <c r="AI86">
        <v>0</v>
      </c>
      <c r="AJ86">
        <v>825</v>
      </c>
      <c r="AK86">
        <v>0</v>
      </c>
      <c r="AL86">
        <v>1070</v>
      </c>
      <c r="AM86">
        <v>0</v>
      </c>
      <c r="AN86" s="1"/>
      <c r="AP86" s="1"/>
      <c r="AQ86" s="1"/>
      <c r="AR86" s="1"/>
      <c r="AS86" s="1"/>
      <c r="AT86" s="3"/>
      <c r="AU86" s="3"/>
      <c r="AV86" s="3"/>
      <c r="AW86" s="1"/>
      <c r="AX86" s="1"/>
      <c r="AZ86">
        <v>253</v>
      </c>
      <c r="BA86">
        <v>4654734.66</v>
      </c>
      <c r="BB86" s="1"/>
      <c r="BD86" s="1"/>
      <c r="BE86" s="1"/>
      <c r="BG86" s="1"/>
      <c r="BH86" s="1"/>
      <c r="BJ86" s="1"/>
      <c r="BL86" s="1"/>
      <c r="BN86" s="1"/>
      <c r="BO86">
        <v>599</v>
      </c>
      <c r="BP86">
        <v>4654734.66</v>
      </c>
      <c r="BQ86">
        <v>4654734.66</v>
      </c>
    </row>
    <row r="87" spans="1:69" x14ac:dyDescent="0.35">
      <c r="A87" s="1" t="s">
        <v>68</v>
      </c>
      <c r="B87" s="1" t="s">
        <v>69</v>
      </c>
      <c r="C87" s="1" t="s">
        <v>70</v>
      </c>
      <c r="D87">
        <v>1</v>
      </c>
      <c r="E87">
        <v>1</v>
      </c>
      <c r="F87" s="2">
        <v>43585.43</v>
      </c>
      <c r="G87" s="3">
        <v>41275</v>
      </c>
      <c r="H87" s="3">
        <v>41639</v>
      </c>
      <c r="I87" s="1" t="s">
        <v>71</v>
      </c>
      <c r="J87">
        <v>4521</v>
      </c>
      <c r="K87">
        <v>0</v>
      </c>
      <c r="L87" s="1" t="s">
        <v>384</v>
      </c>
      <c r="M87" s="1" t="s">
        <v>72</v>
      </c>
      <c r="N87" s="1" t="s">
        <v>134</v>
      </c>
      <c r="O87" s="1" t="s">
        <v>385</v>
      </c>
      <c r="P87" s="1" t="s">
        <v>386</v>
      </c>
      <c r="Q87" s="1" t="s">
        <v>387</v>
      </c>
      <c r="R87">
        <v>103</v>
      </c>
      <c r="S87" s="1" t="s">
        <v>135</v>
      </c>
      <c r="T87" s="1" t="s">
        <v>388</v>
      </c>
      <c r="U87" s="1" t="s">
        <v>135</v>
      </c>
      <c r="V87" s="1" t="s">
        <v>74</v>
      </c>
      <c r="W87" s="1" t="s">
        <v>466</v>
      </c>
      <c r="X87" s="1" t="s">
        <v>571</v>
      </c>
      <c r="Y87" s="1" t="s">
        <v>76</v>
      </c>
      <c r="Z87">
        <v>3</v>
      </c>
      <c r="AA87" s="1" t="s">
        <v>598</v>
      </c>
      <c r="AB87">
        <v>302</v>
      </c>
      <c r="AC87" s="1" t="s">
        <v>610</v>
      </c>
      <c r="AD87" s="1" t="s">
        <v>90</v>
      </c>
      <c r="AE87" s="1" t="s">
        <v>719</v>
      </c>
      <c r="AF87">
        <v>3828.25</v>
      </c>
      <c r="AG87">
        <v>0</v>
      </c>
      <c r="AH87">
        <v>288203.15000000002</v>
      </c>
      <c r="AI87">
        <v>0</v>
      </c>
      <c r="AJ87">
        <v>288203.15000000002</v>
      </c>
      <c r="AK87">
        <v>0</v>
      </c>
      <c r="AL87">
        <v>292031.40000000002</v>
      </c>
      <c r="AM87">
        <v>0</v>
      </c>
      <c r="AN87" s="1"/>
      <c r="AP87" s="1"/>
      <c r="AQ87" s="1"/>
      <c r="AR87" s="1"/>
      <c r="AS87" s="1"/>
      <c r="AT87" s="3"/>
      <c r="AU87" s="3"/>
      <c r="AV87" s="3"/>
      <c r="AW87" s="1"/>
      <c r="AX87" s="1"/>
      <c r="AZ87">
        <v>253</v>
      </c>
      <c r="BA87">
        <v>4654734.66</v>
      </c>
      <c r="BB87" s="1"/>
      <c r="BD87" s="1"/>
      <c r="BE87" s="1"/>
      <c r="BG87" s="1"/>
      <c r="BH87" s="1"/>
      <c r="BJ87" s="1"/>
      <c r="BL87" s="1"/>
      <c r="BN87" s="1"/>
      <c r="BO87">
        <v>599</v>
      </c>
      <c r="BP87">
        <v>4654734.66</v>
      </c>
      <c r="BQ87">
        <v>4654734.66</v>
      </c>
    </row>
    <row r="88" spans="1:69" x14ac:dyDescent="0.35">
      <c r="A88" s="1" t="s">
        <v>68</v>
      </c>
      <c r="B88" s="1" t="s">
        <v>69</v>
      </c>
      <c r="C88" s="1" t="s">
        <v>70</v>
      </c>
      <c r="D88">
        <v>1</v>
      </c>
      <c r="E88">
        <v>1</v>
      </c>
      <c r="F88" s="2">
        <v>43585.43</v>
      </c>
      <c r="G88" s="3">
        <v>41275</v>
      </c>
      <c r="H88" s="3">
        <v>41639</v>
      </c>
      <c r="I88" s="1" t="s">
        <v>71</v>
      </c>
      <c r="J88">
        <v>4521</v>
      </c>
      <c r="K88">
        <v>0</v>
      </c>
      <c r="L88" s="1" t="s">
        <v>384</v>
      </c>
      <c r="M88" s="1" t="s">
        <v>72</v>
      </c>
      <c r="N88" s="1" t="s">
        <v>134</v>
      </c>
      <c r="O88" s="1" t="s">
        <v>385</v>
      </c>
      <c r="P88" s="1" t="s">
        <v>386</v>
      </c>
      <c r="Q88" s="1" t="s">
        <v>387</v>
      </c>
      <c r="R88">
        <v>103</v>
      </c>
      <c r="S88" s="1" t="s">
        <v>135</v>
      </c>
      <c r="T88" s="1" t="s">
        <v>388</v>
      </c>
      <c r="U88" s="1" t="s">
        <v>135</v>
      </c>
      <c r="V88" s="1" t="s">
        <v>74</v>
      </c>
      <c r="W88" s="1" t="s">
        <v>467</v>
      </c>
      <c r="X88" s="1" t="s">
        <v>572</v>
      </c>
      <c r="Y88" s="1" t="s">
        <v>76</v>
      </c>
      <c r="Z88">
        <v>3</v>
      </c>
      <c r="AA88" s="1" t="s">
        <v>598</v>
      </c>
      <c r="AB88">
        <v>302</v>
      </c>
      <c r="AC88" s="1" t="s">
        <v>610</v>
      </c>
      <c r="AD88" s="1" t="s">
        <v>671</v>
      </c>
      <c r="AE88" s="1" t="s">
        <v>720</v>
      </c>
      <c r="AF88">
        <v>9265</v>
      </c>
      <c r="AG88">
        <v>0</v>
      </c>
      <c r="AH88">
        <v>980</v>
      </c>
      <c r="AI88">
        <v>0</v>
      </c>
      <c r="AJ88">
        <v>980</v>
      </c>
      <c r="AK88">
        <v>0</v>
      </c>
      <c r="AL88">
        <v>10245</v>
      </c>
      <c r="AM88">
        <v>0</v>
      </c>
      <c r="AN88" s="1"/>
      <c r="AP88" s="1"/>
      <c r="AQ88" s="1"/>
      <c r="AR88" s="1"/>
      <c r="AS88" s="1"/>
      <c r="AT88" s="3"/>
      <c r="AU88" s="3"/>
      <c r="AV88" s="3"/>
      <c r="AW88" s="1"/>
      <c r="AX88" s="1"/>
      <c r="AZ88">
        <v>253</v>
      </c>
      <c r="BA88">
        <v>4654734.66</v>
      </c>
      <c r="BB88" s="1"/>
      <c r="BD88" s="1"/>
      <c r="BE88" s="1"/>
      <c r="BG88" s="1"/>
      <c r="BH88" s="1"/>
      <c r="BJ88" s="1"/>
      <c r="BL88" s="1"/>
      <c r="BN88" s="1"/>
      <c r="BO88">
        <v>599</v>
      </c>
      <c r="BP88">
        <v>4654734.66</v>
      </c>
      <c r="BQ88">
        <v>4654734.66</v>
      </c>
    </row>
    <row r="89" spans="1:69" x14ac:dyDescent="0.35">
      <c r="A89" s="1" t="s">
        <v>68</v>
      </c>
      <c r="B89" s="1" t="s">
        <v>69</v>
      </c>
      <c r="C89" s="1" t="s">
        <v>70</v>
      </c>
      <c r="D89">
        <v>1</v>
      </c>
      <c r="E89">
        <v>1</v>
      </c>
      <c r="F89" s="2">
        <v>43585.43</v>
      </c>
      <c r="G89" s="3">
        <v>41275</v>
      </c>
      <c r="H89" s="3">
        <v>41639</v>
      </c>
      <c r="I89" s="1" t="s">
        <v>71</v>
      </c>
      <c r="J89">
        <v>4521</v>
      </c>
      <c r="K89">
        <v>0</v>
      </c>
      <c r="L89" s="1" t="s">
        <v>384</v>
      </c>
      <c r="M89" s="1" t="s">
        <v>72</v>
      </c>
      <c r="N89" s="1" t="s">
        <v>134</v>
      </c>
      <c r="O89" s="1" t="s">
        <v>385</v>
      </c>
      <c r="P89" s="1" t="s">
        <v>386</v>
      </c>
      <c r="Q89" s="1" t="s">
        <v>387</v>
      </c>
      <c r="R89">
        <v>103</v>
      </c>
      <c r="S89" s="1" t="s">
        <v>135</v>
      </c>
      <c r="T89" s="1" t="s">
        <v>388</v>
      </c>
      <c r="U89" s="1" t="s">
        <v>135</v>
      </c>
      <c r="V89" s="1" t="s">
        <v>74</v>
      </c>
      <c r="W89" s="1" t="s">
        <v>468</v>
      </c>
      <c r="X89" s="1" t="s">
        <v>573</v>
      </c>
      <c r="Y89" s="1" t="s">
        <v>76</v>
      </c>
      <c r="Z89">
        <v>3</v>
      </c>
      <c r="AA89" s="1" t="s">
        <v>598</v>
      </c>
      <c r="AB89">
        <v>303</v>
      </c>
      <c r="AC89" s="1" t="s">
        <v>611</v>
      </c>
      <c r="AD89" s="1" t="s">
        <v>672</v>
      </c>
      <c r="AE89" s="1" t="s">
        <v>721</v>
      </c>
      <c r="AF89">
        <v>0</v>
      </c>
      <c r="AG89">
        <v>0</v>
      </c>
      <c r="AH89">
        <v>103800</v>
      </c>
      <c r="AI89">
        <v>73800</v>
      </c>
      <c r="AJ89">
        <v>103800</v>
      </c>
      <c r="AK89">
        <v>73800</v>
      </c>
      <c r="AL89">
        <v>30000</v>
      </c>
      <c r="AM89">
        <v>0</v>
      </c>
      <c r="AN89" s="1"/>
      <c r="AP89" s="1"/>
      <c r="AQ89" s="1"/>
      <c r="AR89" s="1"/>
      <c r="AS89" s="1"/>
      <c r="AT89" s="3"/>
      <c r="AU89" s="3"/>
      <c r="AV89" s="3"/>
      <c r="AW89" s="1"/>
      <c r="AX89" s="1"/>
      <c r="AZ89">
        <v>253</v>
      </c>
      <c r="BA89">
        <v>4654734.66</v>
      </c>
      <c r="BB89" s="1"/>
      <c r="BD89" s="1"/>
      <c r="BE89" s="1"/>
      <c r="BG89" s="1"/>
      <c r="BH89" s="1"/>
      <c r="BJ89" s="1"/>
      <c r="BL89" s="1"/>
      <c r="BN89" s="1"/>
      <c r="BO89">
        <v>599</v>
      </c>
      <c r="BP89">
        <v>4654734.66</v>
      </c>
      <c r="BQ89">
        <v>4654734.66</v>
      </c>
    </row>
    <row r="90" spans="1:69" x14ac:dyDescent="0.35">
      <c r="A90" s="1" t="s">
        <v>68</v>
      </c>
      <c r="B90" s="1" t="s">
        <v>69</v>
      </c>
      <c r="C90" s="1" t="s">
        <v>70</v>
      </c>
      <c r="D90">
        <v>1</v>
      </c>
      <c r="E90">
        <v>1</v>
      </c>
      <c r="F90" s="2">
        <v>43585.43</v>
      </c>
      <c r="G90" s="3">
        <v>41275</v>
      </c>
      <c r="H90" s="3">
        <v>41639</v>
      </c>
      <c r="I90" s="1" t="s">
        <v>71</v>
      </c>
      <c r="J90">
        <v>4521</v>
      </c>
      <c r="K90">
        <v>0</v>
      </c>
      <c r="L90" s="1" t="s">
        <v>384</v>
      </c>
      <c r="M90" s="1" t="s">
        <v>72</v>
      </c>
      <c r="N90" s="1" t="s">
        <v>134</v>
      </c>
      <c r="O90" s="1" t="s">
        <v>385</v>
      </c>
      <c r="P90" s="1" t="s">
        <v>386</v>
      </c>
      <c r="Q90" s="1" t="s">
        <v>387</v>
      </c>
      <c r="R90">
        <v>103</v>
      </c>
      <c r="S90" s="1" t="s">
        <v>135</v>
      </c>
      <c r="T90" s="1" t="s">
        <v>388</v>
      </c>
      <c r="U90" s="1" t="s">
        <v>135</v>
      </c>
      <c r="V90" s="1" t="s">
        <v>74</v>
      </c>
      <c r="W90" s="1" t="s">
        <v>469</v>
      </c>
      <c r="X90" s="1" t="s">
        <v>574</v>
      </c>
      <c r="Y90" s="1" t="s">
        <v>76</v>
      </c>
      <c r="Z90">
        <v>3</v>
      </c>
      <c r="AA90" s="1" t="s">
        <v>598</v>
      </c>
      <c r="AB90">
        <v>305</v>
      </c>
      <c r="AC90" s="1" t="s">
        <v>612</v>
      </c>
      <c r="AD90" s="1" t="s">
        <v>671</v>
      </c>
      <c r="AE90" s="1" t="s">
        <v>73</v>
      </c>
      <c r="AF90">
        <v>11838.7</v>
      </c>
      <c r="AG90">
        <v>0</v>
      </c>
      <c r="AH90">
        <v>11813.7</v>
      </c>
      <c r="AI90">
        <v>0</v>
      </c>
      <c r="AJ90">
        <v>11813.7</v>
      </c>
      <c r="AK90">
        <v>0</v>
      </c>
      <c r="AL90">
        <v>23652.400000000001</v>
      </c>
      <c r="AM90">
        <v>0</v>
      </c>
      <c r="AN90" s="1"/>
      <c r="AP90" s="1"/>
      <c r="AQ90" s="1"/>
      <c r="AR90" s="1"/>
      <c r="AS90" s="1"/>
      <c r="AT90" s="3"/>
      <c r="AU90" s="3"/>
      <c r="AV90" s="3"/>
      <c r="AW90" s="1"/>
      <c r="AX90" s="1"/>
      <c r="AZ90">
        <v>253</v>
      </c>
      <c r="BA90">
        <v>4654734.66</v>
      </c>
      <c r="BB90" s="1"/>
      <c r="BD90" s="1"/>
      <c r="BE90" s="1"/>
      <c r="BG90" s="1"/>
      <c r="BH90" s="1"/>
      <c r="BJ90" s="1"/>
      <c r="BL90" s="1"/>
      <c r="BN90" s="1"/>
      <c r="BO90">
        <v>599</v>
      </c>
      <c r="BP90">
        <v>4654734.66</v>
      </c>
      <c r="BQ90">
        <v>4654734.66</v>
      </c>
    </row>
    <row r="91" spans="1:69" x14ac:dyDescent="0.35">
      <c r="A91" s="1" t="s">
        <v>68</v>
      </c>
      <c r="B91" s="1" t="s">
        <v>69</v>
      </c>
      <c r="C91" s="1" t="s">
        <v>70</v>
      </c>
      <c r="D91">
        <v>1</v>
      </c>
      <c r="E91">
        <v>1</v>
      </c>
      <c r="F91" s="2">
        <v>43585.43</v>
      </c>
      <c r="G91" s="3">
        <v>41275</v>
      </c>
      <c r="H91" s="3">
        <v>41639</v>
      </c>
      <c r="I91" s="1" t="s">
        <v>71</v>
      </c>
      <c r="J91">
        <v>4521</v>
      </c>
      <c r="K91">
        <v>0</v>
      </c>
      <c r="L91" s="1" t="s">
        <v>384</v>
      </c>
      <c r="M91" s="1" t="s">
        <v>72</v>
      </c>
      <c r="N91" s="1" t="s">
        <v>134</v>
      </c>
      <c r="O91" s="1" t="s">
        <v>385</v>
      </c>
      <c r="P91" s="1" t="s">
        <v>386</v>
      </c>
      <c r="Q91" s="1" t="s">
        <v>387</v>
      </c>
      <c r="R91">
        <v>103</v>
      </c>
      <c r="S91" s="1" t="s">
        <v>135</v>
      </c>
      <c r="T91" s="1" t="s">
        <v>388</v>
      </c>
      <c r="U91" s="1" t="s">
        <v>135</v>
      </c>
      <c r="V91" s="1" t="s">
        <v>74</v>
      </c>
      <c r="W91" s="1" t="s">
        <v>470</v>
      </c>
      <c r="X91" s="1" t="s">
        <v>575</v>
      </c>
      <c r="Y91" s="1" t="s">
        <v>76</v>
      </c>
      <c r="Z91">
        <v>3</v>
      </c>
      <c r="AA91" s="1" t="s">
        <v>598</v>
      </c>
      <c r="AB91">
        <v>330</v>
      </c>
      <c r="AC91" s="1" t="s">
        <v>198</v>
      </c>
      <c r="AD91" s="1" t="s">
        <v>88</v>
      </c>
      <c r="AE91" s="1" t="s">
        <v>722</v>
      </c>
      <c r="AF91">
        <v>0</v>
      </c>
      <c r="AG91">
        <v>0</v>
      </c>
      <c r="AH91">
        <v>24743.81</v>
      </c>
      <c r="AI91">
        <v>0</v>
      </c>
      <c r="AJ91">
        <v>24743.81</v>
      </c>
      <c r="AK91">
        <v>0</v>
      </c>
      <c r="AL91">
        <v>24743.81</v>
      </c>
      <c r="AM91">
        <v>0</v>
      </c>
      <c r="AN91" s="1"/>
      <c r="AP91" s="1"/>
      <c r="AQ91" s="1"/>
      <c r="AR91" s="1"/>
      <c r="AS91" s="1"/>
      <c r="AT91" s="3"/>
      <c r="AU91" s="3"/>
      <c r="AV91" s="3"/>
      <c r="AW91" s="1"/>
      <c r="AX91" s="1"/>
      <c r="AZ91">
        <v>253</v>
      </c>
      <c r="BA91">
        <v>4654734.66</v>
      </c>
      <c r="BB91" s="1"/>
      <c r="BD91" s="1"/>
      <c r="BE91" s="1"/>
      <c r="BG91" s="1"/>
      <c r="BH91" s="1"/>
      <c r="BJ91" s="1"/>
      <c r="BL91" s="1"/>
      <c r="BN91" s="1"/>
      <c r="BO91">
        <v>599</v>
      </c>
      <c r="BP91">
        <v>4654734.66</v>
      </c>
      <c r="BQ91">
        <v>4654734.66</v>
      </c>
    </row>
    <row r="92" spans="1:69" x14ac:dyDescent="0.35">
      <c r="A92" s="1" t="s">
        <v>68</v>
      </c>
      <c r="B92" s="1" t="s">
        <v>69</v>
      </c>
      <c r="C92" s="1" t="s">
        <v>70</v>
      </c>
      <c r="D92">
        <v>1</v>
      </c>
      <c r="E92">
        <v>1</v>
      </c>
      <c r="F92" s="2">
        <v>43585.43</v>
      </c>
      <c r="G92" s="3">
        <v>41275</v>
      </c>
      <c r="H92" s="3">
        <v>41639</v>
      </c>
      <c r="I92" s="1" t="s">
        <v>71</v>
      </c>
      <c r="J92">
        <v>4521</v>
      </c>
      <c r="K92">
        <v>0</v>
      </c>
      <c r="L92" s="1" t="s">
        <v>384</v>
      </c>
      <c r="M92" s="1" t="s">
        <v>72</v>
      </c>
      <c r="N92" s="1" t="s">
        <v>134</v>
      </c>
      <c r="O92" s="1" t="s">
        <v>385</v>
      </c>
      <c r="P92" s="1" t="s">
        <v>386</v>
      </c>
      <c r="Q92" s="1" t="s">
        <v>387</v>
      </c>
      <c r="R92">
        <v>103</v>
      </c>
      <c r="S92" s="1" t="s">
        <v>135</v>
      </c>
      <c r="T92" s="1" t="s">
        <v>388</v>
      </c>
      <c r="U92" s="1" t="s">
        <v>135</v>
      </c>
      <c r="V92" s="1" t="s">
        <v>74</v>
      </c>
      <c r="W92" s="1" t="s">
        <v>471</v>
      </c>
      <c r="X92" s="1" t="s">
        <v>576</v>
      </c>
      <c r="Y92" s="1" t="s">
        <v>76</v>
      </c>
      <c r="Z92">
        <v>3</v>
      </c>
      <c r="AA92" s="1" t="s">
        <v>598</v>
      </c>
      <c r="AB92">
        <v>330</v>
      </c>
      <c r="AC92" s="1" t="s">
        <v>198</v>
      </c>
      <c r="AD92" s="1" t="s">
        <v>89</v>
      </c>
      <c r="AE92" s="1" t="s">
        <v>723</v>
      </c>
      <c r="AF92">
        <v>4521</v>
      </c>
      <c r="AG92">
        <v>0</v>
      </c>
      <c r="AH92">
        <v>4521</v>
      </c>
      <c r="AI92">
        <v>0</v>
      </c>
      <c r="AJ92">
        <v>4521</v>
      </c>
      <c r="AK92">
        <v>0</v>
      </c>
      <c r="AL92">
        <v>9042</v>
      </c>
      <c r="AM92">
        <v>0</v>
      </c>
      <c r="AN92" s="1"/>
      <c r="AP92" s="1"/>
      <c r="AQ92" s="1"/>
      <c r="AR92" s="1"/>
      <c r="AS92" s="1"/>
      <c r="AT92" s="3"/>
      <c r="AU92" s="3"/>
      <c r="AV92" s="3"/>
      <c r="AW92" s="1"/>
      <c r="AX92" s="1"/>
      <c r="AZ92">
        <v>253</v>
      </c>
      <c r="BA92">
        <v>4654734.66</v>
      </c>
      <c r="BB92" s="1"/>
      <c r="BD92" s="1"/>
      <c r="BE92" s="1"/>
      <c r="BG92" s="1"/>
      <c r="BH92" s="1"/>
      <c r="BJ92" s="1"/>
      <c r="BL92" s="1"/>
      <c r="BN92" s="1"/>
      <c r="BO92">
        <v>599</v>
      </c>
      <c r="BP92">
        <v>4654734.66</v>
      </c>
      <c r="BQ92">
        <v>4654734.66</v>
      </c>
    </row>
    <row r="93" spans="1:69" x14ac:dyDescent="0.35">
      <c r="A93" s="1" t="s">
        <v>68</v>
      </c>
      <c r="B93" s="1" t="s">
        <v>69</v>
      </c>
      <c r="C93" s="1" t="s">
        <v>70</v>
      </c>
      <c r="D93">
        <v>1</v>
      </c>
      <c r="E93">
        <v>1</v>
      </c>
      <c r="F93" s="2">
        <v>43585.43</v>
      </c>
      <c r="G93" s="3">
        <v>41275</v>
      </c>
      <c r="H93" s="3">
        <v>41639</v>
      </c>
      <c r="I93" s="1" t="s">
        <v>71</v>
      </c>
      <c r="J93">
        <v>4521</v>
      </c>
      <c r="K93">
        <v>0</v>
      </c>
      <c r="L93" s="1" t="s">
        <v>384</v>
      </c>
      <c r="M93" s="1" t="s">
        <v>72</v>
      </c>
      <c r="N93" s="1" t="s">
        <v>134</v>
      </c>
      <c r="O93" s="1" t="s">
        <v>385</v>
      </c>
      <c r="P93" s="1" t="s">
        <v>386</v>
      </c>
      <c r="Q93" s="1" t="s">
        <v>387</v>
      </c>
      <c r="R93">
        <v>103</v>
      </c>
      <c r="S93" s="1" t="s">
        <v>135</v>
      </c>
      <c r="T93" s="1" t="s">
        <v>388</v>
      </c>
      <c r="U93" s="1" t="s">
        <v>135</v>
      </c>
      <c r="V93" s="1" t="s">
        <v>74</v>
      </c>
      <c r="W93" s="1" t="s">
        <v>472</v>
      </c>
      <c r="X93" s="1" t="s">
        <v>577</v>
      </c>
      <c r="Y93" s="1" t="s">
        <v>77</v>
      </c>
      <c r="Z93">
        <v>4</v>
      </c>
      <c r="AA93" s="1" t="s">
        <v>81</v>
      </c>
      <c r="AB93">
        <v>401</v>
      </c>
      <c r="AC93" s="1" t="s">
        <v>140</v>
      </c>
      <c r="AD93" s="1" t="s">
        <v>673</v>
      </c>
      <c r="AE93" s="1" t="s">
        <v>724</v>
      </c>
      <c r="AF93">
        <v>0</v>
      </c>
      <c r="AG93">
        <v>0</v>
      </c>
      <c r="AH93">
        <v>20154.38</v>
      </c>
      <c r="AI93">
        <v>0</v>
      </c>
      <c r="AJ93">
        <v>20154.38</v>
      </c>
      <c r="AK93">
        <v>0</v>
      </c>
      <c r="AL93">
        <v>20154.38</v>
      </c>
      <c r="AM93">
        <v>0</v>
      </c>
      <c r="AN93" s="1"/>
      <c r="AP93" s="1"/>
      <c r="AQ93" s="1"/>
      <c r="AR93" s="1"/>
      <c r="AS93" s="1"/>
      <c r="AT93" s="3"/>
      <c r="AU93" s="3"/>
      <c r="AV93" s="3"/>
      <c r="AW93" s="1"/>
      <c r="AX93" s="1"/>
      <c r="AZ93">
        <v>253</v>
      </c>
      <c r="BA93">
        <v>4654734.66</v>
      </c>
      <c r="BB93" s="1"/>
      <c r="BD93" s="1"/>
      <c r="BE93" s="1"/>
      <c r="BG93" s="1"/>
      <c r="BH93" s="1"/>
      <c r="BJ93" s="1"/>
      <c r="BL93" s="1"/>
      <c r="BN93" s="1"/>
      <c r="BO93">
        <v>599</v>
      </c>
      <c r="BP93">
        <v>4654734.66</v>
      </c>
      <c r="BQ93">
        <v>4654734.66</v>
      </c>
    </row>
    <row r="94" spans="1:69" x14ac:dyDescent="0.35">
      <c r="A94" s="1" t="s">
        <v>68</v>
      </c>
      <c r="B94" s="1" t="s">
        <v>69</v>
      </c>
      <c r="C94" s="1" t="s">
        <v>70</v>
      </c>
      <c r="D94">
        <v>1</v>
      </c>
      <c r="E94">
        <v>1</v>
      </c>
      <c r="F94" s="2">
        <v>43585.43</v>
      </c>
      <c r="G94" s="3">
        <v>41275</v>
      </c>
      <c r="H94" s="3">
        <v>41639</v>
      </c>
      <c r="I94" s="1" t="s">
        <v>71</v>
      </c>
      <c r="J94">
        <v>4521</v>
      </c>
      <c r="K94">
        <v>0</v>
      </c>
      <c r="L94" s="1" t="s">
        <v>384</v>
      </c>
      <c r="M94" s="1" t="s">
        <v>72</v>
      </c>
      <c r="N94" s="1" t="s">
        <v>134</v>
      </c>
      <c r="O94" s="1" t="s">
        <v>385</v>
      </c>
      <c r="P94" s="1" t="s">
        <v>386</v>
      </c>
      <c r="Q94" s="1" t="s">
        <v>387</v>
      </c>
      <c r="R94">
        <v>103</v>
      </c>
      <c r="S94" s="1" t="s">
        <v>135</v>
      </c>
      <c r="T94" s="1" t="s">
        <v>388</v>
      </c>
      <c r="U94" s="1" t="s">
        <v>135</v>
      </c>
      <c r="V94" s="1" t="s">
        <v>74</v>
      </c>
      <c r="W94" s="1" t="s">
        <v>473</v>
      </c>
      <c r="X94" s="1" t="s">
        <v>141</v>
      </c>
      <c r="Y94" s="1" t="s">
        <v>77</v>
      </c>
      <c r="Z94">
        <v>4</v>
      </c>
      <c r="AA94" s="1" t="s">
        <v>81</v>
      </c>
      <c r="AB94">
        <v>403</v>
      </c>
      <c r="AC94" s="1" t="s">
        <v>141</v>
      </c>
      <c r="AD94" s="1"/>
      <c r="AE94" s="1" t="s">
        <v>141</v>
      </c>
      <c r="AF94">
        <v>0</v>
      </c>
      <c r="AG94">
        <v>0</v>
      </c>
      <c r="AH94">
        <v>265482.68</v>
      </c>
      <c r="AI94">
        <v>0</v>
      </c>
      <c r="AJ94">
        <v>265482.68</v>
      </c>
      <c r="AK94">
        <v>0</v>
      </c>
      <c r="AL94">
        <v>265482.68</v>
      </c>
      <c r="AM94">
        <v>0</v>
      </c>
      <c r="AN94" s="1"/>
      <c r="AP94" s="1"/>
      <c r="AQ94" s="1"/>
      <c r="AR94" s="1"/>
      <c r="AS94" s="1"/>
      <c r="AT94" s="3"/>
      <c r="AU94" s="3"/>
      <c r="AV94" s="3"/>
      <c r="AW94" s="1"/>
      <c r="AX94" s="1"/>
      <c r="AZ94">
        <v>253</v>
      </c>
      <c r="BA94">
        <v>4654734.66</v>
      </c>
      <c r="BB94" s="1"/>
      <c r="BD94" s="1"/>
      <c r="BE94" s="1"/>
      <c r="BG94" s="1"/>
      <c r="BH94" s="1"/>
      <c r="BJ94" s="1"/>
      <c r="BL94" s="1"/>
      <c r="BN94" s="1"/>
      <c r="BO94">
        <v>599</v>
      </c>
      <c r="BP94">
        <v>4654734.66</v>
      </c>
      <c r="BQ94">
        <v>4654734.66</v>
      </c>
    </row>
    <row r="95" spans="1:69" x14ac:dyDescent="0.35">
      <c r="A95" s="1" t="s">
        <v>68</v>
      </c>
      <c r="B95" s="1" t="s">
        <v>69</v>
      </c>
      <c r="C95" s="1" t="s">
        <v>70</v>
      </c>
      <c r="D95">
        <v>1</v>
      </c>
      <c r="E95">
        <v>1</v>
      </c>
      <c r="F95" s="2">
        <v>43585.43</v>
      </c>
      <c r="G95" s="3">
        <v>41275</v>
      </c>
      <c r="H95" s="3">
        <v>41639</v>
      </c>
      <c r="I95" s="1" t="s">
        <v>71</v>
      </c>
      <c r="J95">
        <v>4521</v>
      </c>
      <c r="K95">
        <v>0</v>
      </c>
      <c r="L95" s="1" t="s">
        <v>384</v>
      </c>
      <c r="M95" s="1" t="s">
        <v>72</v>
      </c>
      <c r="N95" s="1" t="s">
        <v>134</v>
      </c>
      <c r="O95" s="1" t="s">
        <v>385</v>
      </c>
      <c r="P95" s="1" t="s">
        <v>386</v>
      </c>
      <c r="Q95" s="1" t="s">
        <v>387</v>
      </c>
      <c r="R95">
        <v>103</v>
      </c>
      <c r="S95" s="1" t="s">
        <v>135</v>
      </c>
      <c r="T95" s="1" t="s">
        <v>388</v>
      </c>
      <c r="U95" s="1" t="s">
        <v>135</v>
      </c>
      <c r="V95" s="1" t="s">
        <v>74</v>
      </c>
      <c r="W95" s="1" t="s">
        <v>474</v>
      </c>
      <c r="X95" s="1" t="s">
        <v>578</v>
      </c>
      <c r="Y95" s="1" t="s">
        <v>77</v>
      </c>
      <c r="Z95">
        <v>4</v>
      </c>
      <c r="AA95" s="1" t="s">
        <v>81</v>
      </c>
      <c r="AB95">
        <v>404</v>
      </c>
      <c r="AC95" s="1" t="s">
        <v>142</v>
      </c>
      <c r="AD95" s="1" t="s">
        <v>93</v>
      </c>
      <c r="AE95" s="1" t="s">
        <v>725</v>
      </c>
      <c r="AF95">
        <v>0</v>
      </c>
      <c r="AG95">
        <v>0</v>
      </c>
      <c r="AH95">
        <v>50</v>
      </c>
      <c r="AI95">
        <v>0</v>
      </c>
      <c r="AJ95">
        <v>50</v>
      </c>
      <c r="AK95">
        <v>0</v>
      </c>
      <c r="AL95">
        <v>50</v>
      </c>
      <c r="AM95">
        <v>0</v>
      </c>
      <c r="AN95" s="1"/>
      <c r="AP95" s="1"/>
      <c r="AQ95" s="1"/>
      <c r="AR95" s="1"/>
      <c r="AS95" s="1"/>
      <c r="AT95" s="3"/>
      <c r="AU95" s="3"/>
      <c r="AV95" s="3"/>
      <c r="AW95" s="1"/>
      <c r="AX95" s="1"/>
      <c r="AZ95">
        <v>253</v>
      </c>
      <c r="BA95">
        <v>4654734.66</v>
      </c>
      <c r="BB95" s="1"/>
      <c r="BD95" s="1"/>
      <c r="BE95" s="1"/>
      <c r="BG95" s="1"/>
      <c r="BH95" s="1"/>
      <c r="BJ95" s="1"/>
      <c r="BL95" s="1"/>
      <c r="BN95" s="1"/>
      <c r="BO95">
        <v>599</v>
      </c>
      <c r="BP95">
        <v>4654734.66</v>
      </c>
      <c r="BQ95">
        <v>4654734.66</v>
      </c>
    </row>
    <row r="96" spans="1:69" x14ac:dyDescent="0.35">
      <c r="A96" s="1" t="s">
        <v>68</v>
      </c>
      <c r="B96" s="1" t="s">
        <v>69</v>
      </c>
      <c r="C96" s="1" t="s">
        <v>70</v>
      </c>
      <c r="D96">
        <v>1</v>
      </c>
      <c r="E96">
        <v>1</v>
      </c>
      <c r="F96" s="2">
        <v>43585.43</v>
      </c>
      <c r="G96" s="3">
        <v>41275</v>
      </c>
      <c r="H96" s="3">
        <v>41639</v>
      </c>
      <c r="I96" s="1" t="s">
        <v>71</v>
      </c>
      <c r="J96">
        <v>4521</v>
      </c>
      <c r="K96">
        <v>0</v>
      </c>
      <c r="L96" s="1" t="s">
        <v>384</v>
      </c>
      <c r="M96" s="1" t="s">
        <v>72</v>
      </c>
      <c r="N96" s="1" t="s">
        <v>134</v>
      </c>
      <c r="O96" s="1" t="s">
        <v>385</v>
      </c>
      <c r="P96" s="1" t="s">
        <v>386</v>
      </c>
      <c r="Q96" s="1" t="s">
        <v>387</v>
      </c>
      <c r="R96">
        <v>103</v>
      </c>
      <c r="S96" s="1" t="s">
        <v>135</v>
      </c>
      <c r="T96" s="1" t="s">
        <v>388</v>
      </c>
      <c r="U96" s="1" t="s">
        <v>135</v>
      </c>
      <c r="V96" s="1" t="s">
        <v>74</v>
      </c>
      <c r="W96" s="1" t="s">
        <v>475</v>
      </c>
      <c r="X96" s="1" t="s">
        <v>579</v>
      </c>
      <c r="Y96" s="1" t="s">
        <v>77</v>
      </c>
      <c r="Z96">
        <v>4</v>
      </c>
      <c r="AA96" s="1" t="s">
        <v>81</v>
      </c>
      <c r="AB96">
        <v>407</v>
      </c>
      <c r="AC96" s="1" t="s">
        <v>143</v>
      </c>
      <c r="AD96" s="1" t="s">
        <v>88</v>
      </c>
      <c r="AE96" s="1" t="s">
        <v>726</v>
      </c>
      <c r="AF96">
        <v>0</v>
      </c>
      <c r="AG96">
        <v>0</v>
      </c>
      <c r="AH96">
        <v>370</v>
      </c>
      <c r="AI96">
        <v>0</v>
      </c>
      <c r="AJ96">
        <v>370</v>
      </c>
      <c r="AK96">
        <v>0</v>
      </c>
      <c r="AL96">
        <v>370</v>
      </c>
      <c r="AM96">
        <v>0</v>
      </c>
      <c r="AN96" s="1"/>
      <c r="AP96" s="1"/>
      <c r="AQ96" s="1"/>
      <c r="AR96" s="1"/>
      <c r="AS96" s="1"/>
      <c r="AT96" s="3"/>
      <c r="AU96" s="3"/>
      <c r="AV96" s="3"/>
      <c r="AW96" s="1"/>
      <c r="AX96" s="1"/>
      <c r="AZ96">
        <v>253</v>
      </c>
      <c r="BA96">
        <v>4654734.66</v>
      </c>
      <c r="BB96" s="1"/>
      <c r="BD96" s="1"/>
      <c r="BE96" s="1"/>
      <c r="BG96" s="1"/>
      <c r="BH96" s="1"/>
      <c r="BJ96" s="1"/>
      <c r="BL96" s="1"/>
      <c r="BN96" s="1"/>
      <c r="BO96">
        <v>599</v>
      </c>
      <c r="BP96">
        <v>4654734.66</v>
      </c>
      <c r="BQ96">
        <v>4654734.66</v>
      </c>
    </row>
    <row r="97" spans="1:69" x14ac:dyDescent="0.35">
      <c r="A97" s="1" t="s">
        <v>68</v>
      </c>
      <c r="B97" s="1" t="s">
        <v>69</v>
      </c>
      <c r="C97" s="1" t="s">
        <v>70</v>
      </c>
      <c r="D97">
        <v>1</v>
      </c>
      <c r="E97">
        <v>1</v>
      </c>
      <c r="F97" s="2">
        <v>43585.43</v>
      </c>
      <c r="G97" s="3">
        <v>41275</v>
      </c>
      <c r="H97" s="3">
        <v>41639</v>
      </c>
      <c r="I97" s="1" t="s">
        <v>71</v>
      </c>
      <c r="J97">
        <v>4521</v>
      </c>
      <c r="K97">
        <v>0</v>
      </c>
      <c r="L97" s="1" t="s">
        <v>384</v>
      </c>
      <c r="M97" s="1" t="s">
        <v>72</v>
      </c>
      <c r="N97" s="1" t="s">
        <v>134</v>
      </c>
      <c r="O97" s="1" t="s">
        <v>385</v>
      </c>
      <c r="P97" s="1" t="s">
        <v>386</v>
      </c>
      <c r="Q97" s="1" t="s">
        <v>387</v>
      </c>
      <c r="R97">
        <v>103</v>
      </c>
      <c r="S97" s="1" t="s">
        <v>135</v>
      </c>
      <c r="T97" s="1" t="s">
        <v>388</v>
      </c>
      <c r="U97" s="1" t="s">
        <v>135</v>
      </c>
      <c r="V97" s="1" t="s">
        <v>74</v>
      </c>
      <c r="W97" s="1" t="s">
        <v>476</v>
      </c>
      <c r="X97" s="1" t="s">
        <v>580</v>
      </c>
      <c r="Y97" s="1" t="s">
        <v>77</v>
      </c>
      <c r="Z97">
        <v>4</v>
      </c>
      <c r="AA97" s="1" t="s">
        <v>81</v>
      </c>
      <c r="AB97">
        <v>407</v>
      </c>
      <c r="AC97" s="1" t="s">
        <v>143</v>
      </c>
      <c r="AD97" s="1" t="s">
        <v>89</v>
      </c>
      <c r="AE97" s="1" t="s">
        <v>727</v>
      </c>
      <c r="AF97">
        <v>0</v>
      </c>
      <c r="AG97">
        <v>0</v>
      </c>
      <c r="AH97">
        <v>1637</v>
      </c>
      <c r="AI97">
        <v>0</v>
      </c>
      <c r="AJ97">
        <v>1637</v>
      </c>
      <c r="AK97">
        <v>0</v>
      </c>
      <c r="AL97">
        <v>1637</v>
      </c>
      <c r="AM97">
        <v>0</v>
      </c>
      <c r="AN97" s="1"/>
      <c r="AP97" s="1"/>
      <c r="AQ97" s="1"/>
      <c r="AR97" s="1"/>
      <c r="AS97" s="1"/>
      <c r="AT97" s="3"/>
      <c r="AU97" s="3"/>
      <c r="AV97" s="3"/>
      <c r="AW97" s="1"/>
      <c r="AX97" s="1"/>
      <c r="AZ97">
        <v>253</v>
      </c>
      <c r="BA97">
        <v>4654734.66</v>
      </c>
      <c r="BB97" s="1"/>
      <c r="BD97" s="1"/>
      <c r="BE97" s="1"/>
      <c r="BG97" s="1"/>
      <c r="BH97" s="1"/>
      <c r="BJ97" s="1"/>
      <c r="BL97" s="1"/>
      <c r="BN97" s="1"/>
      <c r="BO97">
        <v>599</v>
      </c>
      <c r="BP97">
        <v>4654734.66</v>
      </c>
      <c r="BQ97">
        <v>4654734.66</v>
      </c>
    </row>
    <row r="98" spans="1:69" x14ac:dyDescent="0.35">
      <c r="A98" s="1" t="s">
        <v>68</v>
      </c>
      <c r="B98" s="1" t="s">
        <v>69</v>
      </c>
      <c r="C98" s="1" t="s">
        <v>70</v>
      </c>
      <c r="D98">
        <v>1</v>
      </c>
      <c r="E98">
        <v>1</v>
      </c>
      <c r="F98" s="2">
        <v>43585.43</v>
      </c>
      <c r="G98" s="3">
        <v>41275</v>
      </c>
      <c r="H98" s="3">
        <v>41639</v>
      </c>
      <c r="I98" s="1" t="s">
        <v>71</v>
      </c>
      <c r="J98">
        <v>4521</v>
      </c>
      <c r="K98">
        <v>0</v>
      </c>
      <c r="L98" s="1" t="s">
        <v>384</v>
      </c>
      <c r="M98" s="1" t="s">
        <v>72</v>
      </c>
      <c r="N98" s="1" t="s">
        <v>134</v>
      </c>
      <c r="O98" s="1" t="s">
        <v>385</v>
      </c>
      <c r="P98" s="1" t="s">
        <v>386</v>
      </c>
      <c r="Q98" s="1" t="s">
        <v>387</v>
      </c>
      <c r="R98">
        <v>103</v>
      </c>
      <c r="S98" s="1" t="s">
        <v>135</v>
      </c>
      <c r="T98" s="1" t="s">
        <v>388</v>
      </c>
      <c r="U98" s="1" t="s">
        <v>135</v>
      </c>
      <c r="V98" s="1" t="s">
        <v>74</v>
      </c>
      <c r="W98" s="1" t="s">
        <v>477</v>
      </c>
      <c r="X98" s="1" t="s">
        <v>581</v>
      </c>
      <c r="Y98" s="1" t="s">
        <v>77</v>
      </c>
      <c r="Z98">
        <v>4</v>
      </c>
      <c r="AA98" s="1" t="s">
        <v>81</v>
      </c>
      <c r="AB98">
        <v>407</v>
      </c>
      <c r="AC98" s="1" t="s">
        <v>143</v>
      </c>
      <c r="AD98" s="1" t="s">
        <v>91</v>
      </c>
      <c r="AE98" s="1" t="s">
        <v>728</v>
      </c>
      <c r="AF98">
        <v>0</v>
      </c>
      <c r="AG98">
        <v>0</v>
      </c>
      <c r="AH98">
        <v>3591</v>
      </c>
      <c r="AI98">
        <v>0</v>
      </c>
      <c r="AJ98">
        <v>3591</v>
      </c>
      <c r="AK98">
        <v>0</v>
      </c>
      <c r="AL98">
        <v>3591</v>
      </c>
      <c r="AM98">
        <v>0</v>
      </c>
      <c r="AN98" s="1"/>
      <c r="AP98" s="1"/>
      <c r="AQ98" s="1"/>
      <c r="AR98" s="1"/>
      <c r="AS98" s="1"/>
      <c r="AT98" s="3"/>
      <c r="AU98" s="3"/>
      <c r="AV98" s="3"/>
      <c r="AW98" s="1"/>
      <c r="AX98" s="1"/>
      <c r="AZ98">
        <v>253</v>
      </c>
      <c r="BA98">
        <v>4654734.66</v>
      </c>
      <c r="BB98" s="1"/>
      <c r="BD98" s="1"/>
      <c r="BE98" s="1"/>
      <c r="BG98" s="1"/>
      <c r="BH98" s="1"/>
      <c r="BJ98" s="1"/>
      <c r="BL98" s="1"/>
      <c r="BN98" s="1"/>
      <c r="BO98">
        <v>599</v>
      </c>
      <c r="BP98">
        <v>4654734.66</v>
      </c>
      <c r="BQ98">
        <v>4654734.66</v>
      </c>
    </row>
    <row r="99" spans="1:69" x14ac:dyDescent="0.35">
      <c r="A99" s="1" t="s">
        <v>68</v>
      </c>
      <c r="B99" s="1" t="s">
        <v>69</v>
      </c>
      <c r="C99" s="1" t="s">
        <v>70</v>
      </c>
      <c r="D99">
        <v>1</v>
      </c>
      <c r="E99">
        <v>1</v>
      </c>
      <c r="F99" s="2">
        <v>43585.43</v>
      </c>
      <c r="G99" s="3">
        <v>41275</v>
      </c>
      <c r="H99" s="3">
        <v>41639</v>
      </c>
      <c r="I99" s="1" t="s">
        <v>71</v>
      </c>
      <c r="J99">
        <v>4521</v>
      </c>
      <c r="K99">
        <v>0</v>
      </c>
      <c r="L99" s="1" t="s">
        <v>384</v>
      </c>
      <c r="M99" s="1" t="s">
        <v>72</v>
      </c>
      <c r="N99" s="1" t="s">
        <v>134</v>
      </c>
      <c r="O99" s="1" t="s">
        <v>385</v>
      </c>
      <c r="P99" s="1" t="s">
        <v>386</v>
      </c>
      <c r="Q99" s="1" t="s">
        <v>387</v>
      </c>
      <c r="R99">
        <v>103</v>
      </c>
      <c r="S99" s="1" t="s">
        <v>135</v>
      </c>
      <c r="T99" s="1" t="s">
        <v>388</v>
      </c>
      <c r="U99" s="1" t="s">
        <v>135</v>
      </c>
      <c r="V99" s="1" t="s">
        <v>74</v>
      </c>
      <c r="W99" s="1" t="s">
        <v>136</v>
      </c>
      <c r="X99" s="1" t="s">
        <v>582</v>
      </c>
      <c r="Y99" s="1" t="s">
        <v>77</v>
      </c>
      <c r="Z99">
        <v>4</v>
      </c>
      <c r="AA99" s="1" t="s">
        <v>81</v>
      </c>
      <c r="AB99">
        <v>490</v>
      </c>
      <c r="AC99" s="1" t="s">
        <v>582</v>
      </c>
      <c r="AD99" s="1"/>
      <c r="AE99" s="1" t="s">
        <v>582</v>
      </c>
      <c r="AF99">
        <v>0</v>
      </c>
      <c r="AG99">
        <v>0</v>
      </c>
      <c r="AH99">
        <v>0</v>
      </c>
      <c r="AI99">
        <v>303984.06</v>
      </c>
      <c r="AJ99">
        <v>0</v>
      </c>
      <c r="AK99">
        <v>303984.06</v>
      </c>
      <c r="AL99">
        <v>0</v>
      </c>
      <c r="AM99">
        <v>303984.06</v>
      </c>
      <c r="AN99" s="1"/>
      <c r="AP99" s="1"/>
      <c r="AQ99" s="1"/>
      <c r="AR99" s="1"/>
      <c r="AS99" s="1"/>
      <c r="AT99" s="3"/>
      <c r="AU99" s="3"/>
      <c r="AV99" s="3"/>
      <c r="AW99" s="1"/>
      <c r="AX99" s="1"/>
      <c r="AZ99">
        <v>253</v>
      </c>
      <c r="BA99">
        <v>4654734.66</v>
      </c>
      <c r="BB99" s="1"/>
      <c r="BD99" s="1"/>
      <c r="BE99" s="1"/>
      <c r="BG99" s="1"/>
      <c r="BH99" s="1"/>
      <c r="BJ99" s="1"/>
      <c r="BL99" s="1"/>
      <c r="BN99" s="1"/>
      <c r="BO99">
        <v>599</v>
      </c>
      <c r="BP99">
        <v>4654734.66</v>
      </c>
      <c r="BQ99">
        <v>4654734.66</v>
      </c>
    </row>
    <row r="100" spans="1:69" x14ac:dyDescent="0.35">
      <c r="A100" s="1" t="s">
        <v>68</v>
      </c>
      <c r="B100" s="1" t="s">
        <v>69</v>
      </c>
      <c r="C100" s="1" t="s">
        <v>70</v>
      </c>
      <c r="D100">
        <v>1</v>
      </c>
      <c r="E100">
        <v>1</v>
      </c>
      <c r="F100" s="2">
        <v>43585.43</v>
      </c>
      <c r="G100" s="3">
        <v>41275</v>
      </c>
      <c r="H100" s="3">
        <v>41639</v>
      </c>
      <c r="I100" s="1" t="s">
        <v>71</v>
      </c>
      <c r="J100">
        <v>4521</v>
      </c>
      <c r="K100">
        <v>0</v>
      </c>
      <c r="L100" s="1" t="s">
        <v>384</v>
      </c>
      <c r="M100" s="1" t="s">
        <v>72</v>
      </c>
      <c r="N100" s="1" t="s">
        <v>134</v>
      </c>
      <c r="O100" s="1" t="s">
        <v>385</v>
      </c>
      <c r="P100" s="1" t="s">
        <v>386</v>
      </c>
      <c r="Q100" s="1" t="s">
        <v>387</v>
      </c>
      <c r="R100">
        <v>103</v>
      </c>
      <c r="S100" s="1" t="s">
        <v>135</v>
      </c>
      <c r="T100" s="1" t="s">
        <v>388</v>
      </c>
      <c r="U100" s="1" t="s">
        <v>135</v>
      </c>
      <c r="V100" s="1" t="s">
        <v>74</v>
      </c>
      <c r="W100" s="1" t="s">
        <v>478</v>
      </c>
      <c r="X100" s="1" t="s">
        <v>583</v>
      </c>
      <c r="Y100" s="1" t="s">
        <v>77</v>
      </c>
      <c r="Z100">
        <v>5</v>
      </c>
      <c r="AA100" s="1" t="s">
        <v>138</v>
      </c>
      <c r="AB100">
        <v>501</v>
      </c>
      <c r="AC100" s="1" t="s">
        <v>613</v>
      </c>
      <c r="AD100" s="1" t="s">
        <v>88</v>
      </c>
      <c r="AE100" s="1" t="s">
        <v>729</v>
      </c>
      <c r="AF100">
        <v>0</v>
      </c>
      <c r="AG100">
        <v>0</v>
      </c>
      <c r="AH100">
        <v>370</v>
      </c>
      <c r="AI100">
        <v>0</v>
      </c>
      <c r="AJ100">
        <v>370</v>
      </c>
      <c r="AK100">
        <v>0</v>
      </c>
      <c r="AL100">
        <v>370</v>
      </c>
      <c r="AM100">
        <v>0</v>
      </c>
      <c r="AN100" s="1"/>
      <c r="AP100" s="1"/>
      <c r="AQ100" s="1"/>
      <c r="AR100" s="1"/>
      <c r="AS100" s="1"/>
      <c r="AT100" s="3"/>
      <c r="AU100" s="3"/>
      <c r="AV100" s="3"/>
      <c r="AW100" s="1"/>
      <c r="AX100" s="1"/>
      <c r="AZ100">
        <v>253</v>
      </c>
      <c r="BA100">
        <v>4654734.66</v>
      </c>
      <c r="BB100" s="1"/>
      <c r="BD100" s="1"/>
      <c r="BE100" s="1"/>
      <c r="BG100" s="1"/>
      <c r="BH100" s="1"/>
      <c r="BJ100" s="1"/>
      <c r="BL100" s="1"/>
      <c r="BN100" s="1"/>
      <c r="BO100">
        <v>599</v>
      </c>
      <c r="BP100">
        <v>4654734.66</v>
      </c>
      <c r="BQ100">
        <v>4654734.66</v>
      </c>
    </row>
    <row r="101" spans="1:69" x14ac:dyDescent="0.35">
      <c r="A101" s="1" t="s">
        <v>68</v>
      </c>
      <c r="B101" s="1" t="s">
        <v>69</v>
      </c>
      <c r="C101" s="1" t="s">
        <v>70</v>
      </c>
      <c r="D101">
        <v>1</v>
      </c>
      <c r="E101">
        <v>1</v>
      </c>
      <c r="F101" s="2">
        <v>43585.43</v>
      </c>
      <c r="G101" s="3">
        <v>41275</v>
      </c>
      <c r="H101" s="3">
        <v>41639</v>
      </c>
      <c r="I101" s="1" t="s">
        <v>71</v>
      </c>
      <c r="J101">
        <v>4521</v>
      </c>
      <c r="K101">
        <v>0</v>
      </c>
      <c r="L101" s="1" t="s">
        <v>384</v>
      </c>
      <c r="M101" s="1" t="s">
        <v>72</v>
      </c>
      <c r="N101" s="1" t="s">
        <v>134</v>
      </c>
      <c r="O101" s="1" t="s">
        <v>385</v>
      </c>
      <c r="P101" s="1" t="s">
        <v>386</v>
      </c>
      <c r="Q101" s="1" t="s">
        <v>387</v>
      </c>
      <c r="R101">
        <v>103</v>
      </c>
      <c r="S101" s="1" t="s">
        <v>135</v>
      </c>
      <c r="T101" s="1" t="s">
        <v>388</v>
      </c>
      <c r="U101" s="1" t="s">
        <v>135</v>
      </c>
      <c r="V101" s="1" t="s">
        <v>74</v>
      </c>
      <c r="W101" s="1" t="s">
        <v>479</v>
      </c>
      <c r="X101" s="1" t="s">
        <v>584</v>
      </c>
      <c r="Y101" s="1" t="s">
        <v>77</v>
      </c>
      <c r="Z101">
        <v>5</v>
      </c>
      <c r="AA101" s="1" t="s">
        <v>138</v>
      </c>
      <c r="AB101">
        <v>502</v>
      </c>
      <c r="AC101" s="1" t="s">
        <v>614</v>
      </c>
      <c r="AD101" s="1" t="s">
        <v>89</v>
      </c>
      <c r="AE101" s="1" t="s">
        <v>140</v>
      </c>
      <c r="AF101">
        <v>0</v>
      </c>
      <c r="AG101">
        <v>0</v>
      </c>
      <c r="AH101">
        <v>27549.38</v>
      </c>
      <c r="AI101">
        <v>0</v>
      </c>
      <c r="AJ101">
        <v>27549.38</v>
      </c>
      <c r="AK101">
        <v>0</v>
      </c>
      <c r="AL101">
        <v>27549.38</v>
      </c>
      <c r="AM101">
        <v>0</v>
      </c>
      <c r="AN101" s="1"/>
      <c r="AP101" s="1"/>
      <c r="AQ101" s="1"/>
      <c r="AR101" s="1"/>
      <c r="AS101" s="1"/>
      <c r="AT101" s="3"/>
      <c r="AU101" s="3"/>
      <c r="AV101" s="3"/>
      <c r="AW101" s="1"/>
      <c r="AX101" s="1"/>
      <c r="AZ101">
        <v>253</v>
      </c>
      <c r="BA101">
        <v>4654734.66</v>
      </c>
      <c r="BB101" s="1"/>
      <c r="BD101" s="1"/>
      <c r="BE101" s="1"/>
      <c r="BG101" s="1"/>
      <c r="BH101" s="1"/>
      <c r="BJ101" s="1"/>
      <c r="BL101" s="1"/>
      <c r="BN101" s="1"/>
      <c r="BO101">
        <v>599</v>
      </c>
      <c r="BP101">
        <v>4654734.66</v>
      </c>
      <c r="BQ101">
        <v>4654734.66</v>
      </c>
    </row>
    <row r="102" spans="1:69" x14ac:dyDescent="0.35">
      <c r="A102" s="1" t="s">
        <v>68</v>
      </c>
      <c r="B102" s="1" t="s">
        <v>69</v>
      </c>
      <c r="C102" s="1" t="s">
        <v>70</v>
      </c>
      <c r="D102">
        <v>1</v>
      </c>
      <c r="E102">
        <v>1</v>
      </c>
      <c r="F102" s="2">
        <v>43585.43</v>
      </c>
      <c r="G102" s="3">
        <v>41275</v>
      </c>
      <c r="H102" s="3">
        <v>41639</v>
      </c>
      <c r="I102" s="1" t="s">
        <v>71</v>
      </c>
      <c r="J102">
        <v>4521</v>
      </c>
      <c r="K102">
        <v>0</v>
      </c>
      <c r="L102" s="1" t="s">
        <v>384</v>
      </c>
      <c r="M102" s="1" t="s">
        <v>72</v>
      </c>
      <c r="N102" s="1" t="s">
        <v>134</v>
      </c>
      <c r="O102" s="1" t="s">
        <v>385</v>
      </c>
      <c r="P102" s="1" t="s">
        <v>386</v>
      </c>
      <c r="Q102" s="1" t="s">
        <v>387</v>
      </c>
      <c r="R102">
        <v>103</v>
      </c>
      <c r="S102" s="1" t="s">
        <v>135</v>
      </c>
      <c r="T102" s="1" t="s">
        <v>388</v>
      </c>
      <c r="U102" s="1" t="s">
        <v>135</v>
      </c>
      <c r="V102" s="1" t="s">
        <v>74</v>
      </c>
      <c r="W102" s="1" t="s">
        <v>480</v>
      </c>
      <c r="X102" s="1" t="s">
        <v>585</v>
      </c>
      <c r="Y102" s="1" t="s">
        <v>77</v>
      </c>
      <c r="Z102">
        <v>5</v>
      </c>
      <c r="AA102" s="1" t="s">
        <v>138</v>
      </c>
      <c r="AB102">
        <v>510</v>
      </c>
      <c r="AC102" s="1" t="s">
        <v>585</v>
      </c>
      <c r="AD102" s="1"/>
      <c r="AE102" s="1" t="s">
        <v>585</v>
      </c>
      <c r="AF102">
        <v>0</v>
      </c>
      <c r="AG102">
        <v>0</v>
      </c>
      <c r="AH102">
        <v>270035.14</v>
      </c>
      <c r="AI102">
        <v>0</v>
      </c>
      <c r="AJ102">
        <v>270035.14</v>
      </c>
      <c r="AK102">
        <v>0</v>
      </c>
      <c r="AL102">
        <v>270035.14</v>
      </c>
      <c r="AM102">
        <v>0</v>
      </c>
      <c r="AN102" s="1"/>
      <c r="AP102" s="1"/>
      <c r="AQ102" s="1"/>
      <c r="AR102" s="1"/>
      <c r="AS102" s="1"/>
      <c r="AT102" s="3"/>
      <c r="AU102" s="3"/>
      <c r="AV102" s="3"/>
      <c r="AW102" s="1"/>
      <c r="AX102" s="1"/>
      <c r="AZ102">
        <v>253</v>
      </c>
      <c r="BA102">
        <v>4654734.66</v>
      </c>
      <c r="BB102" s="1"/>
      <c r="BD102" s="1"/>
      <c r="BE102" s="1"/>
      <c r="BG102" s="1"/>
      <c r="BH102" s="1"/>
      <c r="BJ102" s="1"/>
      <c r="BL102" s="1"/>
      <c r="BN102" s="1"/>
      <c r="BO102">
        <v>599</v>
      </c>
      <c r="BP102">
        <v>4654734.66</v>
      </c>
      <c r="BQ102">
        <v>4654734.66</v>
      </c>
    </row>
    <row r="103" spans="1:69" x14ac:dyDescent="0.35">
      <c r="A103" s="1" t="s">
        <v>68</v>
      </c>
      <c r="B103" s="1" t="s">
        <v>69</v>
      </c>
      <c r="C103" s="1" t="s">
        <v>70</v>
      </c>
      <c r="D103">
        <v>1</v>
      </c>
      <c r="E103">
        <v>1</v>
      </c>
      <c r="F103" s="2">
        <v>43585.43</v>
      </c>
      <c r="G103" s="3">
        <v>41275</v>
      </c>
      <c r="H103" s="3">
        <v>41639</v>
      </c>
      <c r="I103" s="1" t="s">
        <v>71</v>
      </c>
      <c r="J103">
        <v>4521</v>
      </c>
      <c r="K103">
        <v>0</v>
      </c>
      <c r="L103" s="1" t="s">
        <v>384</v>
      </c>
      <c r="M103" s="1" t="s">
        <v>72</v>
      </c>
      <c r="N103" s="1" t="s">
        <v>134</v>
      </c>
      <c r="O103" s="1" t="s">
        <v>385</v>
      </c>
      <c r="P103" s="1" t="s">
        <v>386</v>
      </c>
      <c r="Q103" s="1" t="s">
        <v>387</v>
      </c>
      <c r="R103">
        <v>103</v>
      </c>
      <c r="S103" s="1" t="s">
        <v>135</v>
      </c>
      <c r="T103" s="1" t="s">
        <v>388</v>
      </c>
      <c r="U103" s="1" t="s">
        <v>135</v>
      </c>
      <c r="V103" s="1" t="s">
        <v>74</v>
      </c>
      <c r="W103" s="1" t="s">
        <v>481</v>
      </c>
      <c r="X103" s="1" t="s">
        <v>586</v>
      </c>
      <c r="Y103" s="1" t="s">
        <v>77</v>
      </c>
      <c r="Z103">
        <v>5</v>
      </c>
      <c r="AA103" s="1" t="s">
        <v>138</v>
      </c>
      <c r="AB103">
        <v>520</v>
      </c>
      <c r="AC103" s="1" t="s">
        <v>586</v>
      </c>
      <c r="AD103" s="1"/>
      <c r="AE103" s="1" t="s">
        <v>586</v>
      </c>
      <c r="AF103">
        <v>0</v>
      </c>
      <c r="AG103">
        <v>0</v>
      </c>
      <c r="AH103">
        <v>751.54</v>
      </c>
      <c r="AI103">
        <v>0</v>
      </c>
      <c r="AJ103">
        <v>751.54</v>
      </c>
      <c r="AK103">
        <v>0</v>
      </c>
      <c r="AL103">
        <v>751.54</v>
      </c>
      <c r="AM103">
        <v>0</v>
      </c>
      <c r="AN103" s="1"/>
      <c r="AP103" s="1"/>
      <c r="AQ103" s="1"/>
      <c r="AR103" s="1"/>
      <c r="AS103" s="1"/>
      <c r="AT103" s="3"/>
      <c r="AU103" s="3"/>
      <c r="AV103" s="3"/>
      <c r="AW103" s="1"/>
      <c r="AX103" s="1"/>
      <c r="AZ103">
        <v>253</v>
      </c>
      <c r="BA103">
        <v>4654734.66</v>
      </c>
      <c r="BB103" s="1"/>
      <c r="BD103" s="1"/>
      <c r="BE103" s="1"/>
      <c r="BG103" s="1"/>
      <c r="BH103" s="1"/>
      <c r="BJ103" s="1"/>
      <c r="BL103" s="1"/>
      <c r="BN103" s="1"/>
      <c r="BO103">
        <v>599</v>
      </c>
      <c r="BP103">
        <v>4654734.66</v>
      </c>
      <c r="BQ103">
        <v>4654734.66</v>
      </c>
    </row>
    <row r="104" spans="1:69" x14ac:dyDescent="0.35">
      <c r="A104" s="1" t="s">
        <v>68</v>
      </c>
      <c r="B104" s="1" t="s">
        <v>69</v>
      </c>
      <c r="C104" s="1" t="s">
        <v>70</v>
      </c>
      <c r="D104">
        <v>1</v>
      </c>
      <c r="E104">
        <v>1</v>
      </c>
      <c r="F104" s="2">
        <v>43585.43</v>
      </c>
      <c r="G104" s="3">
        <v>41275</v>
      </c>
      <c r="H104" s="3">
        <v>41639</v>
      </c>
      <c r="I104" s="1" t="s">
        <v>71</v>
      </c>
      <c r="J104">
        <v>4521</v>
      </c>
      <c r="K104">
        <v>0</v>
      </c>
      <c r="L104" s="1" t="s">
        <v>384</v>
      </c>
      <c r="M104" s="1" t="s">
        <v>72</v>
      </c>
      <c r="N104" s="1" t="s">
        <v>134</v>
      </c>
      <c r="O104" s="1" t="s">
        <v>385</v>
      </c>
      <c r="P104" s="1" t="s">
        <v>386</v>
      </c>
      <c r="Q104" s="1" t="s">
        <v>387</v>
      </c>
      <c r="R104">
        <v>103</v>
      </c>
      <c r="S104" s="1" t="s">
        <v>135</v>
      </c>
      <c r="T104" s="1" t="s">
        <v>388</v>
      </c>
      <c r="U104" s="1" t="s">
        <v>135</v>
      </c>
      <c r="V104" s="1" t="s">
        <v>74</v>
      </c>
      <c r="W104" s="1" t="s">
        <v>482</v>
      </c>
      <c r="X104" s="1" t="s">
        <v>587</v>
      </c>
      <c r="Y104" s="1" t="s">
        <v>77</v>
      </c>
      <c r="Z104">
        <v>5</v>
      </c>
      <c r="AA104" s="1" t="s">
        <v>138</v>
      </c>
      <c r="AB104">
        <v>550</v>
      </c>
      <c r="AC104" s="1" t="s">
        <v>615</v>
      </c>
      <c r="AD104" s="1" t="s">
        <v>88</v>
      </c>
      <c r="AE104" s="1" t="s">
        <v>729</v>
      </c>
      <c r="AF104">
        <v>0</v>
      </c>
      <c r="AG104">
        <v>0</v>
      </c>
      <c r="AH104">
        <v>50</v>
      </c>
      <c r="AI104">
        <v>0</v>
      </c>
      <c r="AJ104">
        <v>50</v>
      </c>
      <c r="AK104">
        <v>0</v>
      </c>
      <c r="AL104">
        <v>50</v>
      </c>
      <c r="AM104">
        <v>0</v>
      </c>
      <c r="AN104" s="1"/>
      <c r="AP104" s="1"/>
      <c r="AQ104" s="1"/>
      <c r="AR104" s="1"/>
      <c r="AS104" s="1"/>
      <c r="AT104" s="3"/>
      <c r="AU104" s="3"/>
      <c r="AV104" s="3"/>
      <c r="AW104" s="1"/>
      <c r="AX104" s="1"/>
      <c r="AZ104">
        <v>253</v>
      </c>
      <c r="BA104">
        <v>4654734.66</v>
      </c>
      <c r="BB104" s="1"/>
      <c r="BD104" s="1"/>
      <c r="BE104" s="1"/>
      <c r="BG104" s="1"/>
      <c r="BH104" s="1"/>
      <c r="BJ104" s="1"/>
      <c r="BL104" s="1"/>
      <c r="BN104" s="1"/>
      <c r="BO104">
        <v>599</v>
      </c>
      <c r="BP104">
        <v>4654734.66</v>
      </c>
      <c r="BQ104">
        <v>4654734.66</v>
      </c>
    </row>
    <row r="105" spans="1:69" x14ac:dyDescent="0.35">
      <c r="A105" s="1" t="s">
        <v>68</v>
      </c>
      <c r="B105" s="1" t="s">
        <v>69</v>
      </c>
      <c r="C105" s="1" t="s">
        <v>70</v>
      </c>
      <c r="D105">
        <v>1</v>
      </c>
      <c r="E105">
        <v>1</v>
      </c>
      <c r="F105" s="2">
        <v>43585.43</v>
      </c>
      <c r="G105" s="3">
        <v>41275</v>
      </c>
      <c r="H105" s="3">
        <v>41639</v>
      </c>
      <c r="I105" s="1" t="s">
        <v>71</v>
      </c>
      <c r="J105">
        <v>4521</v>
      </c>
      <c r="K105">
        <v>0</v>
      </c>
      <c r="L105" s="1" t="s">
        <v>384</v>
      </c>
      <c r="M105" s="1" t="s">
        <v>72</v>
      </c>
      <c r="N105" s="1" t="s">
        <v>134</v>
      </c>
      <c r="O105" s="1" t="s">
        <v>385</v>
      </c>
      <c r="P105" s="1" t="s">
        <v>386</v>
      </c>
      <c r="Q105" s="1" t="s">
        <v>387</v>
      </c>
      <c r="R105">
        <v>103</v>
      </c>
      <c r="S105" s="1" t="s">
        <v>135</v>
      </c>
      <c r="T105" s="1" t="s">
        <v>388</v>
      </c>
      <c r="U105" s="1" t="s">
        <v>135</v>
      </c>
      <c r="V105" s="1" t="s">
        <v>74</v>
      </c>
      <c r="W105" s="1" t="s">
        <v>483</v>
      </c>
      <c r="X105" s="1" t="s">
        <v>588</v>
      </c>
      <c r="Y105" s="1" t="s">
        <v>77</v>
      </c>
      <c r="Z105">
        <v>5</v>
      </c>
      <c r="AA105" s="1" t="s">
        <v>138</v>
      </c>
      <c r="AB105">
        <v>550</v>
      </c>
      <c r="AC105" s="1" t="s">
        <v>615</v>
      </c>
      <c r="AD105" s="1" t="s">
        <v>91</v>
      </c>
      <c r="AE105" s="1" t="s">
        <v>728</v>
      </c>
      <c r="AF105">
        <v>0</v>
      </c>
      <c r="AG105">
        <v>0</v>
      </c>
      <c r="AH105">
        <v>5228</v>
      </c>
      <c r="AI105">
        <v>0</v>
      </c>
      <c r="AJ105">
        <v>5228</v>
      </c>
      <c r="AK105">
        <v>0</v>
      </c>
      <c r="AL105">
        <v>5228</v>
      </c>
      <c r="AM105">
        <v>0</v>
      </c>
      <c r="AN105" s="1"/>
      <c r="AP105" s="1"/>
      <c r="AQ105" s="1"/>
      <c r="AR105" s="1"/>
      <c r="AS105" s="1"/>
      <c r="AT105" s="3"/>
      <c r="AU105" s="3"/>
      <c r="AV105" s="3"/>
      <c r="AW105" s="1"/>
      <c r="AX105" s="1"/>
      <c r="AZ105">
        <v>253</v>
      </c>
      <c r="BA105">
        <v>4654734.66</v>
      </c>
      <c r="BB105" s="1"/>
      <c r="BD105" s="1"/>
      <c r="BE105" s="1"/>
      <c r="BG105" s="1"/>
      <c r="BH105" s="1"/>
      <c r="BJ105" s="1"/>
      <c r="BL105" s="1"/>
      <c r="BN105" s="1"/>
      <c r="BO105">
        <v>599</v>
      </c>
      <c r="BP105">
        <v>4654734.66</v>
      </c>
      <c r="BQ105">
        <v>4654734.66</v>
      </c>
    </row>
    <row r="106" spans="1:69" x14ac:dyDescent="0.35">
      <c r="A106" s="1" t="s">
        <v>68</v>
      </c>
      <c r="B106" s="1" t="s">
        <v>69</v>
      </c>
      <c r="C106" s="1" t="s">
        <v>70</v>
      </c>
      <c r="D106">
        <v>1</v>
      </c>
      <c r="E106">
        <v>1</v>
      </c>
      <c r="F106" s="2">
        <v>43585.43</v>
      </c>
      <c r="G106" s="3">
        <v>41275</v>
      </c>
      <c r="H106" s="3">
        <v>41639</v>
      </c>
      <c r="I106" s="1" t="s">
        <v>71</v>
      </c>
      <c r="J106">
        <v>4521</v>
      </c>
      <c r="K106">
        <v>0</v>
      </c>
      <c r="L106" s="1" t="s">
        <v>384</v>
      </c>
      <c r="M106" s="1" t="s">
        <v>72</v>
      </c>
      <c r="N106" s="1" t="s">
        <v>134</v>
      </c>
      <c r="O106" s="1" t="s">
        <v>385</v>
      </c>
      <c r="P106" s="1" t="s">
        <v>386</v>
      </c>
      <c r="Q106" s="1" t="s">
        <v>387</v>
      </c>
      <c r="R106">
        <v>103</v>
      </c>
      <c r="S106" s="1" t="s">
        <v>135</v>
      </c>
      <c r="T106" s="1" t="s">
        <v>388</v>
      </c>
      <c r="U106" s="1" t="s">
        <v>135</v>
      </c>
      <c r="V106" s="1" t="s">
        <v>74</v>
      </c>
      <c r="W106" s="1" t="s">
        <v>484</v>
      </c>
      <c r="X106" s="1" t="s">
        <v>589</v>
      </c>
      <c r="Y106" s="1" t="s">
        <v>76</v>
      </c>
      <c r="Z106">
        <v>6</v>
      </c>
      <c r="AA106" s="1" t="s">
        <v>82</v>
      </c>
      <c r="AB106">
        <v>641</v>
      </c>
      <c r="AC106" s="1" t="s">
        <v>616</v>
      </c>
      <c r="AD106" s="1" t="s">
        <v>89</v>
      </c>
      <c r="AE106" s="1" t="s">
        <v>730</v>
      </c>
      <c r="AF106">
        <v>264</v>
      </c>
      <c r="AG106">
        <v>0</v>
      </c>
      <c r="AH106">
        <v>264</v>
      </c>
      <c r="AI106">
        <v>0</v>
      </c>
      <c r="AJ106">
        <v>264</v>
      </c>
      <c r="AK106">
        <v>0</v>
      </c>
      <c r="AL106">
        <v>528</v>
      </c>
      <c r="AM106">
        <v>0</v>
      </c>
      <c r="AN106" s="1"/>
      <c r="AP106" s="1"/>
      <c r="AQ106" s="1"/>
      <c r="AR106" s="1"/>
      <c r="AS106" s="1"/>
      <c r="AT106" s="3"/>
      <c r="AU106" s="3"/>
      <c r="AV106" s="3"/>
      <c r="AW106" s="1"/>
      <c r="AX106" s="1"/>
      <c r="AZ106">
        <v>253</v>
      </c>
      <c r="BA106">
        <v>4654734.66</v>
      </c>
      <c r="BB106" s="1"/>
      <c r="BD106" s="1"/>
      <c r="BE106" s="1"/>
      <c r="BG106" s="1"/>
      <c r="BH106" s="1"/>
      <c r="BJ106" s="1"/>
      <c r="BL106" s="1"/>
      <c r="BN106" s="1"/>
      <c r="BO106">
        <v>599</v>
      </c>
      <c r="BP106">
        <v>4654734.66</v>
      </c>
      <c r="BQ106">
        <v>4654734.66</v>
      </c>
    </row>
    <row r="107" spans="1:69" x14ac:dyDescent="0.35">
      <c r="A107" s="1" t="s">
        <v>68</v>
      </c>
      <c r="B107" s="1" t="s">
        <v>69</v>
      </c>
      <c r="C107" s="1" t="s">
        <v>70</v>
      </c>
      <c r="D107">
        <v>1</v>
      </c>
      <c r="E107">
        <v>1</v>
      </c>
      <c r="F107" s="2">
        <v>43585.43</v>
      </c>
      <c r="G107" s="3">
        <v>41275</v>
      </c>
      <c r="H107" s="3">
        <v>41639</v>
      </c>
      <c r="I107" s="1" t="s">
        <v>71</v>
      </c>
      <c r="J107">
        <v>4521</v>
      </c>
      <c r="K107">
        <v>0</v>
      </c>
      <c r="L107" s="1" t="s">
        <v>384</v>
      </c>
      <c r="M107" s="1" t="s">
        <v>72</v>
      </c>
      <c r="N107" s="1" t="s">
        <v>134</v>
      </c>
      <c r="O107" s="1" t="s">
        <v>385</v>
      </c>
      <c r="P107" s="1" t="s">
        <v>386</v>
      </c>
      <c r="Q107" s="1" t="s">
        <v>387</v>
      </c>
      <c r="R107">
        <v>103</v>
      </c>
      <c r="S107" s="1" t="s">
        <v>135</v>
      </c>
      <c r="T107" s="1" t="s">
        <v>388</v>
      </c>
      <c r="U107" s="1" t="s">
        <v>135</v>
      </c>
      <c r="V107" s="1" t="s">
        <v>74</v>
      </c>
      <c r="W107" s="1" t="s">
        <v>485</v>
      </c>
      <c r="X107" s="1" t="s">
        <v>590</v>
      </c>
      <c r="Y107" s="1" t="s">
        <v>77</v>
      </c>
      <c r="Z107">
        <v>7</v>
      </c>
      <c r="AA107" s="1" t="s">
        <v>83</v>
      </c>
      <c r="AB107">
        <v>701</v>
      </c>
      <c r="AC107" s="1" t="s">
        <v>617</v>
      </c>
      <c r="AD107" s="1" t="s">
        <v>672</v>
      </c>
      <c r="AE107" s="1" t="s">
        <v>731</v>
      </c>
      <c r="AF107">
        <v>0</v>
      </c>
      <c r="AG107">
        <v>0</v>
      </c>
      <c r="AH107">
        <v>0</v>
      </c>
      <c r="AI107">
        <v>2200</v>
      </c>
      <c r="AJ107">
        <v>0</v>
      </c>
      <c r="AK107">
        <v>2200</v>
      </c>
      <c r="AL107">
        <v>0</v>
      </c>
      <c r="AM107">
        <v>2200</v>
      </c>
      <c r="AN107" s="1"/>
      <c r="AP107" s="1"/>
      <c r="AQ107" s="1"/>
      <c r="AR107" s="1"/>
      <c r="AS107" s="1"/>
      <c r="AT107" s="3"/>
      <c r="AU107" s="3"/>
      <c r="AV107" s="3"/>
      <c r="AW107" s="1"/>
      <c r="AX107" s="1"/>
      <c r="AZ107">
        <v>253</v>
      </c>
      <c r="BA107">
        <v>4654734.66</v>
      </c>
      <c r="BB107" s="1"/>
      <c r="BD107" s="1"/>
      <c r="BE107" s="1"/>
      <c r="BG107" s="1"/>
      <c r="BH107" s="1"/>
      <c r="BJ107" s="1"/>
      <c r="BL107" s="1"/>
      <c r="BN107" s="1"/>
      <c r="BO107">
        <v>599</v>
      </c>
      <c r="BP107">
        <v>4654734.66</v>
      </c>
      <c r="BQ107">
        <v>4654734.66</v>
      </c>
    </row>
    <row r="108" spans="1:69" x14ac:dyDescent="0.35">
      <c r="A108" s="1" t="s">
        <v>68</v>
      </c>
      <c r="B108" s="1" t="s">
        <v>69</v>
      </c>
      <c r="C108" s="1" t="s">
        <v>70</v>
      </c>
      <c r="D108">
        <v>1</v>
      </c>
      <c r="E108">
        <v>1</v>
      </c>
      <c r="F108" s="2">
        <v>43585.43</v>
      </c>
      <c r="G108" s="3">
        <v>41275</v>
      </c>
      <c r="H108" s="3">
        <v>41639</v>
      </c>
      <c r="I108" s="1" t="s">
        <v>71</v>
      </c>
      <c r="J108">
        <v>4521</v>
      </c>
      <c r="K108">
        <v>0</v>
      </c>
      <c r="L108" s="1" t="s">
        <v>384</v>
      </c>
      <c r="M108" s="1" t="s">
        <v>72</v>
      </c>
      <c r="N108" s="1" t="s">
        <v>134</v>
      </c>
      <c r="O108" s="1" t="s">
        <v>385</v>
      </c>
      <c r="P108" s="1" t="s">
        <v>386</v>
      </c>
      <c r="Q108" s="1" t="s">
        <v>387</v>
      </c>
      <c r="R108">
        <v>103</v>
      </c>
      <c r="S108" s="1" t="s">
        <v>135</v>
      </c>
      <c r="T108" s="1" t="s">
        <v>388</v>
      </c>
      <c r="U108" s="1" t="s">
        <v>135</v>
      </c>
      <c r="V108" s="1" t="s">
        <v>74</v>
      </c>
      <c r="W108" s="1" t="s">
        <v>486</v>
      </c>
      <c r="X108" s="1" t="s">
        <v>590</v>
      </c>
      <c r="Y108" s="1" t="s">
        <v>77</v>
      </c>
      <c r="Z108">
        <v>7</v>
      </c>
      <c r="AA108" s="1" t="s">
        <v>83</v>
      </c>
      <c r="AB108">
        <v>701</v>
      </c>
      <c r="AC108" s="1" t="s">
        <v>617</v>
      </c>
      <c r="AD108" s="1" t="s">
        <v>90</v>
      </c>
      <c r="AE108" s="1" t="s">
        <v>731</v>
      </c>
      <c r="AF108">
        <v>0</v>
      </c>
      <c r="AG108">
        <v>0</v>
      </c>
      <c r="AH108">
        <v>0</v>
      </c>
      <c r="AI108">
        <v>2758.23</v>
      </c>
      <c r="AJ108">
        <v>0</v>
      </c>
      <c r="AK108">
        <v>2758.23</v>
      </c>
      <c r="AL108">
        <v>0</v>
      </c>
      <c r="AM108">
        <v>2758.23</v>
      </c>
      <c r="AN108" s="1"/>
      <c r="AP108" s="1"/>
      <c r="AQ108" s="1"/>
      <c r="AR108" s="1"/>
      <c r="AS108" s="1"/>
      <c r="AT108" s="3"/>
      <c r="AU108" s="3"/>
      <c r="AV108" s="3"/>
      <c r="AW108" s="1"/>
      <c r="AX108" s="1"/>
      <c r="AZ108">
        <v>253</v>
      </c>
      <c r="BA108">
        <v>4654734.66</v>
      </c>
      <c r="BB108" s="1"/>
      <c r="BD108" s="1"/>
      <c r="BE108" s="1"/>
      <c r="BG108" s="1"/>
      <c r="BH108" s="1"/>
      <c r="BJ108" s="1"/>
      <c r="BL108" s="1"/>
      <c r="BN108" s="1"/>
      <c r="BO108">
        <v>599</v>
      </c>
      <c r="BP108">
        <v>4654734.66</v>
      </c>
      <c r="BQ108">
        <v>4654734.66</v>
      </c>
    </row>
    <row r="109" spans="1:69" x14ac:dyDescent="0.35">
      <c r="A109" s="1" t="s">
        <v>68</v>
      </c>
      <c r="B109" s="1" t="s">
        <v>69</v>
      </c>
      <c r="C109" s="1" t="s">
        <v>70</v>
      </c>
      <c r="D109">
        <v>1</v>
      </c>
      <c r="E109">
        <v>1</v>
      </c>
      <c r="F109" s="2">
        <v>43585.43</v>
      </c>
      <c r="G109" s="3">
        <v>41275</v>
      </c>
      <c r="H109" s="3">
        <v>41639</v>
      </c>
      <c r="I109" s="1" t="s">
        <v>71</v>
      </c>
      <c r="J109">
        <v>4521</v>
      </c>
      <c r="K109">
        <v>0</v>
      </c>
      <c r="L109" s="1" t="s">
        <v>384</v>
      </c>
      <c r="M109" s="1" t="s">
        <v>72</v>
      </c>
      <c r="N109" s="1" t="s">
        <v>134</v>
      </c>
      <c r="O109" s="1" t="s">
        <v>385</v>
      </c>
      <c r="P109" s="1" t="s">
        <v>386</v>
      </c>
      <c r="Q109" s="1" t="s">
        <v>387</v>
      </c>
      <c r="R109">
        <v>103</v>
      </c>
      <c r="S109" s="1" t="s">
        <v>135</v>
      </c>
      <c r="T109" s="1" t="s">
        <v>388</v>
      </c>
      <c r="U109" s="1" t="s">
        <v>135</v>
      </c>
      <c r="V109" s="1" t="s">
        <v>74</v>
      </c>
      <c r="W109" s="1" t="s">
        <v>487</v>
      </c>
      <c r="X109" s="1" t="s">
        <v>591</v>
      </c>
      <c r="Y109" s="1" t="s">
        <v>77</v>
      </c>
      <c r="Z109">
        <v>7</v>
      </c>
      <c r="AA109" s="1" t="s">
        <v>83</v>
      </c>
      <c r="AB109">
        <v>702</v>
      </c>
      <c r="AC109" s="1" t="s">
        <v>618</v>
      </c>
      <c r="AD109" s="1" t="s">
        <v>672</v>
      </c>
      <c r="AE109" s="1" t="s">
        <v>732</v>
      </c>
      <c r="AF109">
        <v>0</v>
      </c>
      <c r="AG109">
        <v>0</v>
      </c>
      <c r="AH109">
        <v>0</v>
      </c>
      <c r="AI109">
        <v>16939.740000000002</v>
      </c>
      <c r="AJ109">
        <v>0</v>
      </c>
      <c r="AK109">
        <v>16939.740000000002</v>
      </c>
      <c r="AL109">
        <v>0</v>
      </c>
      <c r="AM109">
        <v>16939.740000000002</v>
      </c>
      <c r="AN109" s="1"/>
      <c r="AP109" s="1"/>
      <c r="AQ109" s="1"/>
      <c r="AR109" s="1"/>
      <c r="AS109" s="1"/>
      <c r="AT109" s="3"/>
      <c r="AU109" s="3"/>
      <c r="AV109" s="3"/>
      <c r="AW109" s="1"/>
      <c r="AX109" s="1"/>
      <c r="AZ109">
        <v>253</v>
      </c>
      <c r="BA109">
        <v>4654734.66</v>
      </c>
      <c r="BB109" s="1"/>
      <c r="BD109" s="1"/>
      <c r="BE109" s="1"/>
      <c r="BG109" s="1"/>
      <c r="BH109" s="1"/>
      <c r="BJ109" s="1"/>
      <c r="BL109" s="1"/>
      <c r="BN109" s="1"/>
      <c r="BO109">
        <v>599</v>
      </c>
      <c r="BP109">
        <v>4654734.66</v>
      </c>
      <c r="BQ109">
        <v>4654734.66</v>
      </c>
    </row>
    <row r="110" spans="1:69" x14ac:dyDescent="0.35">
      <c r="A110" s="1" t="s">
        <v>68</v>
      </c>
      <c r="B110" s="1" t="s">
        <v>69</v>
      </c>
      <c r="C110" s="1" t="s">
        <v>70</v>
      </c>
      <c r="D110">
        <v>1</v>
      </c>
      <c r="E110">
        <v>1</v>
      </c>
      <c r="F110" s="2">
        <v>43585.43</v>
      </c>
      <c r="G110" s="3">
        <v>41275</v>
      </c>
      <c r="H110" s="3">
        <v>41639</v>
      </c>
      <c r="I110" s="1" t="s">
        <v>71</v>
      </c>
      <c r="J110">
        <v>4521</v>
      </c>
      <c r="K110">
        <v>0</v>
      </c>
      <c r="L110" s="1" t="s">
        <v>384</v>
      </c>
      <c r="M110" s="1" t="s">
        <v>72</v>
      </c>
      <c r="N110" s="1" t="s">
        <v>134</v>
      </c>
      <c r="O110" s="1" t="s">
        <v>385</v>
      </c>
      <c r="P110" s="1" t="s">
        <v>386</v>
      </c>
      <c r="Q110" s="1" t="s">
        <v>387</v>
      </c>
      <c r="R110">
        <v>103</v>
      </c>
      <c r="S110" s="1" t="s">
        <v>135</v>
      </c>
      <c r="T110" s="1" t="s">
        <v>388</v>
      </c>
      <c r="U110" s="1" t="s">
        <v>135</v>
      </c>
      <c r="V110" s="1" t="s">
        <v>74</v>
      </c>
      <c r="W110" s="1" t="s">
        <v>488</v>
      </c>
      <c r="X110" s="1" t="s">
        <v>592</v>
      </c>
      <c r="Y110" s="1" t="s">
        <v>77</v>
      </c>
      <c r="Z110">
        <v>7</v>
      </c>
      <c r="AA110" s="1" t="s">
        <v>83</v>
      </c>
      <c r="AB110">
        <v>702</v>
      </c>
      <c r="AC110" s="1" t="s">
        <v>618</v>
      </c>
      <c r="AD110" s="1" t="s">
        <v>90</v>
      </c>
      <c r="AE110" s="1" t="s">
        <v>733</v>
      </c>
      <c r="AF110">
        <v>0</v>
      </c>
      <c r="AG110">
        <v>0</v>
      </c>
      <c r="AH110">
        <v>0</v>
      </c>
      <c r="AI110">
        <v>68835.100000000006</v>
      </c>
      <c r="AJ110">
        <v>0</v>
      </c>
      <c r="AK110">
        <v>68835.100000000006</v>
      </c>
      <c r="AL110">
        <v>0</v>
      </c>
      <c r="AM110">
        <v>68835.100000000006</v>
      </c>
      <c r="AN110" s="1"/>
      <c r="AP110" s="1"/>
      <c r="AQ110" s="1"/>
      <c r="AR110" s="1"/>
      <c r="AS110" s="1"/>
      <c r="AT110" s="3"/>
      <c r="AU110" s="3"/>
      <c r="AV110" s="3"/>
      <c r="AW110" s="1"/>
      <c r="AX110" s="1"/>
      <c r="AZ110">
        <v>253</v>
      </c>
      <c r="BA110">
        <v>4654734.66</v>
      </c>
      <c r="BB110" s="1"/>
      <c r="BD110" s="1"/>
      <c r="BE110" s="1"/>
      <c r="BG110" s="1"/>
      <c r="BH110" s="1"/>
      <c r="BJ110" s="1"/>
      <c r="BL110" s="1"/>
      <c r="BN110" s="1"/>
      <c r="BO110">
        <v>599</v>
      </c>
      <c r="BP110">
        <v>4654734.66</v>
      </c>
      <c r="BQ110">
        <v>4654734.66</v>
      </c>
    </row>
    <row r="111" spans="1:69" x14ac:dyDescent="0.35">
      <c r="A111" s="1" t="s">
        <v>68</v>
      </c>
      <c r="B111" s="1" t="s">
        <v>69</v>
      </c>
      <c r="C111" s="1" t="s">
        <v>70</v>
      </c>
      <c r="D111">
        <v>1</v>
      </c>
      <c r="E111">
        <v>1</v>
      </c>
      <c r="F111" s="2">
        <v>43585.43</v>
      </c>
      <c r="G111" s="3">
        <v>41275</v>
      </c>
      <c r="H111" s="3">
        <v>41639</v>
      </c>
      <c r="I111" s="1" t="s">
        <v>71</v>
      </c>
      <c r="J111">
        <v>4521</v>
      </c>
      <c r="K111">
        <v>0</v>
      </c>
      <c r="L111" s="1" t="s">
        <v>384</v>
      </c>
      <c r="M111" s="1" t="s">
        <v>72</v>
      </c>
      <c r="N111" s="1" t="s">
        <v>134</v>
      </c>
      <c r="O111" s="1" t="s">
        <v>385</v>
      </c>
      <c r="P111" s="1" t="s">
        <v>386</v>
      </c>
      <c r="Q111" s="1" t="s">
        <v>387</v>
      </c>
      <c r="R111">
        <v>103</v>
      </c>
      <c r="S111" s="1" t="s">
        <v>135</v>
      </c>
      <c r="T111" s="1" t="s">
        <v>388</v>
      </c>
      <c r="U111" s="1" t="s">
        <v>135</v>
      </c>
      <c r="V111" s="1" t="s">
        <v>74</v>
      </c>
      <c r="W111" s="1" t="s">
        <v>489</v>
      </c>
      <c r="X111" s="1" t="s">
        <v>593</v>
      </c>
      <c r="Y111" s="1" t="s">
        <v>77</v>
      </c>
      <c r="Z111">
        <v>7</v>
      </c>
      <c r="AA111" s="1" t="s">
        <v>83</v>
      </c>
      <c r="AB111">
        <v>731</v>
      </c>
      <c r="AC111" s="1" t="s">
        <v>619</v>
      </c>
      <c r="AD111" s="1" t="s">
        <v>89</v>
      </c>
      <c r="AE111" s="1" t="s">
        <v>734</v>
      </c>
      <c r="AF111">
        <v>0</v>
      </c>
      <c r="AG111">
        <v>0</v>
      </c>
      <c r="AH111">
        <v>0</v>
      </c>
      <c r="AI111">
        <v>273937.46999999997</v>
      </c>
      <c r="AJ111">
        <v>0</v>
      </c>
      <c r="AK111">
        <v>273937.46999999997</v>
      </c>
      <c r="AL111">
        <v>0</v>
      </c>
      <c r="AM111">
        <v>273937.46999999997</v>
      </c>
      <c r="AN111" s="1"/>
      <c r="AP111" s="1"/>
      <c r="AQ111" s="1"/>
      <c r="AR111" s="1"/>
      <c r="AS111" s="1"/>
      <c r="AT111" s="3"/>
      <c r="AU111" s="3"/>
      <c r="AV111" s="3"/>
      <c r="AW111" s="1"/>
      <c r="AX111" s="1"/>
      <c r="AZ111">
        <v>253</v>
      </c>
      <c r="BA111">
        <v>4654734.66</v>
      </c>
      <c r="BB111" s="1"/>
      <c r="BD111" s="1"/>
      <c r="BE111" s="1"/>
      <c r="BG111" s="1"/>
      <c r="BH111" s="1"/>
      <c r="BJ111" s="1"/>
      <c r="BL111" s="1"/>
      <c r="BN111" s="1"/>
      <c r="BO111">
        <v>599</v>
      </c>
      <c r="BP111">
        <v>4654734.66</v>
      </c>
      <c r="BQ111">
        <v>4654734.66</v>
      </c>
    </row>
    <row r="112" spans="1:69" x14ac:dyDescent="0.35">
      <c r="A112" s="1" t="s">
        <v>68</v>
      </c>
      <c r="B112" s="1" t="s">
        <v>69</v>
      </c>
      <c r="C112" s="1" t="s">
        <v>70</v>
      </c>
      <c r="D112">
        <v>1</v>
      </c>
      <c r="E112">
        <v>1</v>
      </c>
      <c r="F112" s="2">
        <v>43585.43</v>
      </c>
      <c r="G112" s="3">
        <v>41275</v>
      </c>
      <c r="H112" s="3">
        <v>41639</v>
      </c>
      <c r="I112" s="1" t="s">
        <v>71</v>
      </c>
      <c r="J112">
        <v>4521</v>
      </c>
      <c r="K112">
        <v>0</v>
      </c>
      <c r="L112" s="1" t="s">
        <v>384</v>
      </c>
      <c r="M112" s="1" t="s">
        <v>72</v>
      </c>
      <c r="N112" s="1" t="s">
        <v>134</v>
      </c>
      <c r="O112" s="1" t="s">
        <v>385</v>
      </c>
      <c r="P112" s="1" t="s">
        <v>386</v>
      </c>
      <c r="Q112" s="1" t="s">
        <v>387</v>
      </c>
      <c r="R112">
        <v>103</v>
      </c>
      <c r="S112" s="1" t="s">
        <v>135</v>
      </c>
      <c r="T112" s="1" t="s">
        <v>388</v>
      </c>
      <c r="U112" s="1" t="s">
        <v>135</v>
      </c>
      <c r="V112" s="1" t="s">
        <v>74</v>
      </c>
      <c r="W112" s="1" t="s">
        <v>490</v>
      </c>
      <c r="X112" s="1" t="s">
        <v>594</v>
      </c>
      <c r="Y112" s="1" t="s">
        <v>77</v>
      </c>
      <c r="Z112">
        <v>7</v>
      </c>
      <c r="AA112" s="1" t="s">
        <v>83</v>
      </c>
      <c r="AB112">
        <v>741</v>
      </c>
      <c r="AC112" s="1" t="s">
        <v>620</v>
      </c>
      <c r="AD112" s="1" t="s">
        <v>89</v>
      </c>
      <c r="AE112" s="1" t="s">
        <v>735</v>
      </c>
      <c r="AF112">
        <v>0</v>
      </c>
      <c r="AG112">
        <v>0</v>
      </c>
      <c r="AH112">
        <v>0</v>
      </c>
      <c r="AI112">
        <v>873.85</v>
      </c>
      <c r="AJ112">
        <v>0</v>
      </c>
      <c r="AK112">
        <v>873.85</v>
      </c>
      <c r="AL112">
        <v>0</v>
      </c>
      <c r="AM112">
        <v>873.85</v>
      </c>
      <c r="AN112" s="1"/>
      <c r="AP112" s="1"/>
      <c r="AQ112" s="1"/>
      <c r="AR112" s="1"/>
      <c r="AS112" s="1"/>
      <c r="AT112" s="3"/>
      <c r="AU112" s="3"/>
      <c r="AV112" s="3"/>
      <c r="AW112" s="1"/>
      <c r="AX112" s="1"/>
      <c r="AZ112">
        <v>253</v>
      </c>
      <c r="BA112">
        <v>4654734.66</v>
      </c>
      <c r="BB112" s="1"/>
      <c r="BD112" s="1"/>
      <c r="BE112" s="1"/>
      <c r="BG112" s="1"/>
      <c r="BH112" s="1"/>
      <c r="BJ112" s="1"/>
      <c r="BL112" s="1"/>
      <c r="BN112" s="1"/>
      <c r="BO112">
        <v>599</v>
      </c>
      <c r="BP112">
        <v>4654734.66</v>
      </c>
      <c r="BQ112">
        <v>4654734.66</v>
      </c>
    </row>
    <row r="113" spans="1:69" x14ac:dyDescent="0.35">
      <c r="A113" s="1" t="s">
        <v>68</v>
      </c>
      <c r="B113" s="1" t="s">
        <v>69</v>
      </c>
      <c r="C113" s="1" t="s">
        <v>70</v>
      </c>
      <c r="D113">
        <v>1</v>
      </c>
      <c r="E113">
        <v>1</v>
      </c>
      <c r="F113" s="2">
        <v>43585.43</v>
      </c>
      <c r="G113" s="3">
        <v>41275</v>
      </c>
      <c r="H113" s="3">
        <v>41639</v>
      </c>
      <c r="I113" s="1" t="s">
        <v>71</v>
      </c>
      <c r="J113">
        <v>4521</v>
      </c>
      <c r="K113">
        <v>0</v>
      </c>
      <c r="L113" s="1" t="s">
        <v>384</v>
      </c>
      <c r="M113" s="1" t="s">
        <v>72</v>
      </c>
      <c r="N113" s="1" t="s">
        <v>134</v>
      </c>
      <c r="O113" s="1" t="s">
        <v>385</v>
      </c>
      <c r="P113" s="1" t="s">
        <v>386</v>
      </c>
      <c r="Q113" s="1" t="s">
        <v>387</v>
      </c>
      <c r="R113">
        <v>103</v>
      </c>
      <c r="S113" s="1" t="s">
        <v>135</v>
      </c>
      <c r="T113" s="1" t="s">
        <v>388</v>
      </c>
      <c r="U113" s="1" t="s">
        <v>135</v>
      </c>
      <c r="V113" s="1" t="s">
        <v>74</v>
      </c>
      <c r="W113" s="1" t="s">
        <v>491</v>
      </c>
      <c r="X113" s="1" t="s">
        <v>85</v>
      </c>
      <c r="Y113" s="1" t="s">
        <v>77</v>
      </c>
      <c r="Z113">
        <v>7</v>
      </c>
      <c r="AA113" s="1" t="s">
        <v>83</v>
      </c>
      <c r="AB113">
        <v>755</v>
      </c>
      <c r="AC113" s="1" t="s">
        <v>85</v>
      </c>
      <c r="AD113" s="1"/>
      <c r="AE113" s="1" t="s">
        <v>85</v>
      </c>
      <c r="AF113">
        <v>0</v>
      </c>
      <c r="AG113">
        <v>0</v>
      </c>
      <c r="AH113">
        <v>271.8</v>
      </c>
      <c r="AI113">
        <v>4511.8599999999997</v>
      </c>
      <c r="AJ113">
        <v>271.8</v>
      </c>
      <c r="AK113">
        <v>4511.8599999999997</v>
      </c>
      <c r="AL113">
        <v>0</v>
      </c>
      <c r="AM113">
        <v>4240.0600000000004</v>
      </c>
      <c r="AN113" s="1"/>
      <c r="AP113" s="1"/>
      <c r="AQ113" s="1"/>
      <c r="AR113" s="1"/>
      <c r="AS113" s="1"/>
      <c r="AT113" s="3"/>
      <c r="AU113" s="3"/>
      <c r="AV113" s="3"/>
      <c r="AW113" s="1"/>
      <c r="AX113" s="1"/>
      <c r="AZ113">
        <v>253</v>
      </c>
      <c r="BA113">
        <v>4654734.66</v>
      </c>
      <c r="BB113" s="1"/>
      <c r="BD113" s="1"/>
      <c r="BE113" s="1"/>
      <c r="BG113" s="1"/>
      <c r="BH113" s="1"/>
      <c r="BJ113" s="1"/>
      <c r="BL113" s="1"/>
      <c r="BN113" s="1"/>
      <c r="BO113">
        <v>599</v>
      </c>
      <c r="BP113">
        <v>4654734.66</v>
      </c>
      <c r="BQ113">
        <v>4654734.66</v>
      </c>
    </row>
    <row r="114" spans="1:69" x14ac:dyDescent="0.35">
      <c r="A114" s="1" t="s">
        <v>68</v>
      </c>
      <c r="B114" s="1" t="s">
        <v>69</v>
      </c>
      <c r="C114" s="1" t="s">
        <v>70</v>
      </c>
      <c r="D114">
        <v>1</v>
      </c>
      <c r="E114">
        <v>1</v>
      </c>
      <c r="F114" s="2">
        <v>43585.43</v>
      </c>
      <c r="G114" s="3">
        <v>41275</v>
      </c>
      <c r="H114" s="3">
        <v>41639</v>
      </c>
      <c r="I114" s="1" t="s">
        <v>71</v>
      </c>
      <c r="J114">
        <v>4521</v>
      </c>
      <c r="K114">
        <v>0</v>
      </c>
      <c r="L114" s="1" t="s">
        <v>384</v>
      </c>
      <c r="M114" s="1" t="s">
        <v>72</v>
      </c>
      <c r="N114" s="1" t="s">
        <v>134</v>
      </c>
      <c r="O114" s="1" t="s">
        <v>385</v>
      </c>
      <c r="P114" s="1" t="s">
        <v>386</v>
      </c>
      <c r="Q114" s="1" t="s">
        <v>387</v>
      </c>
      <c r="R114">
        <v>103</v>
      </c>
      <c r="S114" s="1" t="s">
        <v>135</v>
      </c>
      <c r="T114" s="1" t="s">
        <v>388</v>
      </c>
      <c r="U114" s="1" t="s">
        <v>135</v>
      </c>
      <c r="V114" s="1" t="s">
        <v>74</v>
      </c>
      <c r="W114" s="1" t="s">
        <v>492</v>
      </c>
      <c r="X114" s="1" t="s">
        <v>595</v>
      </c>
      <c r="Y114" s="1" t="s">
        <v>77</v>
      </c>
      <c r="Z114">
        <v>7</v>
      </c>
      <c r="AA114" s="1" t="s">
        <v>83</v>
      </c>
      <c r="AB114">
        <v>756</v>
      </c>
      <c r="AC114" s="1" t="s">
        <v>595</v>
      </c>
      <c r="AD114" s="1"/>
      <c r="AE114" s="1" t="s">
        <v>595</v>
      </c>
      <c r="AF114">
        <v>0</v>
      </c>
      <c r="AG114">
        <v>0</v>
      </c>
      <c r="AH114">
        <v>0</v>
      </c>
      <c r="AI114">
        <v>93.13</v>
      </c>
      <c r="AJ114">
        <v>0</v>
      </c>
      <c r="AK114">
        <v>93.13</v>
      </c>
      <c r="AL114">
        <v>0</v>
      </c>
      <c r="AM114">
        <v>93.13</v>
      </c>
      <c r="AN114" s="1"/>
      <c r="AP114" s="1"/>
      <c r="AQ114" s="1"/>
      <c r="AR114" s="1"/>
      <c r="AS114" s="1"/>
      <c r="AT114" s="3"/>
      <c r="AU114" s="3"/>
      <c r="AV114" s="3"/>
      <c r="AW114" s="1"/>
      <c r="AX114" s="1"/>
      <c r="AZ114">
        <v>253</v>
      </c>
      <c r="BA114">
        <v>4654734.66</v>
      </c>
      <c r="BB114" s="1"/>
      <c r="BD114" s="1"/>
      <c r="BE114" s="1"/>
      <c r="BG114" s="1"/>
      <c r="BH114" s="1"/>
      <c r="BJ114" s="1"/>
      <c r="BL114" s="1"/>
      <c r="BN114" s="1"/>
      <c r="BO114">
        <v>599</v>
      </c>
      <c r="BP114">
        <v>4654734.66</v>
      </c>
      <c r="BQ114">
        <v>4654734.66</v>
      </c>
    </row>
    <row r="115" spans="1:69" x14ac:dyDescent="0.35">
      <c r="A115" s="1" t="s">
        <v>68</v>
      </c>
      <c r="B115" s="1" t="s">
        <v>69</v>
      </c>
      <c r="C115" s="1" t="s">
        <v>70</v>
      </c>
      <c r="D115">
        <v>1</v>
      </c>
      <c r="E115">
        <v>1</v>
      </c>
      <c r="F115" s="2">
        <v>43585.43</v>
      </c>
      <c r="G115" s="3">
        <v>41275</v>
      </c>
      <c r="H115" s="3">
        <v>41639</v>
      </c>
      <c r="I115" s="1" t="s">
        <v>71</v>
      </c>
      <c r="J115">
        <v>4521</v>
      </c>
      <c r="K115">
        <v>0</v>
      </c>
      <c r="L115" s="1" t="s">
        <v>384</v>
      </c>
      <c r="M115" s="1" t="s">
        <v>72</v>
      </c>
      <c r="N115" s="1" t="s">
        <v>134</v>
      </c>
      <c r="O115" s="1" t="s">
        <v>385</v>
      </c>
      <c r="P115" s="1" t="s">
        <v>386</v>
      </c>
      <c r="Q115" s="1" t="s">
        <v>387</v>
      </c>
      <c r="R115">
        <v>103</v>
      </c>
      <c r="S115" s="1" t="s">
        <v>135</v>
      </c>
      <c r="T115" s="1" t="s">
        <v>388</v>
      </c>
      <c r="U115" s="1" t="s">
        <v>135</v>
      </c>
      <c r="V115" s="1" t="s">
        <v>74</v>
      </c>
      <c r="W115" s="1" t="s">
        <v>1588</v>
      </c>
      <c r="X115" s="1" t="s">
        <v>1590</v>
      </c>
      <c r="Y115" s="1" t="s">
        <v>76</v>
      </c>
      <c r="Z115">
        <v>8</v>
      </c>
      <c r="AA115" s="1" t="s">
        <v>84</v>
      </c>
      <c r="AB115">
        <v>801</v>
      </c>
      <c r="AC115" s="1" t="s">
        <v>1590</v>
      </c>
      <c r="AD115" s="1"/>
      <c r="AE115" s="1" t="s">
        <v>1590</v>
      </c>
      <c r="AF115">
        <v>0</v>
      </c>
      <c r="AG115">
        <v>0</v>
      </c>
      <c r="AH115">
        <v>0</v>
      </c>
      <c r="AI115">
        <v>600000</v>
      </c>
      <c r="AJ115">
        <v>0</v>
      </c>
      <c r="AK115">
        <v>600000</v>
      </c>
      <c r="AL115">
        <v>0</v>
      </c>
      <c r="AM115">
        <v>600000</v>
      </c>
      <c r="AN115" s="1"/>
      <c r="AP115" s="1"/>
      <c r="AQ115" s="1"/>
      <c r="AR115" s="1"/>
      <c r="AS115" s="1"/>
      <c r="AT115" s="3"/>
      <c r="AU115" s="3"/>
      <c r="AV115" s="3"/>
      <c r="AW115" s="1"/>
      <c r="AX115" s="1"/>
      <c r="AZ115">
        <v>253</v>
      </c>
      <c r="BA115">
        <v>4654734.66</v>
      </c>
      <c r="BB115" s="1"/>
      <c r="BD115" s="1"/>
      <c r="BE115" s="1"/>
      <c r="BG115" s="1"/>
      <c r="BH115" s="1"/>
      <c r="BJ115" s="1"/>
      <c r="BL115" s="1"/>
      <c r="BN115" s="1"/>
      <c r="BO115">
        <v>599</v>
      </c>
      <c r="BP115">
        <v>4654734.66</v>
      </c>
      <c r="BQ115">
        <v>4654734.66</v>
      </c>
    </row>
    <row r="116" spans="1:69" x14ac:dyDescent="0.35">
      <c r="A116" s="1" t="s">
        <v>68</v>
      </c>
      <c r="B116" s="1" t="s">
        <v>69</v>
      </c>
      <c r="C116" s="1" t="s">
        <v>70</v>
      </c>
      <c r="D116">
        <v>1</v>
      </c>
      <c r="E116">
        <v>1</v>
      </c>
      <c r="F116" s="2">
        <v>43585.43</v>
      </c>
      <c r="G116" s="3">
        <v>41275</v>
      </c>
      <c r="H116" s="3">
        <v>41639</v>
      </c>
      <c r="I116" s="1" t="s">
        <v>71</v>
      </c>
      <c r="J116">
        <v>4521</v>
      </c>
      <c r="K116">
        <v>0</v>
      </c>
      <c r="L116" s="1" t="s">
        <v>384</v>
      </c>
      <c r="M116" s="1" t="s">
        <v>72</v>
      </c>
      <c r="N116" s="1" t="s">
        <v>134</v>
      </c>
      <c r="O116" s="1" t="s">
        <v>385</v>
      </c>
      <c r="P116" s="1" t="s">
        <v>386</v>
      </c>
      <c r="Q116" s="1" t="s">
        <v>387</v>
      </c>
      <c r="R116">
        <v>103</v>
      </c>
      <c r="S116" s="1" t="s">
        <v>135</v>
      </c>
      <c r="T116" s="1" t="s">
        <v>388</v>
      </c>
      <c r="U116" s="1" t="s">
        <v>135</v>
      </c>
      <c r="V116" s="1" t="s">
        <v>74</v>
      </c>
      <c r="W116" s="1" t="s">
        <v>1589</v>
      </c>
      <c r="X116" s="1" t="s">
        <v>1591</v>
      </c>
      <c r="Y116" s="1" t="s">
        <v>76</v>
      </c>
      <c r="Z116">
        <v>8</v>
      </c>
      <c r="AA116" s="1" t="s">
        <v>84</v>
      </c>
      <c r="AB116">
        <v>822</v>
      </c>
      <c r="AC116" s="1" t="s">
        <v>1591</v>
      </c>
      <c r="AD116" s="1"/>
      <c r="AE116" s="1" t="s">
        <v>1591</v>
      </c>
      <c r="AF116">
        <v>0</v>
      </c>
      <c r="AG116">
        <v>0</v>
      </c>
      <c r="AH116">
        <v>0</v>
      </c>
      <c r="AI116">
        <v>25567.14</v>
      </c>
      <c r="AJ116">
        <v>0</v>
      </c>
      <c r="AK116">
        <v>25567.14</v>
      </c>
      <c r="AL116">
        <v>0</v>
      </c>
      <c r="AM116">
        <v>25567.14</v>
      </c>
      <c r="AN116" s="1"/>
      <c r="AP116" s="1"/>
      <c r="AQ116" s="1"/>
      <c r="AR116" s="1"/>
      <c r="AS116" s="1"/>
      <c r="AT116" s="3"/>
      <c r="AU116" s="3"/>
      <c r="AV116" s="3"/>
      <c r="AW116" s="1"/>
      <c r="AX116" s="1"/>
      <c r="AZ116">
        <v>253</v>
      </c>
      <c r="BA116">
        <v>4654734.66</v>
      </c>
      <c r="BB116" s="1"/>
      <c r="BD116" s="1"/>
      <c r="BE116" s="1"/>
      <c r="BG116" s="1"/>
      <c r="BH116" s="1"/>
      <c r="BJ116" s="1"/>
      <c r="BL116" s="1"/>
      <c r="BN116" s="1"/>
      <c r="BO116">
        <v>599</v>
      </c>
      <c r="BP116">
        <v>4654734.66</v>
      </c>
      <c r="BQ116">
        <v>4654734.66</v>
      </c>
    </row>
    <row r="117" spans="1:69" x14ac:dyDescent="0.35">
      <c r="A117" s="1" t="s">
        <v>68</v>
      </c>
      <c r="B117" s="1" t="s">
        <v>69</v>
      </c>
      <c r="C117" s="1" t="s">
        <v>70</v>
      </c>
      <c r="D117">
        <v>1</v>
      </c>
      <c r="E117">
        <v>1</v>
      </c>
      <c r="F117" s="2">
        <v>43585.43</v>
      </c>
      <c r="G117" s="3">
        <v>41275</v>
      </c>
      <c r="H117" s="3">
        <v>41639</v>
      </c>
      <c r="I117" s="1" t="s">
        <v>71</v>
      </c>
      <c r="J117">
        <v>4521</v>
      </c>
      <c r="K117">
        <v>0</v>
      </c>
      <c r="L117" s="1" t="s">
        <v>384</v>
      </c>
      <c r="M117" s="1" t="s">
        <v>72</v>
      </c>
      <c r="N117" s="1" t="s">
        <v>134</v>
      </c>
      <c r="O117" s="1" t="s">
        <v>385</v>
      </c>
      <c r="P117" s="1" t="s">
        <v>386</v>
      </c>
      <c r="Q117" s="1" t="s">
        <v>387</v>
      </c>
      <c r="R117">
        <v>103</v>
      </c>
      <c r="S117" s="1" t="s">
        <v>135</v>
      </c>
      <c r="T117" s="1" t="s">
        <v>388</v>
      </c>
      <c r="U117" s="1" t="s">
        <v>135</v>
      </c>
      <c r="V117" s="1" t="s">
        <v>74</v>
      </c>
      <c r="W117" s="1" t="s">
        <v>493</v>
      </c>
      <c r="X117" s="1" t="s">
        <v>596</v>
      </c>
      <c r="Y117" s="1" t="s">
        <v>76</v>
      </c>
      <c r="Z117">
        <v>8</v>
      </c>
      <c r="AA117" s="1" t="s">
        <v>84</v>
      </c>
      <c r="AB117">
        <v>844</v>
      </c>
      <c r="AC117" s="1" t="s">
        <v>621</v>
      </c>
      <c r="AD117" s="1" t="s">
        <v>89</v>
      </c>
      <c r="AE117" s="1" t="s">
        <v>730</v>
      </c>
      <c r="AF117">
        <v>0</v>
      </c>
      <c r="AG117">
        <v>1250</v>
      </c>
      <c r="AH117">
        <v>409.84</v>
      </c>
      <c r="AI117">
        <v>0</v>
      </c>
      <c r="AJ117">
        <v>409.84</v>
      </c>
      <c r="AK117">
        <v>0</v>
      </c>
      <c r="AL117">
        <v>0</v>
      </c>
      <c r="AM117">
        <v>840.16</v>
      </c>
      <c r="AN117" s="1"/>
      <c r="AP117" s="1"/>
      <c r="AQ117" s="1"/>
      <c r="AR117" s="1"/>
      <c r="AS117" s="1"/>
      <c r="AT117" s="3"/>
      <c r="AU117" s="3"/>
      <c r="AV117" s="3"/>
      <c r="AW117" s="1"/>
      <c r="AX117" s="1"/>
      <c r="AZ117">
        <v>253</v>
      </c>
      <c r="BA117">
        <v>4654734.66</v>
      </c>
      <c r="BB117" s="1"/>
      <c r="BD117" s="1"/>
      <c r="BE117" s="1"/>
      <c r="BG117" s="1"/>
      <c r="BH117" s="1"/>
      <c r="BJ117" s="1"/>
      <c r="BL117" s="1"/>
      <c r="BN117" s="1"/>
      <c r="BO117">
        <v>599</v>
      </c>
      <c r="BP117">
        <v>4654734.66</v>
      </c>
      <c r="BQ117">
        <v>4654734.66</v>
      </c>
    </row>
    <row r="118" spans="1:69" x14ac:dyDescent="0.35">
      <c r="A118" s="1" t="s">
        <v>68</v>
      </c>
      <c r="B118" s="1" t="s">
        <v>69</v>
      </c>
      <c r="C118" s="1" t="s">
        <v>70</v>
      </c>
      <c r="D118">
        <v>1</v>
      </c>
      <c r="E118">
        <v>1</v>
      </c>
      <c r="F118" s="2">
        <v>43585.43</v>
      </c>
      <c r="G118" s="3">
        <v>41275</v>
      </c>
      <c r="H118" s="3">
        <v>41639</v>
      </c>
      <c r="I118" s="1" t="s">
        <v>71</v>
      </c>
      <c r="J118">
        <v>4521</v>
      </c>
      <c r="K118">
        <v>0</v>
      </c>
      <c r="L118" s="1" t="s">
        <v>384</v>
      </c>
      <c r="M118" s="1" t="s">
        <v>72</v>
      </c>
      <c r="N118" s="1" t="s">
        <v>134</v>
      </c>
      <c r="O118" s="1" t="s">
        <v>385</v>
      </c>
      <c r="P118" s="1" t="s">
        <v>386</v>
      </c>
      <c r="Q118" s="1" t="s">
        <v>387</v>
      </c>
      <c r="R118">
        <v>103</v>
      </c>
      <c r="S118" s="1" t="s">
        <v>135</v>
      </c>
      <c r="T118" s="1" t="s">
        <v>388</v>
      </c>
      <c r="U118" s="1" t="s">
        <v>135</v>
      </c>
      <c r="V118" s="1" t="s">
        <v>74</v>
      </c>
      <c r="W118" s="1" t="s">
        <v>137</v>
      </c>
      <c r="X118" s="1" t="s">
        <v>597</v>
      </c>
      <c r="Y118" s="1" t="s">
        <v>76</v>
      </c>
      <c r="Z118">
        <v>8</v>
      </c>
      <c r="AA118" s="1" t="s">
        <v>84</v>
      </c>
      <c r="AB118">
        <v>860</v>
      </c>
      <c r="AC118" s="1" t="s">
        <v>597</v>
      </c>
      <c r="AD118" s="1"/>
      <c r="AE118" s="1" t="s">
        <v>597</v>
      </c>
      <c r="AF118">
        <v>0</v>
      </c>
      <c r="AG118">
        <v>25567.14</v>
      </c>
      <c r="AH118">
        <v>25567.14</v>
      </c>
      <c r="AI118">
        <v>0</v>
      </c>
      <c r="AJ118">
        <v>25567.14</v>
      </c>
      <c r="AK118">
        <v>0</v>
      </c>
      <c r="AL118">
        <v>0</v>
      </c>
      <c r="AM118">
        <v>0</v>
      </c>
      <c r="AN118" s="1"/>
      <c r="AP118" s="1"/>
      <c r="AQ118" s="1"/>
      <c r="AR118" s="1"/>
      <c r="AS118" s="1"/>
      <c r="AT118" s="3"/>
      <c r="AU118" s="3"/>
      <c r="AV118" s="3"/>
      <c r="AW118" s="1"/>
      <c r="AX118" s="1"/>
      <c r="AZ118">
        <v>253</v>
      </c>
      <c r="BA118">
        <v>4654734.66</v>
      </c>
      <c r="BB118" s="1"/>
      <c r="BD118" s="1"/>
      <c r="BE118" s="1"/>
      <c r="BG118" s="1"/>
      <c r="BH118" s="1"/>
      <c r="BJ118" s="1"/>
      <c r="BL118" s="1"/>
      <c r="BN118" s="1"/>
      <c r="BO118">
        <v>599</v>
      </c>
      <c r="BP118">
        <v>4654734.66</v>
      </c>
      <c r="BQ118">
        <v>4654734.66</v>
      </c>
    </row>
    <row r="119" spans="1:69" x14ac:dyDescent="0.35">
      <c r="A119" s="1" t="s">
        <v>68</v>
      </c>
      <c r="B119" s="1" t="s">
        <v>69</v>
      </c>
      <c r="C119" s="1" t="s">
        <v>70</v>
      </c>
      <c r="D119">
        <v>1</v>
      </c>
      <c r="E119">
        <v>1</v>
      </c>
      <c r="F119" s="2">
        <v>43585.43</v>
      </c>
      <c r="G119" s="3">
        <v>41275</v>
      </c>
      <c r="H119" s="3">
        <v>41639</v>
      </c>
      <c r="I119" s="1" t="s">
        <v>71</v>
      </c>
      <c r="J119">
        <v>4521</v>
      </c>
      <c r="K119">
        <v>0</v>
      </c>
      <c r="L119" s="1" t="s">
        <v>384</v>
      </c>
      <c r="M119" s="1" t="s">
        <v>72</v>
      </c>
      <c r="N119" s="1" t="s">
        <v>134</v>
      </c>
      <c r="O119" s="1" t="s">
        <v>385</v>
      </c>
      <c r="P119" s="1" t="s">
        <v>386</v>
      </c>
      <c r="Q119" s="1" t="s">
        <v>387</v>
      </c>
      <c r="R119">
        <v>103</v>
      </c>
      <c r="S119" s="1" t="s">
        <v>135</v>
      </c>
      <c r="T119" s="1" t="s">
        <v>388</v>
      </c>
      <c r="U119" s="1" t="s">
        <v>135</v>
      </c>
      <c r="V119" s="1" t="s">
        <v>74</v>
      </c>
      <c r="W119" s="1" t="s">
        <v>1314</v>
      </c>
      <c r="X119" s="1" t="s">
        <v>1331</v>
      </c>
      <c r="Y119" s="1" t="s">
        <v>76</v>
      </c>
      <c r="Z119">
        <v>9</v>
      </c>
      <c r="AA119" s="1" t="s">
        <v>1332</v>
      </c>
      <c r="AB119">
        <v>901</v>
      </c>
      <c r="AC119" s="1" t="s">
        <v>1331</v>
      </c>
      <c r="AD119" s="1"/>
      <c r="AE119" s="1" t="s">
        <v>1331</v>
      </c>
      <c r="AF119">
        <v>0</v>
      </c>
      <c r="AG119">
        <v>297.5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297.5</v>
      </c>
      <c r="AN119" s="1"/>
      <c r="AP119" s="1"/>
      <c r="AQ119" s="1"/>
      <c r="AR119" s="1"/>
      <c r="AS119" s="1"/>
      <c r="AT119" s="3"/>
      <c r="AU119" s="3"/>
      <c r="AV119" s="3"/>
      <c r="AW119" s="1"/>
      <c r="AX119" s="1"/>
      <c r="AZ119">
        <v>253</v>
      </c>
      <c r="BA119">
        <v>4654734.66</v>
      </c>
      <c r="BB119" s="1"/>
      <c r="BD119" s="1"/>
      <c r="BE119" s="1"/>
      <c r="BG119" s="1"/>
      <c r="BH119" s="1"/>
      <c r="BJ119" s="1"/>
      <c r="BL119" s="1"/>
      <c r="BN119" s="1"/>
      <c r="BO119">
        <v>599</v>
      </c>
      <c r="BP119">
        <v>4654734.66</v>
      </c>
      <c r="BQ119">
        <v>4654734.66</v>
      </c>
    </row>
    <row r="120" spans="1:69" x14ac:dyDescent="0.35">
      <c r="A120" s="1" t="s">
        <v>68</v>
      </c>
      <c r="B120" s="1" t="s">
        <v>69</v>
      </c>
      <c r="C120" s="1" t="s">
        <v>70</v>
      </c>
      <c r="D120">
        <v>1</v>
      </c>
      <c r="E120">
        <v>1</v>
      </c>
      <c r="F120" s="2">
        <v>43585.43</v>
      </c>
      <c r="G120" s="3">
        <v>41275</v>
      </c>
      <c r="H120" s="3">
        <v>41639</v>
      </c>
      <c r="I120" s="1" t="s">
        <v>71</v>
      </c>
      <c r="J120">
        <v>4521</v>
      </c>
      <c r="K120">
        <v>0</v>
      </c>
      <c r="L120" s="1" t="s">
        <v>384</v>
      </c>
      <c r="M120" s="1" t="s">
        <v>72</v>
      </c>
      <c r="N120" s="1" t="s">
        <v>134</v>
      </c>
      <c r="O120" s="1" t="s">
        <v>385</v>
      </c>
      <c r="P120" s="1" t="s">
        <v>386</v>
      </c>
      <c r="Q120" s="1" t="s">
        <v>387</v>
      </c>
      <c r="R120">
        <v>103</v>
      </c>
      <c r="S120" s="1" t="s">
        <v>135</v>
      </c>
      <c r="T120" s="1" t="s">
        <v>388</v>
      </c>
      <c r="U120" s="1" t="s">
        <v>135</v>
      </c>
      <c r="V120" s="1"/>
      <c r="W120" s="1"/>
      <c r="X120" s="1"/>
      <c r="Y120" s="1"/>
      <c r="AA120" s="1"/>
      <c r="AC120" s="1"/>
      <c r="AD120" s="1"/>
      <c r="AE120" s="1"/>
      <c r="AN120" s="1" t="s">
        <v>74</v>
      </c>
      <c r="AO120">
        <v>1</v>
      </c>
      <c r="AP120" s="1" t="s">
        <v>736</v>
      </c>
      <c r="AQ120" s="1" t="s">
        <v>976</v>
      </c>
      <c r="AR120" s="1" t="s">
        <v>1067</v>
      </c>
      <c r="AS120" s="1" t="s">
        <v>97</v>
      </c>
      <c r="AT120" s="3">
        <v>41280</v>
      </c>
      <c r="AU120" s="3">
        <v>41280</v>
      </c>
      <c r="AV120" s="3">
        <v>41305</v>
      </c>
      <c r="AW120" s="1" t="s">
        <v>1221</v>
      </c>
      <c r="AX120" s="1" t="s">
        <v>976</v>
      </c>
      <c r="AY120">
        <v>2836.76</v>
      </c>
      <c r="AZ120">
        <v>253</v>
      </c>
      <c r="BA120">
        <v>4654734.66</v>
      </c>
      <c r="BB120" s="1"/>
      <c r="BD120" s="1"/>
      <c r="BE120" s="1"/>
      <c r="BG120" s="1"/>
      <c r="BH120" s="1"/>
      <c r="BJ120" s="1"/>
      <c r="BL120" s="1"/>
      <c r="BN120" s="1"/>
      <c r="BO120">
        <v>599</v>
      </c>
      <c r="BP120">
        <v>4654734.66</v>
      </c>
      <c r="BQ120">
        <v>4654734.66</v>
      </c>
    </row>
    <row r="121" spans="1:69" x14ac:dyDescent="0.35">
      <c r="A121" s="1" t="s">
        <v>68</v>
      </c>
      <c r="B121" s="1" t="s">
        <v>69</v>
      </c>
      <c r="C121" s="1" t="s">
        <v>70</v>
      </c>
      <c r="D121">
        <v>1</v>
      </c>
      <c r="E121">
        <v>1</v>
      </c>
      <c r="F121" s="2">
        <v>43585.43</v>
      </c>
      <c r="G121" s="3">
        <v>41275</v>
      </c>
      <c r="H121" s="3">
        <v>41639</v>
      </c>
      <c r="I121" s="1" t="s">
        <v>71</v>
      </c>
      <c r="J121">
        <v>4521</v>
      </c>
      <c r="K121">
        <v>0</v>
      </c>
      <c r="L121" s="1" t="s">
        <v>384</v>
      </c>
      <c r="M121" s="1" t="s">
        <v>72</v>
      </c>
      <c r="N121" s="1" t="s">
        <v>134</v>
      </c>
      <c r="O121" s="1" t="s">
        <v>385</v>
      </c>
      <c r="P121" s="1" t="s">
        <v>386</v>
      </c>
      <c r="Q121" s="1" t="s">
        <v>387</v>
      </c>
      <c r="R121">
        <v>103</v>
      </c>
      <c r="S121" s="1" t="s">
        <v>135</v>
      </c>
      <c r="T121" s="1" t="s">
        <v>388</v>
      </c>
      <c r="U121" s="1" t="s">
        <v>135</v>
      </c>
      <c r="V121" s="1"/>
      <c r="W121" s="1"/>
      <c r="X121" s="1"/>
      <c r="Y121" s="1"/>
      <c r="AA121" s="1"/>
      <c r="AC121" s="1"/>
      <c r="AD121" s="1"/>
      <c r="AE121" s="1"/>
      <c r="AN121" s="1" t="s">
        <v>74</v>
      </c>
      <c r="AO121">
        <v>2</v>
      </c>
      <c r="AP121" s="1" t="s">
        <v>737</v>
      </c>
      <c r="AQ121" s="1" t="s">
        <v>977</v>
      </c>
      <c r="AR121" s="1" t="s">
        <v>1068</v>
      </c>
      <c r="AS121" s="1" t="s">
        <v>97</v>
      </c>
      <c r="AT121" s="3">
        <v>41278</v>
      </c>
      <c r="AU121" s="3">
        <v>41279</v>
      </c>
      <c r="AV121" s="3">
        <v>41305</v>
      </c>
      <c r="AW121" s="1" t="s">
        <v>1221</v>
      </c>
      <c r="AX121" s="1" t="s">
        <v>977</v>
      </c>
      <c r="AY121">
        <v>317.33999999999997</v>
      </c>
      <c r="AZ121">
        <v>253</v>
      </c>
      <c r="BA121">
        <v>4654734.66</v>
      </c>
      <c r="BB121" s="1"/>
      <c r="BD121" s="1"/>
      <c r="BE121" s="1"/>
      <c r="BG121" s="1"/>
      <c r="BH121" s="1"/>
      <c r="BJ121" s="1"/>
      <c r="BL121" s="1"/>
      <c r="BN121" s="1"/>
      <c r="BO121">
        <v>599</v>
      </c>
      <c r="BP121">
        <v>4654734.66</v>
      </c>
      <c r="BQ121">
        <v>4654734.66</v>
      </c>
    </row>
    <row r="122" spans="1:69" x14ac:dyDescent="0.35">
      <c r="A122" s="1" t="s">
        <v>68</v>
      </c>
      <c r="B122" s="1" t="s">
        <v>69</v>
      </c>
      <c r="C122" s="1" t="s">
        <v>70</v>
      </c>
      <c r="D122">
        <v>1</v>
      </c>
      <c r="E122">
        <v>1</v>
      </c>
      <c r="F122" s="2">
        <v>43585.43</v>
      </c>
      <c r="G122" s="3">
        <v>41275</v>
      </c>
      <c r="H122" s="3">
        <v>41639</v>
      </c>
      <c r="I122" s="1" t="s">
        <v>71</v>
      </c>
      <c r="J122">
        <v>4521</v>
      </c>
      <c r="K122">
        <v>0</v>
      </c>
      <c r="L122" s="1" t="s">
        <v>384</v>
      </c>
      <c r="M122" s="1" t="s">
        <v>72</v>
      </c>
      <c r="N122" s="1" t="s">
        <v>134</v>
      </c>
      <c r="O122" s="1" t="s">
        <v>385</v>
      </c>
      <c r="P122" s="1" t="s">
        <v>386</v>
      </c>
      <c r="Q122" s="1" t="s">
        <v>387</v>
      </c>
      <c r="R122">
        <v>103</v>
      </c>
      <c r="S122" s="1" t="s">
        <v>135</v>
      </c>
      <c r="T122" s="1" t="s">
        <v>388</v>
      </c>
      <c r="U122" s="1" t="s">
        <v>135</v>
      </c>
      <c r="V122" s="1"/>
      <c r="W122" s="1"/>
      <c r="X122" s="1"/>
      <c r="Y122" s="1"/>
      <c r="AA122" s="1"/>
      <c r="AC122" s="1"/>
      <c r="AD122" s="1"/>
      <c r="AE122" s="1"/>
      <c r="AN122" s="1" t="s">
        <v>74</v>
      </c>
      <c r="AO122">
        <v>3</v>
      </c>
      <c r="AP122" s="1" t="s">
        <v>738</v>
      </c>
      <c r="AQ122" s="1" t="s">
        <v>978</v>
      </c>
      <c r="AR122" s="1" t="s">
        <v>1069</v>
      </c>
      <c r="AS122" s="1" t="s">
        <v>97</v>
      </c>
      <c r="AT122" s="3">
        <v>41276</v>
      </c>
      <c r="AU122" s="3">
        <v>41279</v>
      </c>
      <c r="AV122" s="3">
        <v>41305</v>
      </c>
      <c r="AW122" s="1" t="s">
        <v>1221</v>
      </c>
      <c r="AX122" s="1" t="s">
        <v>978</v>
      </c>
      <c r="AY122">
        <v>10505.43</v>
      </c>
      <c r="AZ122">
        <v>253</v>
      </c>
      <c r="BA122">
        <v>4654734.66</v>
      </c>
      <c r="BB122" s="1"/>
      <c r="BD122" s="1"/>
      <c r="BE122" s="1"/>
      <c r="BG122" s="1"/>
      <c r="BH122" s="1"/>
      <c r="BJ122" s="1"/>
      <c r="BL122" s="1"/>
      <c r="BN122" s="1"/>
      <c r="BO122">
        <v>599</v>
      </c>
      <c r="BP122">
        <v>4654734.66</v>
      </c>
      <c r="BQ122">
        <v>4654734.66</v>
      </c>
    </row>
    <row r="123" spans="1:69" x14ac:dyDescent="0.35">
      <c r="A123" s="1" t="s">
        <v>68</v>
      </c>
      <c r="B123" s="1" t="s">
        <v>69</v>
      </c>
      <c r="C123" s="1" t="s">
        <v>70</v>
      </c>
      <c r="D123">
        <v>1</v>
      </c>
      <c r="E123">
        <v>1</v>
      </c>
      <c r="F123" s="2">
        <v>43585.43</v>
      </c>
      <c r="G123" s="3">
        <v>41275</v>
      </c>
      <c r="H123" s="3">
        <v>41639</v>
      </c>
      <c r="I123" s="1" t="s">
        <v>71</v>
      </c>
      <c r="J123">
        <v>4521</v>
      </c>
      <c r="K123">
        <v>0</v>
      </c>
      <c r="L123" s="1" t="s">
        <v>384</v>
      </c>
      <c r="M123" s="1" t="s">
        <v>72</v>
      </c>
      <c r="N123" s="1" t="s">
        <v>134</v>
      </c>
      <c r="O123" s="1" t="s">
        <v>385</v>
      </c>
      <c r="P123" s="1" t="s">
        <v>386</v>
      </c>
      <c r="Q123" s="1" t="s">
        <v>387</v>
      </c>
      <c r="R123">
        <v>103</v>
      </c>
      <c r="S123" s="1" t="s">
        <v>135</v>
      </c>
      <c r="T123" s="1" t="s">
        <v>388</v>
      </c>
      <c r="U123" s="1" t="s">
        <v>135</v>
      </c>
      <c r="V123" s="1"/>
      <c r="W123" s="1"/>
      <c r="X123" s="1"/>
      <c r="Y123" s="1"/>
      <c r="AA123" s="1"/>
      <c r="AC123" s="1"/>
      <c r="AD123" s="1"/>
      <c r="AE123" s="1"/>
      <c r="AN123" s="1" t="s">
        <v>74</v>
      </c>
      <c r="AO123">
        <v>4</v>
      </c>
      <c r="AP123" s="1" t="s">
        <v>739</v>
      </c>
      <c r="AQ123" s="1" t="s">
        <v>979</v>
      </c>
      <c r="AR123" s="1" t="s">
        <v>1070</v>
      </c>
      <c r="AS123" s="1" t="s">
        <v>97</v>
      </c>
      <c r="AT123" s="3">
        <v>41279</v>
      </c>
      <c r="AU123" s="3">
        <v>41279</v>
      </c>
      <c r="AV123" s="3">
        <v>41305</v>
      </c>
      <c r="AW123" s="1" t="s">
        <v>1221</v>
      </c>
      <c r="AX123" s="1" t="s">
        <v>979</v>
      </c>
      <c r="AY123">
        <v>14821.5</v>
      </c>
      <c r="AZ123">
        <v>253</v>
      </c>
      <c r="BA123">
        <v>4654734.66</v>
      </c>
      <c r="BB123" s="1"/>
      <c r="BD123" s="1"/>
      <c r="BE123" s="1"/>
      <c r="BG123" s="1"/>
      <c r="BH123" s="1"/>
      <c r="BJ123" s="1"/>
      <c r="BL123" s="1"/>
      <c r="BN123" s="1"/>
      <c r="BO123">
        <v>599</v>
      </c>
      <c r="BP123">
        <v>4654734.66</v>
      </c>
      <c r="BQ123">
        <v>4654734.66</v>
      </c>
    </row>
    <row r="124" spans="1:69" x14ac:dyDescent="0.35">
      <c r="A124" s="1" t="s">
        <v>68</v>
      </c>
      <c r="B124" s="1" t="s">
        <v>69</v>
      </c>
      <c r="C124" s="1" t="s">
        <v>70</v>
      </c>
      <c r="D124">
        <v>1</v>
      </c>
      <c r="E124">
        <v>1</v>
      </c>
      <c r="F124" s="2">
        <v>43585.43</v>
      </c>
      <c r="G124" s="3">
        <v>41275</v>
      </c>
      <c r="H124" s="3">
        <v>41639</v>
      </c>
      <c r="I124" s="1" t="s">
        <v>71</v>
      </c>
      <c r="J124">
        <v>4521</v>
      </c>
      <c r="K124">
        <v>0</v>
      </c>
      <c r="L124" s="1" t="s">
        <v>384</v>
      </c>
      <c r="M124" s="1" t="s">
        <v>72</v>
      </c>
      <c r="N124" s="1" t="s">
        <v>134</v>
      </c>
      <c r="O124" s="1" t="s">
        <v>385</v>
      </c>
      <c r="P124" s="1" t="s">
        <v>386</v>
      </c>
      <c r="Q124" s="1" t="s">
        <v>387</v>
      </c>
      <c r="R124">
        <v>103</v>
      </c>
      <c r="S124" s="1" t="s">
        <v>135</v>
      </c>
      <c r="T124" s="1" t="s">
        <v>388</v>
      </c>
      <c r="U124" s="1" t="s">
        <v>135</v>
      </c>
      <c r="V124" s="1"/>
      <c r="W124" s="1"/>
      <c r="X124" s="1"/>
      <c r="Y124" s="1"/>
      <c r="AA124" s="1"/>
      <c r="AC124" s="1"/>
      <c r="AD124" s="1"/>
      <c r="AE124" s="1"/>
      <c r="AN124" s="1" t="s">
        <v>74</v>
      </c>
      <c r="AO124">
        <v>5</v>
      </c>
      <c r="AP124" s="1" t="s">
        <v>740</v>
      </c>
      <c r="AQ124" s="1" t="s">
        <v>980</v>
      </c>
      <c r="AR124" s="1" t="s">
        <v>1071</v>
      </c>
      <c r="AS124" s="1" t="s">
        <v>98</v>
      </c>
      <c r="AT124" s="3">
        <v>41278</v>
      </c>
      <c r="AU124" s="3">
        <v>41278</v>
      </c>
      <c r="AV124" s="3">
        <v>41305</v>
      </c>
      <c r="AW124" s="1" t="s">
        <v>1221</v>
      </c>
      <c r="AX124" s="1" t="s">
        <v>980</v>
      </c>
      <c r="AY124">
        <v>713.4</v>
      </c>
      <c r="AZ124">
        <v>253</v>
      </c>
      <c r="BA124">
        <v>4654734.66</v>
      </c>
      <c r="BB124" s="1"/>
      <c r="BD124" s="1"/>
      <c r="BE124" s="1"/>
      <c r="BG124" s="1"/>
      <c r="BH124" s="1"/>
      <c r="BJ124" s="1"/>
      <c r="BL124" s="1"/>
      <c r="BN124" s="1"/>
      <c r="BO124">
        <v>599</v>
      </c>
      <c r="BP124">
        <v>4654734.66</v>
      </c>
      <c r="BQ124">
        <v>4654734.66</v>
      </c>
    </row>
    <row r="125" spans="1:69" x14ac:dyDescent="0.35">
      <c r="A125" s="1" t="s">
        <v>68</v>
      </c>
      <c r="B125" s="1" t="s">
        <v>69</v>
      </c>
      <c r="C125" s="1" t="s">
        <v>70</v>
      </c>
      <c r="D125">
        <v>1</v>
      </c>
      <c r="E125">
        <v>1</v>
      </c>
      <c r="F125" s="2">
        <v>43585.43</v>
      </c>
      <c r="G125" s="3">
        <v>41275</v>
      </c>
      <c r="H125" s="3">
        <v>41639</v>
      </c>
      <c r="I125" s="1" t="s">
        <v>71</v>
      </c>
      <c r="J125">
        <v>4521</v>
      </c>
      <c r="K125">
        <v>0</v>
      </c>
      <c r="L125" s="1" t="s">
        <v>384</v>
      </c>
      <c r="M125" s="1" t="s">
        <v>72</v>
      </c>
      <c r="N125" s="1" t="s">
        <v>134</v>
      </c>
      <c r="O125" s="1" t="s">
        <v>385</v>
      </c>
      <c r="P125" s="1" t="s">
        <v>386</v>
      </c>
      <c r="Q125" s="1" t="s">
        <v>387</v>
      </c>
      <c r="R125">
        <v>103</v>
      </c>
      <c r="S125" s="1" t="s">
        <v>135</v>
      </c>
      <c r="T125" s="1" t="s">
        <v>388</v>
      </c>
      <c r="U125" s="1" t="s">
        <v>135</v>
      </c>
      <c r="V125" s="1"/>
      <c r="W125" s="1"/>
      <c r="X125" s="1"/>
      <c r="Y125" s="1"/>
      <c r="AA125" s="1"/>
      <c r="AC125" s="1"/>
      <c r="AD125" s="1"/>
      <c r="AE125" s="1"/>
      <c r="AN125" s="1" t="s">
        <v>74</v>
      </c>
      <c r="AO125">
        <v>6</v>
      </c>
      <c r="AP125" s="1" t="s">
        <v>741</v>
      </c>
      <c r="AQ125" s="1" t="s">
        <v>981</v>
      </c>
      <c r="AR125" s="1" t="s">
        <v>1072</v>
      </c>
      <c r="AS125" s="1" t="s">
        <v>97</v>
      </c>
      <c r="AT125" s="3">
        <v>41278</v>
      </c>
      <c r="AU125" s="3">
        <v>41279</v>
      </c>
      <c r="AV125" s="3">
        <v>41305</v>
      </c>
      <c r="AW125" s="1" t="s">
        <v>1221</v>
      </c>
      <c r="AX125" s="1" t="s">
        <v>981</v>
      </c>
      <c r="AY125">
        <v>28905</v>
      </c>
      <c r="AZ125">
        <v>253</v>
      </c>
      <c r="BA125">
        <v>4654734.66</v>
      </c>
      <c r="BB125" s="1"/>
      <c r="BD125" s="1"/>
      <c r="BE125" s="1"/>
      <c r="BG125" s="1"/>
      <c r="BH125" s="1"/>
      <c r="BJ125" s="1"/>
      <c r="BL125" s="1"/>
      <c r="BN125" s="1"/>
      <c r="BO125">
        <v>599</v>
      </c>
      <c r="BP125">
        <v>4654734.66</v>
      </c>
      <c r="BQ125">
        <v>4654734.66</v>
      </c>
    </row>
    <row r="126" spans="1:69" x14ac:dyDescent="0.35">
      <c r="A126" s="1" t="s">
        <v>68</v>
      </c>
      <c r="B126" s="1" t="s">
        <v>69</v>
      </c>
      <c r="C126" s="1" t="s">
        <v>70</v>
      </c>
      <c r="D126">
        <v>1</v>
      </c>
      <c r="E126">
        <v>1</v>
      </c>
      <c r="F126" s="2">
        <v>43585.43</v>
      </c>
      <c r="G126" s="3">
        <v>41275</v>
      </c>
      <c r="H126" s="3">
        <v>41639</v>
      </c>
      <c r="I126" s="1" t="s">
        <v>71</v>
      </c>
      <c r="J126">
        <v>4521</v>
      </c>
      <c r="K126">
        <v>0</v>
      </c>
      <c r="L126" s="1" t="s">
        <v>384</v>
      </c>
      <c r="M126" s="1" t="s">
        <v>72</v>
      </c>
      <c r="N126" s="1" t="s">
        <v>134</v>
      </c>
      <c r="O126" s="1" t="s">
        <v>385</v>
      </c>
      <c r="P126" s="1" t="s">
        <v>386</v>
      </c>
      <c r="Q126" s="1" t="s">
        <v>387</v>
      </c>
      <c r="R126">
        <v>103</v>
      </c>
      <c r="S126" s="1" t="s">
        <v>135</v>
      </c>
      <c r="T126" s="1" t="s">
        <v>388</v>
      </c>
      <c r="U126" s="1" t="s">
        <v>135</v>
      </c>
      <c r="V126" s="1"/>
      <c r="W126" s="1"/>
      <c r="X126" s="1"/>
      <c r="Y126" s="1"/>
      <c r="AA126" s="1"/>
      <c r="AC126" s="1"/>
      <c r="AD126" s="1"/>
      <c r="AE126" s="1"/>
      <c r="AN126" s="1" t="s">
        <v>74</v>
      </c>
      <c r="AO126">
        <v>7</v>
      </c>
      <c r="AP126" s="1" t="s">
        <v>742</v>
      </c>
      <c r="AQ126" s="1" t="s">
        <v>982</v>
      </c>
      <c r="AR126" s="1" t="s">
        <v>1073</v>
      </c>
      <c r="AS126" s="1" t="s">
        <v>98</v>
      </c>
      <c r="AT126" s="3">
        <v>41278</v>
      </c>
      <c r="AU126" s="3">
        <v>41278</v>
      </c>
      <c r="AV126" s="3">
        <v>41305</v>
      </c>
      <c r="AW126" s="1" t="s">
        <v>1221</v>
      </c>
      <c r="AX126" s="1" t="s">
        <v>982</v>
      </c>
      <c r="AY126">
        <v>13558.73</v>
      </c>
      <c r="AZ126">
        <v>253</v>
      </c>
      <c r="BA126">
        <v>4654734.66</v>
      </c>
      <c r="BB126" s="1"/>
      <c r="BD126" s="1"/>
      <c r="BE126" s="1"/>
      <c r="BG126" s="1"/>
      <c r="BH126" s="1"/>
      <c r="BJ126" s="1"/>
      <c r="BL126" s="1"/>
      <c r="BN126" s="1"/>
      <c r="BO126">
        <v>599</v>
      </c>
      <c r="BP126">
        <v>4654734.66</v>
      </c>
      <c r="BQ126">
        <v>4654734.66</v>
      </c>
    </row>
    <row r="127" spans="1:69" x14ac:dyDescent="0.35">
      <c r="A127" s="1" t="s">
        <v>68</v>
      </c>
      <c r="B127" s="1" t="s">
        <v>69</v>
      </c>
      <c r="C127" s="1" t="s">
        <v>70</v>
      </c>
      <c r="D127">
        <v>1</v>
      </c>
      <c r="E127">
        <v>1</v>
      </c>
      <c r="F127" s="2">
        <v>43585.43</v>
      </c>
      <c r="G127" s="3">
        <v>41275</v>
      </c>
      <c r="H127" s="3">
        <v>41639</v>
      </c>
      <c r="I127" s="1" t="s">
        <v>71</v>
      </c>
      <c r="J127">
        <v>4521</v>
      </c>
      <c r="K127">
        <v>0</v>
      </c>
      <c r="L127" s="1" t="s">
        <v>384</v>
      </c>
      <c r="M127" s="1" t="s">
        <v>72</v>
      </c>
      <c r="N127" s="1" t="s">
        <v>134</v>
      </c>
      <c r="O127" s="1" t="s">
        <v>385</v>
      </c>
      <c r="P127" s="1" t="s">
        <v>386</v>
      </c>
      <c r="Q127" s="1" t="s">
        <v>387</v>
      </c>
      <c r="R127">
        <v>103</v>
      </c>
      <c r="S127" s="1" t="s">
        <v>135</v>
      </c>
      <c r="T127" s="1" t="s">
        <v>388</v>
      </c>
      <c r="U127" s="1" t="s">
        <v>135</v>
      </c>
      <c r="V127" s="1"/>
      <c r="W127" s="1"/>
      <c r="X127" s="1"/>
      <c r="Y127" s="1"/>
      <c r="AA127" s="1"/>
      <c r="AC127" s="1"/>
      <c r="AD127" s="1"/>
      <c r="AE127" s="1"/>
      <c r="AN127" s="1" t="s">
        <v>74</v>
      </c>
      <c r="AO127">
        <v>8</v>
      </c>
      <c r="AP127" s="1" t="s">
        <v>743</v>
      </c>
      <c r="AQ127" s="1" t="s">
        <v>983</v>
      </c>
      <c r="AR127" s="1" t="s">
        <v>1074</v>
      </c>
      <c r="AS127" s="1" t="s">
        <v>97</v>
      </c>
      <c r="AT127" s="3">
        <v>41279</v>
      </c>
      <c r="AU127" s="3">
        <v>41279</v>
      </c>
      <c r="AV127" s="3">
        <v>41305</v>
      </c>
      <c r="AW127" s="1" t="s">
        <v>1221</v>
      </c>
      <c r="AX127" s="1" t="s">
        <v>983</v>
      </c>
      <c r="AY127">
        <v>846.24</v>
      </c>
      <c r="AZ127">
        <v>253</v>
      </c>
      <c r="BA127">
        <v>4654734.66</v>
      </c>
      <c r="BB127" s="1"/>
      <c r="BD127" s="1"/>
      <c r="BE127" s="1"/>
      <c r="BG127" s="1"/>
      <c r="BH127" s="1"/>
      <c r="BJ127" s="1"/>
      <c r="BL127" s="1"/>
      <c r="BN127" s="1"/>
      <c r="BO127">
        <v>599</v>
      </c>
      <c r="BP127">
        <v>4654734.66</v>
      </c>
      <c r="BQ127">
        <v>4654734.66</v>
      </c>
    </row>
    <row r="128" spans="1:69" x14ac:dyDescent="0.35">
      <c r="A128" s="1" t="s">
        <v>68</v>
      </c>
      <c r="B128" s="1" t="s">
        <v>69</v>
      </c>
      <c r="C128" s="1" t="s">
        <v>70</v>
      </c>
      <c r="D128">
        <v>1</v>
      </c>
      <c r="E128">
        <v>1</v>
      </c>
      <c r="F128" s="2">
        <v>43585.43</v>
      </c>
      <c r="G128" s="3">
        <v>41275</v>
      </c>
      <c r="H128" s="3">
        <v>41639</v>
      </c>
      <c r="I128" s="1" t="s">
        <v>71</v>
      </c>
      <c r="J128">
        <v>4521</v>
      </c>
      <c r="K128">
        <v>0</v>
      </c>
      <c r="L128" s="1" t="s">
        <v>384</v>
      </c>
      <c r="M128" s="1" t="s">
        <v>72</v>
      </c>
      <c r="N128" s="1" t="s">
        <v>134</v>
      </c>
      <c r="O128" s="1" t="s">
        <v>385</v>
      </c>
      <c r="P128" s="1" t="s">
        <v>386</v>
      </c>
      <c r="Q128" s="1" t="s">
        <v>387</v>
      </c>
      <c r="R128">
        <v>103</v>
      </c>
      <c r="S128" s="1" t="s">
        <v>135</v>
      </c>
      <c r="T128" s="1" t="s">
        <v>388</v>
      </c>
      <c r="U128" s="1" t="s">
        <v>135</v>
      </c>
      <c r="V128" s="1"/>
      <c r="W128" s="1"/>
      <c r="X128" s="1"/>
      <c r="Y128" s="1"/>
      <c r="AA128" s="1"/>
      <c r="AC128" s="1"/>
      <c r="AD128" s="1"/>
      <c r="AE128" s="1"/>
      <c r="AN128" s="1" t="s">
        <v>74</v>
      </c>
      <c r="AO128">
        <v>9</v>
      </c>
      <c r="AP128" s="1" t="s">
        <v>744</v>
      </c>
      <c r="AQ128" s="1" t="s">
        <v>619</v>
      </c>
      <c r="AR128" s="1" t="s">
        <v>1075</v>
      </c>
      <c r="AS128" s="1" t="s">
        <v>97</v>
      </c>
      <c r="AT128" s="3">
        <v>41284</v>
      </c>
      <c r="AU128" s="3">
        <v>41285</v>
      </c>
      <c r="AV128" s="3">
        <v>41305</v>
      </c>
      <c r="AW128" s="1" t="s">
        <v>1221</v>
      </c>
      <c r="AX128" s="1" t="s">
        <v>619</v>
      </c>
      <c r="AY128">
        <v>1074.8399999999999</v>
      </c>
      <c r="AZ128">
        <v>253</v>
      </c>
      <c r="BA128">
        <v>4654734.66</v>
      </c>
      <c r="BB128" s="1"/>
      <c r="BD128" s="1"/>
      <c r="BE128" s="1"/>
      <c r="BG128" s="1"/>
      <c r="BH128" s="1"/>
      <c r="BJ128" s="1"/>
      <c r="BL128" s="1"/>
      <c r="BN128" s="1"/>
      <c r="BO128">
        <v>599</v>
      </c>
      <c r="BP128">
        <v>4654734.66</v>
      </c>
      <c r="BQ128">
        <v>4654734.66</v>
      </c>
    </row>
    <row r="129" spans="1:69" x14ac:dyDescent="0.35">
      <c r="A129" s="1" t="s">
        <v>68</v>
      </c>
      <c r="B129" s="1" t="s">
        <v>69</v>
      </c>
      <c r="C129" s="1" t="s">
        <v>70</v>
      </c>
      <c r="D129">
        <v>1</v>
      </c>
      <c r="E129">
        <v>1</v>
      </c>
      <c r="F129" s="2">
        <v>43585.43</v>
      </c>
      <c r="G129" s="3">
        <v>41275</v>
      </c>
      <c r="H129" s="3">
        <v>41639</v>
      </c>
      <c r="I129" s="1" t="s">
        <v>71</v>
      </c>
      <c r="J129">
        <v>4521</v>
      </c>
      <c r="K129">
        <v>0</v>
      </c>
      <c r="L129" s="1" t="s">
        <v>384</v>
      </c>
      <c r="M129" s="1" t="s">
        <v>72</v>
      </c>
      <c r="N129" s="1" t="s">
        <v>134</v>
      </c>
      <c r="O129" s="1" t="s">
        <v>385</v>
      </c>
      <c r="P129" s="1" t="s">
        <v>386</v>
      </c>
      <c r="Q129" s="1" t="s">
        <v>387</v>
      </c>
      <c r="R129">
        <v>103</v>
      </c>
      <c r="S129" s="1" t="s">
        <v>135</v>
      </c>
      <c r="T129" s="1" t="s">
        <v>388</v>
      </c>
      <c r="U129" s="1" t="s">
        <v>135</v>
      </c>
      <c r="V129" s="1"/>
      <c r="W129" s="1"/>
      <c r="X129" s="1"/>
      <c r="Y129" s="1"/>
      <c r="AA129" s="1"/>
      <c r="AC129" s="1"/>
      <c r="AD129" s="1"/>
      <c r="AE129" s="1"/>
      <c r="AN129" s="1" t="s">
        <v>74</v>
      </c>
      <c r="AO129">
        <v>10</v>
      </c>
      <c r="AP129" s="1" t="s">
        <v>745</v>
      </c>
      <c r="AQ129" s="1" t="s">
        <v>984</v>
      </c>
      <c r="AR129" s="1" t="s">
        <v>1076</v>
      </c>
      <c r="AS129" s="1" t="s">
        <v>97</v>
      </c>
      <c r="AT129" s="3">
        <v>41285</v>
      </c>
      <c r="AU129" s="3">
        <v>41284</v>
      </c>
      <c r="AV129" s="3">
        <v>41305</v>
      </c>
      <c r="AW129" s="1" t="s">
        <v>1221</v>
      </c>
      <c r="AX129" s="1" t="s">
        <v>984</v>
      </c>
      <c r="AY129">
        <v>556.45000000000005</v>
      </c>
      <c r="AZ129">
        <v>253</v>
      </c>
      <c r="BA129">
        <v>4654734.66</v>
      </c>
      <c r="BB129" s="1"/>
      <c r="BD129" s="1"/>
      <c r="BE129" s="1"/>
      <c r="BG129" s="1"/>
      <c r="BH129" s="1"/>
      <c r="BJ129" s="1"/>
      <c r="BL129" s="1"/>
      <c r="BN129" s="1"/>
      <c r="BO129">
        <v>599</v>
      </c>
      <c r="BP129">
        <v>4654734.66</v>
      </c>
      <c r="BQ129">
        <v>4654734.66</v>
      </c>
    </row>
    <row r="130" spans="1:69" x14ac:dyDescent="0.35">
      <c r="A130" s="1" t="s">
        <v>68</v>
      </c>
      <c r="B130" s="1" t="s">
        <v>69</v>
      </c>
      <c r="C130" s="1" t="s">
        <v>70</v>
      </c>
      <c r="D130">
        <v>1</v>
      </c>
      <c r="E130">
        <v>1</v>
      </c>
      <c r="F130" s="2">
        <v>43585.43</v>
      </c>
      <c r="G130" s="3">
        <v>41275</v>
      </c>
      <c r="H130" s="3">
        <v>41639</v>
      </c>
      <c r="I130" s="1" t="s">
        <v>71</v>
      </c>
      <c r="J130">
        <v>4521</v>
      </c>
      <c r="K130">
        <v>0</v>
      </c>
      <c r="L130" s="1" t="s">
        <v>384</v>
      </c>
      <c r="M130" s="1" t="s">
        <v>72</v>
      </c>
      <c r="N130" s="1" t="s">
        <v>134</v>
      </c>
      <c r="O130" s="1" t="s">
        <v>385</v>
      </c>
      <c r="P130" s="1" t="s">
        <v>386</v>
      </c>
      <c r="Q130" s="1" t="s">
        <v>387</v>
      </c>
      <c r="R130">
        <v>103</v>
      </c>
      <c r="S130" s="1" t="s">
        <v>135</v>
      </c>
      <c r="T130" s="1" t="s">
        <v>388</v>
      </c>
      <c r="U130" s="1" t="s">
        <v>135</v>
      </c>
      <c r="V130" s="1"/>
      <c r="W130" s="1"/>
      <c r="X130" s="1"/>
      <c r="Y130" s="1"/>
      <c r="AA130" s="1"/>
      <c r="AC130" s="1"/>
      <c r="AD130" s="1"/>
      <c r="AE130" s="1"/>
      <c r="AN130" s="1" t="s">
        <v>74</v>
      </c>
      <c r="AO130">
        <v>11</v>
      </c>
      <c r="AP130" s="1" t="s">
        <v>746</v>
      </c>
      <c r="AQ130" s="1" t="s">
        <v>982</v>
      </c>
      <c r="AR130" s="1" t="s">
        <v>1077</v>
      </c>
      <c r="AS130" s="1" t="s">
        <v>98</v>
      </c>
      <c r="AT130" s="3">
        <v>41285</v>
      </c>
      <c r="AU130" s="3">
        <v>41285</v>
      </c>
      <c r="AV130" s="3">
        <v>41305</v>
      </c>
      <c r="AW130" s="1" t="s">
        <v>1221</v>
      </c>
      <c r="AX130" s="1" t="s">
        <v>982</v>
      </c>
      <c r="AY130">
        <v>1537.5</v>
      </c>
      <c r="AZ130">
        <v>253</v>
      </c>
      <c r="BA130">
        <v>4654734.66</v>
      </c>
      <c r="BB130" s="1"/>
      <c r="BD130" s="1"/>
      <c r="BE130" s="1"/>
      <c r="BG130" s="1"/>
      <c r="BH130" s="1"/>
      <c r="BJ130" s="1"/>
      <c r="BL130" s="1"/>
      <c r="BN130" s="1"/>
      <c r="BO130">
        <v>599</v>
      </c>
      <c r="BP130">
        <v>4654734.66</v>
      </c>
      <c r="BQ130">
        <v>4654734.66</v>
      </c>
    </row>
    <row r="131" spans="1:69" x14ac:dyDescent="0.35">
      <c r="A131" s="1" t="s">
        <v>68</v>
      </c>
      <c r="B131" s="1" t="s">
        <v>69</v>
      </c>
      <c r="C131" s="1" t="s">
        <v>70</v>
      </c>
      <c r="D131">
        <v>1</v>
      </c>
      <c r="E131">
        <v>1</v>
      </c>
      <c r="F131" s="2">
        <v>43585.43</v>
      </c>
      <c r="G131" s="3">
        <v>41275</v>
      </c>
      <c r="H131" s="3">
        <v>41639</v>
      </c>
      <c r="I131" s="1" t="s">
        <v>71</v>
      </c>
      <c r="J131">
        <v>4521</v>
      </c>
      <c r="K131">
        <v>0</v>
      </c>
      <c r="L131" s="1" t="s">
        <v>384</v>
      </c>
      <c r="M131" s="1" t="s">
        <v>72</v>
      </c>
      <c r="N131" s="1" t="s">
        <v>134</v>
      </c>
      <c r="O131" s="1" t="s">
        <v>385</v>
      </c>
      <c r="P131" s="1" t="s">
        <v>386</v>
      </c>
      <c r="Q131" s="1" t="s">
        <v>387</v>
      </c>
      <c r="R131">
        <v>103</v>
      </c>
      <c r="S131" s="1" t="s">
        <v>135</v>
      </c>
      <c r="T131" s="1" t="s">
        <v>388</v>
      </c>
      <c r="U131" s="1" t="s">
        <v>135</v>
      </c>
      <c r="V131" s="1"/>
      <c r="W131" s="1"/>
      <c r="X131" s="1"/>
      <c r="Y131" s="1"/>
      <c r="AA131" s="1"/>
      <c r="AC131" s="1"/>
      <c r="AD131" s="1"/>
      <c r="AE131" s="1"/>
      <c r="AN131" s="1" t="s">
        <v>74</v>
      </c>
      <c r="AO131">
        <v>12</v>
      </c>
      <c r="AP131" s="1" t="s">
        <v>747</v>
      </c>
      <c r="AQ131" s="1" t="s">
        <v>985</v>
      </c>
      <c r="AR131" s="1" t="s">
        <v>1078</v>
      </c>
      <c r="AS131" s="1" t="s">
        <v>98</v>
      </c>
      <c r="AT131" s="3">
        <v>41286</v>
      </c>
      <c r="AU131" s="3">
        <v>41286</v>
      </c>
      <c r="AV131" s="3">
        <v>41305</v>
      </c>
      <c r="AW131" s="1" t="s">
        <v>1221</v>
      </c>
      <c r="AX131" s="1" t="s">
        <v>985</v>
      </c>
      <c r="AY131">
        <v>646.98</v>
      </c>
      <c r="AZ131">
        <v>253</v>
      </c>
      <c r="BA131">
        <v>4654734.66</v>
      </c>
      <c r="BB131" s="1"/>
      <c r="BD131" s="1"/>
      <c r="BE131" s="1"/>
      <c r="BG131" s="1"/>
      <c r="BH131" s="1"/>
      <c r="BJ131" s="1"/>
      <c r="BL131" s="1"/>
      <c r="BN131" s="1"/>
      <c r="BO131">
        <v>599</v>
      </c>
      <c r="BP131">
        <v>4654734.66</v>
      </c>
      <c r="BQ131">
        <v>4654734.66</v>
      </c>
    </row>
    <row r="132" spans="1:69" x14ac:dyDescent="0.35">
      <c r="A132" s="1" t="s">
        <v>68</v>
      </c>
      <c r="B132" s="1" t="s">
        <v>69</v>
      </c>
      <c r="C132" s="1" t="s">
        <v>70</v>
      </c>
      <c r="D132">
        <v>1</v>
      </c>
      <c r="E132">
        <v>1</v>
      </c>
      <c r="F132" s="2">
        <v>43585.43</v>
      </c>
      <c r="G132" s="3">
        <v>41275</v>
      </c>
      <c r="H132" s="3">
        <v>41639</v>
      </c>
      <c r="I132" s="1" t="s">
        <v>71</v>
      </c>
      <c r="J132">
        <v>4521</v>
      </c>
      <c r="K132">
        <v>0</v>
      </c>
      <c r="L132" s="1" t="s">
        <v>384</v>
      </c>
      <c r="M132" s="1" t="s">
        <v>72</v>
      </c>
      <c r="N132" s="1" t="s">
        <v>134</v>
      </c>
      <c r="O132" s="1" t="s">
        <v>385</v>
      </c>
      <c r="P132" s="1" t="s">
        <v>386</v>
      </c>
      <c r="Q132" s="1" t="s">
        <v>387</v>
      </c>
      <c r="R132">
        <v>103</v>
      </c>
      <c r="S132" s="1" t="s">
        <v>135</v>
      </c>
      <c r="T132" s="1" t="s">
        <v>388</v>
      </c>
      <c r="U132" s="1" t="s">
        <v>135</v>
      </c>
      <c r="V132" s="1"/>
      <c r="W132" s="1"/>
      <c r="X132" s="1"/>
      <c r="Y132" s="1"/>
      <c r="AA132" s="1"/>
      <c r="AC132" s="1"/>
      <c r="AD132" s="1"/>
      <c r="AE132" s="1"/>
      <c r="AN132" s="1" t="s">
        <v>74</v>
      </c>
      <c r="AO132">
        <v>13</v>
      </c>
      <c r="AP132" s="1" t="s">
        <v>748</v>
      </c>
      <c r="AQ132" s="1" t="s">
        <v>986</v>
      </c>
      <c r="AR132" s="1" t="s">
        <v>1079</v>
      </c>
      <c r="AS132" s="1" t="s">
        <v>1202</v>
      </c>
      <c r="AT132" s="3">
        <v>41306</v>
      </c>
      <c r="AU132" s="3">
        <v>41306</v>
      </c>
      <c r="AV132" s="3">
        <v>41306</v>
      </c>
      <c r="AW132" s="1" t="s">
        <v>1221</v>
      </c>
      <c r="AX132" s="1" t="s">
        <v>986</v>
      </c>
      <c r="AY132">
        <v>1786.45</v>
      </c>
      <c r="AZ132">
        <v>253</v>
      </c>
      <c r="BA132">
        <v>4654734.66</v>
      </c>
      <c r="BB132" s="1"/>
      <c r="BD132" s="1"/>
      <c r="BE132" s="1"/>
      <c r="BG132" s="1"/>
      <c r="BH132" s="1"/>
      <c r="BJ132" s="1"/>
      <c r="BL132" s="1"/>
      <c r="BN132" s="1"/>
      <c r="BO132">
        <v>599</v>
      </c>
      <c r="BP132">
        <v>4654734.66</v>
      </c>
      <c r="BQ132">
        <v>4654734.66</v>
      </c>
    </row>
    <row r="133" spans="1:69" x14ac:dyDescent="0.35">
      <c r="A133" s="1" t="s">
        <v>68</v>
      </c>
      <c r="B133" s="1" t="s">
        <v>69</v>
      </c>
      <c r="C133" s="1" t="s">
        <v>70</v>
      </c>
      <c r="D133">
        <v>1</v>
      </c>
      <c r="E133">
        <v>1</v>
      </c>
      <c r="F133" s="2">
        <v>43585.43</v>
      </c>
      <c r="G133" s="3">
        <v>41275</v>
      </c>
      <c r="H133" s="3">
        <v>41639</v>
      </c>
      <c r="I133" s="1" t="s">
        <v>71</v>
      </c>
      <c r="J133">
        <v>4521</v>
      </c>
      <c r="K133">
        <v>0</v>
      </c>
      <c r="L133" s="1" t="s">
        <v>384</v>
      </c>
      <c r="M133" s="1" t="s">
        <v>72</v>
      </c>
      <c r="N133" s="1" t="s">
        <v>134</v>
      </c>
      <c r="O133" s="1" t="s">
        <v>385</v>
      </c>
      <c r="P133" s="1" t="s">
        <v>386</v>
      </c>
      <c r="Q133" s="1" t="s">
        <v>387</v>
      </c>
      <c r="R133">
        <v>103</v>
      </c>
      <c r="S133" s="1" t="s">
        <v>135</v>
      </c>
      <c r="T133" s="1" t="s">
        <v>388</v>
      </c>
      <c r="U133" s="1" t="s">
        <v>135</v>
      </c>
      <c r="V133" s="1"/>
      <c r="W133" s="1"/>
      <c r="X133" s="1"/>
      <c r="Y133" s="1"/>
      <c r="AA133" s="1"/>
      <c r="AC133" s="1"/>
      <c r="AD133" s="1"/>
      <c r="AE133" s="1"/>
      <c r="AN133" s="1" t="s">
        <v>74</v>
      </c>
      <c r="AO133">
        <v>14</v>
      </c>
      <c r="AP133" s="1" t="s">
        <v>749</v>
      </c>
      <c r="AQ133" s="1" t="s">
        <v>987</v>
      </c>
      <c r="AR133" s="1" t="s">
        <v>1080</v>
      </c>
      <c r="AS133" s="1" t="s">
        <v>1203</v>
      </c>
      <c r="AT133" s="3">
        <v>41306</v>
      </c>
      <c r="AU133" s="3">
        <v>41306</v>
      </c>
      <c r="AV133" s="3">
        <v>41306</v>
      </c>
      <c r="AW133" s="1" t="s">
        <v>1221</v>
      </c>
      <c r="AX133" s="1" t="s">
        <v>987</v>
      </c>
      <c r="AY133">
        <v>257.25</v>
      </c>
      <c r="AZ133">
        <v>253</v>
      </c>
      <c r="BA133">
        <v>4654734.66</v>
      </c>
      <c r="BB133" s="1"/>
      <c r="BD133" s="1"/>
      <c r="BE133" s="1"/>
      <c r="BG133" s="1"/>
      <c r="BH133" s="1"/>
      <c r="BJ133" s="1"/>
      <c r="BL133" s="1"/>
      <c r="BN133" s="1"/>
      <c r="BO133">
        <v>599</v>
      </c>
      <c r="BP133">
        <v>4654734.66</v>
      </c>
      <c r="BQ133">
        <v>4654734.66</v>
      </c>
    </row>
    <row r="134" spans="1:69" x14ac:dyDescent="0.35">
      <c r="A134" s="1" t="s">
        <v>68</v>
      </c>
      <c r="B134" s="1" t="s">
        <v>69</v>
      </c>
      <c r="C134" s="1" t="s">
        <v>70</v>
      </c>
      <c r="D134">
        <v>1</v>
      </c>
      <c r="E134">
        <v>1</v>
      </c>
      <c r="F134" s="2">
        <v>43585.43</v>
      </c>
      <c r="G134" s="3">
        <v>41275</v>
      </c>
      <c r="H134" s="3">
        <v>41639</v>
      </c>
      <c r="I134" s="1" t="s">
        <v>71</v>
      </c>
      <c r="J134">
        <v>4521</v>
      </c>
      <c r="K134">
        <v>0</v>
      </c>
      <c r="L134" s="1" t="s">
        <v>384</v>
      </c>
      <c r="M134" s="1" t="s">
        <v>72</v>
      </c>
      <c r="N134" s="1" t="s">
        <v>134</v>
      </c>
      <c r="O134" s="1" t="s">
        <v>385</v>
      </c>
      <c r="P134" s="1" t="s">
        <v>386</v>
      </c>
      <c r="Q134" s="1" t="s">
        <v>387</v>
      </c>
      <c r="R134">
        <v>103</v>
      </c>
      <c r="S134" s="1" t="s">
        <v>135</v>
      </c>
      <c r="T134" s="1" t="s">
        <v>388</v>
      </c>
      <c r="U134" s="1" t="s">
        <v>135</v>
      </c>
      <c r="V134" s="1"/>
      <c r="W134" s="1"/>
      <c r="X134" s="1"/>
      <c r="Y134" s="1"/>
      <c r="AA134" s="1"/>
      <c r="AC134" s="1"/>
      <c r="AD134" s="1"/>
      <c r="AE134" s="1"/>
      <c r="AN134" s="1" t="s">
        <v>74</v>
      </c>
      <c r="AO134">
        <v>15</v>
      </c>
      <c r="AP134" s="1" t="s">
        <v>750</v>
      </c>
      <c r="AQ134" s="1" t="s">
        <v>982</v>
      </c>
      <c r="AR134" s="1" t="s">
        <v>1081</v>
      </c>
      <c r="AS134" s="1" t="s">
        <v>98</v>
      </c>
      <c r="AT134" s="3">
        <v>41306</v>
      </c>
      <c r="AU134" s="3">
        <v>41306</v>
      </c>
      <c r="AV134" s="3">
        <v>41306</v>
      </c>
      <c r="AW134" s="1" t="s">
        <v>1221</v>
      </c>
      <c r="AX134" s="1" t="s">
        <v>982</v>
      </c>
      <c r="AY134">
        <v>1205.4000000000001</v>
      </c>
      <c r="AZ134">
        <v>253</v>
      </c>
      <c r="BA134">
        <v>4654734.66</v>
      </c>
      <c r="BB134" s="1"/>
      <c r="BD134" s="1"/>
      <c r="BE134" s="1"/>
      <c r="BG134" s="1"/>
      <c r="BH134" s="1"/>
      <c r="BJ134" s="1"/>
      <c r="BL134" s="1"/>
      <c r="BN134" s="1"/>
      <c r="BO134">
        <v>599</v>
      </c>
      <c r="BP134">
        <v>4654734.66</v>
      </c>
      <c r="BQ134">
        <v>4654734.66</v>
      </c>
    </row>
    <row r="135" spans="1:69" x14ac:dyDescent="0.35">
      <c r="A135" s="1" t="s">
        <v>68</v>
      </c>
      <c r="B135" s="1" t="s">
        <v>69</v>
      </c>
      <c r="C135" s="1" t="s">
        <v>70</v>
      </c>
      <c r="D135">
        <v>1</v>
      </c>
      <c r="E135">
        <v>1</v>
      </c>
      <c r="F135" s="2">
        <v>43585.43</v>
      </c>
      <c r="G135" s="3">
        <v>41275</v>
      </c>
      <c r="H135" s="3">
        <v>41639</v>
      </c>
      <c r="I135" s="1" t="s">
        <v>71</v>
      </c>
      <c r="J135">
        <v>4521</v>
      </c>
      <c r="K135">
        <v>0</v>
      </c>
      <c r="L135" s="1" t="s">
        <v>384</v>
      </c>
      <c r="M135" s="1" t="s">
        <v>72</v>
      </c>
      <c r="N135" s="1" t="s">
        <v>134</v>
      </c>
      <c r="O135" s="1" t="s">
        <v>385</v>
      </c>
      <c r="P135" s="1" t="s">
        <v>386</v>
      </c>
      <c r="Q135" s="1" t="s">
        <v>387</v>
      </c>
      <c r="R135">
        <v>103</v>
      </c>
      <c r="S135" s="1" t="s">
        <v>135</v>
      </c>
      <c r="T135" s="1" t="s">
        <v>388</v>
      </c>
      <c r="U135" s="1" t="s">
        <v>135</v>
      </c>
      <c r="V135" s="1"/>
      <c r="W135" s="1"/>
      <c r="X135" s="1"/>
      <c r="Y135" s="1"/>
      <c r="AA135" s="1"/>
      <c r="AC135" s="1"/>
      <c r="AD135" s="1"/>
      <c r="AE135" s="1"/>
      <c r="AN135" s="1" t="s">
        <v>74</v>
      </c>
      <c r="AO135">
        <v>16</v>
      </c>
      <c r="AP135" s="1" t="s">
        <v>751</v>
      </c>
      <c r="AQ135" s="1" t="s">
        <v>988</v>
      </c>
      <c r="AR135" s="1" t="s">
        <v>1082</v>
      </c>
      <c r="AS135" s="1" t="s">
        <v>1204</v>
      </c>
      <c r="AT135" s="3">
        <v>41306</v>
      </c>
      <c r="AU135" s="3">
        <v>41306</v>
      </c>
      <c r="AV135" s="3">
        <v>41333</v>
      </c>
      <c r="AW135" s="1" t="s">
        <v>1221</v>
      </c>
      <c r="AX135" s="1" t="s">
        <v>988</v>
      </c>
      <c r="AY135">
        <v>282.89999999999998</v>
      </c>
      <c r="AZ135">
        <v>253</v>
      </c>
      <c r="BA135">
        <v>4654734.66</v>
      </c>
      <c r="BB135" s="1"/>
      <c r="BD135" s="1"/>
      <c r="BE135" s="1"/>
      <c r="BG135" s="1"/>
      <c r="BH135" s="1"/>
      <c r="BJ135" s="1"/>
      <c r="BL135" s="1"/>
      <c r="BN135" s="1"/>
      <c r="BO135">
        <v>599</v>
      </c>
      <c r="BP135">
        <v>4654734.66</v>
      </c>
      <c r="BQ135">
        <v>4654734.66</v>
      </c>
    </row>
    <row r="136" spans="1:69" x14ac:dyDescent="0.35">
      <c r="A136" s="1" t="s">
        <v>68</v>
      </c>
      <c r="B136" s="1" t="s">
        <v>69</v>
      </c>
      <c r="C136" s="1" t="s">
        <v>70</v>
      </c>
      <c r="D136">
        <v>1</v>
      </c>
      <c r="E136">
        <v>1</v>
      </c>
      <c r="F136" s="2">
        <v>43585.43</v>
      </c>
      <c r="G136" s="3">
        <v>41275</v>
      </c>
      <c r="H136" s="3">
        <v>41639</v>
      </c>
      <c r="I136" s="1" t="s">
        <v>71</v>
      </c>
      <c r="J136">
        <v>4521</v>
      </c>
      <c r="K136">
        <v>0</v>
      </c>
      <c r="L136" s="1" t="s">
        <v>384</v>
      </c>
      <c r="M136" s="1" t="s">
        <v>72</v>
      </c>
      <c r="N136" s="1" t="s">
        <v>134</v>
      </c>
      <c r="O136" s="1" t="s">
        <v>385</v>
      </c>
      <c r="P136" s="1" t="s">
        <v>386</v>
      </c>
      <c r="Q136" s="1" t="s">
        <v>387</v>
      </c>
      <c r="R136">
        <v>103</v>
      </c>
      <c r="S136" s="1" t="s">
        <v>135</v>
      </c>
      <c r="T136" s="1" t="s">
        <v>388</v>
      </c>
      <c r="U136" s="1" t="s">
        <v>135</v>
      </c>
      <c r="V136" s="1"/>
      <c r="W136" s="1"/>
      <c r="X136" s="1"/>
      <c r="Y136" s="1"/>
      <c r="AA136" s="1"/>
      <c r="AC136" s="1"/>
      <c r="AD136" s="1"/>
      <c r="AE136" s="1"/>
      <c r="AN136" s="1" t="s">
        <v>74</v>
      </c>
      <c r="AO136">
        <v>17</v>
      </c>
      <c r="AP136" s="1" t="s">
        <v>752</v>
      </c>
      <c r="AQ136" s="1" t="s">
        <v>989</v>
      </c>
      <c r="AR136" s="1" t="s">
        <v>1083</v>
      </c>
      <c r="AS136" s="1" t="s">
        <v>95</v>
      </c>
      <c r="AT136" s="3">
        <v>41306</v>
      </c>
      <c r="AU136" s="3">
        <v>41306</v>
      </c>
      <c r="AV136" s="3">
        <v>41333</v>
      </c>
      <c r="AW136" s="1" t="s">
        <v>1221</v>
      </c>
      <c r="AX136" s="1" t="s">
        <v>989</v>
      </c>
      <c r="AY136">
        <v>120</v>
      </c>
      <c r="AZ136">
        <v>253</v>
      </c>
      <c r="BA136">
        <v>4654734.66</v>
      </c>
      <c r="BB136" s="1"/>
      <c r="BD136" s="1"/>
      <c r="BE136" s="1"/>
      <c r="BG136" s="1"/>
      <c r="BH136" s="1"/>
      <c r="BJ136" s="1"/>
      <c r="BL136" s="1"/>
      <c r="BN136" s="1"/>
      <c r="BO136">
        <v>599</v>
      </c>
      <c r="BP136">
        <v>4654734.66</v>
      </c>
      <c r="BQ136">
        <v>4654734.66</v>
      </c>
    </row>
    <row r="137" spans="1:69" x14ac:dyDescent="0.35">
      <c r="A137" s="1" t="s">
        <v>68</v>
      </c>
      <c r="B137" s="1" t="s">
        <v>69</v>
      </c>
      <c r="C137" s="1" t="s">
        <v>70</v>
      </c>
      <c r="D137">
        <v>1</v>
      </c>
      <c r="E137">
        <v>1</v>
      </c>
      <c r="F137" s="2">
        <v>43585.43</v>
      </c>
      <c r="G137" s="3">
        <v>41275</v>
      </c>
      <c r="H137" s="3">
        <v>41639</v>
      </c>
      <c r="I137" s="1" t="s">
        <v>71</v>
      </c>
      <c r="J137">
        <v>4521</v>
      </c>
      <c r="K137">
        <v>0</v>
      </c>
      <c r="L137" s="1" t="s">
        <v>384</v>
      </c>
      <c r="M137" s="1" t="s">
        <v>72</v>
      </c>
      <c r="N137" s="1" t="s">
        <v>134</v>
      </c>
      <c r="O137" s="1" t="s">
        <v>385</v>
      </c>
      <c r="P137" s="1" t="s">
        <v>386</v>
      </c>
      <c r="Q137" s="1" t="s">
        <v>387</v>
      </c>
      <c r="R137">
        <v>103</v>
      </c>
      <c r="S137" s="1" t="s">
        <v>135</v>
      </c>
      <c r="T137" s="1" t="s">
        <v>388</v>
      </c>
      <c r="U137" s="1" t="s">
        <v>135</v>
      </c>
      <c r="V137" s="1"/>
      <c r="W137" s="1"/>
      <c r="X137" s="1"/>
      <c r="Y137" s="1"/>
      <c r="AA137" s="1"/>
      <c r="AC137" s="1"/>
      <c r="AD137" s="1"/>
      <c r="AE137" s="1"/>
      <c r="AN137" s="1" t="s">
        <v>74</v>
      </c>
      <c r="AO137">
        <v>18</v>
      </c>
      <c r="AP137" s="1" t="s">
        <v>753</v>
      </c>
      <c r="AQ137" s="1" t="s">
        <v>990</v>
      </c>
      <c r="AR137" s="1" t="s">
        <v>1084</v>
      </c>
      <c r="AS137" s="1" t="s">
        <v>96</v>
      </c>
      <c r="AT137" s="3">
        <v>41306</v>
      </c>
      <c r="AU137" s="3">
        <v>41306</v>
      </c>
      <c r="AV137" s="3">
        <v>41333</v>
      </c>
      <c r="AW137" s="1" t="s">
        <v>1221</v>
      </c>
      <c r="AX137" s="1" t="s">
        <v>1222</v>
      </c>
      <c r="AY137">
        <v>3570</v>
      </c>
      <c r="AZ137">
        <v>253</v>
      </c>
      <c r="BA137">
        <v>4654734.66</v>
      </c>
      <c r="BB137" s="1"/>
      <c r="BD137" s="1"/>
      <c r="BE137" s="1"/>
      <c r="BG137" s="1"/>
      <c r="BH137" s="1"/>
      <c r="BJ137" s="1"/>
      <c r="BL137" s="1"/>
      <c r="BN137" s="1"/>
      <c r="BO137">
        <v>599</v>
      </c>
      <c r="BP137">
        <v>4654734.66</v>
      </c>
      <c r="BQ137">
        <v>4654734.66</v>
      </c>
    </row>
    <row r="138" spans="1:69" x14ac:dyDescent="0.35">
      <c r="A138" s="1" t="s">
        <v>68</v>
      </c>
      <c r="B138" s="1" t="s">
        <v>69</v>
      </c>
      <c r="C138" s="1" t="s">
        <v>70</v>
      </c>
      <c r="D138">
        <v>1</v>
      </c>
      <c r="E138">
        <v>1</v>
      </c>
      <c r="F138" s="2">
        <v>43585.43</v>
      </c>
      <c r="G138" s="3">
        <v>41275</v>
      </c>
      <c r="H138" s="3">
        <v>41639</v>
      </c>
      <c r="I138" s="1" t="s">
        <v>71</v>
      </c>
      <c r="J138">
        <v>4521</v>
      </c>
      <c r="K138">
        <v>0</v>
      </c>
      <c r="L138" s="1" t="s">
        <v>384</v>
      </c>
      <c r="M138" s="1" t="s">
        <v>72</v>
      </c>
      <c r="N138" s="1" t="s">
        <v>134</v>
      </c>
      <c r="O138" s="1" t="s">
        <v>385</v>
      </c>
      <c r="P138" s="1" t="s">
        <v>386</v>
      </c>
      <c r="Q138" s="1" t="s">
        <v>387</v>
      </c>
      <c r="R138">
        <v>103</v>
      </c>
      <c r="S138" s="1" t="s">
        <v>135</v>
      </c>
      <c r="T138" s="1" t="s">
        <v>388</v>
      </c>
      <c r="U138" s="1" t="s">
        <v>135</v>
      </c>
      <c r="V138" s="1"/>
      <c r="W138" s="1"/>
      <c r="X138" s="1"/>
      <c r="Y138" s="1"/>
      <c r="AA138" s="1"/>
      <c r="AC138" s="1"/>
      <c r="AD138" s="1"/>
      <c r="AE138" s="1"/>
      <c r="AN138" s="1" t="s">
        <v>74</v>
      </c>
      <c r="AO138">
        <v>19</v>
      </c>
      <c r="AP138" s="1" t="s">
        <v>754</v>
      </c>
      <c r="AQ138" s="1" t="s">
        <v>990</v>
      </c>
      <c r="AR138" s="1" t="s">
        <v>1084</v>
      </c>
      <c r="AS138" s="1" t="s">
        <v>96</v>
      </c>
      <c r="AT138" s="3">
        <v>41306</v>
      </c>
      <c r="AU138" s="3">
        <v>41306</v>
      </c>
      <c r="AV138" s="3">
        <v>41333</v>
      </c>
      <c r="AW138" s="1" t="s">
        <v>1221</v>
      </c>
      <c r="AX138" s="1" t="s">
        <v>1223</v>
      </c>
      <c r="AY138">
        <v>5700</v>
      </c>
      <c r="AZ138">
        <v>253</v>
      </c>
      <c r="BA138">
        <v>4654734.66</v>
      </c>
      <c r="BB138" s="1"/>
      <c r="BD138" s="1"/>
      <c r="BE138" s="1"/>
      <c r="BG138" s="1"/>
      <c r="BH138" s="1"/>
      <c r="BJ138" s="1"/>
      <c r="BL138" s="1"/>
      <c r="BN138" s="1"/>
      <c r="BO138">
        <v>599</v>
      </c>
      <c r="BP138">
        <v>4654734.66</v>
      </c>
      <c r="BQ138">
        <v>4654734.66</v>
      </c>
    </row>
    <row r="139" spans="1:69" x14ac:dyDescent="0.35">
      <c r="A139" s="1" t="s">
        <v>68</v>
      </c>
      <c r="B139" s="1" t="s">
        <v>69</v>
      </c>
      <c r="C139" s="1" t="s">
        <v>70</v>
      </c>
      <c r="D139">
        <v>1</v>
      </c>
      <c r="E139">
        <v>1</v>
      </c>
      <c r="F139" s="2">
        <v>43585.43</v>
      </c>
      <c r="G139" s="3">
        <v>41275</v>
      </c>
      <c r="H139" s="3">
        <v>41639</v>
      </c>
      <c r="I139" s="1" t="s">
        <v>71</v>
      </c>
      <c r="J139">
        <v>4521</v>
      </c>
      <c r="K139">
        <v>0</v>
      </c>
      <c r="L139" s="1" t="s">
        <v>384</v>
      </c>
      <c r="M139" s="1" t="s">
        <v>72</v>
      </c>
      <c r="N139" s="1" t="s">
        <v>134</v>
      </c>
      <c r="O139" s="1" t="s">
        <v>385</v>
      </c>
      <c r="P139" s="1" t="s">
        <v>386</v>
      </c>
      <c r="Q139" s="1" t="s">
        <v>387</v>
      </c>
      <c r="R139">
        <v>103</v>
      </c>
      <c r="S139" s="1" t="s">
        <v>135</v>
      </c>
      <c r="T139" s="1" t="s">
        <v>388</v>
      </c>
      <c r="U139" s="1" t="s">
        <v>135</v>
      </c>
      <c r="V139" s="1"/>
      <c r="W139" s="1"/>
      <c r="X139" s="1"/>
      <c r="Y139" s="1"/>
      <c r="AA139" s="1"/>
      <c r="AC139" s="1"/>
      <c r="AD139" s="1"/>
      <c r="AE139" s="1"/>
      <c r="AN139" s="1" t="s">
        <v>74</v>
      </c>
      <c r="AO139">
        <v>20</v>
      </c>
      <c r="AP139" s="1" t="s">
        <v>755</v>
      </c>
      <c r="AQ139" s="1" t="s">
        <v>990</v>
      </c>
      <c r="AR139" s="1" t="s">
        <v>1084</v>
      </c>
      <c r="AS139" s="1" t="s">
        <v>96</v>
      </c>
      <c r="AT139" s="3">
        <v>41306</v>
      </c>
      <c r="AU139" s="3">
        <v>41306</v>
      </c>
      <c r="AV139" s="3">
        <v>41333</v>
      </c>
      <c r="AW139" s="1" t="s">
        <v>1221</v>
      </c>
      <c r="AX139" s="1" t="s">
        <v>1224</v>
      </c>
      <c r="AY139">
        <v>660</v>
      </c>
      <c r="AZ139">
        <v>253</v>
      </c>
      <c r="BA139">
        <v>4654734.66</v>
      </c>
      <c r="BB139" s="1"/>
      <c r="BD139" s="1"/>
      <c r="BE139" s="1"/>
      <c r="BG139" s="1"/>
      <c r="BH139" s="1"/>
      <c r="BJ139" s="1"/>
      <c r="BL139" s="1"/>
      <c r="BN139" s="1"/>
      <c r="BO139">
        <v>599</v>
      </c>
      <c r="BP139">
        <v>4654734.66</v>
      </c>
      <c r="BQ139">
        <v>4654734.66</v>
      </c>
    </row>
    <row r="140" spans="1:69" x14ac:dyDescent="0.35">
      <c r="A140" s="1" t="s">
        <v>68</v>
      </c>
      <c r="B140" s="1" t="s">
        <v>69</v>
      </c>
      <c r="C140" s="1" t="s">
        <v>70</v>
      </c>
      <c r="D140">
        <v>1</v>
      </c>
      <c r="E140">
        <v>1</v>
      </c>
      <c r="F140" s="2">
        <v>43585.43</v>
      </c>
      <c r="G140" s="3">
        <v>41275</v>
      </c>
      <c r="H140" s="3">
        <v>41639</v>
      </c>
      <c r="I140" s="1" t="s">
        <v>71</v>
      </c>
      <c r="J140">
        <v>4521</v>
      </c>
      <c r="K140">
        <v>0</v>
      </c>
      <c r="L140" s="1" t="s">
        <v>384</v>
      </c>
      <c r="M140" s="1" t="s">
        <v>72</v>
      </c>
      <c r="N140" s="1" t="s">
        <v>134</v>
      </c>
      <c r="O140" s="1" t="s">
        <v>385</v>
      </c>
      <c r="P140" s="1" t="s">
        <v>386</v>
      </c>
      <c r="Q140" s="1" t="s">
        <v>387</v>
      </c>
      <c r="R140">
        <v>103</v>
      </c>
      <c r="S140" s="1" t="s">
        <v>135</v>
      </c>
      <c r="T140" s="1" t="s">
        <v>388</v>
      </c>
      <c r="U140" s="1" t="s">
        <v>135</v>
      </c>
      <c r="V140" s="1"/>
      <c r="W140" s="1"/>
      <c r="X140" s="1"/>
      <c r="Y140" s="1"/>
      <c r="AA140" s="1"/>
      <c r="AC140" s="1"/>
      <c r="AD140" s="1"/>
      <c r="AE140" s="1"/>
      <c r="AN140" s="1" t="s">
        <v>74</v>
      </c>
      <c r="AO140">
        <v>21</v>
      </c>
      <c r="AP140" s="1" t="s">
        <v>756</v>
      </c>
      <c r="AQ140" s="1" t="s">
        <v>990</v>
      </c>
      <c r="AR140" s="1" t="s">
        <v>1084</v>
      </c>
      <c r="AS140" s="1" t="s">
        <v>96</v>
      </c>
      <c r="AT140" s="3">
        <v>41306</v>
      </c>
      <c r="AU140" s="3">
        <v>41306</v>
      </c>
      <c r="AV140" s="3">
        <v>41333</v>
      </c>
      <c r="AW140" s="1" t="s">
        <v>1221</v>
      </c>
      <c r="AX140" s="1" t="s">
        <v>1225</v>
      </c>
      <c r="AY140">
        <v>5890</v>
      </c>
      <c r="AZ140">
        <v>253</v>
      </c>
      <c r="BA140">
        <v>4654734.66</v>
      </c>
      <c r="BB140" s="1"/>
      <c r="BD140" s="1"/>
      <c r="BE140" s="1"/>
      <c r="BG140" s="1"/>
      <c r="BH140" s="1"/>
      <c r="BJ140" s="1"/>
      <c r="BL140" s="1"/>
      <c r="BN140" s="1"/>
      <c r="BO140">
        <v>599</v>
      </c>
      <c r="BP140">
        <v>4654734.66</v>
      </c>
      <c r="BQ140">
        <v>4654734.66</v>
      </c>
    </row>
    <row r="141" spans="1:69" x14ac:dyDescent="0.35">
      <c r="A141" s="1" t="s">
        <v>68</v>
      </c>
      <c r="B141" s="1" t="s">
        <v>69</v>
      </c>
      <c r="C141" s="1" t="s">
        <v>70</v>
      </c>
      <c r="D141">
        <v>1</v>
      </c>
      <c r="E141">
        <v>1</v>
      </c>
      <c r="F141" s="2">
        <v>43585.43</v>
      </c>
      <c r="G141" s="3">
        <v>41275</v>
      </c>
      <c r="H141" s="3">
        <v>41639</v>
      </c>
      <c r="I141" s="1" t="s">
        <v>71</v>
      </c>
      <c r="J141">
        <v>4521</v>
      </c>
      <c r="K141">
        <v>0</v>
      </c>
      <c r="L141" s="1" t="s">
        <v>384</v>
      </c>
      <c r="M141" s="1" t="s">
        <v>72</v>
      </c>
      <c r="N141" s="1" t="s">
        <v>134</v>
      </c>
      <c r="O141" s="1" t="s">
        <v>385</v>
      </c>
      <c r="P141" s="1" t="s">
        <v>386</v>
      </c>
      <c r="Q141" s="1" t="s">
        <v>387</v>
      </c>
      <c r="R141">
        <v>103</v>
      </c>
      <c r="S141" s="1" t="s">
        <v>135</v>
      </c>
      <c r="T141" s="1" t="s">
        <v>388</v>
      </c>
      <c r="U141" s="1" t="s">
        <v>135</v>
      </c>
      <c r="V141" s="1"/>
      <c r="W141" s="1"/>
      <c r="X141" s="1"/>
      <c r="Y141" s="1"/>
      <c r="AA141" s="1"/>
      <c r="AC141" s="1"/>
      <c r="AD141" s="1"/>
      <c r="AE141" s="1"/>
      <c r="AN141" s="1" t="s">
        <v>74</v>
      </c>
      <c r="AO141">
        <v>22</v>
      </c>
      <c r="AP141" s="1" t="s">
        <v>757</v>
      </c>
      <c r="AQ141" s="1" t="s">
        <v>990</v>
      </c>
      <c r="AR141" s="1" t="s">
        <v>1084</v>
      </c>
      <c r="AS141" s="1" t="s">
        <v>96</v>
      </c>
      <c r="AT141" s="3">
        <v>41306</v>
      </c>
      <c r="AU141" s="3">
        <v>41306</v>
      </c>
      <c r="AV141" s="3">
        <v>41333</v>
      </c>
      <c r="AW141" s="1" t="s">
        <v>1221</v>
      </c>
      <c r="AX141" s="1" t="s">
        <v>1226</v>
      </c>
      <c r="AY141">
        <v>50</v>
      </c>
      <c r="AZ141">
        <v>253</v>
      </c>
      <c r="BA141">
        <v>4654734.66</v>
      </c>
      <c r="BB141" s="1"/>
      <c r="BD141" s="1"/>
      <c r="BE141" s="1"/>
      <c r="BG141" s="1"/>
      <c r="BH141" s="1"/>
      <c r="BJ141" s="1"/>
      <c r="BL141" s="1"/>
      <c r="BN141" s="1"/>
      <c r="BO141">
        <v>599</v>
      </c>
      <c r="BP141">
        <v>4654734.66</v>
      </c>
      <c r="BQ141">
        <v>4654734.66</v>
      </c>
    </row>
    <row r="142" spans="1:69" x14ac:dyDescent="0.35">
      <c r="A142" s="1" t="s">
        <v>68</v>
      </c>
      <c r="B142" s="1" t="s">
        <v>69</v>
      </c>
      <c r="C142" s="1" t="s">
        <v>70</v>
      </c>
      <c r="D142">
        <v>1</v>
      </c>
      <c r="E142">
        <v>1</v>
      </c>
      <c r="F142" s="2">
        <v>43585.43</v>
      </c>
      <c r="G142" s="3">
        <v>41275</v>
      </c>
      <c r="H142" s="3">
        <v>41639</v>
      </c>
      <c r="I142" s="1" t="s">
        <v>71</v>
      </c>
      <c r="J142">
        <v>4521</v>
      </c>
      <c r="K142">
        <v>0</v>
      </c>
      <c r="L142" s="1" t="s">
        <v>384</v>
      </c>
      <c r="M142" s="1" t="s">
        <v>72</v>
      </c>
      <c r="N142" s="1" t="s">
        <v>134</v>
      </c>
      <c r="O142" s="1" t="s">
        <v>385</v>
      </c>
      <c r="P142" s="1" t="s">
        <v>386</v>
      </c>
      <c r="Q142" s="1" t="s">
        <v>387</v>
      </c>
      <c r="R142">
        <v>103</v>
      </c>
      <c r="S142" s="1" t="s">
        <v>135</v>
      </c>
      <c r="T142" s="1" t="s">
        <v>388</v>
      </c>
      <c r="U142" s="1" t="s">
        <v>135</v>
      </c>
      <c r="V142" s="1"/>
      <c r="W142" s="1"/>
      <c r="X142" s="1"/>
      <c r="Y142" s="1"/>
      <c r="AA142" s="1"/>
      <c r="AC142" s="1"/>
      <c r="AD142" s="1"/>
      <c r="AE142" s="1"/>
      <c r="AN142" s="1" t="s">
        <v>74</v>
      </c>
      <c r="AO142">
        <v>23</v>
      </c>
      <c r="AP142" s="1" t="s">
        <v>758</v>
      </c>
      <c r="AQ142" s="1" t="s">
        <v>990</v>
      </c>
      <c r="AR142" s="1" t="s">
        <v>1084</v>
      </c>
      <c r="AS142" s="1" t="s">
        <v>96</v>
      </c>
      <c r="AT142" s="3">
        <v>41306</v>
      </c>
      <c r="AU142" s="3">
        <v>41306</v>
      </c>
      <c r="AV142" s="3">
        <v>41333</v>
      </c>
      <c r="AW142" s="1" t="s">
        <v>1221</v>
      </c>
      <c r="AX142" s="1" t="s">
        <v>1226</v>
      </c>
      <c r="AY142">
        <v>50</v>
      </c>
      <c r="AZ142">
        <v>253</v>
      </c>
      <c r="BA142">
        <v>4654734.66</v>
      </c>
      <c r="BB142" s="1"/>
      <c r="BD142" s="1"/>
      <c r="BE142" s="1"/>
      <c r="BG142" s="1"/>
      <c r="BH142" s="1"/>
      <c r="BJ142" s="1"/>
      <c r="BL142" s="1"/>
      <c r="BN142" s="1"/>
      <c r="BO142">
        <v>599</v>
      </c>
      <c r="BP142">
        <v>4654734.66</v>
      </c>
      <c r="BQ142">
        <v>4654734.66</v>
      </c>
    </row>
    <row r="143" spans="1:69" x14ac:dyDescent="0.35">
      <c r="A143" s="1" t="s">
        <v>68</v>
      </c>
      <c r="B143" s="1" t="s">
        <v>69</v>
      </c>
      <c r="C143" s="1" t="s">
        <v>70</v>
      </c>
      <c r="D143">
        <v>1</v>
      </c>
      <c r="E143">
        <v>1</v>
      </c>
      <c r="F143" s="2">
        <v>43585.43</v>
      </c>
      <c r="G143" s="3">
        <v>41275</v>
      </c>
      <c r="H143" s="3">
        <v>41639</v>
      </c>
      <c r="I143" s="1" t="s">
        <v>71</v>
      </c>
      <c r="J143">
        <v>4521</v>
      </c>
      <c r="K143">
        <v>0</v>
      </c>
      <c r="L143" s="1" t="s">
        <v>384</v>
      </c>
      <c r="M143" s="1" t="s">
        <v>72</v>
      </c>
      <c r="N143" s="1" t="s">
        <v>134</v>
      </c>
      <c r="O143" s="1" t="s">
        <v>385</v>
      </c>
      <c r="P143" s="1" t="s">
        <v>386</v>
      </c>
      <c r="Q143" s="1" t="s">
        <v>387</v>
      </c>
      <c r="R143">
        <v>103</v>
      </c>
      <c r="S143" s="1" t="s">
        <v>135</v>
      </c>
      <c r="T143" s="1" t="s">
        <v>388</v>
      </c>
      <c r="U143" s="1" t="s">
        <v>135</v>
      </c>
      <c r="V143" s="1"/>
      <c r="W143" s="1"/>
      <c r="X143" s="1"/>
      <c r="Y143" s="1"/>
      <c r="AA143" s="1"/>
      <c r="AC143" s="1"/>
      <c r="AD143" s="1"/>
      <c r="AE143" s="1"/>
      <c r="AN143" s="1" t="s">
        <v>74</v>
      </c>
      <c r="AO143">
        <v>24</v>
      </c>
      <c r="AP143" s="1" t="s">
        <v>759</v>
      </c>
      <c r="AQ143" s="1" t="s">
        <v>989</v>
      </c>
      <c r="AR143" s="1" t="s">
        <v>1085</v>
      </c>
      <c r="AS143" s="1" t="s">
        <v>1205</v>
      </c>
      <c r="AT143" s="3">
        <v>41306</v>
      </c>
      <c r="AU143" s="3">
        <v>41306</v>
      </c>
      <c r="AV143" s="3">
        <v>41333</v>
      </c>
      <c r="AW143" s="1" t="s">
        <v>1221</v>
      </c>
      <c r="AX143" s="1" t="s">
        <v>989</v>
      </c>
      <c r="AY143">
        <v>12</v>
      </c>
      <c r="AZ143">
        <v>253</v>
      </c>
      <c r="BA143">
        <v>4654734.66</v>
      </c>
      <c r="BB143" s="1"/>
      <c r="BD143" s="1"/>
      <c r="BE143" s="1"/>
      <c r="BG143" s="1"/>
      <c r="BH143" s="1"/>
      <c r="BJ143" s="1"/>
      <c r="BL143" s="1"/>
      <c r="BN143" s="1"/>
      <c r="BO143">
        <v>599</v>
      </c>
      <c r="BP143">
        <v>4654734.66</v>
      </c>
      <c r="BQ143">
        <v>4654734.66</v>
      </c>
    </row>
    <row r="144" spans="1:69" x14ac:dyDescent="0.35">
      <c r="A144" s="1" t="s">
        <v>68</v>
      </c>
      <c r="B144" s="1" t="s">
        <v>69</v>
      </c>
      <c r="C144" s="1" t="s">
        <v>70</v>
      </c>
      <c r="D144">
        <v>1</v>
      </c>
      <c r="E144">
        <v>1</v>
      </c>
      <c r="F144" s="2">
        <v>43585.43</v>
      </c>
      <c r="G144" s="3">
        <v>41275</v>
      </c>
      <c r="H144" s="3">
        <v>41639</v>
      </c>
      <c r="I144" s="1" t="s">
        <v>71</v>
      </c>
      <c r="J144">
        <v>4521</v>
      </c>
      <c r="K144">
        <v>0</v>
      </c>
      <c r="L144" s="1" t="s">
        <v>384</v>
      </c>
      <c r="M144" s="1" t="s">
        <v>72</v>
      </c>
      <c r="N144" s="1" t="s">
        <v>134</v>
      </c>
      <c r="O144" s="1" t="s">
        <v>385</v>
      </c>
      <c r="P144" s="1" t="s">
        <v>386</v>
      </c>
      <c r="Q144" s="1" t="s">
        <v>387</v>
      </c>
      <c r="R144">
        <v>103</v>
      </c>
      <c r="S144" s="1" t="s">
        <v>135</v>
      </c>
      <c r="T144" s="1" t="s">
        <v>388</v>
      </c>
      <c r="U144" s="1" t="s">
        <v>135</v>
      </c>
      <c r="V144" s="1"/>
      <c r="W144" s="1"/>
      <c r="X144" s="1"/>
      <c r="Y144" s="1"/>
      <c r="AA144" s="1"/>
      <c r="AC144" s="1"/>
      <c r="AD144" s="1"/>
      <c r="AE144" s="1"/>
      <c r="AN144" s="1" t="s">
        <v>74</v>
      </c>
      <c r="AO144">
        <v>25</v>
      </c>
      <c r="AP144" s="1" t="s">
        <v>760</v>
      </c>
      <c r="AQ144" s="1" t="s">
        <v>991</v>
      </c>
      <c r="AR144" s="1" t="s">
        <v>1086</v>
      </c>
      <c r="AS144" s="1" t="s">
        <v>1206</v>
      </c>
      <c r="AT144" s="3">
        <v>41306</v>
      </c>
      <c r="AU144" s="3">
        <v>41306</v>
      </c>
      <c r="AV144" s="3">
        <v>41333</v>
      </c>
      <c r="AW144" s="1" t="s">
        <v>1221</v>
      </c>
      <c r="AX144" s="1" t="s">
        <v>991</v>
      </c>
      <c r="AY144">
        <v>5836.91</v>
      </c>
      <c r="AZ144">
        <v>253</v>
      </c>
      <c r="BA144">
        <v>4654734.66</v>
      </c>
      <c r="BB144" s="1"/>
      <c r="BD144" s="1"/>
      <c r="BE144" s="1"/>
      <c r="BG144" s="1"/>
      <c r="BH144" s="1"/>
      <c r="BJ144" s="1"/>
      <c r="BL144" s="1"/>
      <c r="BN144" s="1"/>
      <c r="BO144">
        <v>599</v>
      </c>
      <c r="BP144">
        <v>4654734.66</v>
      </c>
      <c r="BQ144">
        <v>4654734.66</v>
      </c>
    </row>
    <row r="145" spans="1:69" x14ac:dyDescent="0.35">
      <c r="A145" s="1" t="s">
        <v>68</v>
      </c>
      <c r="B145" s="1" t="s">
        <v>69</v>
      </c>
      <c r="C145" s="1" t="s">
        <v>70</v>
      </c>
      <c r="D145">
        <v>1</v>
      </c>
      <c r="E145">
        <v>1</v>
      </c>
      <c r="F145" s="2">
        <v>43585.43</v>
      </c>
      <c r="G145" s="3">
        <v>41275</v>
      </c>
      <c r="H145" s="3">
        <v>41639</v>
      </c>
      <c r="I145" s="1" t="s">
        <v>71</v>
      </c>
      <c r="J145">
        <v>4521</v>
      </c>
      <c r="K145">
        <v>0</v>
      </c>
      <c r="L145" s="1" t="s">
        <v>384</v>
      </c>
      <c r="M145" s="1" t="s">
        <v>72</v>
      </c>
      <c r="N145" s="1" t="s">
        <v>134</v>
      </c>
      <c r="O145" s="1" t="s">
        <v>385</v>
      </c>
      <c r="P145" s="1" t="s">
        <v>386</v>
      </c>
      <c r="Q145" s="1" t="s">
        <v>387</v>
      </c>
      <c r="R145">
        <v>103</v>
      </c>
      <c r="S145" s="1" t="s">
        <v>135</v>
      </c>
      <c r="T145" s="1" t="s">
        <v>388</v>
      </c>
      <c r="U145" s="1" t="s">
        <v>135</v>
      </c>
      <c r="V145" s="1"/>
      <c r="W145" s="1"/>
      <c r="X145" s="1"/>
      <c r="Y145" s="1"/>
      <c r="AA145" s="1"/>
      <c r="AC145" s="1"/>
      <c r="AD145" s="1"/>
      <c r="AE145" s="1"/>
      <c r="AN145" s="1" t="s">
        <v>74</v>
      </c>
      <c r="AO145">
        <v>26</v>
      </c>
      <c r="AP145" s="1" t="s">
        <v>761</v>
      </c>
      <c r="AQ145" s="1" t="s">
        <v>992</v>
      </c>
      <c r="AR145" s="1" t="s">
        <v>1087</v>
      </c>
      <c r="AS145" s="1" t="s">
        <v>95</v>
      </c>
      <c r="AT145" s="3">
        <v>41306</v>
      </c>
      <c r="AU145" s="3">
        <v>41306</v>
      </c>
      <c r="AV145" s="3">
        <v>41333</v>
      </c>
      <c r="AW145" s="1" t="s">
        <v>1221</v>
      </c>
      <c r="AX145" s="1" t="s">
        <v>992</v>
      </c>
      <c r="AY145">
        <v>20.95</v>
      </c>
      <c r="AZ145">
        <v>253</v>
      </c>
      <c r="BA145">
        <v>4654734.66</v>
      </c>
      <c r="BB145" s="1"/>
      <c r="BD145" s="1"/>
      <c r="BE145" s="1"/>
      <c r="BG145" s="1"/>
      <c r="BH145" s="1"/>
      <c r="BJ145" s="1"/>
      <c r="BL145" s="1"/>
      <c r="BN145" s="1"/>
      <c r="BO145">
        <v>599</v>
      </c>
      <c r="BP145">
        <v>4654734.66</v>
      </c>
      <c r="BQ145">
        <v>4654734.66</v>
      </c>
    </row>
    <row r="146" spans="1:69" x14ac:dyDescent="0.35">
      <c r="A146" s="1" t="s">
        <v>68</v>
      </c>
      <c r="B146" s="1" t="s">
        <v>69</v>
      </c>
      <c r="C146" s="1" t="s">
        <v>70</v>
      </c>
      <c r="D146">
        <v>1</v>
      </c>
      <c r="E146">
        <v>1</v>
      </c>
      <c r="F146" s="2">
        <v>43585.43</v>
      </c>
      <c r="G146" s="3">
        <v>41275</v>
      </c>
      <c r="H146" s="3">
        <v>41639</v>
      </c>
      <c r="I146" s="1" t="s">
        <v>71</v>
      </c>
      <c r="J146">
        <v>4521</v>
      </c>
      <c r="K146">
        <v>0</v>
      </c>
      <c r="L146" s="1" t="s">
        <v>384</v>
      </c>
      <c r="M146" s="1" t="s">
        <v>72</v>
      </c>
      <c r="N146" s="1" t="s">
        <v>134</v>
      </c>
      <c r="O146" s="1" t="s">
        <v>385</v>
      </c>
      <c r="P146" s="1" t="s">
        <v>386</v>
      </c>
      <c r="Q146" s="1" t="s">
        <v>387</v>
      </c>
      <c r="R146">
        <v>103</v>
      </c>
      <c r="S146" s="1" t="s">
        <v>135</v>
      </c>
      <c r="T146" s="1" t="s">
        <v>388</v>
      </c>
      <c r="U146" s="1" t="s">
        <v>135</v>
      </c>
      <c r="V146" s="1"/>
      <c r="W146" s="1"/>
      <c r="X146" s="1"/>
      <c r="Y146" s="1"/>
      <c r="AA146" s="1"/>
      <c r="AC146" s="1"/>
      <c r="AD146" s="1"/>
      <c r="AE146" s="1"/>
      <c r="AN146" s="1" t="s">
        <v>74</v>
      </c>
      <c r="AO146">
        <v>27</v>
      </c>
      <c r="AP146" s="1" t="s">
        <v>762</v>
      </c>
      <c r="AQ146" s="1" t="s">
        <v>993</v>
      </c>
      <c r="AR146" s="1" t="s">
        <v>1088</v>
      </c>
      <c r="AS146" s="1" t="s">
        <v>1207</v>
      </c>
      <c r="AT146" s="3">
        <v>41306</v>
      </c>
      <c r="AU146" s="3">
        <v>41306</v>
      </c>
      <c r="AV146" s="3">
        <v>41333</v>
      </c>
      <c r="AW146" s="1" t="s">
        <v>1221</v>
      </c>
      <c r="AX146" s="1" t="s">
        <v>993</v>
      </c>
      <c r="AY146">
        <v>2575.25</v>
      </c>
      <c r="AZ146">
        <v>253</v>
      </c>
      <c r="BA146">
        <v>4654734.66</v>
      </c>
      <c r="BB146" s="1"/>
      <c r="BD146" s="1"/>
      <c r="BE146" s="1"/>
      <c r="BG146" s="1"/>
      <c r="BH146" s="1"/>
      <c r="BJ146" s="1"/>
      <c r="BL146" s="1"/>
      <c r="BN146" s="1"/>
      <c r="BO146">
        <v>599</v>
      </c>
      <c r="BP146">
        <v>4654734.66</v>
      </c>
      <c r="BQ146">
        <v>4654734.66</v>
      </c>
    </row>
    <row r="147" spans="1:69" x14ac:dyDescent="0.35">
      <c r="A147" s="1" t="s">
        <v>68</v>
      </c>
      <c r="B147" s="1" t="s">
        <v>69</v>
      </c>
      <c r="C147" s="1" t="s">
        <v>70</v>
      </c>
      <c r="D147">
        <v>1</v>
      </c>
      <c r="E147">
        <v>1</v>
      </c>
      <c r="F147" s="2">
        <v>43585.43</v>
      </c>
      <c r="G147" s="3">
        <v>41275</v>
      </c>
      <c r="H147" s="3">
        <v>41639</v>
      </c>
      <c r="I147" s="1" t="s">
        <v>71</v>
      </c>
      <c r="J147">
        <v>4521</v>
      </c>
      <c r="K147">
        <v>0</v>
      </c>
      <c r="L147" s="1" t="s">
        <v>384</v>
      </c>
      <c r="M147" s="1" t="s">
        <v>72</v>
      </c>
      <c r="N147" s="1" t="s">
        <v>134</v>
      </c>
      <c r="O147" s="1" t="s">
        <v>385</v>
      </c>
      <c r="P147" s="1" t="s">
        <v>386</v>
      </c>
      <c r="Q147" s="1" t="s">
        <v>387</v>
      </c>
      <c r="R147">
        <v>103</v>
      </c>
      <c r="S147" s="1" t="s">
        <v>135</v>
      </c>
      <c r="T147" s="1" t="s">
        <v>388</v>
      </c>
      <c r="U147" s="1" t="s">
        <v>135</v>
      </c>
      <c r="V147" s="1"/>
      <c r="W147" s="1"/>
      <c r="X147" s="1"/>
      <c r="Y147" s="1"/>
      <c r="AA147" s="1"/>
      <c r="AC147" s="1"/>
      <c r="AD147" s="1"/>
      <c r="AE147" s="1"/>
      <c r="AN147" s="1" t="s">
        <v>74</v>
      </c>
      <c r="AO147">
        <v>28</v>
      </c>
      <c r="AP147" s="1" t="s">
        <v>763</v>
      </c>
      <c r="AQ147" s="1" t="s">
        <v>994</v>
      </c>
      <c r="AR147" s="1" t="s">
        <v>1089</v>
      </c>
      <c r="AS147" s="1" t="s">
        <v>97</v>
      </c>
      <c r="AT147" s="3">
        <v>41306</v>
      </c>
      <c r="AU147" s="3">
        <v>41306</v>
      </c>
      <c r="AV147" s="3">
        <v>41333</v>
      </c>
      <c r="AW147" s="1" t="s">
        <v>1221</v>
      </c>
      <c r="AX147" s="1" t="s">
        <v>994</v>
      </c>
      <c r="AY147">
        <v>525.21</v>
      </c>
      <c r="AZ147">
        <v>253</v>
      </c>
      <c r="BA147">
        <v>4654734.66</v>
      </c>
      <c r="BB147" s="1"/>
      <c r="BD147" s="1"/>
      <c r="BE147" s="1"/>
      <c r="BG147" s="1"/>
      <c r="BH147" s="1"/>
      <c r="BJ147" s="1"/>
      <c r="BL147" s="1"/>
      <c r="BN147" s="1"/>
      <c r="BO147">
        <v>599</v>
      </c>
      <c r="BP147">
        <v>4654734.66</v>
      </c>
      <c r="BQ147">
        <v>4654734.66</v>
      </c>
    </row>
    <row r="148" spans="1:69" x14ac:dyDescent="0.35">
      <c r="A148" s="1" t="s">
        <v>68</v>
      </c>
      <c r="B148" s="1" t="s">
        <v>69</v>
      </c>
      <c r="C148" s="1" t="s">
        <v>70</v>
      </c>
      <c r="D148">
        <v>1</v>
      </c>
      <c r="E148">
        <v>1</v>
      </c>
      <c r="F148" s="2">
        <v>43585.43</v>
      </c>
      <c r="G148" s="3">
        <v>41275</v>
      </c>
      <c r="H148" s="3">
        <v>41639</v>
      </c>
      <c r="I148" s="1" t="s">
        <v>71</v>
      </c>
      <c r="J148">
        <v>4521</v>
      </c>
      <c r="K148">
        <v>0</v>
      </c>
      <c r="L148" s="1" t="s">
        <v>384</v>
      </c>
      <c r="M148" s="1" t="s">
        <v>72</v>
      </c>
      <c r="N148" s="1" t="s">
        <v>134</v>
      </c>
      <c r="O148" s="1" t="s">
        <v>385</v>
      </c>
      <c r="P148" s="1" t="s">
        <v>386</v>
      </c>
      <c r="Q148" s="1" t="s">
        <v>387</v>
      </c>
      <c r="R148">
        <v>103</v>
      </c>
      <c r="S148" s="1" t="s">
        <v>135</v>
      </c>
      <c r="T148" s="1" t="s">
        <v>388</v>
      </c>
      <c r="U148" s="1" t="s">
        <v>135</v>
      </c>
      <c r="V148" s="1"/>
      <c r="W148" s="1"/>
      <c r="X148" s="1"/>
      <c r="Y148" s="1"/>
      <c r="AA148" s="1"/>
      <c r="AC148" s="1"/>
      <c r="AD148" s="1"/>
      <c r="AE148" s="1"/>
      <c r="AN148" s="1" t="s">
        <v>74</v>
      </c>
      <c r="AO148">
        <v>29</v>
      </c>
      <c r="AP148" s="1" t="s">
        <v>764</v>
      </c>
      <c r="AQ148" s="1" t="s">
        <v>995</v>
      </c>
      <c r="AR148" s="1" t="s">
        <v>1090</v>
      </c>
      <c r="AS148" s="1" t="s">
        <v>97</v>
      </c>
      <c r="AT148" s="3">
        <v>41316</v>
      </c>
      <c r="AU148" s="3">
        <v>41319</v>
      </c>
      <c r="AV148" s="3">
        <v>41333</v>
      </c>
      <c r="AW148" s="1" t="s">
        <v>1221</v>
      </c>
      <c r="AX148" s="1" t="s">
        <v>995</v>
      </c>
      <c r="AY148">
        <v>200.49</v>
      </c>
      <c r="AZ148">
        <v>253</v>
      </c>
      <c r="BA148">
        <v>4654734.66</v>
      </c>
      <c r="BB148" s="1"/>
      <c r="BD148" s="1"/>
      <c r="BE148" s="1"/>
      <c r="BG148" s="1"/>
      <c r="BH148" s="1"/>
      <c r="BJ148" s="1"/>
      <c r="BL148" s="1"/>
      <c r="BN148" s="1"/>
      <c r="BO148">
        <v>599</v>
      </c>
      <c r="BP148">
        <v>4654734.66</v>
      </c>
      <c r="BQ148">
        <v>4654734.66</v>
      </c>
    </row>
    <row r="149" spans="1:69" x14ac:dyDescent="0.35">
      <c r="A149" s="1" t="s">
        <v>68</v>
      </c>
      <c r="B149" s="1" t="s">
        <v>69</v>
      </c>
      <c r="C149" s="1" t="s">
        <v>70</v>
      </c>
      <c r="D149">
        <v>1</v>
      </c>
      <c r="E149">
        <v>1</v>
      </c>
      <c r="F149" s="2">
        <v>43585.43</v>
      </c>
      <c r="G149" s="3">
        <v>41275</v>
      </c>
      <c r="H149" s="3">
        <v>41639</v>
      </c>
      <c r="I149" s="1" t="s">
        <v>71</v>
      </c>
      <c r="J149">
        <v>4521</v>
      </c>
      <c r="K149">
        <v>0</v>
      </c>
      <c r="L149" s="1" t="s">
        <v>384</v>
      </c>
      <c r="M149" s="1" t="s">
        <v>72</v>
      </c>
      <c r="N149" s="1" t="s">
        <v>134</v>
      </c>
      <c r="O149" s="1" t="s">
        <v>385</v>
      </c>
      <c r="P149" s="1" t="s">
        <v>386</v>
      </c>
      <c r="Q149" s="1" t="s">
        <v>387</v>
      </c>
      <c r="R149">
        <v>103</v>
      </c>
      <c r="S149" s="1" t="s">
        <v>135</v>
      </c>
      <c r="T149" s="1" t="s">
        <v>388</v>
      </c>
      <c r="U149" s="1" t="s">
        <v>135</v>
      </c>
      <c r="V149" s="1"/>
      <c r="W149" s="1"/>
      <c r="X149" s="1"/>
      <c r="Y149" s="1"/>
      <c r="AA149" s="1"/>
      <c r="AC149" s="1"/>
      <c r="AD149" s="1"/>
      <c r="AE149" s="1"/>
      <c r="AN149" s="1" t="s">
        <v>74</v>
      </c>
      <c r="AO149">
        <v>30</v>
      </c>
      <c r="AP149" s="1" t="s">
        <v>765</v>
      </c>
      <c r="AQ149" s="1" t="s">
        <v>996</v>
      </c>
      <c r="AR149" s="1" t="s">
        <v>1091</v>
      </c>
      <c r="AS149" s="1" t="s">
        <v>97</v>
      </c>
      <c r="AT149" s="3">
        <v>41318</v>
      </c>
      <c r="AU149" s="3">
        <v>41319</v>
      </c>
      <c r="AV149" s="3">
        <v>41333</v>
      </c>
      <c r="AW149" s="1" t="s">
        <v>1221</v>
      </c>
      <c r="AX149" s="1" t="s">
        <v>996</v>
      </c>
      <c r="AY149">
        <v>1566.53</v>
      </c>
      <c r="AZ149">
        <v>253</v>
      </c>
      <c r="BA149">
        <v>4654734.66</v>
      </c>
      <c r="BB149" s="1"/>
      <c r="BD149" s="1"/>
      <c r="BE149" s="1"/>
      <c r="BG149" s="1"/>
      <c r="BH149" s="1"/>
      <c r="BJ149" s="1"/>
      <c r="BL149" s="1"/>
      <c r="BN149" s="1"/>
      <c r="BO149">
        <v>599</v>
      </c>
      <c r="BP149">
        <v>4654734.66</v>
      </c>
      <c r="BQ149">
        <v>4654734.66</v>
      </c>
    </row>
    <row r="150" spans="1:69" x14ac:dyDescent="0.35">
      <c r="A150" s="1" t="s">
        <v>68</v>
      </c>
      <c r="B150" s="1" t="s">
        <v>69</v>
      </c>
      <c r="C150" s="1" t="s">
        <v>70</v>
      </c>
      <c r="D150">
        <v>1</v>
      </c>
      <c r="E150">
        <v>1</v>
      </c>
      <c r="F150" s="2">
        <v>43585.43</v>
      </c>
      <c r="G150" s="3">
        <v>41275</v>
      </c>
      <c r="H150" s="3">
        <v>41639</v>
      </c>
      <c r="I150" s="1" t="s">
        <v>71</v>
      </c>
      <c r="J150">
        <v>4521</v>
      </c>
      <c r="K150">
        <v>0</v>
      </c>
      <c r="L150" s="1" t="s">
        <v>384</v>
      </c>
      <c r="M150" s="1" t="s">
        <v>72</v>
      </c>
      <c r="N150" s="1" t="s">
        <v>134</v>
      </c>
      <c r="O150" s="1" t="s">
        <v>385</v>
      </c>
      <c r="P150" s="1" t="s">
        <v>386</v>
      </c>
      <c r="Q150" s="1" t="s">
        <v>387</v>
      </c>
      <c r="R150">
        <v>103</v>
      </c>
      <c r="S150" s="1" t="s">
        <v>135</v>
      </c>
      <c r="T150" s="1" t="s">
        <v>388</v>
      </c>
      <c r="U150" s="1" t="s">
        <v>135</v>
      </c>
      <c r="V150" s="1"/>
      <c r="W150" s="1"/>
      <c r="X150" s="1"/>
      <c r="Y150" s="1"/>
      <c r="AA150" s="1"/>
      <c r="AC150" s="1"/>
      <c r="AD150" s="1"/>
      <c r="AE150" s="1"/>
      <c r="AN150" s="1" t="s">
        <v>74</v>
      </c>
      <c r="AO150">
        <v>31</v>
      </c>
      <c r="AP150" s="1" t="s">
        <v>766</v>
      </c>
      <c r="AQ150" s="1" t="s">
        <v>997</v>
      </c>
      <c r="AR150" s="1" t="s">
        <v>1092</v>
      </c>
      <c r="AS150" s="1" t="s">
        <v>1208</v>
      </c>
      <c r="AT150" s="3">
        <v>41306</v>
      </c>
      <c r="AU150" s="3">
        <v>41306</v>
      </c>
      <c r="AV150" s="3">
        <v>41333</v>
      </c>
      <c r="AW150" s="1" t="s">
        <v>1221</v>
      </c>
      <c r="AX150" s="1" t="s">
        <v>997</v>
      </c>
      <c r="AY150">
        <v>4521</v>
      </c>
      <c r="AZ150">
        <v>253</v>
      </c>
      <c r="BA150">
        <v>4654734.66</v>
      </c>
      <c r="BB150" s="1"/>
      <c r="BD150" s="1"/>
      <c r="BE150" s="1"/>
      <c r="BG150" s="1"/>
      <c r="BH150" s="1"/>
      <c r="BJ150" s="1"/>
      <c r="BL150" s="1"/>
      <c r="BN150" s="1"/>
      <c r="BO150">
        <v>599</v>
      </c>
      <c r="BP150">
        <v>4654734.66</v>
      </c>
      <c r="BQ150">
        <v>4654734.66</v>
      </c>
    </row>
    <row r="151" spans="1:69" x14ac:dyDescent="0.35">
      <c r="A151" s="1" t="s">
        <v>68</v>
      </c>
      <c r="B151" s="1" t="s">
        <v>69</v>
      </c>
      <c r="C151" s="1" t="s">
        <v>70</v>
      </c>
      <c r="D151">
        <v>1</v>
      </c>
      <c r="E151">
        <v>1</v>
      </c>
      <c r="F151" s="2">
        <v>43585.43</v>
      </c>
      <c r="G151" s="3">
        <v>41275</v>
      </c>
      <c r="H151" s="3">
        <v>41639</v>
      </c>
      <c r="I151" s="1" t="s">
        <v>71</v>
      </c>
      <c r="J151">
        <v>4521</v>
      </c>
      <c r="K151">
        <v>0</v>
      </c>
      <c r="L151" s="1" t="s">
        <v>384</v>
      </c>
      <c r="M151" s="1" t="s">
        <v>72</v>
      </c>
      <c r="N151" s="1" t="s">
        <v>134</v>
      </c>
      <c r="O151" s="1" t="s">
        <v>385</v>
      </c>
      <c r="P151" s="1" t="s">
        <v>386</v>
      </c>
      <c r="Q151" s="1" t="s">
        <v>387</v>
      </c>
      <c r="R151">
        <v>103</v>
      </c>
      <c r="S151" s="1" t="s">
        <v>135</v>
      </c>
      <c r="T151" s="1" t="s">
        <v>388</v>
      </c>
      <c r="U151" s="1" t="s">
        <v>135</v>
      </c>
      <c r="V151" s="1"/>
      <c r="W151" s="1"/>
      <c r="X151" s="1"/>
      <c r="Y151" s="1"/>
      <c r="AA151" s="1"/>
      <c r="AC151" s="1"/>
      <c r="AD151" s="1"/>
      <c r="AE151" s="1"/>
      <c r="AN151" s="1" t="s">
        <v>74</v>
      </c>
      <c r="AO151">
        <v>32</v>
      </c>
      <c r="AP151" s="1" t="s">
        <v>767</v>
      </c>
      <c r="AQ151" s="1" t="s">
        <v>998</v>
      </c>
      <c r="AR151" s="1" t="s">
        <v>1093</v>
      </c>
      <c r="AS151" s="1" t="s">
        <v>1209</v>
      </c>
      <c r="AT151" s="3">
        <v>41306</v>
      </c>
      <c r="AU151" s="3">
        <v>41306</v>
      </c>
      <c r="AV151" s="3">
        <v>41333</v>
      </c>
      <c r="AW151" s="1" t="s">
        <v>1221</v>
      </c>
      <c r="AX151" s="1" t="s">
        <v>998</v>
      </c>
      <c r="AY151">
        <v>204731.14</v>
      </c>
      <c r="AZ151">
        <v>253</v>
      </c>
      <c r="BA151">
        <v>4654734.66</v>
      </c>
      <c r="BB151" s="1"/>
      <c r="BD151" s="1"/>
      <c r="BE151" s="1"/>
      <c r="BG151" s="1"/>
      <c r="BH151" s="1"/>
      <c r="BJ151" s="1"/>
      <c r="BL151" s="1"/>
      <c r="BN151" s="1"/>
      <c r="BO151">
        <v>599</v>
      </c>
      <c r="BP151">
        <v>4654734.66</v>
      </c>
      <c r="BQ151">
        <v>4654734.66</v>
      </c>
    </row>
    <row r="152" spans="1:69" x14ac:dyDescent="0.35">
      <c r="A152" s="1" t="s">
        <v>68</v>
      </c>
      <c r="B152" s="1" t="s">
        <v>69</v>
      </c>
      <c r="C152" s="1" t="s">
        <v>70</v>
      </c>
      <c r="D152">
        <v>1</v>
      </c>
      <c r="E152">
        <v>1</v>
      </c>
      <c r="F152" s="2">
        <v>43585.43</v>
      </c>
      <c r="G152" s="3">
        <v>41275</v>
      </c>
      <c r="H152" s="3">
        <v>41639</v>
      </c>
      <c r="I152" s="1" t="s">
        <v>71</v>
      </c>
      <c r="J152">
        <v>4521</v>
      </c>
      <c r="K152">
        <v>0</v>
      </c>
      <c r="L152" s="1" t="s">
        <v>384</v>
      </c>
      <c r="M152" s="1" t="s">
        <v>72</v>
      </c>
      <c r="N152" s="1" t="s">
        <v>134</v>
      </c>
      <c r="O152" s="1" t="s">
        <v>385</v>
      </c>
      <c r="P152" s="1" t="s">
        <v>386</v>
      </c>
      <c r="Q152" s="1" t="s">
        <v>387</v>
      </c>
      <c r="R152">
        <v>103</v>
      </c>
      <c r="S152" s="1" t="s">
        <v>135</v>
      </c>
      <c r="T152" s="1" t="s">
        <v>388</v>
      </c>
      <c r="U152" s="1" t="s">
        <v>135</v>
      </c>
      <c r="V152" s="1"/>
      <c r="W152" s="1"/>
      <c r="X152" s="1"/>
      <c r="Y152" s="1"/>
      <c r="AA152" s="1"/>
      <c r="AC152" s="1"/>
      <c r="AD152" s="1"/>
      <c r="AE152" s="1"/>
      <c r="AN152" s="1" t="s">
        <v>74</v>
      </c>
      <c r="AO152">
        <v>33</v>
      </c>
      <c r="AP152" s="1" t="s">
        <v>768</v>
      </c>
      <c r="AQ152" s="1" t="s">
        <v>998</v>
      </c>
      <c r="AR152" s="1" t="s">
        <v>1093</v>
      </c>
      <c r="AS152" s="1" t="s">
        <v>1209</v>
      </c>
      <c r="AT152" s="3">
        <v>41306</v>
      </c>
      <c r="AU152" s="3">
        <v>41306</v>
      </c>
      <c r="AV152" s="3">
        <v>41333</v>
      </c>
      <c r="AW152" s="1" t="s">
        <v>1221</v>
      </c>
      <c r="AX152" s="1" t="s">
        <v>998</v>
      </c>
      <c r="AY152">
        <v>204731.14</v>
      </c>
      <c r="AZ152">
        <v>253</v>
      </c>
      <c r="BA152">
        <v>4654734.66</v>
      </c>
      <c r="BB152" s="1"/>
      <c r="BD152" s="1"/>
      <c r="BE152" s="1"/>
      <c r="BG152" s="1"/>
      <c r="BH152" s="1"/>
      <c r="BJ152" s="1"/>
      <c r="BL152" s="1"/>
      <c r="BN152" s="1"/>
      <c r="BO152">
        <v>599</v>
      </c>
      <c r="BP152">
        <v>4654734.66</v>
      </c>
      <c r="BQ152">
        <v>4654734.66</v>
      </c>
    </row>
    <row r="153" spans="1:69" x14ac:dyDescent="0.35">
      <c r="A153" s="1" t="s">
        <v>68</v>
      </c>
      <c r="B153" s="1" t="s">
        <v>69</v>
      </c>
      <c r="C153" s="1" t="s">
        <v>70</v>
      </c>
      <c r="D153">
        <v>1</v>
      </c>
      <c r="E153">
        <v>1</v>
      </c>
      <c r="F153" s="2">
        <v>43585.43</v>
      </c>
      <c r="G153" s="3">
        <v>41275</v>
      </c>
      <c r="H153" s="3">
        <v>41639</v>
      </c>
      <c r="I153" s="1" t="s">
        <v>71</v>
      </c>
      <c r="J153">
        <v>4521</v>
      </c>
      <c r="K153">
        <v>0</v>
      </c>
      <c r="L153" s="1" t="s">
        <v>384</v>
      </c>
      <c r="M153" s="1" t="s">
        <v>72</v>
      </c>
      <c r="N153" s="1" t="s">
        <v>134</v>
      </c>
      <c r="O153" s="1" t="s">
        <v>385</v>
      </c>
      <c r="P153" s="1" t="s">
        <v>386</v>
      </c>
      <c r="Q153" s="1" t="s">
        <v>387</v>
      </c>
      <c r="R153">
        <v>103</v>
      </c>
      <c r="S153" s="1" t="s">
        <v>135</v>
      </c>
      <c r="T153" s="1" t="s">
        <v>388</v>
      </c>
      <c r="U153" s="1" t="s">
        <v>135</v>
      </c>
      <c r="V153" s="1"/>
      <c r="W153" s="1"/>
      <c r="X153" s="1"/>
      <c r="Y153" s="1"/>
      <c r="AA153" s="1"/>
      <c r="AC153" s="1"/>
      <c r="AD153" s="1"/>
      <c r="AE153" s="1"/>
      <c r="AN153" s="1" t="s">
        <v>74</v>
      </c>
      <c r="AO153">
        <v>34</v>
      </c>
      <c r="AP153" s="1" t="s">
        <v>769</v>
      </c>
      <c r="AQ153" s="1" t="s">
        <v>999</v>
      </c>
      <c r="AR153" s="1" t="s">
        <v>1094</v>
      </c>
      <c r="AS153" s="1" t="s">
        <v>1210</v>
      </c>
      <c r="AT153" s="3">
        <v>41306</v>
      </c>
      <c r="AU153" s="3">
        <v>41306</v>
      </c>
      <c r="AV153" s="3">
        <v>41333</v>
      </c>
      <c r="AW153" s="1" t="s">
        <v>1221</v>
      </c>
      <c r="AX153" s="1" t="s">
        <v>999</v>
      </c>
      <c r="AY153">
        <v>13000</v>
      </c>
      <c r="AZ153">
        <v>253</v>
      </c>
      <c r="BA153">
        <v>4654734.66</v>
      </c>
      <c r="BB153" s="1"/>
      <c r="BD153" s="1"/>
      <c r="BE153" s="1"/>
      <c r="BG153" s="1"/>
      <c r="BH153" s="1"/>
      <c r="BJ153" s="1"/>
      <c r="BL153" s="1"/>
      <c r="BN153" s="1"/>
      <c r="BO153">
        <v>599</v>
      </c>
      <c r="BP153">
        <v>4654734.66</v>
      </c>
      <c r="BQ153">
        <v>4654734.66</v>
      </c>
    </row>
    <row r="154" spans="1:69" x14ac:dyDescent="0.35">
      <c r="A154" s="1" t="s">
        <v>68</v>
      </c>
      <c r="B154" s="1" t="s">
        <v>69</v>
      </c>
      <c r="C154" s="1" t="s">
        <v>70</v>
      </c>
      <c r="D154">
        <v>1</v>
      </c>
      <c r="E154">
        <v>1</v>
      </c>
      <c r="F154" s="2">
        <v>43585.43</v>
      </c>
      <c r="G154" s="3">
        <v>41275</v>
      </c>
      <c r="H154" s="3">
        <v>41639</v>
      </c>
      <c r="I154" s="1" t="s">
        <v>71</v>
      </c>
      <c r="J154">
        <v>4521</v>
      </c>
      <c r="K154">
        <v>0</v>
      </c>
      <c r="L154" s="1" t="s">
        <v>384</v>
      </c>
      <c r="M154" s="1" t="s">
        <v>72</v>
      </c>
      <c r="N154" s="1" t="s">
        <v>134</v>
      </c>
      <c r="O154" s="1" t="s">
        <v>385</v>
      </c>
      <c r="P154" s="1" t="s">
        <v>386</v>
      </c>
      <c r="Q154" s="1" t="s">
        <v>387</v>
      </c>
      <c r="R154">
        <v>103</v>
      </c>
      <c r="S154" s="1" t="s">
        <v>135</v>
      </c>
      <c r="T154" s="1" t="s">
        <v>388</v>
      </c>
      <c r="U154" s="1" t="s">
        <v>135</v>
      </c>
      <c r="V154" s="1"/>
      <c r="W154" s="1"/>
      <c r="X154" s="1"/>
      <c r="Y154" s="1"/>
      <c r="AA154" s="1"/>
      <c r="AC154" s="1"/>
      <c r="AD154" s="1"/>
      <c r="AE154" s="1"/>
      <c r="AN154" s="1" t="s">
        <v>74</v>
      </c>
      <c r="AO154">
        <v>35</v>
      </c>
      <c r="AP154" s="1" t="s">
        <v>770</v>
      </c>
      <c r="AQ154" s="1" t="s">
        <v>989</v>
      </c>
      <c r="AR154" s="1" t="s">
        <v>1095</v>
      </c>
      <c r="AS154" s="1" t="s">
        <v>1211</v>
      </c>
      <c r="AT154" s="3">
        <v>41319</v>
      </c>
      <c r="AU154" s="3">
        <v>41319</v>
      </c>
      <c r="AV154" s="3">
        <v>41333</v>
      </c>
      <c r="AW154" s="1" t="s">
        <v>1221</v>
      </c>
      <c r="AX154" s="1" t="s">
        <v>989</v>
      </c>
      <c r="AY154">
        <v>123</v>
      </c>
      <c r="AZ154">
        <v>253</v>
      </c>
      <c r="BA154">
        <v>4654734.66</v>
      </c>
      <c r="BB154" s="1"/>
      <c r="BD154" s="1"/>
      <c r="BE154" s="1"/>
      <c r="BG154" s="1"/>
      <c r="BH154" s="1"/>
      <c r="BJ154" s="1"/>
      <c r="BL154" s="1"/>
      <c r="BN154" s="1"/>
      <c r="BO154">
        <v>599</v>
      </c>
      <c r="BP154">
        <v>4654734.66</v>
      </c>
      <c r="BQ154">
        <v>4654734.66</v>
      </c>
    </row>
    <row r="155" spans="1:69" x14ac:dyDescent="0.35">
      <c r="A155" s="1" t="s">
        <v>68</v>
      </c>
      <c r="B155" s="1" t="s">
        <v>69</v>
      </c>
      <c r="C155" s="1" t="s">
        <v>70</v>
      </c>
      <c r="D155">
        <v>1</v>
      </c>
      <c r="E155">
        <v>1</v>
      </c>
      <c r="F155" s="2">
        <v>43585.43</v>
      </c>
      <c r="G155" s="3">
        <v>41275</v>
      </c>
      <c r="H155" s="3">
        <v>41639</v>
      </c>
      <c r="I155" s="1" t="s">
        <v>71</v>
      </c>
      <c r="J155">
        <v>4521</v>
      </c>
      <c r="K155">
        <v>0</v>
      </c>
      <c r="L155" s="1" t="s">
        <v>384</v>
      </c>
      <c r="M155" s="1" t="s">
        <v>72</v>
      </c>
      <c r="N155" s="1" t="s">
        <v>134</v>
      </c>
      <c r="O155" s="1" t="s">
        <v>385</v>
      </c>
      <c r="P155" s="1" t="s">
        <v>386</v>
      </c>
      <c r="Q155" s="1" t="s">
        <v>387</v>
      </c>
      <c r="R155">
        <v>103</v>
      </c>
      <c r="S155" s="1" t="s">
        <v>135</v>
      </c>
      <c r="T155" s="1" t="s">
        <v>388</v>
      </c>
      <c r="U155" s="1" t="s">
        <v>135</v>
      </c>
      <c r="V155" s="1"/>
      <c r="W155" s="1"/>
      <c r="X155" s="1"/>
      <c r="Y155" s="1"/>
      <c r="AA155" s="1"/>
      <c r="AC155" s="1"/>
      <c r="AD155" s="1"/>
      <c r="AE155" s="1"/>
      <c r="AN155" s="1" t="s">
        <v>74</v>
      </c>
      <c r="AO155">
        <v>36</v>
      </c>
      <c r="AP155" s="1" t="s">
        <v>771</v>
      </c>
      <c r="AQ155" s="1" t="s">
        <v>1000</v>
      </c>
      <c r="AR155" s="1" t="s">
        <v>1096</v>
      </c>
      <c r="AS155" s="1" t="s">
        <v>1212</v>
      </c>
      <c r="AT155" s="3">
        <v>41306</v>
      </c>
      <c r="AU155" s="3">
        <v>41306</v>
      </c>
      <c r="AV155" s="3">
        <v>41333</v>
      </c>
      <c r="AW155" s="1" t="s">
        <v>1221</v>
      </c>
      <c r="AX155" s="1" t="s">
        <v>1227</v>
      </c>
      <c r="AY155">
        <v>11813.7</v>
      </c>
      <c r="AZ155">
        <v>253</v>
      </c>
      <c r="BA155">
        <v>4654734.66</v>
      </c>
      <c r="BB155" s="1"/>
      <c r="BD155" s="1"/>
      <c r="BE155" s="1"/>
      <c r="BG155" s="1"/>
      <c r="BH155" s="1"/>
      <c r="BJ155" s="1"/>
      <c r="BL155" s="1"/>
      <c r="BN155" s="1"/>
      <c r="BO155">
        <v>599</v>
      </c>
      <c r="BP155">
        <v>4654734.66</v>
      </c>
      <c r="BQ155">
        <v>4654734.66</v>
      </c>
    </row>
    <row r="156" spans="1:69" x14ac:dyDescent="0.35">
      <c r="A156" s="1" t="s">
        <v>68</v>
      </c>
      <c r="B156" s="1" t="s">
        <v>69</v>
      </c>
      <c r="C156" s="1" t="s">
        <v>70</v>
      </c>
      <c r="D156">
        <v>1</v>
      </c>
      <c r="E156">
        <v>1</v>
      </c>
      <c r="F156" s="2">
        <v>43585.43</v>
      </c>
      <c r="G156" s="3">
        <v>41275</v>
      </c>
      <c r="H156" s="3">
        <v>41639</v>
      </c>
      <c r="I156" s="1" t="s">
        <v>71</v>
      </c>
      <c r="J156">
        <v>4521</v>
      </c>
      <c r="K156">
        <v>0</v>
      </c>
      <c r="L156" s="1" t="s">
        <v>384</v>
      </c>
      <c r="M156" s="1" t="s">
        <v>72</v>
      </c>
      <c r="N156" s="1" t="s">
        <v>134</v>
      </c>
      <c r="O156" s="1" t="s">
        <v>385</v>
      </c>
      <c r="P156" s="1" t="s">
        <v>386</v>
      </c>
      <c r="Q156" s="1" t="s">
        <v>387</v>
      </c>
      <c r="R156">
        <v>103</v>
      </c>
      <c r="S156" s="1" t="s">
        <v>135</v>
      </c>
      <c r="T156" s="1" t="s">
        <v>388</v>
      </c>
      <c r="U156" s="1" t="s">
        <v>135</v>
      </c>
      <c r="V156" s="1"/>
      <c r="W156" s="1"/>
      <c r="X156" s="1"/>
      <c r="Y156" s="1"/>
      <c r="AA156" s="1"/>
      <c r="AC156" s="1"/>
      <c r="AD156" s="1"/>
      <c r="AE156" s="1"/>
      <c r="AN156" s="1" t="s">
        <v>74</v>
      </c>
      <c r="AO156">
        <v>37</v>
      </c>
      <c r="AP156" s="1" t="s">
        <v>772</v>
      </c>
      <c r="AQ156" s="1" t="s">
        <v>1001</v>
      </c>
      <c r="AR156" s="1" t="s">
        <v>1097</v>
      </c>
      <c r="AS156" s="1" t="s">
        <v>1213</v>
      </c>
      <c r="AT156" s="3">
        <v>41306</v>
      </c>
      <c r="AU156" s="3">
        <v>41306</v>
      </c>
      <c r="AV156" s="3">
        <v>41333</v>
      </c>
      <c r="AW156" s="1" t="s">
        <v>1221</v>
      </c>
      <c r="AX156" s="1" t="s">
        <v>1228</v>
      </c>
      <c r="AY156">
        <v>1600</v>
      </c>
      <c r="AZ156">
        <v>253</v>
      </c>
      <c r="BA156">
        <v>4654734.66</v>
      </c>
      <c r="BB156" s="1"/>
      <c r="BD156" s="1"/>
      <c r="BE156" s="1"/>
      <c r="BG156" s="1"/>
      <c r="BH156" s="1"/>
      <c r="BJ156" s="1"/>
      <c r="BL156" s="1"/>
      <c r="BN156" s="1"/>
      <c r="BO156">
        <v>599</v>
      </c>
      <c r="BP156">
        <v>4654734.66</v>
      </c>
      <c r="BQ156">
        <v>4654734.66</v>
      </c>
    </row>
    <row r="157" spans="1:69" x14ac:dyDescent="0.35">
      <c r="A157" s="1" t="s">
        <v>68</v>
      </c>
      <c r="B157" s="1" t="s">
        <v>69</v>
      </c>
      <c r="C157" s="1" t="s">
        <v>70</v>
      </c>
      <c r="D157">
        <v>1</v>
      </c>
      <c r="E157">
        <v>1</v>
      </c>
      <c r="F157" s="2">
        <v>43585.43</v>
      </c>
      <c r="G157" s="3">
        <v>41275</v>
      </c>
      <c r="H157" s="3">
        <v>41639</v>
      </c>
      <c r="I157" s="1" t="s">
        <v>71</v>
      </c>
      <c r="J157">
        <v>4521</v>
      </c>
      <c r="K157">
        <v>0</v>
      </c>
      <c r="L157" s="1" t="s">
        <v>384</v>
      </c>
      <c r="M157" s="1" t="s">
        <v>72</v>
      </c>
      <c r="N157" s="1" t="s">
        <v>134</v>
      </c>
      <c r="O157" s="1" t="s">
        <v>385</v>
      </c>
      <c r="P157" s="1" t="s">
        <v>386</v>
      </c>
      <c r="Q157" s="1" t="s">
        <v>387</v>
      </c>
      <c r="R157">
        <v>103</v>
      </c>
      <c r="S157" s="1" t="s">
        <v>135</v>
      </c>
      <c r="T157" s="1" t="s">
        <v>388</v>
      </c>
      <c r="U157" s="1" t="s">
        <v>135</v>
      </c>
      <c r="V157" s="1"/>
      <c r="W157" s="1"/>
      <c r="X157" s="1"/>
      <c r="Y157" s="1"/>
      <c r="AA157" s="1"/>
      <c r="AC157" s="1"/>
      <c r="AD157" s="1"/>
      <c r="AE157" s="1"/>
      <c r="AN157" s="1" t="s">
        <v>74</v>
      </c>
      <c r="AO157">
        <v>38</v>
      </c>
      <c r="AP157" s="1" t="s">
        <v>773</v>
      </c>
      <c r="AQ157" s="1" t="s">
        <v>1001</v>
      </c>
      <c r="AR157" s="1" t="s">
        <v>1097</v>
      </c>
      <c r="AS157" s="1" t="s">
        <v>1213</v>
      </c>
      <c r="AT157" s="3">
        <v>41306</v>
      </c>
      <c r="AU157" s="3">
        <v>41306</v>
      </c>
      <c r="AV157" s="3">
        <v>41333</v>
      </c>
      <c r="AW157" s="1" t="s">
        <v>1221</v>
      </c>
      <c r="AX157" s="1" t="s">
        <v>1229</v>
      </c>
      <c r="AY157">
        <v>500</v>
      </c>
      <c r="AZ157">
        <v>253</v>
      </c>
      <c r="BA157">
        <v>4654734.66</v>
      </c>
      <c r="BB157" s="1"/>
      <c r="BD157" s="1"/>
      <c r="BE157" s="1"/>
      <c r="BG157" s="1"/>
      <c r="BH157" s="1"/>
      <c r="BJ157" s="1"/>
      <c r="BL157" s="1"/>
      <c r="BN157" s="1"/>
      <c r="BO157">
        <v>599</v>
      </c>
      <c r="BP157">
        <v>4654734.66</v>
      </c>
      <c r="BQ157">
        <v>4654734.66</v>
      </c>
    </row>
    <row r="158" spans="1:69" x14ac:dyDescent="0.35">
      <c r="A158" s="1" t="s">
        <v>68</v>
      </c>
      <c r="B158" s="1" t="s">
        <v>69</v>
      </c>
      <c r="C158" s="1" t="s">
        <v>70</v>
      </c>
      <c r="D158">
        <v>1</v>
      </c>
      <c r="E158">
        <v>1</v>
      </c>
      <c r="F158" s="2">
        <v>43585.43</v>
      </c>
      <c r="G158" s="3">
        <v>41275</v>
      </c>
      <c r="H158" s="3">
        <v>41639</v>
      </c>
      <c r="I158" s="1" t="s">
        <v>71</v>
      </c>
      <c r="J158">
        <v>4521</v>
      </c>
      <c r="K158">
        <v>0</v>
      </c>
      <c r="L158" s="1" t="s">
        <v>384</v>
      </c>
      <c r="M158" s="1" t="s">
        <v>72</v>
      </c>
      <c r="N158" s="1" t="s">
        <v>134</v>
      </c>
      <c r="O158" s="1" t="s">
        <v>385</v>
      </c>
      <c r="P158" s="1" t="s">
        <v>386</v>
      </c>
      <c r="Q158" s="1" t="s">
        <v>387</v>
      </c>
      <c r="R158">
        <v>103</v>
      </c>
      <c r="S158" s="1" t="s">
        <v>135</v>
      </c>
      <c r="T158" s="1" t="s">
        <v>388</v>
      </c>
      <c r="U158" s="1" t="s">
        <v>135</v>
      </c>
      <c r="V158" s="1"/>
      <c r="W158" s="1"/>
      <c r="X158" s="1"/>
      <c r="Y158" s="1"/>
      <c r="AA158" s="1"/>
      <c r="AC158" s="1"/>
      <c r="AD158" s="1"/>
      <c r="AE158" s="1"/>
      <c r="AN158" s="1" t="s">
        <v>74</v>
      </c>
      <c r="AO158">
        <v>39</v>
      </c>
      <c r="AP158" s="1" t="s">
        <v>774</v>
      </c>
      <c r="AQ158" s="1" t="s">
        <v>1001</v>
      </c>
      <c r="AR158" s="1" t="s">
        <v>1097</v>
      </c>
      <c r="AS158" s="1" t="s">
        <v>1213</v>
      </c>
      <c r="AT158" s="3">
        <v>41306</v>
      </c>
      <c r="AU158" s="3">
        <v>41306</v>
      </c>
      <c r="AV158" s="3">
        <v>41333</v>
      </c>
      <c r="AW158" s="1" t="s">
        <v>1221</v>
      </c>
      <c r="AX158" s="1" t="s">
        <v>1230</v>
      </c>
      <c r="AY158">
        <v>1000</v>
      </c>
      <c r="AZ158">
        <v>253</v>
      </c>
      <c r="BA158">
        <v>4654734.66</v>
      </c>
      <c r="BB158" s="1"/>
      <c r="BD158" s="1"/>
      <c r="BE158" s="1"/>
      <c r="BG158" s="1"/>
      <c r="BH158" s="1"/>
      <c r="BJ158" s="1"/>
      <c r="BL158" s="1"/>
      <c r="BN158" s="1"/>
      <c r="BO158">
        <v>599</v>
      </c>
      <c r="BP158">
        <v>4654734.66</v>
      </c>
      <c r="BQ158">
        <v>4654734.66</v>
      </c>
    </row>
    <row r="159" spans="1:69" x14ac:dyDescent="0.35">
      <c r="A159" s="1" t="s">
        <v>68</v>
      </c>
      <c r="B159" s="1" t="s">
        <v>69</v>
      </c>
      <c r="C159" s="1" t="s">
        <v>70</v>
      </c>
      <c r="D159">
        <v>1</v>
      </c>
      <c r="E159">
        <v>1</v>
      </c>
      <c r="F159" s="2">
        <v>43585.43</v>
      </c>
      <c r="G159" s="3">
        <v>41275</v>
      </c>
      <c r="H159" s="3">
        <v>41639</v>
      </c>
      <c r="I159" s="1" t="s">
        <v>71</v>
      </c>
      <c r="J159">
        <v>4521</v>
      </c>
      <c r="K159">
        <v>0</v>
      </c>
      <c r="L159" s="1" t="s">
        <v>384</v>
      </c>
      <c r="M159" s="1" t="s">
        <v>72</v>
      </c>
      <c r="N159" s="1" t="s">
        <v>134</v>
      </c>
      <c r="O159" s="1" t="s">
        <v>385</v>
      </c>
      <c r="P159" s="1" t="s">
        <v>386</v>
      </c>
      <c r="Q159" s="1" t="s">
        <v>387</v>
      </c>
      <c r="R159">
        <v>103</v>
      </c>
      <c r="S159" s="1" t="s">
        <v>135</v>
      </c>
      <c r="T159" s="1" t="s">
        <v>388</v>
      </c>
      <c r="U159" s="1" t="s">
        <v>135</v>
      </c>
      <c r="V159" s="1"/>
      <c r="W159" s="1"/>
      <c r="X159" s="1"/>
      <c r="Y159" s="1"/>
      <c r="AA159" s="1"/>
      <c r="AC159" s="1"/>
      <c r="AD159" s="1"/>
      <c r="AE159" s="1"/>
      <c r="AN159" s="1" t="s">
        <v>74</v>
      </c>
      <c r="AO159">
        <v>40</v>
      </c>
      <c r="AP159" s="1" t="s">
        <v>775</v>
      </c>
      <c r="AQ159" s="1" t="s">
        <v>1002</v>
      </c>
      <c r="AR159" s="1" t="s">
        <v>1098</v>
      </c>
      <c r="AS159" s="1" t="s">
        <v>1002</v>
      </c>
      <c r="AT159" s="3">
        <v>41306</v>
      </c>
      <c r="AU159" s="3">
        <v>41306</v>
      </c>
      <c r="AV159" s="3">
        <v>41333</v>
      </c>
      <c r="AW159" s="1" t="s">
        <v>1221</v>
      </c>
      <c r="AX159" s="1" t="s">
        <v>1231</v>
      </c>
      <c r="AY159">
        <v>500</v>
      </c>
      <c r="AZ159">
        <v>253</v>
      </c>
      <c r="BA159">
        <v>4654734.66</v>
      </c>
      <c r="BB159" s="1"/>
      <c r="BD159" s="1"/>
      <c r="BE159" s="1"/>
      <c r="BG159" s="1"/>
      <c r="BH159" s="1"/>
      <c r="BJ159" s="1"/>
      <c r="BL159" s="1"/>
      <c r="BN159" s="1"/>
      <c r="BO159">
        <v>599</v>
      </c>
      <c r="BP159">
        <v>4654734.66</v>
      </c>
      <c r="BQ159">
        <v>4654734.66</v>
      </c>
    </row>
    <row r="160" spans="1:69" x14ac:dyDescent="0.35">
      <c r="A160" s="1" t="s">
        <v>68</v>
      </c>
      <c r="B160" s="1" t="s">
        <v>69</v>
      </c>
      <c r="C160" s="1" t="s">
        <v>70</v>
      </c>
      <c r="D160">
        <v>1</v>
      </c>
      <c r="E160">
        <v>1</v>
      </c>
      <c r="F160" s="2">
        <v>43585.43</v>
      </c>
      <c r="G160" s="3">
        <v>41275</v>
      </c>
      <c r="H160" s="3">
        <v>41639</v>
      </c>
      <c r="I160" s="1" t="s">
        <v>71</v>
      </c>
      <c r="J160">
        <v>4521</v>
      </c>
      <c r="K160">
        <v>0</v>
      </c>
      <c r="L160" s="1" t="s">
        <v>384</v>
      </c>
      <c r="M160" s="1" t="s">
        <v>72</v>
      </c>
      <c r="N160" s="1" t="s">
        <v>134</v>
      </c>
      <c r="O160" s="1" t="s">
        <v>385</v>
      </c>
      <c r="P160" s="1" t="s">
        <v>386</v>
      </c>
      <c r="Q160" s="1" t="s">
        <v>387</v>
      </c>
      <c r="R160">
        <v>103</v>
      </c>
      <c r="S160" s="1" t="s">
        <v>135</v>
      </c>
      <c r="T160" s="1" t="s">
        <v>388</v>
      </c>
      <c r="U160" s="1" t="s">
        <v>135</v>
      </c>
      <c r="V160" s="1"/>
      <c r="W160" s="1"/>
      <c r="X160" s="1"/>
      <c r="Y160" s="1"/>
      <c r="AA160" s="1"/>
      <c r="AC160" s="1"/>
      <c r="AD160" s="1"/>
      <c r="AE160" s="1"/>
      <c r="AN160" s="1" t="s">
        <v>74</v>
      </c>
      <c r="AO160">
        <v>41</v>
      </c>
      <c r="AP160" s="1" t="s">
        <v>776</v>
      </c>
      <c r="AQ160" s="1" t="s">
        <v>1002</v>
      </c>
      <c r="AR160" s="1" t="s">
        <v>1098</v>
      </c>
      <c r="AS160" s="1" t="s">
        <v>1002</v>
      </c>
      <c r="AT160" s="3">
        <v>41306</v>
      </c>
      <c r="AU160" s="3">
        <v>41306</v>
      </c>
      <c r="AV160" s="3">
        <v>41333</v>
      </c>
      <c r="AW160" s="1" t="s">
        <v>1221</v>
      </c>
      <c r="AX160" s="1" t="s">
        <v>1232</v>
      </c>
      <c r="AY160">
        <v>370</v>
      </c>
      <c r="AZ160">
        <v>253</v>
      </c>
      <c r="BA160">
        <v>4654734.66</v>
      </c>
      <c r="BB160" s="1"/>
      <c r="BD160" s="1"/>
      <c r="BE160" s="1"/>
      <c r="BG160" s="1"/>
      <c r="BH160" s="1"/>
      <c r="BJ160" s="1"/>
      <c r="BL160" s="1"/>
      <c r="BN160" s="1"/>
      <c r="BO160">
        <v>599</v>
      </c>
      <c r="BP160">
        <v>4654734.66</v>
      </c>
      <c r="BQ160">
        <v>4654734.66</v>
      </c>
    </row>
    <row r="161" spans="1:69" x14ac:dyDescent="0.35">
      <c r="A161" s="1" t="s">
        <v>68</v>
      </c>
      <c r="B161" s="1" t="s">
        <v>69</v>
      </c>
      <c r="C161" s="1" t="s">
        <v>70</v>
      </c>
      <c r="D161">
        <v>1</v>
      </c>
      <c r="E161">
        <v>1</v>
      </c>
      <c r="F161" s="2">
        <v>43585.43</v>
      </c>
      <c r="G161" s="3">
        <v>41275</v>
      </c>
      <c r="H161" s="3">
        <v>41639</v>
      </c>
      <c r="I161" s="1" t="s">
        <v>71</v>
      </c>
      <c r="J161">
        <v>4521</v>
      </c>
      <c r="K161">
        <v>0</v>
      </c>
      <c r="L161" s="1" t="s">
        <v>384</v>
      </c>
      <c r="M161" s="1" t="s">
        <v>72</v>
      </c>
      <c r="N161" s="1" t="s">
        <v>134</v>
      </c>
      <c r="O161" s="1" t="s">
        <v>385</v>
      </c>
      <c r="P161" s="1" t="s">
        <v>386</v>
      </c>
      <c r="Q161" s="1" t="s">
        <v>387</v>
      </c>
      <c r="R161">
        <v>103</v>
      </c>
      <c r="S161" s="1" t="s">
        <v>135</v>
      </c>
      <c r="T161" s="1" t="s">
        <v>388</v>
      </c>
      <c r="U161" s="1" t="s">
        <v>135</v>
      </c>
      <c r="V161" s="1"/>
      <c r="W161" s="1"/>
      <c r="X161" s="1"/>
      <c r="Y161" s="1"/>
      <c r="AA161" s="1"/>
      <c r="AC161" s="1"/>
      <c r="AD161" s="1"/>
      <c r="AE161" s="1"/>
      <c r="AN161" s="1" t="s">
        <v>74</v>
      </c>
      <c r="AO161">
        <v>42</v>
      </c>
      <c r="AP161" s="1" t="s">
        <v>777</v>
      </c>
      <c r="AQ161" s="1" t="s">
        <v>1003</v>
      </c>
      <c r="AR161" s="1" t="s">
        <v>1099</v>
      </c>
      <c r="AS161" s="1" t="s">
        <v>1214</v>
      </c>
      <c r="AT161" s="3">
        <v>41306</v>
      </c>
      <c r="AU161" s="3">
        <v>41306</v>
      </c>
      <c r="AV161" s="3">
        <v>41333</v>
      </c>
      <c r="AW161" s="1" t="s">
        <v>1221</v>
      </c>
      <c r="AX161" s="1" t="s">
        <v>1003</v>
      </c>
      <c r="AY161">
        <v>2578.29</v>
      </c>
      <c r="AZ161">
        <v>253</v>
      </c>
      <c r="BA161">
        <v>4654734.66</v>
      </c>
      <c r="BB161" s="1"/>
      <c r="BD161" s="1"/>
      <c r="BE161" s="1"/>
      <c r="BG161" s="1"/>
      <c r="BH161" s="1"/>
      <c r="BJ161" s="1"/>
      <c r="BL161" s="1"/>
      <c r="BN161" s="1"/>
      <c r="BO161">
        <v>599</v>
      </c>
      <c r="BP161">
        <v>4654734.66</v>
      </c>
      <c r="BQ161">
        <v>4654734.66</v>
      </c>
    </row>
    <row r="162" spans="1:69" x14ac:dyDescent="0.35">
      <c r="A162" s="1" t="s">
        <v>68</v>
      </c>
      <c r="B162" s="1" t="s">
        <v>69</v>
      </c>
      <c r="C162" s="1" t="s">
        <v>70</v>
      </c>
      <c r="D162">
        <v>1</v>
      </c>
      <c r="E162">
        <v>1</v>
      </c>
      <c r="F162" s="2">
        <v>43585.43</v>
      </c>
      <c r="G162" s="3">
        <v>41275</v>
      </c>
      <c r="H162" s="3">
        <v>41639</v>
      </c>
      <c r="I162" s="1" t="s">
        <v>71</v>
      </c>
      <c r="J162">
        <v>4521</v>
      </c>
      <c r="K162">
        <v>0</v>
      </c>
      <c r="L162" s="1" t="s">
        <v>384</v>
      </c>
      <c r="M162" s="1" t="s">
        <v>72</v>
      </c>
      <c r="N162" s="1" t="s">
        <v>134</v>
      </c>
      <c r="O162" s="1" t="s">
        <v>385</v>
      </c>
      <c r="P162" s="1" t="s">
        <v>386</v>
      </c>
      <c r="Q162" s="1" t="s">
        <v>387</v>
      </c>
      <c r="R162">
        <v>103</v>
      </c>
      <c r="S162" s="1" t="s">
        <v>135</v>
      </c>
      <c r="T162" s="1" t="s">
        <v>388</v>
      </c>
      <c r="U162" s="1" t="s">
        <v>135</v>
      </c>
      <c r="V162" s="1"/>
      <c r="W162" s="1"/>
      <c r="X162" s="1"/>
      <c r="Y162" s="1"/>
      <c r="AA162" s="1"/>
      <c r="AC162" s="1"/>
      <c r="AD162" s="1"/>
      <c r="AE162" s="1"/>
      <c r="AN162" s="1" t="s">
        <v>74</v>
      </c>
      <c r="AO162">
        <v>43</v>
      </c>
      <c r="AP162" s="1" t="s">
        <v>778</v>
      </c>
      <c r="AQ162" s="1" t="s">
        <v>1004</v>
      </c>
      <c r="AR162" s="1" t="s">
        <v>1100</v>
      </c>
      <c r="AS162" s="1" t="s">
        <v>1215</v>
      </c>
      <c r="AT162" s="3">
        <v>41305</v>
      </c>
      <c r="AU162" s="3">
        <v>41305</v>
      </c>
      <c r="AV162" s="3">
        <v>41333</v>
      </c>
      <c r="AW162" s="1" t="s">
        <v>1221</v>
      </c>
      <c r="AX162" s="1" t="s">
        <v>1004</v>
      </c>
      <c r="AY162">
        <v>3620</v>
      </c>
      <c r="AZ162">
        <v>253</v>
      </c>
      <c r="BA162">
        <v>4654734.66</v>
      </c>
      <c r="BB162" s="1"/>
      <c r="BD162" s="1"/>
      <c r="BE162" s="1"/>
      <c r="BG162" s="1"/>
      <c r="BH162" s="1"/>
      <c r="BJ162" s="1"/>
      <c r="BL162" s="1"/>
      <c r="BN162" s="1"/>
      <c r="BO162">
        <v>599</v>
      </c>
      <c r="BP162">
        <v>4654734.66</v>
      </c>
      <c r="BQ162">
        <v>4654734.66</v>
      </c>
    </row>
    <row r="163" spans="1:69" x14ac:dyDescent="0.35">
      <c r="A163" s="1" t="s">
        <v>68</v>
      </c>
      <c r="B163" s="1" t="s">
        <v>69</v>
      </c>
      <c r="C163" s="1" t="s">
        <v>70</v>
      </c>
      <c r="D163">
        <v>1</v>
      </c>
      <c r="E163">
        <v>1</v>
      </c>
      <c r="F163" s="2">
        <v>43585.43</v>
      </c>
      <c r="G163" s="3">
        <v>41275</v>
      </c>
      <c r="H163" s="3">
        <v>41639</v>
      </c>
      <c r="I163" s="1" t="s">
        <v>71</v>
      </c>
      <c r="J163">
        <v>4521</v>
      </c>
      <c r="K163">
        <v>0</v>
      </c>
      <c r="L163" s="1" t="s">
        <v>384</v>
      </c>
      <c r="M163" s="1" t="s">
        <v>72</v>
      </c>
      <c r="N163" s="1" t="s">
        <v>134</v>
      </c>
      <c r="O163" s="1" t="s">
        <v>385</v>
      </c>
      <c r="P163" s="1" t="s">
        <v>386</v>
      </c>
      <c r="Q163" s="1" t="s">
        <v>387</v>
      </c>
      <c r="R163">
        <v>103</v>
      </c>
      <c r="S163" s="1" t="s">
        <v>135</v>
      </c>
      <c r="T163" s="1" t="s">
        <v>388</v>
      </c>
      <c r="U163" s="1" t="s">
        <v>135</v>
      </c>
      <c r="V163" s="1"/>
      <c r="W163" s="1"/>
      <c r="X163" s="1"/>
      <c r="Y163" s="1"/>
      <c r="AA163" s="1"/>
      <c r="AC163" s="1"/>
      <c r="AD163" s="1"/>
      <c r="AE163" s="1"/>
      <c r="AN163" s="1" t="s">
        <v>74</v>
      </c>
      <c r="AO163">
        <v>44</v>
      </c>
      <c r="AP163" s="1" t="s">
        <v>779</v>
      </c>
      <c r="AQ163" s="1" t="s">
        <v>1005</v>
      </c>
      <c r="AR163" s="1" t="s">
        <v>1101</v>
      </c>
      <c r="AS163" s="1" t="s">
        <v>1216</v>
      </c>
      <c r="AT163" s="3">
        <v>41306</v>
      </c>
      <c r="AU163" s="3">
        <v>41306</v>
      </c>
      <c r="AV163" s="3">
        <v>41333</v>
      </c>
      <c r="AW163" s="1" t="s">
        <v>1221</v>
      </c>
      <c r="AX163" s="1" t="s">
        <v>1005</v>
      </c>
      <c r="AY163">
        <v>5335.79</v>
      </c>
      <c r="AZ163">
        <v>253</v>
      </c>
      <c r="BA163">
        <v>4654734.66</v>
      </c>
      <c r="BB163" s="1"/>
      <c r="BD163" s="1"/>
      <c r="BE163" s="1"/>
      <c r="BG163" s="1"/>
      <c r="BH163" s="1"/>
      <c r="BJ163" s="1"/>
      <c r="BL163" s="1"/>
      <c r="BN163" s="1"/>
      <c r="BO163">
        <v>599</v>
      </c>
      <c r="BP163">
        <v>4654734.66</v>
      </c>
      <c r="BQ163">
        <v>4654734.66</v>
      </c>
    </row>
    <row r="164" spans="1:69" x14ac:dyDescent="0.35">
      <c r="A164" s="1" t="s">
        <v>68</v>
      </c>
      <c r="B164" s="1" t="s">
        <v>69</v>
      </c>
      <c r="C164" s="1" t="s">
        <v>70</v>
      </c>
      <c r="D164">
        <v>1</v>
      </c>
      <c r="E164">
        <v>1</v>
      </c>
      <c r="F164" s="2">
        <v>43585.43</v>
      </c>
      <c r="G164" s="3">
        <v>41275</v>
      </c>
      <c r="H164" s="3">
        <v>41639</v>
      </c>
      <c r="I164" s="1" t="s">
        <v>71</v>
      </c>
      <c r="J164">
        <v>4521</v>
      </c>
      <c r="K164">
        <v>0</v>
      </c>
      <c r="L164" s="1" t="s">
        <v>384</v>
      </c>
      <c r="M164" s="1" t="s">
        <v>72</v>
      </c>
      <c r="N164" s="1" t="s">
        <v>134</v>
      </c>
      <c r="O164" s="1" t="s">
        <v>385</v>
      </c>
      <c r="P164" s="1" t="s">
        <v>386</v>
      </c>
      <c r="Q164" s="1" t="s">
        <v>387</v>
      </c>
      <c r="R164">
        <v>103</v>
      </c>
      <c r="S164" s="1" t="s">
        <v>135</v>
      </c>
      <c r="T164" s="1" t="s">
        <v>388</v>
      </c>
      <c r="U164" s="1" t="s">
        <v>135</v>
      </c>
      <c r="V164" s="1"/>
      <c r="W164" s="1"/>
      <c r="X164" s="1"/>
      <c r="Y164" s="1"/>
      <c r="AA164" s="1"/>
      <c r="AC164" s="1"/>
      <c r="AD164" s="1"/>
      <c r="AE164" s="1"/>
      <c r="AN164" s="1" t="s">
        <v>74</v>
      </c>
      <c r="AO164">
        <v>45</v>
      </c>
      <c r="AP164" s="1" t="s">
        <v>780</v>
      </c>
      <c r="AQ164" s="1" t="s">
        <v>1005</v>
      </c>
      <c r="AR164" s="1" t="s">
        <v>1101</v>
      </c>
      <c r="AS164" s="1" t="s">
        <v>1216</v>
      </c>
      <c r="AT164" s="3">
        <v>41306</v>
      </c>
      <c r="AU164" s="3">
        <v>41306</v>
      </c>
      <c r="AV164" s="3">
        <v>41333</v>
      </c>
      <c r="AW164" s="1" t="s">
        <v>1221</v>
      </c>
      <c r="AX164" s="1" t="s">
        <v>1233</v>
      </c>
      <c r="AY164">
        <v>561.34</v>
      </c>
      <c r="AZ164">
        <v>253</v>
      </c>
      <c r="BA164">
        <v>4654734.66</v>
      </c>
      <c r="BB164" s="1"/>
      <c r="BD164" s="1"/>
      <c r="BE164" s="1"/>
      <c r="BG164" s="1"/>
      <c r="BH164" s="1"/>
      <c r="BJ164" s="1"/>
      <c r="BL164" s="1"/>
      <c r="BN164" s="1"/>
      <c r="BO164">
        <v>599</v>
      </c>
      <c r="BP164">
        <v>4654734.66</v>
      </c>
      <c r="BQ164">
        <v>4654734.66</v>
      </c>
    </row>
    <row r="165" spans="1:69" x14ac:dyDescent="0.35">
      <c r="A165" s="1" t="s">
        <v>68</v>
      </c>
      <c r="B165" s="1" t="s">
        <v>69</v>
      </c>
      <c r="C165" s="1" t="s">
        <v>70</v>
      </c>
      <c r="D165">
        <v>1</v>
      </c>
      <c r="E165">
        <v>1</v>
      </c>
      <c r="F165" s="2">
        <v>43585.43</v>
      </c>
      <c r="G165" s="3">
        <v>41275</v>
      </c>
      <c r="H165" s="3">
        <v>41639</v>
      </c>
      <c r="I165" s="1" t="s">
        <v>71</v>
      </c>
      <c r="J165">
        <v>4521</v>
      </c>
      <c r="K165">
        <v>0</v>
      </c>
      <c r="L165" s="1" t="s">
        <v>384</v>
      </c>
      <c r="M165" s="1" t="s">
        <v>72</v>
      </c>
      <c r="N165" s="1" t="s">
        <v>134</v>
      </c>
      <c r="O165" s="1" t="s">
        <v>385</v>
      </c>
      <c r="P165" s="1" t="s">
        <v>386</v>
      </c>
      <c r="Q165" s="1" t="s">
        <v>387</v>
      </c>
      <c r="R165">
        <v>103</v>
      </c>
      <c r="S165" s="1" t="s">
        <v>135</v>
      </c>
      <c r="T165" s="1" t="s">
        <v>388</v>
      </c>
      <c r="U165" s="1" t="s">
        <v>135</v>
      </c>
      <c r="V165" s="1"/>
      <c r="W165" s="1"/>
      <c r="X165" s="1"/>
      <c r="Y165" s="1"/>
      <c r="AA165" s="1"/>
      <c r="AC165" s="1"/>
      <c r="AD165" s="1"/>
      <c r="AE165" s="1"/>
      <c r="AN165" s="1" t="s">
        <v>74</v>
      </c>
      <c r="AO165">
        <v>46</v>
      </c>
      <c r="AP165" s="1" t="s">
        <v>781</v>
      </c>
      <c r="AQ165" s="1" t="s">
        <v>1005</v>
      </c>
      <c r="AR165" s="1" t="s">
        <v>1101</v>
      </c>
      <c r="AS165" s="1" t="s">
        <v>1216</v>
      </c>
      <c r="AT165" s="3">
        <v>41306</v>
      </c>
      <c r="AU165" s="3">
        <v>41306</v>
      </c>
      <c r="AV165" s="3">
        <v>41333</v>
      </c>
      <c r="AW165" s="1" t="s">
        <v>1221</v>
      </c>
      <c r="AX165" s="1" t="s">
        <v>1233</v>
      </c>
      <c r="AY165">
        <v>2237.35</v>
      </c>
      <c r="AZ165">
        <v>253</v>
      </c>
      <c r="BA165">
        <v>4654734.66</v>
      </c>
      <c r="BB165" s="1"/>
      <c r="BD165" s="1"/>
      <c r="BE165" s="1"/>
      <c r="BG165" s="1"/>
      <c r="BH165" s="1"/>
      <c r="BJ165" s="1"/>
      <c r="BL165" s="1"/>
      <c r="BN165" s="1"/>
      <c r="BO165">
        <v>599</v>
      </c>
      <c r="BP165">
        <v>4654734.66</v>
      </c>
      <c r="BQ165">
        <v>4654734.66</v>
      </c>
    </row>
    <row r="166" spans="1:69" x14ac:dyDescent="0.35">
      <c r="A166" s="1" t="s">
        <v>68</v>
      </c>
      <c r="B166" s="1" t="s">
        <v>69</v>
      </c>
      <c r="C166" s="1" t="s">
        <v>70</v>
      </c>
      <c r="D166">
        <v>1</v>
      </c>
      <c r="E166">
        <v>1</v>
      </c>
      <c r="F166" s="2">
        <v>43585.43</v>
      </c>
      <c r="G166" s="3">
        <v>41275</v>
      </c>
      <c r="H166" s="3">
        <v>41639</v>
      </c>
      <c r="I166" s="1" t="s">
        <v>71</v>
      </c>
      <c r="J166">
        <v>4521</v>
      </c>
      <c r="K166">
        <v>0</v>
      </c>
      <c r="L166" s="1" t="s">
        <v>384</v>
      </c>
      <c r="M166" s="1" t="s">
        <v>72</v>
      </c>
      <c r="N166" s="1" t="s">
        <v>134</v>
      </c>
      <c r="O166" s="1" t="s">
        <v>385</v>
      </c>
      <c r="P166" s="1" t="s">
        <v>386</v>
      </c>
      <c r="Q166" s="1" t="s">
        <v>387</v>
      </c>
      <c r="R166">
        <v>103</v>
      </c>
      <c r="S166" s="1" t="s">
        <v>135</v>
      </c>
      <c r="T166" s="1" t="s">
        <v>388</v>
      </c>
      <c r="U166" s="1" t="s">
        <v>135</v>
      </c>
      <c r="V166" s="1"/>
      <c r="W166" s="1"/>
      <c r="X166" s="1"/>
      <c r="Y166" s="1"/>
      <c r="AA166" s="1"/>
      <c r="AC166" s="1"/>
      <c r="AD166" s="1"/>
      <c r="AE166" s="1"/>
      <c r="AN166" s="1" t="s">
        <v>74</v>
      </c>
      <c r="AO166">
        <v>47</v>
      </c>
      <c r="AP166" s="1" t="s">
        <v>782</v>
      </c>
      <c r="AQ166" s="1" t="s">
        <v>1006</v>
      </c>
      <c r="AR166" s="1" t="s">
        <v>1102</v>
      </c>
      <c r="AS166" s="1" t="s">
        <v>98</v>
      </c>
      <c r="AT166" s="3">
        <v>41306</v>
      </c>
      <c r="AU166" s="3">
        <v>41306</v>
      </c>
      <c r="AV166" s="3">
        <v>41333</v>
      </c>
      <c r="AW166" s="1" t="s">
        <v>1221</v>
      </c>
      <c r="AX166" s="1" t="s">
        <v>1006</v>
      </c>
      <c r="AY166">
        <v>277.2</v>
      </c>
      <c r="AZ166">
        <v>253</v>
      </c>
      <c r="BA166">
        <v>4654734.66</v>
      </c>
      <c r="BB166" s="1"/>
      <c r="BD166" s="1"/>
      <c r="BE166" s="1"/>
      <c r="BG166" s="1"/>
      <c r="BH166" s="1"/>
      <c r="BJ166" s="1"/>
      <c r="BL166" s="1"/>
      <c r="BN166" s="1"/>
      <c r="BO166">
        <v>599</v>
      </c>
      <c r="BP166">
        <v>4654734.66</v>
      </c>
      <c r="BQ166">
        <v>4654734.66</v>
      </c>
    </row>
    <row r="167" spans="1:69" x14ac:dyDescent="0.35">
      <c r="A167" s="1" t="s">
        <v>68</v>
      </c>
      <c r="B167" s="1" t="s">
        <v>69</v>
      </c>
      <c r="C167" s="1" t="s">
        <v>70</v>
      </c>
      <c r="D167">
        <v>1</v>
      </c>
      <c r="E167">
        <v>1</v>
      </c>
      <c r="F167" s="2">
        <v>43585.43</v>
      </c>
      <c r="G167" s="3">
        <v>41275</v>
      </c>
      <c r="H167" s="3">
        <v>41639</v>
      </c>
      <c r="I167" s="1" t="s">
        <v>71</v>
      </c>
      <c r="J167">
        <v>4521</v>
      </c>
      <c r="K167">
        <v>0</v>
      </c>
      <c r="L167" s="1" t="s">
        <v>384</v>
      </c>
      <c r="M167" s="1" t="s">
        <v>72</v>
      </c>
      <c r="N167" s="1" t="s">
        <v>134</v>
      </c>
      <c r="O167" s="1" t="s">
        <v>385</v>
      </c>
      <c r="P167" s="1" t="s">
        <v>386</v>
      </c>
      <c r="Q167" s="1" t="s">
        <v>387</v>
      </c>
      <c r="R167">
        <v>103</v>
      </c>
      <c r="S167" s="1" t="s">
        <v>135</v>
      </c>
      <c r="T167" s="1" t="s">
        <v>388</v>
      </c>
      <c r="U167" s="1" t="s">
        <v>135</v>
      </c>
      <c r="V167" s="1"/>
      <c r="W167" s="1"/>
      <c r="X167" s="1"/>
      <c r="Y167" s="1"/>
      <c r="AA167" s="1"/>
      <c r="AC167" s="1"/>
      <c r="AD167" s="1"/>
      <c r="AE167" s="1"/>
      <c r="AN167" s="1" t="s">
        <v>74</v>
      </c>
      <c r="AO167">
        <v>48</v>
      </c>
      <c r="AP167" s="1" t="s">
        <v>783</v>
      </c>
      <c r="AQ167" s="1" t="s">
        <v>982</v>
      </c>
      <c r="AR167" s="1" t="s">
        <v>1103</v>
      </c>
      <c r="AS167" s="1" t="s">
        <v>98</v>
      </c>
      <c r="AT167" s="3">
        <v>41306</v>
      </c>
      <c r="AU167" s="3">
        <v>41306</v>
      </c>
      <c r="AV167" s="3">
        <v>41333</v>
      </c>
      <c r="AW167" s="1" t="s">
        <v>1221</v>
      </c>
      <c r="AX167" s="1" t="s">
        <v>982</v>
      </c>
      <c r="AY167">
        <v>147.6</v>
      </c>
      <c r="AZ167">
        <v>253</v>
      </c>
      <c r="BA167">
        <v>4654734.66</v>
      </c>
      <c r="BB167" s="1"/>
      <c r="BD167" s="1"/>
      <c r="BE167" s="1"/>
      <c r="BG167" s="1"/>
      <c r="BH167" s="1"/>
      <c r="BJ167" s="1"/>
      <c r="BL167" s="1"/>
      <c r="BN167" s="1"/>
      <c r="BO167">
        <v>599</v>
      </c>
      <c r="BP167">
        <v>4654734.66</v>
      </c>
      <c r="BQ167">
        <v>4654734.66</v>
      </c>
    </row>
    <row r="168" spans="1:69" x14ac:dyDescent="0.35">
      <c r="A168" s="1" t="s">
        <v>68</v>
      </c>
      <c r="B168" s="1" t="s">
        <v>69</v>
      </c>
      <c r="C168" s="1" t="s">
        <v>70</v>
      </c>
      <c r="D168">
        <v>1</v>
      </c>
      <c r="E168">
        <v>1</v>
      </c>
      <c r="F168" s="2">
        <v>43585.43</v>
      </c>
      <c r="G168" s="3">
        <v>41275</v>
      </c>
      <c r="H168" s="3">
        <v>41639</v>
      </c>
      <c r="I168" s="1" t="s">
        <v>71</v>
      </c>
      <c r="J168">
        <v>4521</v>
      </c>
      <c r="K168">
        <v>0</v>
      </c>
      <c r="L168" s="1" t="s">
        <v>384</v>
      </c>
      <c r="M168" s="1" t="s">
        <v>72</v>
      </c>
      <c r="N168" s="1" t="s">
        <v>134</v>
      </c>
      <c r="O168" s="1" t="s">
        <v>385</v>
      </c>
      <c r="P168" s="1" t="s">
        <v>386</v>
      </c>
      <c r="Q168" s="1" t="s">
        <v>387</v>
      </c>
      <c r="R168">
        <v>103</v>
      </c>
      <c r="S168" s="1" t="s">
        <v>135</v>
      </c>
      <c r="T168" s="1" t="s">
        <v>388</v>
      </c>
      <c r="U168" s="1" t="s">
        <v>135</v>
      </c>
      <c r="V168" s="1"/>
      <c r="W168" s="1"/>
      <c r="X168" s="1"/>
      <c r="Y168" s="1"/>
      <c r="AA168" s="1"/>
      <c r="AC168" s="1"/>
      <c r="AD168" s="1"/>
      <c r="AE168" s="1"/>
      <c r="AN168" s="1" t="s">
        <v>74</v>
      </c>
      <c r="AO168">
        <v>49</v>
      </c>
      <c r="AP168" s="1" t="s">
        <v>784</v>
      </c>
      <c r="AQ168" s="1" t="s">
        <v>1007</v>
      </c>
      <c r="AR168" s="1" t="s">
        <v>1104</v>
      </c>
      <c r="AS168" s="1" t="s">
        <v>97</v>
      </c>
      <c r="AT168" s="3">
        <v>41314</v>
      </c>
      <c r="AU168" s="3">
        <v>41315</v>
      </c>
      <c r="AV168" s="3">
        <v>41333</v>
      </c>
      <c r="AW168" s="1" t="s">
        <v>1221</v>
      </c>
      <c r="AX168" s="1" t="s">
        <v>1007</v>
      </c>
      <c r="AY168">
        <v>15537.75</v>
      </c>
      <c r="AZ168">
        <v>253</v>
      </c>
      <c r="BA168">
        <v>4654734.66</v>
      </c>
      <c r="BB168" s="1"/>
      <c r="BD168" s="1"/>
      <c r="BE168" s="1"/>
      <c r="BG168" s="1"/>
      <c r="BH168" s="1"/>
      <c r="BJ168" s="1"/>
      <c r="BL168" s="1"/>
      <c r="BN168" s="1"/>
      <c r="BO168">
        <v>599</v>
      </c>
      <c r="BP168">
        <v>4654734.66</v>
      </c>
      <c r="BQ168">
        <v>4654734.66</v>
      </c>
    </row>
    <row r="169" spans="1:69" x14ac:dyDescent="0.35">
      <c r="A169" s="1" t="s">
        <v>68</v>
      </c>
      <c r="B169" s="1" t="s">
        <v>69</v>
      </c>
      <c r="C169" s="1" t="s">
        <v>70</v>
      </c>
      <c r="D169">
        <v>1</v>
      </c>
      <c r="E169">
        <v>1</v>
      </c>
      <c r="F169" s="2">
        <v>43585.43</v>
      </c>
      <c r="G169" s="3">
        <v>41275</v>
      </c>
      <c r="H169" s="3">
        <v>41639</v>
      </c>
      <c r="I169" s="1" t="s">
        <v>71</v>
      </c>
      <c r="J169">
        <v>4521</v>
      </c>
      <c r="K169">
        <v>0</v>
      </c>
      <c r="L169" s="1" t="s">
        <v>384</v>
      </c>
      <c r="M169" s="1" t="s">
        <v>72</v>
      </c>
      <c r="N169" s="1" t="s">
        <v>134</v>
      </c>
      <c r="O169" s="1" t="s">
        <v>385</v>
      </c>
      <c r="P169" s="1" t="s">
        <v>386</v>
      </c>
      <c r="Q169" s="1" t="s">
        <v>387</v>
      </c>
      <c r="R169">
        <v>103</v>
      </c>
      <c r="S169" s="1" t="s">
        <v>135</v>
      </c>
      <c r="T169" s="1" t="s">
        <v>388</v>
      </c>
      <c r="U169" s="1" t="s">
        <v>135</v>
      </c>
      <c r="V169" s="1"/>
      <c r="W169" s="1"/>
      <c r="X169" s="1"/>
      <c r="Y169" s="1"/>
      <c r="AA169" s="1"/>
      <c r="AC169" s="1"/>
      <c r="AD169" s="1"/>
      <c r="AE169" s="1"/>
      <c r="AN169" s="1" t="s">
        <v>74</v>
      </c>
      <c r="AO169">
        <v>50</v>
      </c>
      <c r="AP169" s="1" t="s">
        <v>785</v>
      </c>
      <c r="AQ169" s="1" t="s">
        <v>1008</v>
      </c>
      <c r="AR169" s="1" t="s">
        <v>1105</v>
      </c>
      <c r="AS169" s="1" t="s">
        <v>1213</v>
      </c>
      <c r="AT169" s="3">
        <v>41317</v>
      </c>
      <c r="AU169" s="3">
        <v>41317</v>
      </c>
      <c r="AV169" s="3">
        <v>41333</v>
      </c>
      <c r="AW169" s="1" t="s">
        <v>1221</v>
      </c>
      <c r="AX169" s="1" t="s">
        <v>1234</v>
      </c>
      <c r="AY169">
        <v>556.12</v>
      </c>
      <c r="AZ169">
        <v>253</v>
      </c>
      <c r="BA169">
        <v>4654734.66</v>
      </c>
      <c r="BB169" s="1"/>
      <c r="BD169" s="1"/>
      <c r="BE169" s="1"/>
      <c r="BG169" s="1"/>
      <c r="BH169" s="1"/>
      <c r="BJ169" s="1"/>
      <c r="BL169" s="1"/>
      <c r="BN169" s="1"/>
      <c r="BO169">
        <v>599</v>
      </c>
      <c r="BP169">
        <v>4654734.66</v>
      </c>
      <c r="BQ169">
        <v>4654734.66</v>
      </c>
    </row>
    <row r="170" spans="1:69" x14ac:dyDescent="0.35">
      <c r="A170" s="1" t="s">
        <v>68</v>
      </c>
      <c r="B170" s="1" t="s">
        <v>69</v>
      </c>
      <c r="C170" s="1" t="s">
        <v>70</v>
      </c>
      <c r="D170">
        <v>1</v>
      </c>
      <c r="E170">
        <v>1</v>
      </c>
      <c r="F170" s="2">
        <v>43585.43</v>
      </c>
      <c r="G170" s="3">
        <v>41275</v>
      </c>
      <c r="H170" s="3">
        <v>41639</v>
      </c>
      <c r="I170" s="1" t="s">
        <v>71</v>
      </c>
      <c r="J170">
        <v>4521</v>
      </c>
      <c r="K170">
        <v>0</v>
      </c>
      <c r="L170" s="1" t="s">
        <v>384</v>
      </c>
      <c r="M170" s="1" t="s">
        <v>72</v>
      </c>
      <c r="N170" s="1" t="s">
        <v>134</v>
      </c>
      <c r="O170" s="1" t="s">
        <v>385</v>
      </c>
      <c r="P170" s="1" t="s">
        <v>386</v>
      </c>
      <c r="Q170" s="1" t="s">
        <v>387</v>
      </c>
      <c r="R170">
        <v>103</v>
      </c>
      <c r="S170" s="1" t="s">
        <v>135</v>
      </c>
      <c r="T170" s="1" t="s">
        <v>388</v>
      </c>
      <c r="U170" s="1" t="s">
        <v>135</v>
      </c>
      <c r="V170" s="1"/>
      <c r="W170" s="1"/>
      <c r="X170" s="1"/>
      <c r="Y170" s="1"/>
      <c r="AA170" s="1"/>
      <c r="AC170" s="1"/>
      <c r="AD170" s="1"/>
      <c r="AE170" s="1"/>
      <c r="AN170" s="1" t="s">
        <v>74</v>
      </c>
      <c r="AO170">
        <v>51</v>
      </c>
      <c r="AP170" s="1" t="s">
        <v>786</v>
      </c>
      <c r="AQ170" s="1" t="s">
        <v>1008</v>
      </c>
      <c r="AR170" s="1" t="s">
        <v>1105</v>
      </c>
      <c r="AS170" s="1" t="s">
        <v>1213</v>
      </c>
      <c r="AT170" s="3">
        <v>41317</v>
      </c>
      <c r="AU170" s="3">
        <v>41317</v>
      </c>
      <c r="AV170" s="3">
        <v>41333</v>
      </c>
      <c r="AW170" s="1" t="s">
        <v>1221</v>
      </c>
      <c r="AX170" s="1" t="s">
        <v>1235</v>
      </c>
      <c r="AY170">
        <v>1600</v>
      </c>
      <c r="AZ170">
        <v>253</v>
      </c>
      <c r="BA170">
        <v>4654734.66</v>
      </c>
      <c r="BB170" s="1"/>
      <c r="BD170" s="1"/>
      <c r="BE170" s="1"/>
      <c r="BG170" s="1"/>
      <c r="BH170" s="1"/>
      <c r="BJ170" s="1"/>
      <c r="BL170" s="1"/>
      <c r="BN170" s="1"/>
      <c r="BO170">
        <v>599</v>
      </c>
      <c r="BP170">
        <v>4654734.66</v>
      </c>
      <c r="BQ170">
        <v>4654734.66</v>
      </c>
    </row>
    <row r="171" spans="1:69" x14ac:dyDescent="0.35">
      <c r="A171" s="1" t="s">
        <v>68</v>
      </c>
      <c r="B171" s="1" t="s">
        <v>69</v>
      </c>
      <c r="C171" s="1" t="s">
        <v>70</v>
      </c>
      <c r="D171">
        <v>1</v>
      </c>
      <c r="E171">
        <v>1</v>
      </c>
      <c r="F171" s="2">
        <v>43585.43</v>
      </c>
      <c r="G171" s="3">
        <v>41275</v>
      </c>
      <c r="H171" s="3">
        <v>41639</v>
      </c>
      <c r="I171" s="1" t="s">
        <v>71</v>
      </c>
      <c r="J171">
        <v>4521</v>
      </c>
      <c r="K171">
        <v>0</v>
      </c>
      <c r="L171" s="1" t="s">
        <v>384</v>
      </c>
      <c r="M171" s="1" t="s">
        <v>72</v>
      </c>
      <c r="N171" s="1" t="s">
        <v>134</v>
      </c>
      <c r="O171" s="1" t="s">
        <v>385</v>
      </c>
      <c r="P171" s="1" t="s">
        <v>386</v>
      </c>
      <c r="Q171" s="1" t="s">
        <v>387</v>
      </c>
      <c r="R171">
        <v>103</v>
      </c>
      <c r="S171" s="1" t="s">
        <v>135</v>
      </c>
      <c r="T171" s="1" t="s">
        <v>388</v>
      </c>
      <c r="U171" s="1" t="s">
        <v>135</v>
      </c>
      <c r="V171" s="1"/>
      <c r="W171" s="1"/>
      <c r="X171" s="1"/>
      <c r="Y171" s="1"/>
      <c r="AA171" s="1"/>
      <c r="AC171" s="1"/>
      <c r="AD171" s="1"/>
      <c r="AE171" s="1"/>
      <c r="AN171" s="1" t="s">
        <v>74</v>
      </c>
      <c r="AO171">
        <v>52</v>
      </c>
      <c r="AP171" s="1" t="s">
        <v>787</v>
      </c>
      <c r="AQ171" s="1" t="s">
        <v>982</v>
      </c>
      <c r="AR171" s="1" t="s">
        <v>1106</v>
      </c>
      <c r="AS171" s="1" t="s">
        <v>98</v>
      </c>
      <c r="AT171" s="3">
        <v>41318</v>
      </c>
      <c r="AU171" s="3">
        <v>41318</v>
      </c>
      <c r="AV171" s="3">
        <v>41333</v>
      </c>
      <c r="AW171" s="1" t="s">
        <v>1221</v>
      </c>
      <c r="AX171" s="1" t="s">
        <v>982</v>
      </c>
      <c r="AY171">
        <v>12145.02</v>
      </c>
      <c r="AZ171">
        <v>253</v>
      </c>
      <c r="BA171">
        <v>4654734.66</v>
      </c>
      <c r="BB171" s="1"/>
      <c r="BD171" s="1"/>
      <c r="BE171" s="1"/>
      <c r="BG171" s="1"/>
      <c r="BH171" s="1"/>
      <c r="BJ171" s="1"/>
      <c r="BL171" s="1"/>
      <c r="BN171" s="1"/>
      <c r="BO171">
        <v>599</v>
      </c>
      <c r="BP171">
        <v>4654734.66</v>
      </c>
      <c r="BQ171">
        <v>4654734.66</v>
      </c>
    </row>
    <row r="172" spans="1:69" x14ac:dyDescent="0.35">
      <c r="A172" s="1" t="s">
        <v>68</v>
      </c>
      <c r="B172" s="1" t="s">
        <v>69</v>
      </c>
      <c r="C172" s="1" t="s">
        <v>70</v>
      </c>
      <c r="D172">
        <v>1</v>
      </c>
      <c r="E172">
        <v>1</v>
      </c>
      <c r="F172" s="2">
        <v>43585.43</v>
      </c>
      <c r="G172" s="3">
        <v>41275</v>
      </c>
      <c r="H172" s="3">
        <v>41639</v>
      </c>
      <c r="I172" s="1" t="s">
        <v>71</v>
      </c>
      <c r="J172">
        <v>4521</v>
      </c>
      <c r="K172">
        <v>0</v>
      </c>
      <c r="L172" s="1" t="s">
        <v>384</v>
      </c>
      <c r="M172" s="1" t="s">
        <v>72</v>
      </c>
      <c r="N172" s="1" t="s">
        <v>134</v>
      </c>
      <c r="O172" s="1" t="s">
        <v>385</v>
      </c>
      <c r="P172" s="1" t="s">
        <v>386</v>
      </c>
      <c r="Q172" s="1" t="s">
        <v>387</v>
      </c>
      <c r="R172">
        <v>103</v>
      </c>
      <c r="S172" s="1" t="s">
        <v>135</v>
      </c>
      <c r="T172" s="1" t="s">
        <v>388</v>
      </c>
      <c r="U172" s="1" t="s">
        <v>135</v>
      </c>
      <c r="V172" s="1"/>
      <c r="W172" s="1"/>
      <c r="X172" s="1"/>
      <c r="Y172" s="1"/>
      <c r="AA172" s="1"/>
      <c r="AC172" s="1"/>
      <c r="AD172" s="1"/>
      <c r="AE172" s="1"/>
      <c r="AN172" s="1" t="s">
        <v>74</v>
      </c>
      <c r="AO172">
        <v>53</v>
      </c>
      <c r="AP172" s="1" t="s">
        <v>788</v>
      </c>
      <c r="AQ172" s="1" t="s">
        <v>1009</v>
      </c>
      <c r="AR172" s="1" t="s">
        <v>1107</v>
      </c>
      <c r="AS172" s="1" t="s">
        <v>95</v>
      </c>
      <c r="AT172" s="3">
        <v>41319</v>
      </c>
      <c r="AU172" s="3">
        <v>41319</v>
      </c>
      <c r="AV172" s="3">
        <v>41333</v>
      </c>
      <c r="AW172" s="1" t="s">
        <v>1221</v>
      </c>
      <c r="AX172" s="1" t="s">
        <v>1009</v>
      </c>
      <c r="AY172">
        <v>20.95</v>
      </c>
      <c r="AZ172">
        <v>253</v>
      </c>
      <c r="BA172">
        <v>4654734.66</v>
      </c>
      <c r="BB172" s="1"/>
      <c r="BD172" s="1"/>
      <c r="BE172" s="1"/>
      <c r="BG172" s="1"/>
      <c r="BH172" s="1"/>
      <c r="BJ172" s="1"/>
      <c r="BL172" s="1"/>
      <c r="BN172" s="1"/>
      <c r="BO172">
        <v>599</v>
      </c>
      <c r="BP172">
        <v>4654734.66</v>
      </c>
      <c r="BQ172">
        <v>4654734.66</v>
      </c>
    </row>
    <row r="173" spans="1:69" x14ac:dyDescent="0.35">
      <c r="A173" s="1" t="s">
        <v>68</v>
      </c>
      <c r="B173" s="1" t="s">
        <v>69</v>
      </c>
      <c r="C173" s="1" t="s">
        <v>70</v>
      </c>
      <c r="D173">
        <v>1</v>
      </c>
      <c r="E173">
        <v>1</v>
      </c>
      <c r="F173" s="2">
        <v>43585.43</v>
      </c>
      <c r="G173" s="3">
        <v>41275</v>
      </c>
      <c r="H173" s="3">
        <v>41639</v>
      </c>
      <c r="I173" s="1" t="s">
        <v>71</v>
      </c>
      <c r="J173">
        <v>4521</v>
      </c>
      <c r="K173">
        <v>0</v>
      </c>
      <c r="L173" s="1" t="s">
        <v>384</v>
      </c>
      <c r="M173" s="1" t="s">
        <v>72</v>
      </c>
      <c r="N173" s="1" t="s">
        <v>134</v>
      </c>
      <c r="O173" s="1" t="s">
        <v>385</v>
      </c>
      <c r="P173" s="1" t="s">
        <v>386</v>
      </c>
      <c r="Q173" s="1" t="s">
        <v>387</v>
      </c>
      <c r="R173">
        <v>103</v>
      </c>
      <c r="S173" s="1" t="s">
        <v>135</v>
      </c>
      <c r="T173" s="1" t="s">
        <v>388</v>
      </c>
      <c r="U173" s="1" t="s">
        <v>135</v>
      </c>
      <c r="V173" s="1"/>
      <c r="W173" s="1"/>
      <c r="X173" s="1"/>
      <c r="Y173" s="1"/>
      <c r="AA173" s="1"/>
      <c r="AC173" s="1"/>
      <c r="AD173" s="1"/>
      <c r="AE173" s="1"/>
      <c r="AN173" s="1" t="s">
        <v>74</v>
      </c>
      <c r="AO173">
        <v>54</v>
      </c>
      <c r="AP173" s="1" t="s">
        <v>789</v>
      </c>
      <c r="AQ173" s="1" t="s">
        <v>1010</v>
      </c>
      <c r="AR173" s="1" t="s">
        <v>1108</v>
      </c>
      <c r="AS173" s="1" t="s">
        <v>97</v>
      </c>
      <c r="AT173" s="3">
        <v>41318</v>
      </c>
      <c r="AU173" s="3">
        <v>41318</v>
      </c>
      <c r="AV173" s="3">
        <v>41333</v>
      </c>
      <c r="AW173" s="1" t="s">
        <v>1221</v>
      </c>
      <c r="AX173" s="1" t="s">
        <v>1236</v>
      </c>
      <c r="AY173">
        <v>307.5</v>
      </c>
      <c r="AZ173">
        <v>253</v>
      </c>
      <c r="BA173">
        <v>4654734.66</v>
      </c>
      <c r="BB173" s="1"/>
      <c r="BD173" s="1"/>
      <c r="BE173" s="1"/>
      <c r="BG173" s="1"/>
      <c r="BH173" s="1"/>
      <c r="BJ173" s="1"/>
      <c r="BL173" s="1"/>
      <c r="BN173" s="1"/>
      <c r="BO173">
        <v>599</v>
      </c>
      <c r="BP173">
        <v>4654734.66</v>
      </c>
      <c r="BQ173">
        <v>4654734.66</v>
      </c>
    </row>
    <row r="174" spans="1:69" x14ac:dyDescent="0.35">
      <c r="A174" s="1" t="s">
        <v>68</v>
      </c>
      <c r="B174" s="1" t="s">
        <v>69</v>
      </c>
      <c r="C174" s="1" t="s">
        <v>70</v>
      </c>
      <c r="D174">
        <v>1</v>
      </c>
      <c r="E174">
        <v>1</v>
      </c>
      <c r="F174" s="2">
        <v>43585.43</v>
      </c>
      <c r="G174" s="3">
        <v>41275</v>
      </c>
      <c r="H174" s="3">
        <v>41639</v>
      </c>
      <c r="I174" s="1" t="s">
        <v>71</v>
      </c>
      <c r="J174">
        <v>4521</v>
      </c>
      <c r="K174">
        <v>0</v>
      </c>
      <c r="L174" s="1" t="s">
        <v>384</v>
      </c>
      <c r="M174" s="1" t="s">
        <v>72</v>
      </c>
      <c r="N174" s="1" t="s">
        <v>134</v>
      </c>
      <c r="O174" s="1" t="s">
        <v>385</v>
      </c>
      <c r="P174" s="1" t="s">
        <v>386</v>
      </c>
      <c r="Q174" s="1" t="s">
        <v>387</v>
      </c>
      <c r="R174">
        <v>103</v>
      </c>
      <c r="S174" s="1" t="s">
        <v>135</v>
      </c>
      <c r="T174" s="1" t="s">
        <v>388</v>
      </c>
      <c r="U174" s="1" t="s">
        <v>135</v>
      </c>
      <c r="V174" s="1"/>
      <c r="W174" s="1"/>
      <c r="X174" s="1"/>
      <c r="Y174" s="1"/>
      <c r="AA174" s="1"/>
      <c r="AC174" s="1"/>
      <c r="AD174" s="1"/>
      <c r="AE174" s="1"/>
      <c r="AN174" s="1" t="s">
        <v>74</v>
      </c>
      <c r="AO174">
        <v>55</v>
      </c>
      <c r="AP174" s="1" t="s">
        <v>790</v>
      </c>
      <c r="AQ174" s="1" t="s">
        <v>1011</v>
      </c>
      <c r="AR174" s="1" t="s">
        <v>1109</v>
      </c>
      <c r="AS174" s="1" t="s">
        <v>1215</v>
      </c>
      <c r="AT174" s="3">
        <v>41308</v>
      </c>
      <c r="AU174" s="3">
        <v>41308</v>
      </c>
      <c r="AV174" s="3">
        <v>41364</v>
      </c>
      <c r="AW174" s="1" t="s">
        <v>1221</v>
      </c>
      <c r="AX174" s="1" t="s">
        <v>1011</v>
      </c>
      <c r="AY174">
        <v>3620</v>
      </c>
      <c r="AZ174">
        <v>253</v>
      </c>
      <c r="BA174">
        <v>4654734.66</v>
      </c>
      <c r="BB174" s="1"/>
      <c r="BD174" s="1"/>
      <c r="BE174" s="1"/>
      <c r="BG174" s="1"/>
      <c r="BH174" s="1"/>
      <c r="BJ174" s="1"/>
      <c r="BL174" s="1"/>
      <c r="BN174" s="1"/>
      <c r="BO174">
        <v>599</v>
      </c>
      <c r="BP174">
        <v>4654734.66</v>
      </c>
      <c r="BQ174">
        <v>4654734.66</v>
      </c>
    </row>
    <row r="175" spans="1:69" x14ac:dyDescent="0.35">
      <c r="A175" s="1" t="s">
        <v>68</v>
      </c>
      <c r="B175" s="1" t="s">
        <v>69</v>
      </c>
      <c r="C175" s="1" t="s">
        <v>70</v>
      </c>
      <c r="D175">
        <v>1</v>
      </c>
      <c r="E175">
        <v>1</v>
      </c>
      <c r="F175" s="2">
        <v>43585.43</v>
      </c>
      <c r="G175" s="3">
        <v>41275</v>
      </c>
      <c r="H175" s="3">
        <v>41639</v>
      </c>
      <c r="I175" s="1" t="s">
        <v>71</v>
      </c>
      <c r="J175">
        <v>4521</v>
      </c>
      <c r="K175">
        <v>0</v>
      </c>
      <c r="L175" s="1" t="s">
        <v>384</v>
      </c>
      <c r="M175" s="1" t="s">
        <v>72</v>
      </c>
      <c r="N175" s="1" t="s">
        <v>134</v>
      </c>
      <c r="O175" s="1" t="s">
        <v>385</v>
      </c>
      <c r="P175" s="1" t="s">
        <v>386</v>
      </c>
      <c r="Q175" s="1" t="s">
        <v>387</v>
      </c>
      <c r="R175">
        <v>103</v>
      </c>
      <c r="S175" s="1" t="s">
        <v>135</v>
      </c>
      <c r="T175" s="1" t="s">
        <v>388</v>
      </c>
      <c r="U175" s="1" t="s">
        <v>135</v>
      </c>
      <c r="V175" s="1"/>
      <c r="W175" s="1"/>
      <c r="X175" s="1"/>
      <c r="Y175" s="1"/>
      <c r="AA175" s="1"/>
      <c r="AC175" s="1"/>
      <c r="AD175" s="1"/>
      <c r="AE175" s="1"/>
      <c r="AN175" s="1" t="s">
        <v>74</v>
      </c>
      <c r="AO175">
        <v>56</v>
      </c>
      <c r="AP175" s="1" t="s">
        <v>791</v>
      </c>
      <c r="AQ175" s="1" t="s">
        <v>1012</v>
      </c>
      <c r="AR175" s="1" t="s">
        <v>1110</v>
      </c>
      <c r="AS175" s="1" t="s">
        <v>98</v>
      </c>
      <c r="AT175" s="3">
        <v>41334</v>
      </c>
      <c r="AU175" s="3">
        <v>41334</v>
      </c>
      <c r="AV175" s="3">
        <v>41364</v>
      </c>
      <c r="AW175" s="1" t="s">
        <v>1221</v>
      </c>
      <c r="AX175" s="1" t="s">
        <v>1237</v>
      </c>
      <c r="AY175">
        <v>45.51</v>
      </c>
      <c r="AZ175">
        <v>253</v>
      </c>
      <c r="BA175">
        <v>4654734.66</v>
      </c>
      <c r="BB175" s="1"/>
      <c r="BD175" s="1"/>
      <c r="BE175" s="1"/>
      <c r="BG175" s="1"/>
      <c r="BH175" s="1"/>
      <c r="BJ175" s="1"/>
      <c r="BL175" s="1"/>
      <c r="BN175" s="1"/>
      <c r="BO175">
        <v>599</v>
      </c>
      <c r="BP175">
        <v>4654734.66</v>
      </c>
      <c r="BQ175">
        <v>4654734.66</v>
      </c>
    </row>
    <row r="176" spans="1:69" x14ac:dyDescent="0.35">
      <c r="A176" s="1" t="s">
        <v>68</v>
      </c>
      <c r="B176" s="1" t="s">
        <v>69</v>
      </c>
      <c r="C176" s="1" t="s">
        <v>70</v>
      </c>
      <c r="D176">
        <v>1</v>
      </c>
      <c r="E176">
        <v>1</v>
      </c>
      <c r="F176" s="2">
        <v>43585.43</v>
      </c>
      <c r="G176" s="3">
        <v>41275</v>
      </c>
      <c r="H176" s="3">
        <v>41639</v>
      </c>
      <c r="I176" s="1" t="s">
        <v>71</v>
      </c>
      <c r="J176">
        <v>4521</v>
      </c>
      <c r="K176">
        <v>0</v>
      </c>
      <c r="L176" s="1" t="s">
        <v>384</v>
      </c>
      <c r="M176" s="1" t="s">
        <v>72</v>
      </c>
      <c r="N176" s="1" t="s">
        <v>134</v>
      </c>
      <c r="O176" s="1" t="s">
        <v>385</v>
      </c>
      <c r="P176" s="1" t="s">
        <v>386</v>
      </c>
      <c r="Q176" s="1" t="s">
        <v>387</v>
      </c>
      <c r="R176">
        <v>103</v>
      </c>
      <c r="S176" s="1" t="s">
        <v>135</v>
      </c>
      <c r="T176" s="1" t="s">
        <v>388</v>
      </c>
      <c r="U176" s="1" t="s">
        <v>135</v>
      </c>
      <c r="V176" s="1"/>
      <c r="W176" s="1"/>
      <c r="X176" s="1"/>
      <c r="Y176" s="1"/>
      <c r="AA176" s="1"/>
      <c r="AC176" s="1"/>
      <c r="AD176" s="1"/>
      <c r="AE176" s="1"/>
      <c r="AN176" s="1" t="s">
        <v>74</v>
      </c>
      <c r="AO176">
        <v>57</v>
      </c>
      <c r="AP176" s="1" t="s">
        <v>792</v>
      </c>
      <c r="AQ176" s="1" t="s">
        <v>1013</v>
      </c>
      <c r="AR176" s="1" t="s">
        <v>1111</v>
      </c>
      <c r="AS176" s="1" t="s">
        <v>98</v>
      </c>
      <c r="AT176" s="3">
        <v>41334</v>
      </c>
      <c r="AU176" s="3">
        <v>41334</v>
      </c>
      <c r="AV176" s="3">
        <v>41364</v>
      </c>
      <c r="AW176" s="1" t="s">
        <v>1221</v>
      </c>
      <c r="AX176" s="1" t="s">
        <v>1013</v>
      </c>
      <c r="AY176">
        <v>33579</v>
      </c>
      <c r="AZ176">
        <v>253</v>
      </c>
      <c r="BA176">
        <v>4654734.66</v>
      </c>
      <c r="BB176" s="1"/>
      <c r="BD176" s="1"/>
      <c r="BE176" s="1"/>
      <c r="BG176" s="1"/>
      <c r="BH176" s="1"/>
      <c r="BJ176" s="1"/>
      <c r="BL176" s="1"/>
      <c r="BN176" s="1"/>
      <c r="BO176">
        <v>599</v>
      </c>
      <c r="BP176">
        <v>4654734.66</v>
      </c>
      <c r="BQ176">
        <v>4654734.66</v>
      </c>
    </row>
    <row r="177" spans="1:69" x14ac:dyDescent="0.35">
      <c r="A177" s="1" t="s">
        <v>68</v>
      </c>
      <c r="B177" s="1" t="s">
        <v>69</v>
      </c>
      <c r="C177" s="1" t="s">
        <v>70</v>
      </c>
      <c r="D177">
        <v>1</v>
      </c>
      <c r="E177">
        <v>1</v>
      </c>
      <c r="F177" s="2">
        <v>43585.43</v>
      </c>
      <c r="G177" s="3">
        <v>41275</v>
      </c>
      <c r="H177" s="3">
        <v>41639</v>
      </c>
      <c r="I177" s="1" t="s">
        <v>71</v>
      </c>
      <c r="J177">
        <v>4521</v>
      </c>
      <c r="K177">
        <v>0</v>
      </c>
      <c r="L177" s="1" t="s">
        <v>384</v>
      </c>
      <c r="M177" s="1" t="s">
        <v>72</v>
      </c>
      <c r="N177" s="1" t="s">
        <v>134</v>
      </c>
      <c r="O177" s="1" t="s">
        <v>385</v>
      </c>
      <c r="P177" s="1" t="s">
        <v>386</v>
      </c>
      <c r="Q177" s="1" t="s">
        <v>387</v>
      </c>
      <c r="R177">
        <v>103</v>
      </c>
      <c r="S177" s="1" t="s">
        <v>135</v>
      </c>
      <c r="T177" s="1" t="s">
        <v>388</v>
      </c>
      <c r="U177" s="1" t="s">
        <v>135</v>
      </c>
      <c r="V177" s="1"/>
      <c r="W177" s="1"/>
      <c r="X177" s="1"/>
      <c r="Y177" s="1"/>
      <c r="AA177" s="1"/>
      <c r="AC177" s="1"/>
      <c r="AD177" s="1"/>
      <c r="AE177" s="1"/>
      <c r="AN177" s="1" t="s">
        <v>74</v>
      </c>
      <c r="AO177">
        <v>58</v>
      </c>
      <c r="AP177" s="1" t="s">
        <v>793</v>
      </c>
      <c r="AQ177" s="1" t="s">
        <v>1014</v>
      </c>
      <c r="AR177" s="1" t="s">
        <v>1112</v>
      </c>
      <c r="AS177" s="1" t="s">
        <v>1213</v>
      </c>
      <c r="AT177" s="3">
        <v>41335</v>
      </c>
      <c r="AU177" s="3">
        <v>41335</v>
      </c>
      <c r="AV177" s="3">
        <v>41364</v>
      </c>
      <c r="AW177" s="1" t="s">
        <v>1221</v>
      </c>
      <c r="AX177" s="1" t="s">
        <v>1228</v>
      </c>
      <c r="AY177">
        <v>12000</v>
      </c>
      <c r="AZ177">
        <v>253</v>
      </c>
      <c r="BA177">
        <v>4654734.66</v>
      </c>
      <c r="BB177" s="1"/>
      <c r="BD177" s="1"/>
      <c r="BE177" s="1"/>
      <c r="BG177" s="1"/>
      <c r="BH177" s="1"/>
      <c r="BJ177" s="1"/>
      <c r="BL177" s="1"/>
      <c r="BN177" s="1"/>
      <c r="BO177">
        <v>599</v>
      </c>
      <c r="BP177">
        <v>4654734.66</v>
      </c>
      <c r="BQ177">
        <v>4654734.66</v>
      </c>
    </row>
    <row r="178" spans="1:69" x14ac:dyDescent="0.35">
      <c r="A178" s="1" t="s">
        <v>68</v>
      </c>
      <c r="B178" s="1" t="s">
        <v>69</v>
      </c>
      <c r="C178" s="1" t="s">
        <v>70</v>
      </c>
      <c r="D178">
        <v>1</v>
      </c>
      <c r="E178">
        <v>1</v>
      </c>
      <c r="F178" s="2">
        <v>43585.43</v>
      </c>
      <c r="G178" s="3">
        <v>41275</v>
      </c>
      <c r="H178" s="3">
        <v>41639</v>
      </c>
      <c r="I178" s="1" t="s">
        <v>71</v>
      </c>
      <c r="J178">
        <v>4521</v>
      </c>
      <c r="K178">
        <v>0</v>
      </c>
      <c r="L178" s="1" t="s">
        <v>384</v>
      </c>
      <c r="M178" s="1" t="s">
        <v>72</v>
      </c>
      <c r="N178" s="1" t="s">
        <v>134</v>
      </c>
      <c r="O178" s="1" t="s">
        <v>385</v>
      </c>
      <c r="P178" s="1" t="s">
        <v>386</v>
      </c>
      <c r="Q178" s="1" t="s">
        <v>387</v>
      </c>
      <c r="R178">
        <v>103</v>
      </c>
      <c r="S178" s="1" t="s">
        <v>135</v>
      </c>
      <c r="T178" s="1" t="s">
        <v>388</v>
      </c>
      <c r="U178" s="1" t="s">
        <v>135</v>
      </c>
      <c r="V178" s="1"/>
      <c r="W178" s="1"/>
      <c r="X178" s="1"/>
      <c r="Y178" s="1"/>
      <c r="AA178" s="1"/>
      <c r="AC178" s="1"/>
      <c r="AD178" s="1"/>
      <c r="AE178" s="1"/>
      <c r="AN178" s="1" t="s">
        <v>74</v>
      </c>
      <c r="AO178">
        <v>59</v>
      </c>
      <c r="AP178" s="1" t="s">
        <v>794</v>
      </c>
      <c r="AQ178" s="1" t="s">
        <v>1014</v>
      </c>
      <c r="AR178" s="1" t="s">
        <v>1112</v>
      </c>
      <c r="AS178" s="1" t="s">
        <v>1213</v>
      </c>
      <c r="AT178" s="3">
        <v>41335</v>
      </c>
      <c r="AU178" s="3">
        <v>41335</v>
      </c>
      <c r="AV178" s="3">
        <v>41364</v>
      </c>
      <c r="AW178" s="1" t="s">
        <v>1221</v>
      </c>
      <c r="AX178" s="1" t="s">
        <v>1238</v>
      </c>
      <c r="AY178">
        <v>1500</v>
      </c>
      <c r="AZ178">
        <v>253</v>
      </c>
      <c r="BA178">
        <v>4654734.66</v>
      </c>
      <c r="BB178" s="1"/>
      <c r="BD178" s="1"/>
      <c r="BE178" s="1"/>
      <c r="BG178" s="1"/>
      <c r="BH178" s="1"/>
      <c r="BJ178" s="1"/>
      <c r="BL178" s="1"/>
      <c r="BN178" s="1"/>
      <c r="BO178">
        <v>599</v>
      </c>
      <c r="BP178">
        <v>4654734.66</v>
      </c>
      <c r="BQ178">
        <v>4654734.66</v>
      </c>
    </row>
    <row r="179" spans="1:69" x14ac:dyDescent="0.35">
      <c r="A179" s="1" t="s">
        <v>68</v>
      </c>
      <c r="B179" s="1" t="s">
        <v>69</v>
      </c>
      <c r="C179" s="1" t="s">
        <v>70</v>
      </c>
      <c r="D179">
        <v>1</v>
      </c>
      <c r="E179">
        <v>1</v>
      </c>
      <c r="F179" s="2">
        <v>43585.43</v>
      </c>
      <c r="G179" s="3">
        <v>41275</v>
      </c>
      <c r="H179" s="3">
        <v>41639</v>
      </c>
      <c r="I179" s="1" t="s">
        <v>71</v>
      </c>
      <c r="J179">
        <v>4521</v>
      </c>
      <c r="K179">
        <v>0</v>
      </c>
      <c r="L179" s="1" t="s">
        <v>384</v>
      </c>
      <c r="M179" s="1" t="s">
        <v>72</v>
      </c>
      <c r="N179" s="1" t="s">
        <v>134</v>
      </c>
      <c r="O179" s="1" t="s">
        <v>385</v>
      </c>
      <c r="P179" s="1" t="s">
        <v>386</v>
      </c>
      <c r="Q179" s="1" t="s">
        <v>387</v>
      </c>
      <c r="R179">
        <v>103</v>
      </c>
      <c r="S179" s="1" t="s">
        <v>135</v>
      </c>
      <c r="T179" s="1" t="s">
        <v>388</v>
      </c>
      <c r="U179" s="1" t="s">
        <v>135</v>
      </c>
      <c r="V179" s="1"/>
      <c r="W179" s="1"/>
      <c r="X179" s="1"/>
      <c r="Y179" s="1"/>
      <c r="AA179" s="1"/>
      <c r="AC179" s="1"/>
      <c r="AD179" s="1"/>
      <c r="AE179" s="1"/>
      <c r="AN179" s="1" t="s">
        <v>74</v>
      </c>
      <c r="AO179">
        <v>60</v>
      </c>
      <c r="AP179" s="1" t="s">
        <v>795</v>
      </c>
      <c r="AQ179" s="1" t="s">
        <v>1014</v>
      </c>
      <c r="AR179" s="1" t="s">
        <v>1112</v>
      </c>
      <c r="AS179" s="1" t="s">
        <v>1213</v>
      </c>
      <c r="AT179" s="3">
        <v>41335</v>
      </c>
      <c r="AU179" s="3">
        <v>41335</v>
      </c>
      <c r="AV179" s="3">
        <v>41364</v>
      </c>
      <c r="AW179" s="1" t="s">
        <v>1221</v>
      </c>
      <c r="AX179" s="1" t="s">
        <v>1239</v>
      </c>
      <c r="AY179">
        <v>4500</v>
      </c>
      <c r="AZ179">
        <v>253</v>
      </c>
      <c r="BA179">
        <v>4654734.66</v>
      </c>
      <c r="BB179" s="1"/>
      <c r="BD179" s="1"/>
      <c r="BE179" s="1"/>
      <c r="BG179" s="1"/>
      <c r="BH179" s="1"/>
      <c r="BJ179" s="1"/>
      <c r="BL179" s="1"/>
      <c r="BN179" s="1"/>
      <c r="BO179">
        <v>599</v>
      </c>
      <c r="BP179">
        <v>4654734.66</v>
      </c>
      <c r="BQ179">
        <v>4654734.66</v>
      </c>
    </row>
    <row r="180" spans="1:69" x14ac:dyDescent="0.35">
      <c r="A180" s="1" t="s">
        <v>68</v>
      </c>
      <c r="B180" s="1" t="s">
        <v>69</v>
      </c>
      <c r="C180" s="1" t="s">
        <v>70</v>
      </c>
      <c r="D180">
        <v>1</v>
      </c>
      <c r="E180">
        <v>1</v>
      </c>
      <c r="F180" s="2">
        <v>43585.43</v>
      </c>
      <c r="G180" s="3">
        <v>41275</v>
      </c>
      <c r="H180" s="3">
        <v>41639</v>
      </c>
      <c r="I180" s="1" t="s">
        <v>71</v>
      </c>
      <c r="J180">
        <v>4521</v>
      </c>
      <c r="K180">
        <v>0</v>
      </c>
      <c r="L180" s="1" t="s">
        <v>384</v>
      </c>
      <c r="M180" s="1" t="s">
        <v>72</v>
      </c>
      <c r="N180" s="1" t="s">
        <v>134</v>
      </c>
      <c r="O180" s="1" t="s">
        <v>385</v>
      </c>
      <c r="P180" s="1" t="s">
        <v>386</v>
      </c>
      <c r="Q180" s="1" t="s">
        <v>387</v>
      </c>
      <c r="R180">
        <v>103</v>
      </c>
      <c r="S180" s="1" t="s">
        <v>135</v>
      </c>
      <c r="T180" s="1" t="s">
        <v>388</v>
      </c>
      <c r="U180" s="1" t="s">
        <v>135</v>
      </c>
      <c r="V180" s="1"/>
      <c r="W180" s="1"/>
      <c r="X180" s="1"/>
      <c r="Y180" s="1"/>
      <c r="AA180" s="1"/>
      <c r="AC180" s="1"/>
      <c r="AD180" s="1"/>
      <c r="AE180" s="1"/>
      <c r="AN180" s="1" t="s">
        <v>74</v>
      </c>
      <c r="AO180">
        <v>61</v>
      </c>
      <c r="AP180" s="1" t="s">
        <v>796</v>
      </c>
      <c r="AQ180" s="1" t="s">
        <v>1015</v>
      </c>
      <c r="AR180" s="1" t="s">
        <v>1113</v>
      </c>
      <c r="AS180" s="1" t="s">
        <v>98</v>
      </c>
      <c r="AT180" s="3">
        <v>41335</v>
      </c>
      <c r="AU180" s="3">
        <v>41335</v>
      </c>
      <c r="AV180" s="3">
        <v>41364</v>
      </c>
      <c r="AW180" s="1" t="s">
        <v>1221</v>
      </c>
      <c r="AX180" s="1" t="s">
        <v>1015</v>
      </c>
      <c r="AY180">
        <v>555.96</v>
      </c>
      <c r="AZ180">
        <v>253</v>
      </c>
      <c r="BA180">
        <v>4654734.66</v>
      </c>
      <c r="BB180" s="1"/>
      <c r="BD180" s="1"/>
      <c r="BE180" s="1"/>
      <c r="BG180" s="1"/>
      <c r="BH180" s="1"/>
      <c r="BJ180" s="1"/>
      <c r="BL180" s="1"/>
      <c r="BN180" s="1"/>
      <c r="BO180">
        <v>599</v>
      </c>
      <c r="BP180">
        <v>4654734.66</v>
      </c>
      <c r="BQ180">
        <v>4654734.66</v>
      </c>
    </row>
    <row r="181" spans="1:69" x14ac:dyDescent="0.35">
      <c r="A181" s="1" t="s">
        <v>68</v>
      </c>
      <c r="B181" s="1" t="s">
        <v>69</v>
      </c>
      <c r="C181" s="1" t="s">
        <v>70</v>
      </c>
      <c r="D181">
        <v>1</v>
      </c>
      <c r="E181">
        <v>1</v>
      </c>
      <c r="F181" s="2">
        <v>43585.43</v>
      </c>
      <c r="G181" s="3">
        <v>41275</v>
      </c>
      <c r="H181" s="3">
        <v>41639</v>
      </c>
      <c r="I181" s="1" t="s">
        <v>71</v>
      </c>
      <c r="J181">
        <v>4521</v>
      </c>
      <c r="K181">
        <v>0</v>
      </c>
      <c r="L181" s="1" t="s">
        <v>384</v>
      </c>
      <c r="M181" s="1" t="s">
        <v>72</v>
      </c>
      <c r="N181" s="1" t="s">
        <v>134</v>
      </c>
      <c r="O181" s="1" t="s">
        <v>385</v>
      </c>
      <c r="P181" s="1" t="s">
        <v>386</v>
      </c>
      <c r="Q181" s="1" t="s">
        <v>387</v>
      </c>
      <c r="R181">
        <v>103</v>
      </c>
      <c r="S181" s="1" t="s">
        <v>135</v>
      </c>
      <c r="T181" s="1" t="s">
        <v>388</v>
      </c>
      <c r="U181" s="1" t="s">
        <v>135</v>
      </c>
      <c r="V181" s="1"/>
      <c r="W181" s="1"/>
      <c r="X181" s="1"/>
      <c r="Y181" s="1"/>
      <c r="AA181" s="1"/>
      <c r="AC181" s="1"/>
      <c r="AD181" s="1"/>
      <c r="AE181" s="1"/>
      <c r="AN181" s="1" t="s">
        <v>74</v>
      </c>
      <c r="AO181">
        <v>62</v>
      </c>
      <c r="AP181" s="1" t="s">
        <v>797</v>
      </c>
      <c r="AQ181" s="1" t="s">
        <v>983</v>
      </c>
      <c r="AR181" s="1" t="s">
        <v>1114</v>
      </c>
      <c r="AS181" s="1" t="s">
        <v>97</v>
      </c>
      <c r="AT181" s="3">
        <v>41336</v>
      </c>
      <c r="AU181" s="3">
        <v>41337</v>
      </c>
      <c r="AV181" s="3">
        <v>41364</v>
      </c>
      <c r="AW181" s="1" t="s">
        <v>1221</v>
      </c>
      <c r="AX181" s="1" t="s">
        <v>983</v>
      </c>
      <c r="AY181">
        <v>688.8</v>
      </c>
      <c r="AZ181">
        <v>253</v>
      </c>
      <c r="BA181">
        <v>4654734.66</v>
      </c>
      <c r="BB181" s="1"/>
      <c r="BD181" s="1"/>
      <c r="BE181" s="1"/>
      <c r="BG181" s="1"/>
      <c r="BH181" s="1"/>
      <c r="BJ181" s="1"/>
      <c r="BL181" s="1"/>
      <c r="BN181" s="1"/>
      <c r="BO181">
        <v>599</v>
      </c>
      <c r="BP181">
        <v>4654734.66</v>
      </c>
      <c r="BQ181">
        <v>4654734.66</v>
      </c>
    </row>
    <row r="182" spans="1:69" x14ac:dyDescent="0.35">
      <c r="A182" s="1" t="s">
        <v>68</v>
      </c>
      <c r="B182" s="1" t="s">
        <v>69</v>
      </c>
      <c r="C182" s="1" t="s">
        <v>70</v>
      </c>
      <c r="D182">
        <v>1</v>
      </c>
      <c r="E182">
        <v>1</v>
      </c>
      <c r="F182" s="2">
        <v>43585.43</v>
      </c>
      <c r="G182" s="3">
        <v>41275</v>
      </c>
      <c r="H182" s="3">
        <v>41639</v>
      </c>
      <c r="I182" s="1" t="s">
        <v>71</v>
      </c>
      <c r="J182">
        <v>4521</v>
      </c>
      <c r="K182">
        <v>0</v>
      </c>
      <c r="L182" s="1" t="s">
        <v>384</v>
      </c>
      <c r="M182" s="1" t="s">
        <v>72</v>
      </c>
      <c r="N182" s="1" t="s">
        <v>134</v>
      </c>
      <c r="O182" s="1" t="s">
        <v>385</v>
      </c>
      <c r="P182" s="1" t="s">
        <v>386</v>
      </c>
      <c r="Q182" s="1" t="s">
        <v>387</v>
      </c>
      <c r="R182">
        <v>103</v>
      </c>
      <c r="S182" s="1" t="s">
        <v>135</v>
      </c>
      <c r="T182" s="1" t="s">
        <v>388</v>
      </c>
      <c r="U182" s="1" t="s">
        <v>135</v>
      </c>
      <c r="V182" s="1"/>
      <c r="W182" s="1"/>
      <c r="X182" s="1"/>
      <c r="Y182" s="1"/>
      <c r="AA182" s="1"/>
      <c r="AC182" s="1"/>
      <c r="AD182" s="1"/>
      <c r="AE182" s="1"/>
      <c r="AN182" s="1" t="s">
        <v>74</v>
      </c>
      <c r="AO182">
        <v>63</v>
      </c>
      <c r="AP182" s="1" t="s">
        <v>798</v>
      </c>
      <c r="AQ182" s="1" t="s">
        <v>1016</v>
      </c>
      <c r="AR182" s="1" t="s">
        <v>1115</v>
      </c>
      <c r="AS182" s="1" t="s">
        <v>97</v>
      </c>
      <c r="AT182" s="3">
        <v>41336</v>
      </c>
      <c r="AU182" s="3">
        <v>41337</v>
      </c>
      <c r="AV182" s="3">
        <v>41364</v>
      </c>
      <c r="AW182" s="1" t="s">
        <v>1221</v>
      </c>
      <c r="AX182" s="1" t="s">
        <v>983</v>
      </c>
      <c r="AY182">
        <v>260.76</v>
      </c>
      <c r="AZ182">
        <v>253</v>
      </c>
      <c r="BA182">
        <v>4654734.66</v>
      </c>
      <c r="BB182" s="1"/>
      <c r="BD182" s="1"/>
      <c r="BE182" s="1"/>
      <c r="BG182" s="1"/>
      <c r="BH182" s="1"/>
      <c r="BJ182" s="1"/>
      <c r="BL182" s="1"/>
      <c r="BN182" s="1"/>
      <c r="BO182">
        <v>599</v>
      </c>
      <c r="BP182">
        <v>4654734.66</v>
      </c>
      <c r="BQ182">
        <v>4654734.66</v>
      </c>
    </row>
    <row r="183" spans="1:69" x14ac:dyDescent="0.35">
      <c r="A183" s="1" t="s">
        <v>68</v>
      </c>
      <c r="B183" s="1" t="s">
        <v>69</v>
      </c>
      <c r="C183" s="1" t="s">
        <v>70</v>
      </c>
      <c r="D183">
        <v>1</v>
      </c>
      <c r="E183">
        <v>1</v>
      </c>
      <c r="F183" s="2">
        <v>43585.43</v>
      </c>
      <c r="G183" s="3">
        <v>41275</v>
      </c>
      <c r="H183" s="3">
        <v>41639</v>
      </c>
      <c r="I183" s="1" t="s">
        <v>71</v>
      </c>
      <c r="J183">
        <v>4521</v>
      </c>
      <c r="K183">
        <v>0</v>
      </c>
      <c r="L183" s="1" t="s">
        <v>384</v>
      </c>
      <c r="M183" s="1" t="s">
        <v>72</v>
      </c>
      <c r="N183" s="1" t="s">
        <v>134</v>
      </c>
      <c r="O183" s="1" t="s">
        <v>385</v>
      </c>
      <c r="P183" s="1" t="s">
        <v>386</v>
      </c>
      <c r="Q183" s="1" t="s">
        <v>387</v>
      </c>
      <c r="R183">
        <v>103</v>
      </c>
      <c r="S183" s="1" t="s">
        <v>135</v>
      </c>
      <c r="T183" s="1" t="s">
        <v>388</v>
      </c>
      <c r="U183" s="1" t="s">
        <v>135</v>
      </c>
      <c r="V183" s="1"/>
      <c r="W183" s="1"/>
      <c r="X183" s="1"/>
      <c r="Y183" s="1"/>
      <c r="AA183" s="1"/>
      <c r="AC183" s="1"/>
      <c r="AD183" s="1"/>
      <c r="AE183" s="1"/>
      <c r="AN183" s="1" t="s">
        <v>74</v>
      </c>
      <c r="AO183">
        <v>64</v>
      </c>
      <c r="AP183" s="1" t="s">
        <v>799</v>
      </c>
      <c r="AQ183" s="1" t="s">
        <v>1017</v>
      </c>
      <c r="AR183" s="1" t="s">
        <v>1116</v>
      </c>
      <c r="AS183" s="1" t="s">
        <v>97</v>
      </c>
      <c r="AT183" s="3">
        <v>41336</v>
      </c>
      <c r="AU183" s="3">
        <v>41336</v>
      </c>
      <c r="AV183" s="3">
        <v>41364</v>
      </c>
      <c r="AW183" s="1" t="s">
        <v>1221</v>
      </c>
      <c r="AX183" s="1" t="s">
        <v>1017</v>
      </c>
      <c r="AY183">
        <v>5633.4</v>
      </c>
      <c r="AZ183">
        <v>253</v>
      </c>
      <c r="BA183">
        <v>4654734.66</v>
      </c>
      <c r="BB183" s="1"/>
      <c r="BD183" s="1"/>
      <c r="BE183" s="1"/>
      <c r="BG183" s="1"/>
      <c r="BH183" s="1"/>
      <c r="BJ183" s="1"/>
      <c r="BL183" s="1"/>
      <c r="BN183" s="1"/>
      <c r="BO183">
        <v>599</v>
      </c>
      <c r="BP183">
        <v>4654734.66</v>
      </c>
      <c r="BQ183">
        <v>4654734.66</v>
      </c>
    </row>
    <row r="184" spans="1:69" x14ac:dyDescent="0.35">
      <c r="A184" s="1" t="s">
        <v>68</v>
      </c>
      <c r="B184" s="1" t="s">
        <v>69</v>
      </c>
      <c r="C184" s="1" t="s">
        <v>70</v>
      </c>
      <c r="D184">
        <v>1</v>
      </c>
      <c r="E184">
        <v>1</v>
      </c>
      <c r="F184" s="2">
        <v>43585.43</v>
      </c>
      <c r="G184" s="3">
        <v>41275</v>
      </c>
      <c r="H184" s="3">
        <v>41639</v>
      </c>
      <c r="I184" s="1" t="s">
        <v>71</v>
      </c>
      <c r="J184">
        <v>4521</v>
      </c>
      <c r="K184">
        <v>0</v>
      </c>
      <c r="L184" s="1" t="s">
        <v>384</v>
      </c>
      <c r="M184" s="1" t="s">
        <v>72</v>
      </c>
      <c r="N184" s="1" t="s">
        <v>134</v>
      </c>
      <c r="O184" s="1" t="s">
        <v>385</v>
      </c>
      <c r="P184" s="1" t="s">
        <v>386</v>
      </c>
      <c r="Q184" s="1" t="s">
        <v>387</v>
      </c>
      <c r="R184">
        <v>103</v>
      </c>
      <c r="S184" s="1" t="s">
        <v>135</v>
      </c>
      <c r="T184" s="1" t="s">
        <v>388</v>
      </c>
      <c r="U184" s="1" t="s">
        <v>135</v>
      </c>
      <c r="V184" s="1"/>
      <c r="W184" s="1"/>
      <c r="X184" s="1"/>
      <c r="Y184" s="1"/>
      <c r="AA184" s="1"/>
      <c r="AC184" s="1"/>
      <c r="AD184" s="1"/>
      <c r="AE184" s="1"/>
      <c r="AN184" s="1" t="s">
        <v>74</v>
      </c>
      <c r="AO184">
        <v>65</v>
      </c>
      <c r="AP184" s="1" t="s">
        <v>800</v>
      </c>
      <c r="AQ184" s="1" t="s">
        <v>1017</v>
      </c>
      <c r="AR184" s="1" t="s">
        <v>1116</v>
      </c>
      <c r="AS184" s="1" t="s">
        <v>97</v>
      </c>
      <c r="AT184" s="3">
        <v>41336</v>
      </c>
      <c r="AU184" s="3">
        <v>41336</v>
      </c>
      <c r="AV184" s="3">
        <v>41364</v>
      </c>
      <c r="AW184" s="1" t="s">
        <v>1221</v>
      </c>
      <c r="AX184" s="1" t="s">
        <v>1017</v>
      </c>
      <c r="AY184">
        <v>4580</v>
      </c>
      <c r="AZ184">
        <v>253</v>
      </c>
      <c r="BA184">
        <v>4654734.66</v>
      </c>
      <c r="BB184" s="1"/>
      <c r="BD184" s="1"/>
      <c r="BE184" s="1"/>
      <c r="BG184" s="1"/>
      <c r="BH184" s="1"/>
      <c r="BJ184" s="1"/>
      <c r="BL184" s="1"/>
      <c r="BN184" s="1"/>
      <c r="BO184">
        <v>599</v>
      </c>
      <c r="BP184">
        <v>4654734.66</v>
      </c>
      <c r="BQ184">
        <v>4654734.66</v>
      </c>
    </row>
    <row r="185" spans="1:69" x14ac:dyDescent="0.35">
      <c r="A185" s="1" t="s">
        <v>68</v>
      </c>
      <c r="B185" s="1" t="s">
        <v>69</v>
      </c>
      <c r="C185" s="1" t="s">
        <v>70</v>
      </c>
      <c r="D185">
        <v>1</v>
      </c>
      <c r="E185">
        <v>1</v>
      </c>
      <c r="F185" s="2">
        <v>43585.43</v>
      </c>
      <c r="G185" s="3">
        <v>41275</v>
      </c>
      <c r="H185" s="3">
        <v>41639</v>
      </c>
      <c r="I185" s="1" t="s">
        <v>71</v>
      </c>
      <c r="J185">
        <v>4521</v>
      </c>
      <c r="K185">
        <v>0</v>
      </c>
      <c r="L185" s="1" t="s">
        <v>384</v>
      </c>
      <c r="M185" s="1" t="s">
        <v>72</v>
      </c>
      <c r="N185" s="1" t="s">
        <v>134</v>
      </c>
      <c r="O185" s="1" t="s">
        <v>385</v>
      </c>
      <c r="P185" s="1" t="s">
        <v>386</v>
      </c>
      <c r="Q185" s="1" t="s">
        <v>387</v>
      </c>
      <c r="R185">
        <v>103</v>
      </c>
      <c r="S185" s="1" t="s">
        <v>135</v>
      </c>
      <c r="T185" s="1" t="s">
        <v>388</v>
      </c>
      <c r="U185" s="1" t="s">
        <v>135</v>
      </c>
      <c r="V185" s="1"/>
      <c r="W185" s="1"/>
      <c r="X185" s="1"/>
      <c r="Y185" s="1"/>
      <c r="AA185" s="1"/>
      <c r="AC185" s="1"/>
      <c r="AD185" s="1"/>
      <c r="AE185" s="1"/>
      <c r="AN185" s="1" t="s">
        <v>74</v>
      </c>
      <c r="AO185">
        <v>66</v>
      </c>
      <c r="AP185" s="1" t="s">
        <v>801</v>
      </c>
      <c r="AQ185" s="1" t="s">
        <v>1018</v>
      </c>
      <c r="AR185" s="1" t="s">
        <v>1117</v>
      </c>
      <c r="AS185" s="1" t="s">
        <v>98</v>
      </c>
      <c r="AT185" s="3">
        <v>41336</v>
      </c>
      <c r="AU185" s="3">
        <v>41337</v>
      </c>
      <c r="AV185" s="3">
        <v>41364</v>
      </c>
      <c r="AW185" s="1" t="s">
        <v>1221</v>
      </c>
      <c r="AX185" s="1" t="s">
        <v>1018</v>
      </c>
      <c r="AY185">
        <v>85839.12</v>
      </c>
      <c r="AZ185">
        <v>253</v>
      </c>
      <c r="BA185">
        <v>4654734.66</v>
      </c>
      <c r="BB185" s="1"/>
      <c r="BD185" s="1"/>
      <c r="BE185" s="1"/>
      <c r="BG185" s="1"/>
      <c r="BH185" s="1"/>
      <c r="BJ185" s="1"/>
      <c r="BL185" s="1"/>
      <c r="BN185" s="1"/>
      <c r="BO185">
        <v>599</v>
      </c>
      <c r="BP185">
        <v>4654734.66</v>
      </c>
      <c r="BQ185">
        <v>4654734.66</v>
      </c>
    </row>
    <row r="186" spans="1:69" x14ac:dyDescent="0.35">
      <c r="A186" s="1" t="s">
        <v>68</v>
      </c>
      <c r="B186" s="1" t="s">
        <v>69</v>
      </c>
      <c r="C186" s="1" t="s">
        <v>70</v>
      </c>
      <c r="D186">
        <v>1</v>
      </c>
      <c r="E186">
        <v>1</v>
      </c>
      <c r="F186" s="2">
        <v>43585.43</v>
      </c>
      <c r="G186" s="3">
        <v>41275</v>
      </c>
      <c r="H186" s="3">
        <v>41639</v>
      </c>
      <c r="I186" s="1" t="s">
        <v>71</v>
      </c>
      <c r="J186">
        <v>4521</v>
      </c>
      <c r="K186">
        <v>0</v>
      </c>
      <c r="L186" s="1" t="s">
        <v>384</v>
      </c>
      <c r="M186" s="1" t="s">
        <v>72</v>
      </c>
      <c r="N186" s="1" t="s">
        <v>134</v>
      </c>
      <c r="O186" s="1" t="s">
        <v>385</v>
      </c>
      <c r="P186" s="1" t="s">
        <v>386</v>
      </c>
      <c r="Q186" s="1" t="s">
        <v>387</v>
      </c>
      <c r="R186">
        <v>103</v>
      </c>
      <c r="S186" s="1" t="s">
        <v>135</v>
      </c>
      <c r="T186" s="1" t="s">
        <v>388</v>
      </c>
      <c r="U186" s="1" t="s">
        <v>135</v>
      </c>
      <c r="V186" s="1"/>
      <c r="W186" s="1"/>
      <c r="X186" s="1"/>
      <c r="Y186" s="1"/>
      <c r="AA186" s="1"/>
      <c r="AC186" s="1"/>
      <c r="AD186" s="1"/>
      <c r="AE186" s="1"/>
      <c r="AN186" s="1" t="s">
        <v>74</v>
      </c>
      <c r="AO186">
        <v>67</v>
      </c>
      <c r="AP186" s="1" t="s">
        <v>802</v>
      </c>
      <c r="AQ186" s="1" t="s">
        <v>1019</v>
      </c>
      <c r="AR186" s="1" t="s">
        <v>1118</v>
      </c>
      <c r="AS186" s="1" t="s">
        <v>98</v>
      </c>
      <c r="AT186" s="3">
        <v>41337</v>
      </c>
      <c r="AU186" s="3">
        <v>41337</v>
      </c>
      <c r="AV186" s="3">
        <v>41364</v>
      </c>
      <c r="AW186" s="1" t="s">
        <v>1221</v>
      </c>
      <c r="AX186" s="1" t="s">
        <v>1019</v>
      </c>
      <c r="AY186">
        <v>6837.57</v>
      </c>
      <c r="AZ186">
        <v>253</v>
      </c>
      <c r="BA186">
        <v>4654734.66</v>
      </c>
      <c r="BB186" s="1"/>
      <c r="BD186" s="1"/>
      <c r="BE186" s="1"/>
      <c r="BG186" s="1"/>
      <c r="BH186" s="1"/>
      <c r="BJ186" s="1"/>
      <c r="BL186" s="1"/>
      <c r="BN186" s="1"/>
      <c r="BO186">
        <v>599</v>
      </c>
      <c r="BP186">
        <v>4654734.66</v>
      </c>
      <c r="BQ186">
        <v>4654734.66</v>
      </c>
    </row>
    <row r="187" spans="1:69" x14ac:dyDescent="0.35">
      <c r="A187" s="1" t="s">
        <v>68</v>
      </c>
      <c r="B187" s="1" t="s">
        <v>69</v>
      </c>
      <c r="C187" s="1" t="s">
        <v>70</v>
      </c>
      <c r="D187">
        <v>1</v>
      </c>
      <c r="E187">
        <v>1</v>
      </c>
      <c r="F187" s="2">
        <v>43585.43</v>
      </c>
      <c r="G187" s="3">
        <v>41275</v>
      </c>
      <c r="H187" s="3">
        <v>41639</v>
      </c>
      <c r="I187" s="1" t="s">
        <v>71</v>
      </c>
      <c r="J187">
        <v>4521</v>
      </c>
      <c r="K187">
        <v>0</v>
      </c>
      <c r="L187" s="1" t="s">
        <v>384</v>
      </c>
      <c r="M187" s="1" t="s">
        <v>72</v>
      </c>
      <c r="N187" s="1" t="s">
        <v>134</v>
      </c>
      <c r="O187" s="1" t="s">
        <v>385</v>
      </c>
      <c r="P187" s="1" t="s">
        <v>386</v>
      </c>
      <c r="Q187" s="1" t="s">
        <v>387</v>
      </c>
      <c r="R187">
        <v>103</v>
      </c>
      <c r="S187" s="1" t="s">
        <v>135</v>
      </c>
      <c r="T187" s="1" t="s">
        <v>388</v>
      </c>
      <c r="U187" s="1" t="s">
        <v>135</v>
      </c>
      <c r="V187" s="1"/>
      <c r="W187" s="1"/>
      <c r="X187" s="1"/>
      <c r="Y187" s="1"/>
      <c r="AA187" s="1"/>
      <c r="AC187" s="1"/>
      <c r="AD187" s="1"/>
      <c r="AE187" s="1"/>
      <c r="AN187" s="1" t="s">
        <v>74</v>
      </c>
      <c r="AO187">
        <v>68</v>
      </c>
      <c r="AP187" s="1" t="s">
        <v>803</v>
      </c>
      <c r="AQ187" s="1" t="s">
        <v>1020</v>
      </c>
      <c r="AR187" s="1" t="s">
        <v>1119</v>
      </c>
      <c r="AS187" s="1" t="s">
        <v>98</v>
      </c>
      <c r="AT187" s="3">
        <v>41338</v>
      </c>
      <c r="AU187" s="3">
        <v>41338</v>
      </c>
      <c r="AV187" s="3">
        <v>41364</v>
      </c>
      <c r="AW187" s="1" t="s">
        <v>1221</v>
      </c>
      <c r="AX187" s="1" t="s">
        <v>1020</v>
      </c>
      <c r="AY187">
        <v>1205.4000000000001</v>
      </c>
      <c r="AZ187">
        <v>253</v>
      </c>
      <c r="BA187">
        <v>4654734.66</v>
      </c>
      <c r="BB187" s="1"/>
      <c r="BD187" s="1"/>
      <c r="BE187" s="1"/>
      <c r="BG187" s="1"/>
      <c r="BH187" s="1"/>
      <c r="BJ187" s="1"/>
      <c r="BL187" s="1"/>
      <c r="BN187" s="1"/>
      <c r="BO187">
        <v>599</v>
      </c>
      <c r="BP187">
        <v>4654734.66</v>
      </c>
      <c r="BQ187">
        <v>4654734.66</v>
      </c>
    </row>
    <row r="188" spans="1:69" x14ac:dyDescent="0.35">
      <c r="A188" s="1" t="s">
        <v>68</v>
      </c>
      <c r="B188" s="1" t="s">
        <v>69</v>
      </c>
      <c r="C188" s="1" t="s">
        <v>70</v>
      </c>
      <c r="D188">
        <v>1</v>
      </c>
      <c r="E188">
        <v>1</v>
      </c>
      <c r="F188" s="2">
        <v>43585.43</v>
      </c>
      <c r="G188" s="3">
        <v>41275</v>
      </c>
      <c r="H188" s="3">
        <v>41639</v>
      </c>
      <c r="I188" s="1" t="s">
        <v>71</v>
      </c>
      <c r="J188">
        <v>4521</v>
      </c>
      <c r="K188">
        <v>0</v>
      </c>
      <c r="L188" s="1" t="s">
        <v>384</v>
      </c>
      <c r="M188" s="1" t="s">
        <v>72</v>
      </c>
      <c r="N188" s="1" t="s">
        <v>134</v>
      </c>
      <c r="O188" s="1" t="s">
        <v>385</v>
      </c>
      <c r="P188" s="1" t="s">
        <v>386</v>
      </c>
      <c r="Q188" s="1" t="s">
        <v>387</v>
      </c>
      <c r="R188">
        <v>103</v>
      </c>
      <c r="S188" s="1" t="s">
        <v>135</v>
      </c>
      <c r="T188" s="1" t="s">
        <v>388</v>
      </c>
      <c r="U188" s="1" t="s">
        <v>135</v>
      </c>
      <c r="V188" s="1"/>
      <c r="W188" s="1"/>
      <c r="X188" s="1"/>
      <c r="Y188" s="1"/>
      <c r="AA188" s="1"/>
      <c r="AC188" s="1"/>
      <c r="AD188" s="1"/>
      <c r="AE188" s="1"/>
      <c r="AN188" s="1" t="s">
        <v>74</v>
      </c>
      <c r="AO188">
        <v>69</v>
      </c>
      <c r="AP188" s="1" t="s">
        <v>804</v>
      </c>
      <c r="AQ188" s="1" t="s">
        <v>1021</v>
      </c>
      <c r="AR188" s="1" t="s">
        <v>1120</v>
      </c>
      <c r="AS188" s="1" t="s">
        <v>1206</v>
      </c>
      <c r="AT188" s="3">
        <v>41336</v>
      </c>
      <c r="AU188" s="3">
        <v>41338</v>
      </c>
      <c r="AV188" s="3">
        <v>41364</v>
      </c>
      <c r="AW188" s="1" t="s">
        <v>1221</v>
      </c>
      <c r="AX188" s="1" t="s">
        <v>1021</v>
      </c>
      <c r="AY188">
        <v>1158.9000000000001</v>
      </c>
      <c r="AZ188">
        <v>253</v>
      </c>
      <c r="BA188">
        <v>4654734.66</v>
      </c>
      <c r="BB188" s="1"/>
      <c r="BD188" s="1"/>
      <c r="BE188" s="1"/>
      <c r="BG188" s="1"/>
      <c r="BH188" s="1"/>
      <c r="BJ188" s="1"/>
      <c r="BL188" s="1"/>
      <c r="BN188" s="1"/>
      <c r="BO188">
        <v>599</v>
      </c>
      <c r="BP188">
        <v>4654734.66</v>
      </c>
      <c r="BQ188">
        <v>4654734.66</v>
      </c>
    </row>
    <row r="189" spans="1:69" x14ac:dyDescent="0.35">
      <c r="A189" s="1" t="s">
        <v>68</v>
      </c>
      <c r="B189" s="1" t="s">
        <v>69</v>
      </c>
      <c r="C189" s="1" t="s">
        <v>70</v>
      </c>
      <c r="D189">
        <v>1</v>
      </c>
      <c r="E189">
        <v>1</v>
      </c>
      <c r="F189" s="2">
        <v>43585.43</v>
      </c>
      <c r="G189" s="3">
        <v>41275</v>
      </c>
      <c r="H189" s="3">
        <v>41639</v>
      </c>
      <c r="I189" s="1" t="s">
        <v>71</v>
      </c>
      <c r="J189">
        <v>4521</v>
      </c>
      <c r="K189">
        <v>0</v>
      </c>
      <c r="L189" s="1" t="s">
        <v>384</v>
      </c>
      <c r="M189" s="1" t="s">
        <v>72</v>
      </c>
      <c r="N189" s="1" t="s">
        <v>134</v>
      </c>
      <c r="O189" s="1" t="s">
        <v>385</v>
      </c>
      <c r="P189" s="1" t="s">
        <v>386</v>
      </c>
      <c r="Q189" s="1" t="s">
        <v>387</v>
      </c>
      <c r="R189">
        <v>103</v>
      </c>
      <c r="S189" s="1" t="s">
        <v>135</v>
      </c>
      <c r="T189" s="1" t="s">
        <v>388</v>
      </c>
      <c r="U189" s="1" t="s">
        <v>135</v>
      </c>
      <c r="V189" s="1"/>
      <c r="W189" s="1"/>
      <c r="X189" s="1"/>
      <c r="Y189" s="1"/>
      <c r="AA189" s="1"/>
      <c r="AC189" s="1"/>
      <c r="AD189" s="1"/>
      <c r="AE189" s="1"/>
      <c r="AN189" s="1" t="s">
        <v>74</v>
      </c>
      <c r="AO189">
        <v>70</v>
      </c>
      <c r="AP189" s="1" t="s">
        <v>805</v>
      </c>
      <c r="AQ189" s="1" t="s">
        <v>1022</v>
      </c>
      <c r="AR189" s="1" t="s">
        <v>1121</v>
      </c>
      <c r="AS189" s="1" t="s">
        <v>97</v>
      </c>
      <c r="AT189" s="3">
        <v>41335</v>
      </c>
      <c r="AU189" s="3">
        <v>41339</v>
      </c>
      <c r="AV189" s="3">
        <v>41364</v>
      </c>
      <c r="AW189" s="1" t="s">
        <v>1221</v>
      </c>
      <c r="AX189" s="1" t="s">
        <v>1022</v>
      </c>
      <c r="AY189">
        <v>1107</v>
      </c>
      <c r="AZ189">
        <v>253</v>
      </c>
      <c r="BA189">
        <v>4654734.66</v>
      </c>
      <c r="BB189" s="1"/>
      <c r="BD189" s="1"/>
      <c r="BE189" s="1"/>
      <c r="BG189" s="1"/>
      <c r="BH189" s="1"/>
      <c r="BJ189" s="1"/>
      <c r="BL189" s="1"/>
      <c r="BN189" s="1"/>
      <c r="BO189">
        <v>599</v>
      </c>
      <c r="BP189">
        <v>4654734.66</v>
      </c>
      <c r="BQ189">
        <v>4654734.66</v>
      </c>
    </row>
    <row r="190" spans="1:69" x14ac:dyDescent="0.35">
      <c r="A190" s="1" t="s">
        <v>68</v>
      </c>
      <c r="B190" s="1" t="s">
        <v>69</v>
      </c>
      <c r="C190" s="1" t="s">
        <v>70</v>
      </c>
      <c r="D190">
        <v>1</v>
      </c>
      <c r="E190">
        <v>1</v>
      </c>
      <c r="F190" s="2">
        <v>43585.43</v>
      </c>
      <c r="G190" s="3">
        <v>41275</v>
      </c>
      <c r="H190" s="3">
        <v>41639</v>
      </c>
      <c r="I190" s="1" t="s">
        <v>71</v>
      </c>
      <c r="J190">
        <v>4521</v>
      </c>
      <c r="K190">
        <v>0</v>
      </c>
      <c r="L190" s="1" t="s">
        <v>384</v>
      </c>
      <c r="M190" s="1" t="s">
        <v>72</v>
      </c>
      <c r="N190" s="1" t="s">
        <v>134</v>
      </c>
      <c r="O190" s="1" t="s">
        <v>385</v>
      </c>
      <c r="P190" s="1" t="s">
        <v>386</v>
      </c>
      <c r="Q190" s="1" t="s">
        <v>387</v>
      </c>
      <c r="R190">
        <v>103</v>
      </c>
      <c r="S190" s="1" t="s">
        <v>135</v>
      </c>
      <c r="T190" s="1" t="s">
        <v>388</v>
      </c>
      <c r="U190" s="1" t="s">
        <v>135</v>
      </c>
      <c r="V190" s="1"/>
      <c r="W190" s="1"/>
      <c r="X190" s="1"/>
      <c r="Y190" s="1"/>
      <c r="AA190" s="1"/>
      <c r="AC190" s="1"/>
      <c r="AD190" s="1"/>
      <c r="AE190" s="1"/>
      <c r="AN190" s="1" t="s">
        <v>74</v>
      </c>
      <c r="AO190">
        <v>71</v>
      </c>
      <c r="AP190" s="1" t="s">
        <v>806</v>
      </c>
      <c r="AQ190" s="1" t="s">
        <v>1023</v>
      </c>
      <c r="AR190" s="1" t="s">
        <v>1122</v>
      </c>
      <c r="AS190" s="1" t="s">
        <v>98</v>
      </c>
      <c r="AT190" s="3">
        <v>41339</v>
      </c>
      <c r="AU190" s="3">
        <v>41339</v>
      </c>
      <c r="AV190" s="3">
        <v>41364</v>
      </c>
      <c r="AW190" s="1" t="s">
        <v>1221</v>
      </c>
      <c r="AX190" s="1" t="s">
        <v>982</v>
      </c>
      <c r="AY190">
        <v>7779.75</v>
      </c>
      <c r="AZ190">
        <v>253</v>
      </c>
      <c r="BA190">
        <v>4654734.66</v>
      </c>
      <c r="BB190" s="1"/>
      <c r="BD190" s="1"/>
      <c r="BE190" s="1"/>
      <c r="BG190" s="1"/>
      <c r="BH190" s="1"/>
      <c r="BJ190" s="1"/>
      <c r="BL190" s="1"/>
      <c r="BN190" s="1"/>
      <c r="BO190">
        <v>599</v>
      </c>
      <c r="BP190">
        <v>4654734.66</v>
      </c>
      <c r="BQ190">
        <v>4654734.66</v>
      </c>
    </row>
    <row r="191" spans="1:69" x14ac:dyDescent="0.35">
      <c r="A191" s="1" t="s">
        <v>68</v>
      </c>
      <c r="B191" s="1" t="s">
        <v>69</v>
      </c>
      <c r="C191" s="1" t="s">
        <v>70</v>
      </c>
      <c r="D191">
        <v>1</v>
      </c>
      <c r="E191">
        <v>1</v>
      </c>
      <c r="F191" s="2">
        <v>43585.43</v>
      </c>
      <c r="G191" s="3">
        <v>41275</v>
      </c>
      <c r="H191" s="3">
        <v>41639</v>
      </c>
      <c r="I191" s="1" t="s">
        <v>71</v>
      </c>
      <c r="J191">
        <v>4521</v>
      </c>
      <c r="K191">
        <v>0</v>
      </c>
      <c r="L191" s="1" t="s">
        <v>384</v>
      </c>
      <c r="M191" s="1" t="s">
        <v>72</v>
      </c>
      <c r="N191" s="1" t="s">
        <v>134</v>
      </c>
      <c r="O191" s="1" t="s">
        <v>385</v>
      </c>
      <c r="P191" s="1" t="s">
        <v>386</v>
      </c>
      <c r="Q191" s="1" t="s">
        <v>387</v>
      </c>
      <c r="R191">
        <v>103</v>
      </c>
      <c r="S191" s="1" t="s">
        <v>135</v>
      </c>
      <c r="T191" s="1" t="s">
        <v>388</v>
      </c>
      <c r="U191" s="1" t="s">
        <v>135</v>
      </c>
      <c r="V191" s="1"/>
      <c r="W191" s="1"/>
      <c r="X191" s="1"/>
      <c r="Y191" s="1"/>
      <c r="AA191" s="1"/>
      <c r="AC191" s="1"/>
      <c r="AD191" s="1"/>
      <c r="AE191" s="1"/>
      <c r="AN191" s="1" t="s">
        <v>74</v>
      </c>
      <c r="AO191">
        <v>72</v>
      </c>
      <c r="AP191" s="1" t="s">
        <v>807</v>
      </c>
      <c r="AQ191" s="1" t="s">
        <v>1024</v>
      </c>
      <c r="AR191" s="1" t="s">
        <v>1123</v>
      </c>
      <c r="AS191" s="1" t="s">
        <v>1213</v>
      </c>
      <c r="AT191" s="3">
        <v>41345</v>
      </c>
      <c r="AU191" s="3">
        <v>41345</v>
      </c>
      <c r="AV191" s="3">
        <v>41364</v>
      </c>
      <c r="AW191" s="1" t="s">
        <v>1221</v>
      </c>
      <c r="AX191" s="1" t="s">
        <v>1234</v>
      </c>
      <c r="AY191">
        <v>33.119999999999997</v>
      </c>
      <c r="AZ191">
        <v>253</v>
      </c>
      <c r="BA191">
        <v>4654734.66</v>
      </c>
      <c r="BB191" s="1"/>
      <c r="BD191" s="1"/>
      <c r="BE191" s="1"/>
      <c r="BG191" s="1"/>
      <c r="BH191" s="1"/>
      <c r="BJ191" s="1"/>
      <c r="BL191" s="1"/>
      <c r="BN191" s="1"/>
      <c r="BO191">
        <v>599</v>
      </c>
      <c r="BP191">
        <v>4654734.66</v>
      </c>
      <c r="BQ191">
        <v>4654734.66</v>
      </c>
    </row>
    <row r="192" spans="1:69" x14ac:dyDescent="0.35">
      <c r="A192" s="1" t="s">
        <v>68</v>
      </c>
      <c r="B192" s="1" t="s">
        <v>69</v>
      </c>
      <c r="C192" s="1" t="s">
        <v>70</v>
      </c>
      <c r="D192">
        <v>1</v>
      </c>
      <c r="E192">
        <v>1</v>
      </c>
      <c r="F192" s="2">
        <v>43585.43</v>
      </c>
      <c r="G192" s="3">
        <v>41275</v>
      </c>
      <c r="H192" s="3">
        <v>41639</v>
      </c>
      <c r="I192" s="1" t="s">
        <v>71</v>
      </c>
      <c r="J192">
        <v>4521</v>
      </c>
      <c r="K192">
        <v>0</v>
      </c>
      <c r="L192" s="1" t="s">
        <v>384</v>
      </c>
      <c r="M192" s="1" t="s">
        <v>72</v>
      </c>
      <c r="N192" s="1" t="s">
        <v>134</v>
      </c>
      <c r="O192" s="1" t="s">
        <v>385</v>
      </c>
      <c r="P192" s="1" t="s">
        <v>386</v>
      </c>
      <c r="Q192" s="1" t="s">
        <v>387</v>
      </c>
      <c r="R192">
        <v>103</v>
      </c>
      <c r="S192" s="1" t="s">
        <v>135</v>
      </c>
      <c r="T192" s="1" t="s">
        <v>388</v>
      </c>
      <c r="U192" s="1" t="s">
        <v>135</v>
      </c>
      <c r="V192" s="1"/>
      <c r="W192" s="1"/>
      <c r="X192" s="1"/>
      <c r="Y192" s="1"/>
      <c r="AA192" s="1"/>
      <c r="AC192" s="1"/>
      <c r="AD192" s="1"/>
      <c r="AE192" s="1"/>
      <c r="AN192" s="1" t="s">
        <v>74</v>
      </c>
      <c r="AO192">
        <v>73</v>
      </c>
      <c r="AP192" s="1" t="s">
        <v>808</v>
      </c>
      <c r="AQ192" s="1" t="s">
        <v>1024</v>
      </c>
      <c r="AR192" s="1" t="s">
        <v>1123</v>
      </c>
      <c r="AS192" s="1" t="s">
        <v>1213</v>
      </c>
      <c r="AT192" s="3">
        <v>41345</v>
      </c>
      <c r="AU192" s="3">
        <v>41345</v>
      </c>
      <c r="AV192" s="3">
        <v>41364</v>
      </c>
      <c r="AW192" s="1" t="s">
        <v>1221</v>
      </c>
      <c r="AX192" s="1" t="s">
        <v>1235</v>
      </c>
      <c r="AY192">
        <v>950.12</v>
      </c>
      <c r="AZ192">
        <v>253</v>
      </c>
      <c r="BA192">
        <v>4654734.66</v>
      </c>
      <c r="BB192" s="1"/>
      <c r="BD192" s="1"/>
      <c r="BE192" s="1"/>
      <c r="BG192" s="1"/>
      <c r="BH192" s="1"/>
      <c r="BJ192" s="1"/>
      <c r="BL192" s="1"/>
      <c r="BN192" s="1"/>
      <c r="BO192">
        <v>599</v>
      </c>
      <c r="BP192">
        <v>4654734.66</v>
      </c>
      <c r="BQ192">
        <v>4654734.66</v>
      </c>
    </row>
    <row r="193" spans="1:69" x14ac:dyDescent="0.35">
      <c r="A193" s="1" t="s">
        <v>68</v>
      </c>
      <c r="B193" s="1" t="s">
        <v>69</v>
      </c>
      <c r="C193" s="1" t="s">
        <v>70</v>
      </c>
      <c r="D193">
        <v>1</v>
      </c>
      <c r="E193">
        <v>1</v>
      </c>
      <c r="F193" s="2">
        <v>43585.43</v>
      </c>
      <c r="G193" s="3">
        <v>41275</v>
      </c>
      <c r="H193" s="3">
        <v>41639</v>
      </c>
      <c r="I193" s="1" t="s">
        <v>71</v>
      </c>
      <c r="J193">
        <v>4521</v>
      </c>
      <c r="K193">
        <v>0</v>
      </c>
      <c r="L193" s="1" t="s">
        <v>384</v>
      </c>
      <c r="M193" s="1" t="s">
        <v>72</v>
      </c>
      <c r="N193" s="1" t="s">
        <v>134</v>
      </c>
      <c r="O193" s="1" t="s">
        <v>385</v>
      </c>
      <c r="P193" s="1" t="s">
        <v>386</v>
      </c>
      <c r="Q193" s="1" t="s">
        <v>387</v>
      </c>
      <c r="R193">
        <v>103</v>
      </c>
      <c r="S193" s="1" t="s">
        <v>135</v>
      </c>
      <c r="T193" s="1" t="s">
        <v>388</v>
      </c>
      <c r="U193" s="1" t="s">
        <v>135</v>
      </c>
      <c r="V193" s="1"/>
      <c r="W193" s="1"/>
      <c r="X193" s="1"/>
      <c r="Y193" s="1"/>
      <c r="AA193" s="1"/>
      <c r="AC193" s="1"/>
      <c r="AD193" s="1"/>
      <c r="AE193" s="1"/>
      <c r="AN193" s="1" t="s">
        <v>74</v>
      </c>
      <c r="AO193">
        <v>74</v>
      </c>
      <c r="AP193" s="1" t="s">
        <v>809</v>
      </c>
      <c r="AQ193" s="1" t="s">
        <v>1024</v>
      </c>
      <c r="AR193" s="1" t="s">
        <v>1123</v>
      </c>
      <c r="AS193" s="1" t="s">
        <v>1213</v>
      </c>
      <c r="AT193" s="3">
        <v>41345</v>
      </c>
      <c r="AU193" s="3">
        <v>41345</v>
      </c>
      <c r="AV193" s="3">
        <v>41364</v>
      </c>
      <c r="AW193" s="1" t="s">
        <v>1221</v>
      </c>
      <c r="AX193" s="1" t="s">
        <v>1240</v>
      </c>
      <c r="AY193">
        <v>800</v>
      </c>
      <c r="AZ193">
        <v>253</v>
      </c>
      <c r="BA193">
        <v>4654734.66</v>
      </c>
      <c r="BB193" s="1"/>
      <c r="BD193" s="1"/>
      <c r="BE193" s="1"/>
      <c r="BG193" s="1"/>
      <c r="BH193" s="1"/>
      <c r="BJ193" s="1"/>
      <c r="BL193" s="1"/>
      <c r="BN193" s="1"/>
      <c r="BO193">
        <v>599</v>
      </c>
      <c r="BP193">
        <v>4654734.66</v>
      </c>
      <c r="BQ193">
        <v>4654734.66</v>
      </c>
    </row>
    <row r="194" spans="1:69" x14ac:dyDescent="0.35">
      <c r="A194" s="1" t="s">
        <v>68</v>
      </c>
      <c r="B194" s="1" t="s">
        <v>69</v>
      </c>
      <c r="C194" s="1" t="s">
        <v>70</v>
      </c>
      <c r="D194">
        <v>1</v>
      </c>
      <c r="E194">
        <v>1</v>
      </c>
      <c r="F194" s="2">
        <v>43585.43</v>
      </c>
      <c r="G194" s="3">
        <v>41275</v>
      </c>
      <c r="H194" s="3">
        <v>41639</v>
      </c>
      <c r="I194" s="1" t="s">
        <v>71</v>
      </c>
      <c r="J194">
        <v>4521</v>
      </c>
      <c r="K194">
        <v>0</v>
      </c>
      <c r="L194" s="1" t="s">
        <v>384</v>
      </c>
      <c r="M194" s="1" t="s">
        <v>72</v>
      </c>
      <c r="N194" s="1" t="s">
        <v>134</v>
      </c>
      <c r="O194" s="1" t="s">
        <v>385</v>
      </c>
      <c r="P194" s="1" t="s">
        <v>386</v>
      </c>
      <c r="Q194" s="1" t="s">
        <v>387</v>
      </c>
      <c r="R194">
        <v>103</v>
      </c>
      <c r="S194" s="1" t="s">
        <v>135</v>
      </c>
      <c r="T194" s="1" t="s">
        <v>388</v>
      </c>
      <c r="U194" s="1" t="s">
        <v>135</v>
      </c>
      <c r="V194" s="1"/>
      <c r="W194" s="1"/>
      <c r="X194" s="1"/>
      <c r="Y194" s="1"/>
      <c r="AA194" s="1"/>
      <c r="AC194" s="1"/>
      <c r="AD194" s="1"/>
      <c r="AE194" s="1"/>
      <c r="AN194" s="1" t="s">
        <v>74</v>
      </c>
      <c r="AO194">
        <v>75</v>
      </c>
      <c r="AP194" s="1" t="s">
        <v>810</v>
      </c>
      <c r="AQ194" s="1" t="s">
        <v>1024</v>
      </c>
      <c r="AR194" s="1" t="s">
        <v>1123</v>
      </c>
      <c r="AS194" s="1" t="s">
        <v>1213</v>
      </c>
      <c r="AT194" s="3">
        <v>41345</v>
      </c>
      <c r="AU194" s="3">
        <v>41345</v>
      </c>
      <c r="AV194" s="3">
        <v>41364</v>
      </c>
      <c r="AW194" s="1" t="s">
        <v>1221</v>
      </c>
      <c r="AX194" s="1" t="s">
        <v>1241</v>
      </c>
      <c r="AY194">
        <v>184</v>
      </c>
      <c r="AZ194">
        <v>253</v>
      </c>
      <c r="BA194">
        <v>4654734.66</v>
      </c>
      <c r="BB194" s="1"/>
      <c r="BD194" s="1"/>
      <c r="BE194" s="1"/>
      <c r="BG194" s="1"/>
      <c r="BH194" s="1"/>
      <c r="BJ194" s="1"/>
      <c r="BL194" s="1"/>
      <c r="BN194" s="1"/>
      <c r="BO194">
        <v>599</v>
      </c>
      <c r="BP194">
        <v>4654734.66</v>
      </c>
      <c r="BQ194">
        <v>4654734.66</v>
      </c>
    </row>
    <row r="195" spans="1:69" x14ac:dyDescent="0.35">
      <c r="A195" s="1" t="s">
        <v>68</v>
      </c>
      <c r="B195" s="1" t="s">
        <v>69</v>
      </c>
      <c r="C195" s="1" t="s">
        <v>70</v>
      </c>
      <c r="D195">
        <v>1</v>
      </c>
      <c r="E195">
        <v>1</v>
      </c>
      <c r="F195" s="2">
        <v>43585.43</v>
      </c>
      <c r="G195" s="3">
        <v>41275</v>
      </c>
      <c r="H195" s="3">
        <v>41639</v>
      </c>
      <c r="I195" s="1" t="s">
        <v>71</v>
      </c>
      <c r="J195">
        <v>4521</v>
      </c>
      <c r="K195">
        <v>0</v>
      </c>
      <c r="L195" s="1" t="s">
        <v>384</v>
      </c>
      <c r="M195" s="1" t="s">
        <v>72</v>
      </c>
      <c r="N195" s="1" t="s">
        <v>134</v>
      </c>
      <c r="O195" s="1" t="s">
        <v>385</v>
      </c>
      <c r="P195" s="1" t="s">
        <v>386</v>
      </c>
      <c r="Q195" s="1" t="s">
        <v>387</v>
      </c>
      <c r="R195">
        <v>103</v>
      </c>
      <c r="S195" s="1" t="s">
        <v>135</v>
      </c>
      <c r="T195" s="1" t="s">
        <v>388</v>
      </c>
      <c r="U195" s="1" t="s">
        <v>135</v>
      </c>
      <c r="V195" s="1"/>
      <c r="W195" s="1"/>
      <c r="X195" s="1"/>
      <c r="Y195" s="1"/>
      <c r="AA195" s="1"/>
      <c r="AC195" s="1"/>
      <c r="AD195" s="1"/>
      <c r="AE195" s="1"/>
      <c r="AN195" s="1" t="s">
        <v>74</v>
      </c>
      <c r="AO195">
        <v>76</v>
      </c>
      <c r="AP195" s="1" t="s">
        <v>811</v>
      </c>
      <c r="AQ195" s="1" t="s">
        <v>1025</v>
      </c>
      <c r="AR195" s="1" t="s">
        <v>1124</v>
      </c>
      <c r="AS195" s="1" t="s">
        <v>98</v>
      </c>
      <c r="AT195" s="3">
        <v>41353</v>
      </c>
      <c r="AU195" s="3">
        <v>41355</v>
      </c>
      <c r="AV195" s="3">
        <v>41364</v>
      </c>
      <c r="AW195" s="1" t="s">
        <v>1221</v>
      </c>
      <c r="AX195" s="1" t="s">
        <v>1025</v>
      </c>
      <c r="AY195">
        <v>640.83000000000004</v>
      </c>
      <c r="AZ195">
        <v>253</v>
      </c>
      <c r="BA195">
        <v>4654734.66</v>
      </c>
      <c r="BB195" s="1"/>
      <c r="BD195" s="1"/>
      <c r="BE195" s="1"/>
      <c r="BG195" s="1"/>
      <c r="BH195" s="1"/>
      <c r="BJ195" s="1"/>
      <c r="BL195" s="1"/>
      <c r="BN195" s="1"/>
      <c r="BO195">
        <v>599</v>
      </c>
      <c r="BP195">
        <v>4654734.66</v>
      </c>
      <c r="BQ195">
        <v>4654734.66</v>
      </c>
    </row>
    <row r="196" spans="1:69" x14ac:dyDescent="0.35">
      <c r="A196" s="1" t="s">
        <v>68</v>
      </c>
      <c r="B196" s="1" t="s">
        <v>69</v>
      </c>
      <c r="C196" s="1" t="s">
        <v>70</v>
      </c>
      <c r="D196">
        <v>1</v>
      </c>
      <c r="E196">
        <v>1</v>
      </c>
      <c r="F196" s="2">
        <v>43585.43</v>
      </c>
      <c r="G196" s="3">
        <v>41275</v>
      </c>
      <c r="H196" s="3">
        <v>41639</v>
      </c>
      <c r="I196" s="1" t="s">
        <v>71</v>
      </c>
      <c r="J196">
        <v>4521</v>
      </c>
      <c r="K196">
        <v>0</v>
      </c>
      <c r="L196" s="1" t="s">
        <v>384</v>
      </c>
      <c r="M196" s="1" t="s">
        <v>72</v>
      </c>
      <c r="N196" s="1" t="s">
        <v>134</v>
      </c>
      <c r="O196" s="1" t="s">
        <v>385</v>
      </c>
      <c r="P196" s="1" t="s">
        <v>386</v>
      </c>
      <c r="Q196" s="1" t="s">
        <v>387</v>
      </c>
      <c r="R196">
        <v>103</v>
      </c>
      <c r="S196" s="1" t="s">
        <v>135</v>
      </c>
      <c r="T196" s="1" t="s">
        <v>388</v>
      </c>
      <c r="U196" s="1" t="s">
        <v>135</v>
      </c>
      <c r="V196" s="1"/>
      <c r="W196" s="1"/>
      <c r="X196" s="1"/>
      <c r="Y196" s="1"/>
      <c r="AA196" s="1"/>
      <c r="AC196" s="1"/>
      <c r="AD196" s="1"/>
      <c r="AE196" s="1"/>
      <c r="AN196" s="1" t="s">
        <v>74</v>
      </c>
      <c r="AO196">
        <v>77</v>
      </c>
      <c r="AP196" s="1" t="s">
        <v>812</v>
      </c>
      <c r="AQ196" s="1" t="s">
        <v>976</v>
      </c>
      <c r="AR196" s="1" t="s">
        <v>1125</v>
      </c>
      <c r="AS196" s="1" t="s">
        <v>97</v>
      </c>
      <c r="AT196" s="3">
        <v>41356</v>
      </c>
      <c r="AU196" s="3">
        <v>41356</v>
      </c>
      <c r="AV196" s="3">
        <v>41364</v>
      </c>
      <c r="AW196" s="1" t="s">
        <v>1221</v>
      </c>
      <c r="AX196" s="1" t="s">
        <v>976</v>
      </c>
      <c r="AY196">
        <v>2836.76</v>
      </c>
      <c r="AZ196">
        <v>253</v>
      </c>
      <c r="BA196">
        <v>4654734.66</v>
      </c>
      <c r="BB196" s="1"/>
      <c r="BD196" s="1"/>
      <c r="BE196" s="1"/>
      <c r="BG196" s="1"/>
      <c r="BH196" s="1"/>
      <c r="BJ196" s="1"/>
      <c r="BL196" s="1"/>
      <c r="BN196" s="1"/>
      <c r="BO196">
        <v>599</v>
      </c>
      <c r="BP196">
        <v>4654734.66</v>
      </c>
      <c r="BQ196">
        <v>4654734.66</v>
      </c>
    </row>
    <row r="197" spans="1:69" x14ac:dyDescent="0.35">
      <c r="A197" s="1" t="s">
        <v>68</v>
      </c>
      <c r="B197" s="1" t="s">
        <v>69</v>
      </c>
      <c r="C197" s="1" t="s">
        <v>70</v>
      </c>
      <c r="D197">
        <v>1</v>
      </c>
      <c r="E197">
        <v>1</v>
      </c>
      <c r="F197" s="2">
        <v>43585.43</v>
      </c>
      <c r="G197" s="3">
        <v>41275</v>
      </c>
      <c r="H197" s="3">
        <v>41639</v>
      </c>
      <c r="I197" s="1" t="s">
        <v>71</v>
      </c>
      <c r="J197">
        <v>4521</v>
      </c>
      <c r="K197">
        <v>0</v>
      </c>
      <c r="L197" s="1" t="s">
        <v>384</v>
      </c>
      <c r="M197" s="1" t="s">
        <v>72</v>
      </c>
      <c r="N197" s="1" t="s">
        <v>134</v>
      </c>
      <c r="O197" s="1" t="s">
        <v>385</v>
      </c>
      <c r="P197" s="1" t="s">
        <v>386</v>
      </c>
      <c r="Q197" s="1" t="s">
        <v>387</v>
      </c>
      <c r="R197">
        <v>103</v>
      </c>
      <c r="S197" s="1" t="s">
        <v>135</v>
      </c>
      <c r="T197" s="1" t="s">
        <v>388</v>
      </c>
      <c r="U197" s="1" t="s">
        <v>135</v>
      </c>
      <c r="V197" s="1"/>
      <c r="W197" s="1"/>
      <c r="X197" s="1"/>
      <c r="Y197" s="1"/>
      <c r="AA197" s="1"/>
      <c r="AC197" s="1"/>
      <c r="AD197" s="1"/>
      <c r="AE197" s="1"/>
      <c r="AN197" s="1" t="s">
        <v>74</v>
      </c>
      <c r="AO197">
        <v>78</v>
      </c>
      <c r="AP197" s="1" t="s">
        <v>813</v>
      </c>
      <c r="AQ197" s="1" t="s">
        <v>982</v>
      </c>
      <c r="AR197" s="1" t="s">
        <v>1126</v>
      </c>
      <c r="AS197" s="1" t="s">
        <v>98</v>
      </c>
      <c r="AT197" s="3">
        <v>41358</v>
      </c>
      <c r="AU197" s="3">
        <v>41358</v>
      </c>
      <c r="AV197" s="3">
        <v>41364</v>
      </c>
      <c r="AW197" s="1" t="s">
        <v>1221</v>
      </c>
      <c r="AX197" s="1" t="s">
        <v>982</v>
      </c>
      <c r="AY197">
        <v>805.33</v>
      </c>
      <c r="AZ197">
        <v>253</v>
      </c>
      <c r="BA197">
        <v>4654734.66</v>
      </c>
      <c r="BB197" s="1"/>
      <c r="BD197" s="1"/>
      <c r="BE197" s="1"/>
      <c r="BG197" s="1"/>
      <c r="BH197" s="1"/>
      <c r="BJ197" s="1"/>
      <c r="BL197" s="1"/>
      <c r="BN197" s="1"/>
      <c r="BO197">
        <v>599</v>
      </c>
      <c r="BP197">
        <v>4654734.66</v>
      </c>
      <c r="BQ197">
        <v>4654734.66</v>
      </c>
    </row>
    <row r="198" spans="1:69" x14ac:dyDescent="0.35">
      <c r="A198" s="1" t="s">
        <v>68</v>
      </c>
      <c r="B198" s="1" t="s">
        <v>69</v>
      </c>
      <c r="C198" s="1" t="s">
        <v>70</v>
      </c>
      <c r="D198">
        <v>1</v>
      </c>
      <c r="E198">
        <v>1</v>
      </c>
      <c r="F198" s="2">
        <v>43585.43</v>
      </c>
      <c r="G198" s="3">
        <v>41275</v>
      </c>
      <c r="H198" s="3">
        <v>41639</v>
      </c>
      <c r="I198" s="1" t="s">
        <v>71</v>
      </c>
      <c r="J198">
        <v>4521</v>
      </c>
      <c r="K198">
        <v>0</v>
      </c>
      <c r="L198" s="1" t="s">
        <v>384</v>
      </c>
      <c r="M198" s="1" t="s">
        <v>72</v>
      </c>
      <c r="N198" s="1" t="s">
        <v>134</v>
      </c>
      <c r="O198" s="1" t="s">
        <v>385</v>
      </c>
      <c r="P198" s="1" t="s">
        <v>386</v>
      </c>
      <c r="Q198" s="1" t="s">
        <v>387</v>
      </c>
      <c r="R198">
        <v>103</v>
      </c>
      <c r="S198" s="1" t="s">
        <v>135</v>
      </c>
      <c r="T198" s="1" t="s">
        <v>388</v>
      </c>
      <c r="U198" s="1" t="s">
        <v>135</v>
      </c>
      <c r="V198" s="1"/>
      <c r="W198" s="1"/>
      <c r="X198" s="1"/>
      <c r="Y198" s="1"/>
      <c r="AA198" s="1"/>
      <c r="AC198" s="1"/>
      <c r="AD198" s="1"/>
      <c r="AE198" s="1"/>
      <c r="AN198" s="1" t="s">
        <v>74</v>
      </c>
      <c r="AO198">
        <v>79</v>
      </c>
      <c r="AP198" s="1" t="s">
        <v>814</v>
      </c>
      <c r="AQ198" s="1" t="s">
        <v>1026</v>
      </c>
      <c r="AR198" s="1" t="s">
        <v>1127</v>
      </c>
      <c r="AS198" s="1" t="s">
        <v>1213</v>
      </c>
      <c r="AT198" s="3">
        <v>41373</v>
      </c>
      <c r="AU198" s="3">
        <v>41373</v>
      </c>
      <c r="AV198" s="3">
        <v>41394</v>
      </c>
      <c r="AW198" s="1" t="s">
        <v>1221</v>
      </c>
      <c r="AX198" s="1" t="s">
        <v>1242</v>
      </c>
      <c r="AY198">
        <v>2000</v>
      </c>
      <c r="AZ198">
        <v>253</v>
      </c>
      <c r="BA198">
        <v>4654734.66</v>
      </c>
      <c r="BB198" s="1"/>
      <c r="BD198" s="1"/>
      <c r="BE198" s="1"/>
      <c r="BG198" s="1"/>
      <c r="BH198" s="1"/>
      <c r="BJ198" s="1"/>
      <c r="BL198" s="1"/>
      <c r="BN198" s="1"/>
      <c r="BO198">
        <v>599</v>
      </c>
      <c r="BP198">
        <v>4654734.66</v>
      </c>
      <c r="BQ198">
        <v>4654734.66</v>
      </c>
    </row>
    <row r="199" spans="1:69" x14ac:dyDescent="0.35">
      <c r="A199" s="1" t="s">
        <v>68</v>
      </c>
      <c r="B199" s="1" t="s">
        <v>69</v>
      </c>
      <c r="C199" s="1" t="s">
        <v>70</v>
      </c>
      <c r="D199">
        <v>1</v>
      </c>
      <c r="E199">
        <v>1</v>
      </c>
      <c r="F199" s="2">
        <v>43585.43</v>
      </c>
      <c r="G199" s="3">
        <v>41275</v>
      </c>
      <c r="H199" s="3">
        <v>41639</v>
      </c>
      <c r="I199" s="1" t="s">
        <v>71</v>
      </c>
      <c r="J199">
        <v>4521</v>
      </c>
      <c r="K199">
        <v>0</v>
      </c>
      <c r="L199" s="1" t="s">
        <v>384</v>
      </c>
      <c r="M199" s="1" t="s">
        <v>72</v>
      </c>
      <c r="N199" s="1" t="s">
        <v>134</v>
      </c>
      <c r="O199" s="1" t="s">
        <v>385</v>
      </c>
      <c r="P199" s="1" t="s">
        <v>386</v>
      </c>
      <c r="Q199" s="1" t="s">
        <v>387</v>
      </c>
      <c r="R199">
        <v>103</v>
      </c>
      <c r="S199" s="1" t="s">
        <v>135</v>
      </c>
      <c r="T199" s="1" t="s">
        <v>388</v>
      </c>
      <c r="U199" s="1" t="s">
        <v>135</v>
      </c>
      <c r="V199" s="1"/>
      <c r="W199" s="1"/>
      <c r="X199" s="1"/>
      <c r="Y199" s="1"/>
      <c r="AA199" s="1"/>
      <c r="AC199" s="1"/>
      <c r="AD199" s="1"/>
      <c r="AE199" s="1"/>
      <c r="AN199" s="1" t="s">
        <v>74</v>
      </c>
      <c r="AO199">
        <v>80</v>
      </c>
      <c r="AP199" s="1" t="s">
        <v>815</v>
      </c>
      <c r="AQ199" s="1" t="s">
        <v>1026</v>
      </c>
      <c r="AR199" s="1" t="s">
        <v>1127</v>
      </c>
      <c r="AS199" s="1" t="s">
        <v>1213</v>
      </c>
      <c r="AT199" s="3">
        <v>41373</v>
      </c>
      <c r="AU199" s="3">
        <v>41373</v>
      </c>
      <c r="AV199" s="3">
        <v>41394</v>
      </c>
      <c r="AW199" s="1" t="s">
        <v>1221</v>
      </c>
      <c r="AX199" s="1" t="s">
        <v>1238</v>
      </c>
      <c r="AY199">
        <v>300</v>
      </c>
      <c r="AZ199">
        <v>253</v>
      </c>
      <c r="BA199">
        <v>4654734.66</v>
      </c>
      <c r="BB199" s="1"/>
      <c r="BD199" s="1"/>
      <c r="BE199" s="1"/>
      <c r="BG199" s="1"/>
      <c r="BH199" s="1"/>
      <c r="BJ199" s="1"/>
      <c r="BL199" s="1"/>
      <c r="BN199" s="1"/>
      <c r="BO199">
        <v>599</v>
      </c>
      <c r="BP199">
        <v>4654734.66</v>
      </c>
      <c r="BQ199">
        <v>4654734.66</v>
      </c>
    </row>
    <row r="200" spans="1:69" x14ac:dyDescent="0.35">
      <c r="A200" s="1" t="s">
        <v>68</v>
      </c>
      <c r="B200" s="1" t="s">
        <v>69</v>
      </c>
      <c r="C200" s="1" t="s">
        <v>70</v>
      </c>
      <c r="D200">
        <v>1</v>
      </c>
      <c r="E200">
        <v>1</v>
      </c>
      <c r="F200" s="2">
        <v>43585.43</v>
      </c>
      <c r="G200" s="3">
        <v>41275</v>
      </c>
      <c r="H200" s="3">
        <v>41639</v>
      </c>
      <c r="I200" s="1" t="s">
        <v>71</v>
      </c>
      <c r="J200">
        <v>4521</v>
      </c>
      <c r="K200">
        <v>0</v>
      </c>
      <c r="L200" s="1" t="s">
        <v>384</v>
      </c>
      <c r="M200" s="1" t="s">
        <v>72</v>
      </c>
      <c r="N200" s="1" t="s">
        <v>134</v>
      </c>
      <c r="O200" s="1" t="s">
        <v>385</v>
      </c>
      <c r="P200" s="1" t="s">
        <v>386</v>
      </c>
      <c r="Q200" s="1" t="s">
        <v>387</v>
      </c>
      <c r="R200">
        <v>103</v>
      </c>
      <c r="S200" s="1" t="s">
        <v>135</v>
      </c>
      <c r="T200" s="1" t="s">
        <v>388</v>
      </c>
      <c r="U200" s="1" t="s">
        <v>135</v>
      </c>
      <c r="V200" s="1"/>
      <c r="W200" s="1"/>
      <c r="X200" s="1"/>
      <c r="Y200" s="1"/>
      <c r="AA200" s="1"/>
      <c r="AC200" s="1"/>
      <c r="AD200" s="1"/>
      <c r="AE200" s="1"/>
      <c r="AN200" s="1" t="s">
        <v>74</v>
      </c>
      <c r="AO200">
        <v>81</v>
      </c>
      <c r="AP200" s="1" t="s">
        <v>816</v>
      </c>
      <c r="AQ200" s="1" t="s">
        <v>1026</v>
      </c>
      <c r="AR200" s="1" t="s">
        <v>1127</v>
      </c>
      <c r="AS200" s="1" t="s">
        <v>1213</v>
      </c>
      <c r="AT200" s="3">
        <v>41373</v>
      </c>
      <c r="AU200" s="3">
        <v>41373</v>
      </c>
      <c r="AV200" s="3">
        <v>41394</v>
      </c>
      <c r="AW200" s="1" t="s">
        <v>1221</v>
      </c>
      <c r="AX200" s="1" t="s">
        <v>1243</v>
      </c>
      <c r="AY200">
        <v>4500</v>
      </c>
      <c r="AZ200">
        <v>253</v>
      </c>
      <c r="BA200">
        <v>4654734.66</v>
      </c>
      <c r="BB200" s="1"/>
      <c r="BD200" s="1"/>
      <c r="BE200" s="1"/>
      <c r="BG200" s="1"/>
      <c r="BH200" s="1"/>
      <c r="BJ200" s="1"/>
      <c r="BL200" s="1"/>
      <c r="BN200" s="1"/>
      <c r="BO200">
        <v>599</v>
      </c>
      <c r="BP200">
        <v>4654734.66</v>
      </c>
      <c r="BQ200">
        <v>4654734.66</v>
      </c>
    </row>
    <row r="201" spans="1:69" x14ac:dyDescent="0.35">
      <c r="A201" s="1" t="s">
        <v>68</v>
      </c>
      <c r="B201" s="1" t="s">
        <v>69</v>
      </c>
      <c r="C201" s="1" t="s">
        <v>70</v>
      </c>
      <c r="D201">
        <v>1</v>
      </c>
      <c r="E201">
        <v>1</v>
      </c>
      <c r="F201" s="2">
        <v>43585.43</v>
      </c>
      <c r="G201" s="3">
        <v>41275</v>
      </c>
      <c r="H201" s="3">
        <v>41639</v>
      </c>
      <c r="I201" s="1" t="s">
        <v>71</v>
      </c>
      <c r="J201">
        <v>4521</v>
      </c>
      <c r="K201">
        <v>0</v>
      </c>
      <c r="L201" s="1" t="s">
        <v>384</v>
      </c>
      <c r="M201" s="1" t="s">
        <v>72</v>
      </c>
      <c r="N201" s="1" t="s">
        <v>134</v>
      </c>
      <c r="O201" s="1" t="s">
        <v>385</v>
      </c>
      <c r="P201" s="1" t="s">
        <v>386</v>
      </c>
      <c r="Q201" s="1" t="s">
        <v>387</v>
      </c>
      <c r="R201">
        <v>103</v>
      </c>
      <c r="S201" s="1" t="s">
        <v>135</v>
      </c>
      <c r="T201" s="1" t="s">
        <v>388</v>
      </c>
      <c r="U201" s="1" t="s">
        <v>135</v>
      </c>
      <c r="V201" s="1"/>
      <c r="W201" s="1"/>
      <c r="X201" s="1"/>
      <c r="Y201" s="1"/>
      <c r="AA201" s="1"/>
      <c r="AC201" s="1"/>
      <c r="AD201" s="1"/>
      <c r="AE201" s="1"/>
      <c r="AN201" s="1" t="s">
        <v>74</v>
      </c>
      <c r="AO201">
        <v>82</v>
      </c>
      <c r="AP201" s="1" t="s">
        <v>817</v>
      </c>
      <c r="AQ201" s="1" t="s">
        <v>1026</v>
      </c>
      <c r="AR201" s="1" t="s">
        <v>1127</v>
      </c>
      <c r="AS201" s="1" t="s">
        <v>1213</v>
      </c>
      <c r="AT201" s="3">
        <v>41373</v>
      </c>
      <c r="AU201" s="3">
        <v>41373</v>
      </c>
      <c r="AV201" s="3">
        <v>41394</v>
      </c>
      <c r="AW201" s="1" t="s">
        <v>1221</v>
      </c>
      <c r="AX201" s="1" t="s">
        <v>1002</v>
      </c>
      <c r="AY201">
        <v>321</v>
      </c>
      <c r="AZ201">
        <v>253</v>
      </c>
      <c r="BA201">
        <v>4654734.66</v>
      </c>
      <c r="BB201" s="1"/>
      <c r="BD201" s="1"/>
      <c r="BE201" s="1"/>
      <c r="BG201" s="1"/>
      <c r="BH201" s="1"/>
      <c r="BJ201" s="1"/>
      <c r="BL201" s="1"/>
      <c r="BN201" s="1"/>
      <c r="BO201">
        <v>599</v>
      </c>
      <c r="BP201">
        <v>4654734.66</v>
      </c>
      <c r="BQ201">
        <v>4654734.66</v>
      </c>
    </row>
    <row r="202" spans="1:69" x14ac:dyDescent="0.35">
      <c r="A202" s="1" t="s">
        <v>68</v>
      </c>
      <c r="B202" s="1" t="s">
        <v>69</v>
      </c>
      <c r="C202" s="1" t="s">
        <v>70</v>
      </c>
      <c r="D202">
        <v>1</v>
      </c>
      <c r="E202">
        <v>1</v>
      </c>
      <c r="F202" s="2">
        <v>43585.43</v>
      </c>
      <c r="G202" s="3">
        <v>41275</v>
      </c>
      <c r="H202" s="3">
        <v>41639</v>
      </c>
      <c r="I202" s="1" t="s">
        <v>71</v>
      </c>
      <c r="J202">
        <v>4521</v>
      </c>
      <c r="K202">
        <v>0</v>
      </c>
      <c r="L202" s="1" t="s">
        <v>384</v>
      </c>
      <c r="M202" s="1" t="s">
        <v>72</v>
      </c>
      <c r="N202" s="1" t="s">
        <v>134</v>
      </c>
      <c r="O202" s="1" t="s">
        <v>385</v>
      </c>
      <c r="P202" s="1" t="s">
        <v>386</v>
      </c>
      <c r="Q202" s="1" t="s">
        <v>387</v>
      </c>
      <c r="R202">
        <v>103</v>
      </c>
      <c r="S202" s="1" t="s">
        <v>135</v>
      </c>
      <c r="T202" s="1" t="s">
        <v>388</v>
      </c>
      <c r="U202" s="1" t="s">
        <v>135</v>
      </c>
      <c r="V202" s="1"/>
      <c r="W202" s="1"/>
      <c r="X202" s="1"/>
      <c r="Y202" s="1"/>
      <c r="AA202" s="1"/>
      <c r="AC202" s="1"/>
      <c r="AD202" s="1"/>
      <c r="AE202" s="1"/>
      <c r="AN202" s="1" t="s">
        <v>74</v>
      </c>
      <c r="AO202">
        <v>83</v>
      </c>
      <c r="AP202" s="1" t="s">
        <v>818</v>
      </c>
      <c r="AQ202" s="1" t="s">
        <v>1010</v>
      </c>
      <c r="AR202" s="1" t="s">
        <v>1128</v>
      </c>
      <c r="AS202" s="1" t="s">
        <v>97</v>
      </c>
      <c r="AT202" s="3">
        <v>41374</v>
      </c>
      <c r="AU202" s="3">
        <v>41374</v>
      </c>
      <c r="AV202" s="3">
        <v>41394</v>
      </c>
      <c r="AW202" s="1" t="s">
        <v>1221</v>
      </c>
      <c r="AX202" s="1" t="s">
        <v>1017</v>
      </c>
      <c r="AY202">
        <v>378.23</v>
      </c>
      <c r="AZ202">
        <v>253</v>
      </c>
      <c r="BA202">
        <v>4654734.66</v>
      </c>
      <c r="BB202" s="1"/>
      <c r="BD202" s="1"/>
      <c r="BE202" s="1"/>
      <c r="BG202" s="1"/>
      <c r="BH202" s="1"/>
      <c r="BJ202" s="1"/>
      <c r="BL202" s="1"/>
      <c r="BN202" s="1"/>
      <c r="BO202">
        <v>599</v>
      </c>
      <c r="BP202">
        <v>4654734.66</v>
      </c>
      <c r="BQ202">
        <v>4654734.66</v>
      </c>
    </row>
    <row r="203" spans="1:69" x14ac:dyDescent="0.35">
      <c r="A203" s="1" t="s">
        <v>68</v>
      </c>
      <c r="B203" s="1" t="s">
        <v>69</v>
      </c>
      <c r="C203" s="1" t="s">
        <v>70</v>
      </c>
      <c r="D203">
        <v>1</v>
      </c>
      <c r="E203">
        <v>1</v>
      </c>
      <c r="F203" s="2">
        <v>43585.43</v>
      </c>
      <c r="G203" s="3">
        <v>41275</v>
      </c>
      <c r="H203" s="3">
        <v>41639</v>
      </c>
      <c r="I203" s="1" t="s">
        <v>71</v>
      </c>
      <c r="J203">
        <v>4521</v>
      </c>
      <c r="K203">
        <v>0</v>
      </c>
      <c r="L203" s="1" t="s">
        <v>384</v>
      </c>
      <c r="M203" s="1" t="s">
        <v>72</v>
      </c>
      <c r="N203" s="1" t="s">
        <v>134</v>
      </c>
      <c r="O203" s="1" t="s">
        <v>385</v>
      </c>
      <c r="P203" s="1" t="s">
        <v>386</v>
      </c>
      <c r="Q203" s="1" t="s">
        <v>387</v>
      </c>
      <c r="R203">
        <v>103</v>
      </c>
      <c r="S203" s="1" t="s">
        <v>135</v>
      </c>
      <c r="T203" s="1" t="s">
        <v>388</v>
      </c>
      <c r="U203" s="1" t="s">
        <v>135</v>
      </c>
      <c r="V203" s="1"/>
      <c r="W203" s="1"/>
      <c r="X203" s="1"/>
      <c r="Y203" s="1"/>
      <c r="AA203" s="1"/>
      <c r="AC203" s="1"/>
      <c r="AD203" s="1"/>
      <c r="AE203" s="1"/>
      <c r="AN203" s="1" t="s">
        <v>74</v>
      </c>
      <c r="AO203">
        <v>84</v>
      </c>
      <c r="AP203" s="1" t="s">
        <v>819</v>
      </c>
      <c r="AQ203" s="1" t="s">
        <v>1010</v>
      </c>
      <c r="AR203" s="1" t="s">
        <v>1128</v>
      </c>
      <c r="AS203" s="1" t="s">
        <v>97</v>
      </c>
      <c r="AT203" s="3">
        <v>41374</v>
      </c>
      <c r="AU203" s="3">
        <v>41374</v>
      </c>
      <c r="AV203" s="3">
        <v>41394</v>
      </c>
      <c r="AW203" s="1" t="s">
        <v>1221</v>
      </c>
      <c r="AX203" s="1" t="s">
        <v>1017</v>
      </c>
      <c r="AY203">
        <v>378.23</v>
      </c>
      <c r="AZ203">
        <v>253</v>
      </c>
      <c r="BA203">
        <v>4654734.66</v>
      </c>
      <c r="BB203" s="1"/>
      <c r="BD203" s="1"/>
      <c r="BE203" s="1"/>
      <c r="BG203" s="1"/>
      <c r="BH203" s="1"/>
      <c r="BJ203" s="1"/>
      <c r="BL203" s="1"/>
      <c r="BN203" s="1"/>
      <c r="BO203">
        <v>599</v>
      </c>
      <c r="BP203">
        <v>4654734.66</v>
      </c>
      <c r="BQ203">
        <v>4654734.66</v>
      </c>
    </row>
    <row r="204" spans="1:69" x14ac:dyDescent="0.35">
      <c r="A204" s="1" t="s">
        <v>68</v>
      </c>
      <c r="B204" s="1" t="s">
        <v>69</v>
      </c>
      <c r="C204" s="1" t="s">
        <v>70</v>
      </c>
      <c r="D204">
        <v>1</v>
      </c>
      <c r="E204">
        <v>1</v>
      </c>
      <c r="F204" s="2">
        <v>43585.43</v>
      </c>
      <c r="G204" s="3">
        <v>41275</v>
      </c>
      <c r="H204" s="3">
        <v>41639</v>
      </c>
      <c r="I204" s="1" t="s">
        <v>71</v>
      </c>
      <c r="J204">
        <v>4521</v>
      </c>
      <c r="K204">
        <v>0</v>
      </c>
      <c r="L204" s="1" t="s">
        <v>384</v>
      </c>
      <c r="M204" s="1" t="s">
        <v>72</v>
      </c>
      <c r="N204" s="1" t="s">
        <v>134</v>
      </c>
      <c r="O204" s="1" t="s">
        <v>385</v>
      </c>
      <c r="P204" s="1" t="s">
        <v>386</v>
      </c>
      <c r="Q204" s="1" t="s">
        <v>387</v>
      </c>
      <c r="R204">
        <v>103</v>
      </c>
      <c r="S204" s="1" t="s">
        <v>135</v>
      </c>
      <c r="T204" s="1" t="s">
        <v>388</v>
      </c>
      <c r="U204" s="1" t="s">
        <v>135</v>
      </c>
      <c r="V204" s="1"/>
      <c r="W204" s="1"/>
      <c r="X204" s="1"/>
      <c r="Y204" s="1"/>
      <c r="AA204" s="1"/>
      <c r="AC204" s="1"/>
      <c r="AD204" s="1"/>
      <c r="AE204" s="1"/>
      <c r="AN204" s="1" t="s">
        <v>74</v>
      </c>
      <c r="AO204">
        <v>85</v>
      </c>
      <c r="AP204" s="1" t="s">
        <v>820</v>
      </c>
      <c r="AQ204" s="1" t="s">
        <v>1027</v>
      </c>
      <c r="AR204" s="1" t="s">
        <v>1129</v>
      </c>
      <c r="AS204" s="1" t="s">
        <v>97</v>
      </c>
      <c r="AT204" s="3">
        <v>41374</v>
      </c>
      <c r="AU204" s="3">
        <v>41374</v>
      </c>
      <c r="AV204" s="3">
        <v>41394</v>
      </c>
      <c r="AW204" s="1" t="s">
        <v>1221</v>
      </c>
      <c r="AX204" s="1" t="s">
        <v>1027</v>
      </c>
      <c r="AY204">
        <v>3554.7</v>
      </c>
      <c r="AZ204">
        <v>253</v>
      </c>
      <c r="BA204">
        <v>4654734.66</v>
      </c>
      <c r="BB204" s="1"/>
      <c r="BD204" s="1"/>
      <c r="BE204" s="1"/>
      <c r="BG204" s="1"/>
      <c r="BH204" s="1"/>
      <c r="BJ204" s="1"/>
      <c r="BL204" s="1"/>
      <c r="BN204" s="1"/>
      <c r="BO204">
        <v>599</v>
      </c>
      <c r="BP204">
        <v>4654734.66</v>
      </c>
      <c r="BQ204">
        <v>4654734.66</v>
      </c>
    </row>
    <row r="205" spans="1:69" x14ac:dyDescent="0.35">
      <c r="A205" s="1" t="s">
        <v>68</v>
      </c>
      <c r="B205" s="1" t="s">
        <v>69</v>
      </c>
      <c r="C205" s="1" t="s">
        <v>70</v>
      </c>
      <c r="D205">
        <v>1</v>
      </c>
      <c r="E205">
        <v>1</v>
      </c>
      <c r="F205" s="2">
        <v>43585.43</v>
      </c>
      <c r="G205" s="3">
        <v>41275</v>
      </c>
      <c r="H205" s="3">
        <v>41639</v>
      </c>
      <c r="I205" s="1" t="s">
        <v>71</v>
      </c>
      <c r="J205">
        <v>4521</v>
      </c>
      <c r="K205">
        <v>0</v>
      </c>
      <c r="L205" s="1" t="s">
        <v>384</v>
      </c>
      <c r="M205" s="1" t="s">
        <v>72</v>
      </c>
      <c r="N205" s="1" t="s">
        <v>134</v>
      </c>
      <c r="O205" s="1" t="s">
        <v>385</v>
      </c>
      <c r="P205" s="1" t="s">
        <v>386</v>
      </c>
      <c r="Q205" s="1" t="s">
        <v>387</v>
      </c>
      <c r="R205">
        <v>103</v>
      </c>
      <c r="S205" s="1" t="s">
        <v>135</v>
      </c>
      <c r="T205" s="1" t="s">
        <v>388</v>
      </c>
      <c r="U205" s="1" t="s">
        <v>135</v>
      </c>
      <c r="V205" s="1"/>
      <c r="W205" s="1"/>
      <c r="X205" s="1"/>
      <c r="Y205" s="1"/>
      <c r="AA205" s="1"/>
      <c r="AC205" s="1"/>
      <c r="AD205" s="1"/>
      <c r="AE205" s="1"/>
      <c r="AN205" s="1" t="s">
        <v>74</v>
      </c>
      <c r="AO205">
        <v>86</v>
      </c>
      <c r="AP205" s="1" t="s">
        <v>821</v>
      </c>
      <c r="AQ205" s="1" t="s">
        <v>1028</v>
      </c>
      <c r="AR205" s="1" t="s">
        <v>1130</v>
      </c>
      <c r="AS205" s="1" t="s">
        <v>97</v>
      </c>
      <c r="AT205" s="3">
        <v>41374</v>
      </c>
      <c r="AU205" s="3">
        <v>41374</v>
      </c>
      <c r="AV205" s="3">
        <v>41394</v>
      </c>
      <c r="AW205" s="1" t="s">
        <v>1221</v>
      </c>
      <c r="AX205" s="1" t="s">
        <v>1028</v>
      </c>
      <c r="AY205">
        <v>824.9</v>
      </c>
      <c r="AZ205">
        <v>253</v>
      </c>
      <c r="BA205">
        <v>4654734.66</v>
      </c>
      <c r="BB205" s="1"/>
      <c r="BD205" s="1"/>
      <c r="BE205" s="1"/>
      <c r="BG205" s="1"/>
      <c r="BH205" s="1"/>
      <c r="BJ205" s="1"/>
      <c r="BL205" s="1"/>
      <c r="BN205" s="1"/>
      <c r="BO205">
        <v>599</v>
      </c>
      <c r="BP205">
        <v>4654734.66</v>
      </c>
      <c r="BQ205">
        <v>4654734.66</v>
      </c>
    </row>
    <row r="206" spans="1:69" x14ac:dyDescent="0.35">
      <c r="A206" s="1" t="s">
        <v>68</v>
      </c>
      <c r="B206" s="1" t="s">
        <v>69</v>
      </c>
      <c r="C206" s="1" t="s">
        <v>70</v>
      </c>
      <c r="D206">
        <v>1</v>
      </c>
      <c r="E206">
        <v>1</v>
      </c>
      <c r="F206" s="2">
        <v>43585.43</v>
      </c>
      <c r="G206" s="3">
        <v>41275</v>
      </c>
      <c r="H206" s="3">
        <v>41639</v>
      </c>
      <c r="I206" s="1" t="s">
        <v>71</v>
      </c>
      <c r="J206">
        <v>4521</v>
      </c>
      <c r="K206">
        <v>0</v>
      </c>
      <c r="L206" s="1" t="s">
        <v>384</v>
      </c>
      <c r="M206" s="1" t="s">
        <v>72</v>
      </c>
      <c r="N206" s="1" t="s">
        <v>134</v>
      </c>
      <c r="O206" s="1" t="s">
        <v>385</v>
      </c>
      <c r="P206" s="1" t="s">
        <v>386</v>
      </c>
      <c r="Q206" s="1" t="s">
        <v>387</v>
      </c>
      <c r="R206">
        <v>103</v>
      </c>
      <c r="S206" s="1" t="s">
        <v>135</v>
      </c>
      <c r="T206" s="1" t="s">
        <v>388</v>
      </c>
      <c r="U206" s="1" t="s">
        <v>135</v>
      </c>
      <c r="V206" s="1"/>
      <c r="W206" s="1"/>
      <c r="X206" s="1"/>
      <c r="Y206" s="1"/>
      <c r="AA206" s="1"/>
      <c r="AC206" s="1"/>
      <c r="AD206" s="1"/>
      <c r="AE206" s="1"/>
      <c r="AN206" s="1" t="s">
        <v>74</v>
      </c>
      <c r="AO206">
        <v>87</v>
      </c>
      <c r="AP206" s="1" t="s">
        <v>822</v>
      </c>
      <c r="AQ206" s="1" t="s">
        <v>1029</v>
      </c>
      <c r="AR206" s="1" t="s">
        <v>1131</v>
      </c>
      <c r="AS206" s="1" t="s">
        <v>97</v>
      </c>
      <c r="AT206" s="3">
        <v>41374</v>
      </c>
      <c r="AU206" s="3">
        <v>41374</v>
      </c>
      <c r="AV206" s="3">
        <v>41394</v>
      </c>
      <c r="AW206" s="1" t="s">
        <v>1221</v>
      </c>
      <c r="AX206" s="1" t="s">
        <v>1029</v>
      </c>
      <c r="AY206">
        <v>153.75</v>
      </c>
      <c r="AZ206">
        <v>253</v>
      </c>
      <c r="BA206">
        <v>4654734.66</v>
      </c>
      <c r="BB206" s="1"/>
      <c r="BD206" s="1"/>
      <c r="BE206" s="1"/>
      <c r="BG206" s="1"/>
      <c r="BH206" s="1"/>
      <c r="BJ206" s="1"/>
      <c r="BL206" s="1"/>
      <c r="BN206" s="1"/>
      <c r="BO206">
        <v>599</v>
      </c>
      <c r="BP206">
        <v>4654734.66</v>
      </c>
      <c r="BQ206">
        <v>4654734.66</v>
      </c>
    </row>
    <row r="207" spans="1:69" x14ac:dyDescent="0.35">
      <c r="A207" s="1" t="s">
        <v>68</v>
      </c>
      <c r="B207" s="1" t="s">
        <v>69</v>
      </c>
      <c r="C207" s="1" t="s">
        <v>70</v>
      </c>
      <c r="D207">
        <v>1</v>
      </c>
      <c r="E207">
        <v>1</v>
      </c>
      <c r="F207" s="2">
        <v>43585.43</v>
      </c>
      <c r="G207" s="3">
        <v>41275</v>
      </c>
      <c r="H207" s="3">
        <v>41639</v>
      </c>
      <c r="I207" s="1" t="s">
        <v>71</v>
      </c>
      <c r="J207">
        <v>4521</v>
      </c>
      <c r="K207">
        <v>0</v>
      </c>
      <c r="L207" s="1" t="s">
        <v>384</v>
      </c>
      <c r="M207" s="1" t="s">
        <v>72</v>
      </c>
      <c r="N207" s="1" t="s">
        <v>134</v>
      </c>
      <c r="O207" s="1" t="s">
        <v>385</v>
      </c>
      <c r="P207" s="1" t="s">
        <v>386</v>
      </c>
      <c r="Q207" s="1" t="s">
        <v>387</v>
      </c>
      <c r="R207">
        <v>103</v>
      </c>
      <c r="S207" s="1" t="s">
        <v>135</v>
      </c>
      <c r="T207" s="1" t="s">
        <v>388</v>
      </c>
      <c r="U207" s="1" t="s">
        <v>135</v>
      </c>
      <c r="V207" s="1"/>
      <c r="W207" s="1"/>
      <c r="X207" s="1"/>
      <c r="Y207" s="1"/>
      <c r="AA207" s="1"/>
      <c r="AC207" s="1"/>
      <c r="AD207" s="1"/>
      <c r="AE207" s="1"/>
      <c r="AN207" s="1" t="s">
        <v>74</v>
      </c>
      <c r="AO207">
        <v>88</v>
      </c>
      <c r="AP207" s="1" t="s">
        <v>823</v>
      </c>
      <c r="AQ207" s="1" t="s">
        <v>982</v>
      </c>
      <c r="AR207" s="1" t="s">
        <v>1132</v>
      </c>
      <c r="AS207" s="1" t="s">
        <v>98</v>
      </c>
      <c r="AT207" s="3">
        <v>41374</v>
      </c>
      <c r="AU207" s="3">
        <v>41374</v>
      </c>
      <c r="AV207" s="3">
        <v>41394</v>
      </c>
      <c r="AW207" s="1" t="s">
        <v>1221</v>
      </c>
      <c r="AX207" s="1" t="s">
        <v>982</v>
      </c>
      <c r="AY207">
        <v>1195.56</v>
      </c>
      <c r="AZ207">
        <v>253</v>
      </c>
      <c r="BA207">
        <v>4654734.66</v>
      </c>
      <c r="BB207" s="1"/>
      <c r="BD207" s="1"/>
      <c r="BE207" s="1"/>
      <c r="BG207" s="1"/>
      <c r="BH207" s="1"/>
      <c r="BJ207" s="1"/>
      <c r="BL207" s="1"/>
      <c r="BN207" s="1"/>
      <c r="BO207">
        <v>599</v>
      </c>
      <c r="BP207">
        <v>4654734.66</v>
      </c>
      <c r="BQ207">
        <v>4654734.66</v>
      </c>
    </row>
    <row r="208" spans="1:69" x14ac:dyDescent="0.35">
      <c r="A208" s="1" t="s">
        <v>68</v>
      </c>
      <c r="B208" s="1" t="s">
        <v>69</v>
      </c>
      <c r="C208" s="1" t="s">
        <v>70</v>
      </c>
      <c r="D208">
        <v>1</v>
      </c>
      <c r="E208">
        <v>1</v>
      </c>
      <c r="F208" s="2">
        <v>43585.43</v>
      </c>
      <c r="G208" s="3">
        <v>41275</v>
      </c>
      <c r="H208" s="3">
        <v>41639</v>
      </c>
      <c r="I208" s="1" t="s">
        <v>71</v>
      </c>
      <c r="J208">
        <v>4521</v>
      </c>
      <c r="K208">
        <v>0</v>
      </c>
      <c r="L208" s="1" t="s">
        <v>384</v>
      </c>
      <c r="M208" s="1" t="s">
        <v>72</v>
      </c>
      <c r="N208" s="1" t="s">
        <v>134</v>
      </c>
      <c r="O208" s="1" t="s">
        <v>385</v>
      </c>
      <c r="P208" s="1" t="s">
        <v>386</v>
      </c>
      <c r="Q208" s="1" t="s">
        <v>387</v>
      </c>
      <c r="R208">
        <v>103</v>
      </c>
      <c r="S208" s="1" t="s">
        <v>135</v>
      </c>
      <c r="T208" s="1" t="s">
        <v>388</v>
      </c>
      <c r="U208" s="1" t="s">
        <v>135</v>
      </c>
      <c r="V208" s="1"/>
      <c r="W208" s="1"/>
      <c r="X208" s="1"/>
      <c r="Y208" s="1"/>
      <c r="AA208" s="1"/>
      <c r="AC208" s="1"/>
      <c r="AD208" s="1"/>
      <c r="AE208" s="1"/>
      <c r="AN208" s="1" t="s">
        <v>74</v>
      </c>
      <c r="AO208">
        <v>89</v>
      </c>
      <c r="AP208" s="1" t="s">
        <v>824</v>
      </c>
      <c r="AQ208" s="1" t="s">
        <v>982</v>
      </c>
      <c r="AR208" s="1" t="s">
        <v>1133</v>
      </c>
      <c r="AS208" s="1" t="s">
        <v>98</v>
      </c>
      <c r="AT208" s="3">
        <v>41374</v>
      </c>
      <c r="AU208" s="3">
        <v>41374</v>
      </c>
      <c r="AV208" s="3">
        <v>41394</v>
      </c>
      <c r="AW208" s="1" t="s">
        <v>1221</v>
      </c>
      <c r="AX208" s="1" t="s">
        <v>982</v>
      </c>
      <c r="AY208">
        <v>5619.87</v>
      </c>
      <c r="AZ208">
        <v>253</v>
      </c>
      <c r="BA208">
        <v>4654734.66</v>
      </c>
      <c r="BB208" s="1"/>
      <c r="BD208" s="1"/>
      <c r="BE208" s="1"/>
      <c r="BG208" s="1"/>
      <c r="BH208" s="1"/>
      <c r="BJ208" s="1"/>
      <c r="BL208" s="1"/>
      <c r="BN208" s="1"/>
      <c r="BO208">
        <v>599</v>
      </c>
      <c r="BP208">
        <v>4654734.66</v>
      </c>
      <c r="BQ208">
        <v>4654734.66</v>
      </c>
    </row>
    <row r="209" spans="1:69" x14ac:dyDescent="0.35">
      <c r="A209" s="1" t="s">
        <v>68</v>
      </c>
      <c r="B209" s="1" t="s">
        <v>69</v>
      </c>
      <c r="C209" s="1" t="s">
        <v>70</v>
      </c>
      <c r="D209">
        <v>1</v>
      </c>
      <c r="E209">
        <v>1</v>
      </c>
      <c r="F209" s="2">
        <v>43585.43</v>
      </c>
      <c r="G209" s="3">
        <v>41275</v>
      </c>
      <c r="H209" s="3">
        <v>41639</v>
      </c>
      <c r="I209" s="1" t="s">
        <v>71</v>
      </c>
      <c r="J209">
        <v>4521</v>
      </c>
      <c r="K209">
        <v>0</v>
      </c>
      <c r="L209" s="1" t="s">
        <v>384</v>
      </c>
      <c r="M209" s="1" t="s">
        <v>72</v>
      </c>
      <c r="N209" s="1" t="s">
        <v>134</v>
      </c>
      <c r="O209" s="1" t="s">
        <v>385</v>
      </c>
      <c r="P209" s="1" t="s">
        <v>386</v>
      </c>
      <c r="Q209" s="1" t="s">
        <v>387</v>
      </c>
      <c r="R209">
        <v>103</v>
      </c>
      <c r="S209" s="1" t="s">
        <v>135</v>
      </c>
      <c r="T209" s="1" t="s">
        <v>388</v>
      </c>
      <c r="U209" s="1" t="s">
        <v>135</v>
      </c>
      <c r="V209" s="1"/>
      <c r="W209" s="1"/>
      <c r="X209" s="1"/>
      <c r="Y209" s="1"/>
      <c r="AA209" s="1"/>
      <c r="AC209" s="1"/>
      <c r="AD209" s="1"/>
      <c r="AE209" s="1"/>
      <c r="AN209" s="1" t="s">
        <v>74</v>
      </c>
      <c r="AO209">
        <v>90</v>
      </c>
      <c r="AP209" s="1" t="s">
        <v>825</v>
      </c>
      <c r="AQ209" s="1" t="s">
        <v>1028</v>
      </c>
      <c r="AR209" s="1" t="s">
        <v>1134</v>
      </c>
      <c r="AS209" s="1" t="s">
        <v>98</v>
      </c>
      <c r="AT209" s="3">
        <v>41374</v>
      </c>
      <c r="AU209" s="3">
        <v>41374</v>
      </c>
      <c r="AV209" s="3">
        <v>41394</v>
      </c>
      <c r="AW209" s="1" t="s">
        <v>1221</v>
      </c>
      <c r="AX209" s="1" t="s">
        <v>1028</v>
      </c>
      <c r="AY209">
        <v>1047.96</v>
      </c>
      <c r="AZ209">
        <v>253</v>
      </c>
      <c r="BA209">
        <v>4654734.66</v>
      </c>
      <c r="BB209" s="1"/>
      <c r="BD209" s="1"/>
      <c r="BE209" s="1"/>
      <c r="BG209" s="1"/>
      <c r="BH209" s="1"/>
      <c r="BJ209" s="1"/>
      <c r="BL209" s="1"/>
      <c r="BN209" s="1"/>
      <c r="BO209">
        <v>599</v>
      </c>
      <c r="BP209">
        <v>4654734.66</v>
      </c>
      <c r="BQ209">
        <v>4654734.66</v>
      </c>
    </row>
    <row r="210" spans="1:69" x14ac:dyDescent="0.35">
      <c r="A210" s="1" t="s">
        <v>68</v>
      </c>
      <c r="B210" s="1" t="s">
        <v>69</v>
      </c>
      <c r="C210" s="1" t="s">
        <v>70</v>
      </c>
      <c r="D210">
        <v>1</v>
      </c>
      <c r="E210">
        <v>1</v>
      </c>
      <c r="F210" s="2">
        <v>43585.43</v>
      </c>
      <c r="G210" s="3">
        <v>41275</v>
      </c>
      <c r="H210" s="3">
        <v>41639</v>
      </c>
      <c r="I210" s="1" t="s">
        <v>71</v>
      </c>
      <c r="J210">
        <v>4521</v>
      </c>
      <c r="K210">
        <v>0</v>
      </c>
      <c r="L210" s="1" t="s">
        <v>384</v>
      </c>
      <c r="M210" s="1" t="s">
        <v>72</v>
      </c>
      <c r="N210" s="1" t="s">
        <v>134</v>
      </c>
      <c r="O210" s="1" t="s">
        <v>385</v>
      </c>
      <c r="P210" s="1" t="s">
        <v>386</v>
      </c>
      <c r="Q210" s="1" t="s">
        <v>387</v>
      </c>
      <c r="R210">
        <v>103</v>
      </c>
      <c r="S210" s="1" t="s">
        <v>135</v>
      </c>
      <c r="T210" s="1" t="s">
        <v>388</v>
      </c>
      <c r="U210" s="1" t="s">
        <v>135</v>
      </c>
      <c r="V210" s="1"/>
      <c r="W210" s="1"/>
      <c r="X210" s="1"/>
      <c r="Y210" s="1"/>
      <c r="AA210" s="1"/>
      <c r="AC210" s="1"/>
      <c r="AD210" s="1"/>
      <c r="AE210" s="1"/>
      <c r="AN210" s="1" t="s">
        <v>74</v>
      </c>
      <c r="AO210">
        <v>91</v>
      </c>
      <c r="AP210" s="1" t="s">
        <v>826</v>
      </c>
      <c r="AQ210" s="1" t="s">
        <v>982</v>
      </c>
      <c r="AR210" s="1" t="s">
        <v>1135</v>
      </c>
      <c r="AS210" s="1" t="s">
        <v>98</v>
      </c>
      <c r="AT210" s="3">
        <v>41374</v>
      </c>
      <c r="AU210" s="3">
        <v>41374</v>
      </c>
      <c r="AV210" s="3">
        <v>41394</v>
      </c>
      <c r="AW210" s="1" t="s">
        <v>1221</v>
      </c>
      <c r="AX210" s="1" t="s">
        <v>982</v>
      </c>
      <c r="AY210">
        <v>432.96</v>
      </c>
      <c r="AZ210">
        <v>253</v>
      </c>
      <c r="BA210">
        <v>4654734.66</v>
      </c>
      <c r="BB210" s="1"/>
      <c r="BD210" s="1"/>
      <c r="BE210" s="1"/>
      <c r="BG210" s="1"/>
      <c r="BH210" s="1"/>
      <c r="BJ210" s="1"/>
      <c r="BL210" s="1"/>
      <c r="BN210" s="1"/>
      <c r="BO210">
        <v>599</v>
      </c>
      <c r="BP210">
        <v>4654734.66</v>
      </c>
      <c r="BQ210">
        <v>4654734.66</v>
      </c>
    </row>
    <row r="211" spans="1:69" x14ac:dyDescent="0.35">
      <c r="A211" s="1" t="s">
        <v>68</v>
      </c>
      <c r="B211" s="1" t="s">
        <v>69</v>
      </c>
      <c r="C211" s="1" t="s">
        <v>70</v>
      </c>
      <c r="D211">
        <v>1</v>
      </c>
      <c r="E211">
        <v>1</v>
      </c>
      <c r="F211" s="2">
        <v>43585.43</v>
      </c>
      <c r="G211" s="3">
        <v>41275</v>
      </c>
      <c r="H211" s="3">
        <v>41639</v>
      </c>
      <c r="I211" s="1" t="s">
        <v>71</v>
      </c>
      <c r="J211">
        <v>4521</v>
      </c>
      <c r="K211">
        <v>0</v>
      </c>
      <c r="L211" s="1" t="s">
        <v>384</v>
      </c>
      <c r="M211" s="1" t="s">
        <v>72</v>
      </c>
      <c r="N211" s="1" t="s">
        <v>134</v>
      </c>
      <c r="O211" s="1" t="s">
        <v>385</v>
      </c>
      <c r="P211" s="1" t="s">
        <v>386</v>
      </c>
      <c r="Q211" s="1" t="s">
        <v>387</v>
      </c>
      <c r="R211">
        <v>103</v>
      </c>
      <c r="S211" s="1" t="s">
        <v>135</v>
      </c>
      <c r="T211" s="1" t="s">
        <v>388</v>
      </c>
      <c r="U211" s="1" t="s">
        <v>135</v>
      </c>
      <c r="V211" s="1"/>
      <c r="W211" s="1"/>
      <c r="X211" s="1"/>
      <c r="Y211" s="1"/>
      <c r="AA211" s="1"/>
      <c r="AC211" s="1"/>
      <c r="AD211" s="1"/>
      <c r="AE211" s="1"/>
      <c r="AN211" s="1" t="s">
        <v>74</v>
      </c>
      <c r="AO211">
        <v>92</v>
      </c>
      <c r="AP211" s="1" t="s">
        <v>827</v>
      </c>
      <c r="AQ211" s="1" t="s">
        <v>1030</v>
      </c>
      <c r="AR211" s="1" t="s">
        <v>1136</v>
      </c>
      <c r="AS211" s="1" t="s">
        <v>98</v>
      </c>
      <c r="AT211" s="3">
        <v>41374</v>
      </c>
      <c r="AU211" s="3">
        <v>41374</v>
      </c>
      <c r="AV211" s="3">
        <v>41394</v>
      </c>
      <c r="AW211" s="1" t="s">
        <v>1221</v>
      </c>
      <c r="AX211" s="1" t="s">
        <v>1030</v>
      </c>
      <c r="AY211">
        <v>9657.9599999999991</v>
      </c>
      <c r="AZ211">
        <v>253</v>
      </c>
      <c r="BA211">
        <v>4654734.66</v>
      </c>
      <c r="BB211" s="1"/>
      <c r="BD211" s="1"/>
      <c r="BE211" s="1"/>
      <c r="BG211" s="1"/>
      <c r="BH211" s="1"/>
      <c r="BJ211" s="1"/>
      <c r="BL211" s="1"/>
      <c r="BN211" s="1"/>
      <c r="BO211">
        <v>599</v>
      </c>
      <c r="BP211">
        <v>4654734.66</v>
      </c>
      <c r="BQ211">
        <v>4654734.66</v>
      </c>
    </row>
    <row r="212" spans="1:69" x14ac:dyDescent="0.35">
      <c r="A212" s="1" t="s">
        <v>68</v>
      </c>
      <c r="B212" s="1" t="s">
        <v>69</v>
      </c>
      <c r="C212" s="1" t="s">
        <v>70</v>
      </c>
      <c r="D212">
        <v>1</v>
      </c>
      <c r="E212">
        <v>1</v>
      </c>
      <c r="F212" s="2">
        <v>43585.43</v>
      </c>
      <c r="G212" s="3">
        <v>41275</v>
      </c>
      <c r="H212" s="3">
        <v>41639</v>
      </c>
      <c r="I212" s="1" t="s">
        <v>71</v>
      </c>
      <c r="J212">
        <v>4521</v>
      </c>
      <c r="K212">
        <v>0</v>
      </c>
      <c r="L212" s="1" t="s">
        <v>384</v>
      </c>
      <c r="M212" s="1" t="s">
        <v>72</v>
      </c>
      <c r="N212" s="1" t="s">
        <v>134</v>
      </c>
      <c r="O212" s="1" t="s">
        <v>385</v>
      </c>
      <c r="P212" s="1" t="s">
        <v>386</v>
      </c>
      <c r="Q212" s="1" t="s">
        <v>387</v>
      </c>
      <c r="R212">
        <v>103</v>
      </c>
      <c r="S212" s="1" t="s">
        <v>135</v>
      </c>
      <c r="T212" s="1" t="s">
        <v>388</v>
      </c>
      <c r="U212" s="1" t="s">
        <v>135</v>
      </c>
      <c r="V212" s="1"/>
      <c r="W212" s="1"/>
      <c r="X212" s="1"/>
      <c r="Y212" s="1"/>
      <c r="AA212" s="1"/>
      <c r="AC212" s="1"/>
      <c r="AD212" s="1"/>
      <c r="AE212" s="1"/>
      <c r="AN212" s="1" t="s">
        <v>74</v>
      </c>
      <c r="AO212">
        <v>93</v>
      </c>
      <c r="AP212" s="1" t="s">
        <v>828</v>
      </c>
      <c r="AQ212" s="1" t="s">
        <v>1031</v>
      </c>
      <c r="AR212" s="1" t="s">
        <v>1137</v>
      </c>
      <c r="AS212" s="1" t="s">
        <v>98</v>
      </c>
      <c r="AT212" s="3">
        <v>41374</v>
      </c>
      <c r="AU212" s="3">
        <v>41374</v>
      </c>
      <c r="AV212" s="3">
        <v>41394</v>
      </c>
      <c r="AW212" s="1" t="s">
        <v>1221</v>
      </c>
      <c r="AX212" s="1" t="s">
        <v>1031</v>
      </c>
      <c r="AY212">
        <v>290.27999999999997</v>
      </c>
      <c r="AZ212">
        <v>253</v>
      </c>
      <c r="BA212">
        <v>4654734.66</v>
      </c>
      <c r="BB212" s="1"/>
      <c r="BD212" s="1"/>
      <c r="BE212" s="1"/>
      <c r="BG212" s="1"/>
      <c r="BH212" s="1"/>
      <c r="BJ212" s="1"/>
      <c r="BL212" s="1"/>
      <c r="BN212" s="1"/>
      <c r="BO212">
        <v>599</v>
      </c>
      <c r="BP212">
        <v>4654734.66</v>
      </c>
      <c r="BQ212">
        <v>4654734.66</v>
      </c>
    </row>
    <row r="213" spans="1:69" x14ac:dyDescent="0.35">
      <c r="A213" s="1" t="s">
        <v>68</v>
      </c>
      <c r="B213" s="1" t="s">
        <v>69</v>
      </c>
      <c r="C213" s="1" t="s">
        <v>70</v>
      </c>
      <c r="D213">
        <v>1</v>
      </c>
      <c r="E213">
        <v>1</v>
      </c>
      <c r="F213" s="2">
        <v>43585.43</v>
      </c>
      <c r="G213" s="3">
        <v>41275</v>
      </c>
      <c r="H213" s="3">
        <v>41639</v>
      </c>
      <c r="I213" s="1" t="s">
        <v>71</v>
      </c>
      <c r="J213">
        <v>4521</v>
      </c>
      <c r="K213">
        <v>0</v>
      </c>
      <c r="L213" s="1" t="s">
        <v>384</v>
      </c>
      <c r="M213" s="1" t="s">
        <v>72</v>
      </c>
      <c r="N213" s="1" t="s">
        <v>134</v>
      </c>
      <c r="O213" s="1" t="s">
        <v>385</v>
      </c>
      <c r="P213" s="1" t="s">
        <v>386</v>
      </c>
      <c r="Q213" s="1" t="s">
        <v>387</v>
      </c>
      <c r="R213">
        <v>103</v>
      </c>
      <c r="S213" s="1" t="s">
        <v>135</v>
      </c>
      <c r="T213" s="1" t="s">
        <v>388</v>
      </c>
      <c r="U213" s="1" t="s">
        <v>135</v>
      </c>
      <c r="V213" s="1"/>
      <c r="W213" s="1"/>
      <c r="X213" s="1"/>
      <c r="Y213" s="1"/>
      <c r="AA213" s="1"/>
      <c r="AC213" s="1"/>
      <c r="AD213" s="1"/>
      <c r="AE213" s="1"/>
      <c r="AN213" s="1" t="s">
        <v>74</v>
      </c>
      <c r="AO213">
        <v>94</v>
      </c>
      <c r="AP213" s="1" t="s">
        <v>829</v>
      </c>
      <c r="AQ213" s="1" t="s">
        <v>1032</v>
      </c>
      <c r="AR213" s="1" t="s">
        <v>1138</v>
      </c>
      <c r="AS213" s="1" t="s">
        <v>98</v>
      </c>
      <c r="AT213" s="3">
        <v>41374</v>
      </c>
      <c r="AU213" s="3">
        <v>41374</v>
      </c>
      <c r="AV213" s="3">
        <v>41394</v>
      </c>
      <c r="AW213" s="1" t="s">
        <v>1221</v>
      </c>
      <c r="AX213" s="1" t="s">
        <v>1032</v>
      </c>
      <c r="AY213">
        <v>2007.36</v>
      </c>
      <c r="AZ213">
        <v>253</v>
      </c>
      <c r="BA213">
        <v>4654734.66</v>
      </c>
      <c r="BB213" s="1"/>
      <c r="BD213" s="1"/>
      <c r="BE213" s="1"/>
      <c r="BG213" s="1"/>
      <c r="BH213" s="1"/>
      <c r="BJ213" s="1"/>
      <c r="BL213" s="1"/>
      <c r="BN213" s="1"/>
      <c r="BO213">
        <v>599</v>
      </c>
      <c r="BP213">
        <v>4654734.66</v>
      </c>
      <c r="BQ213">
        <v>4654734.66</v>
      </c>
    </row>
    <row r="214" spans="1:69" x14ac:dyDescent="0.35">
      <c r="A214" s="1" t="s">
        <v>68</v>
      </c>
      <c r="B214" s="1" t="s">
        <v>69</v>
      </c>
      <c r="C214" s="1" t="s">
        <v>70</v>
      </c>
      <c r="D214">
        <v>1</v>
      </c>
      <c r="E214">
        <v>1</v>
      </c>
      <c r="F214" s="2">
        <v>43585.43</v>
      </c>
      <c r="G214" s="3">
        <v>41275</v>
      </c>
      <c r="H214" s="3">
        <v>41639</v>
      </c>
      <c r="I214" s="1" t="s">
        <v>71</v>
      </c>
      <c r="J214">
        <v>4521</v>
      </c>
      <c r="K214">
        <v>0</v>
      </c>
      <c r="L214" s="1" t="s">
        <v>384</v>
      </c>
      <c r="M214" s="1" t="s">
        <v>72</v>
      </c>
      <c r="N214" s="1" t="s">
        <v>134</v>
      </c>
      <c r="O214" s="1" t="s">
        <v>385</v>
      </c>
      <c r="P214" s="1" t="s">
        <v>386</v>
      </c>
      <c r="Q214" s="1" t="s">
        <v>387</v>
      </c>
      <c r="R214">
        <v>103</v>
      </c>
      <c r="S214" s="1" t="s">
        <v>135</v>
      </c>
      <c r="T214" s="1" t="s">
        <v>388</v>
      </c>
      <c r="U214" s="1" t="s">
        <v>135</v>
      </c>
      <c r="V214" s="1"/>
      <c r="W214" s="1"/>
      <c r="X214" s="1"/>
      <c r="Y214" s="1"/>
      <c r="AA214" s="1"/>
      <c r="AC214" s="1"/>
      <c r="AD214" s="1"/>
      <c r="AE214" s="1"/>
      <c r="AN214" s="1" t="s">
        <v>74</v>
      </c>
      <c r="AO214">
        <v>95</v>
      </c>
      <c r="AP214" s="1" t="s">
        <v>830</v>
      </c>
      <c r="AQ214" s="1" t="s">
        <v>1009</v>
      </c>
      <c r="AR214" s="1" t="s">
        <v>1139</v>
      </c>
      <c r="AS214" s="1" t="s">
        <v>95</v>
      </c>
      <c r="AT214" s="3">
        <v>41378</v>
      </c>
      <c r="AU214" s="3">
        <v>41378</v>
      </c>
      <c r="AV214" s="3">
        <v>41394</v>
      </c>
      <c r="AW214" s="1" t="s">
        <v>1221</v>
      </c>
      <c r="AX214" s="1" t="s">
        <v>1009</v>
      </c>
      <c r="AY214">
        <v>32</v>
      </c>
      <c r="AZ214">
        <v>253</v>
      </c>
      <c r="BA214">
        <v>4654734.66</v>
      </c>
      <c r="BB214" s="1"/>
      <c r="BD214" s="1"/>
      <c r="BE214" s="1"/>
      <c r="BG214" s="1"/>
      <c r="BH214" s="1"/>
      <c r="BJ214" s="1"/>
      <c r="BL214" s="1"/>
      <c r="BN214" s="1"/>
      <c r="BO214">
        <v>599</v>
      </c>
      <c r="BP214">
        <v>4654734.66</v>
      </c>
      <c r="BQ214">
        <v>4654734.66</v>
      </c>
    </row>
    <row r="215" spans="1:69" x14ac:dyDescent="0.35">
      <c r="A215" s="1" t="s">
        <v>68</v>
      </c>
      <c r="B215" s="1" t="s">
        <v>69</v>
      </c>
      <c r="C215" s="1" t="s">
        <v>70</v>
      </c>
      <c r="D215">
        <v>1</v>
      </c>
      <c r="E215">
        <v>1</v>
      </c>
      <c r="F215" s="2">
        <v>43585.43</v>
      </c>
      <c r="G215" s="3">
        <v>41275</v>
      </c>
      <c r="H215" s="3">
        <v>41639</v>
      </c>
      <c r="I215" s="1" t="s">
        <v>71</v>
      </c>
      <c r="J215">
        <v>4521</v>
      </c>
      <c r="K215">
        <v>0</v>
      </c>
      <c r="L215" s="1" t="s">
        <v>384</v>
      </c>
      <c r="M215" s="1" t="s">
        <v>72</v>
      </c>
      <c r="N215" s="1" t="s">
        <v>134</v>
      </c>
      <c r="O215" s="1" t="s">
        <v>385</v>
      </c>
      <c r="P215" s="1" t="s">
        <v>386</v>
      </c>
      <c r="Q215" s="1" t="s">
        <v>387</v>
      </c>
      <c r="R215">
        <v>103</v>
      </c>
      <c r="S215" s="1" t="s">
        <v>135</v>
      </c>
      <c r="T215" s="1" t="s">
        <v>388</v>
      </c>
      <c r="U215" s="1" t="s">
        <v>135</v>
      </c>
      <c r="V215" s="1"/>
      <c r="W215" s="1"/>
      <c r="X215" s="1"/>
      <c r="Y215" s="1"/>
      <c r="AA215" s="1"/>
      <c r="AC215" s="1"/>
      <c r="AD215" s="1"/>
      <c r="AE215" s="1"/>
      <c r="AN215" s="1" t="s">
        <v>74</v>
      </c>
      <c r="AO215">
        <v>96</v>
      </c>
      <c r="AP215" s="1" t="s">
        <v>831</v>
      </c>
      <c r="AQ215" s="1" t="s">
        <v>1033</v>
      </c>
      <c r="AR215" s="1" t="s">
        <v>1140</v>
      </c>
      <c r="AS215" s="1" t="s">
        <v>97</v>
      </c>
      <c r="AT215" s="3">
        <v>41378</v>
      </c>
      <c r="AU215" s="3">
        <v>41378</v>
      </c>
      <c r="AV215" s="3">
        <v>41394</v>
      </c>
      <c r="AW215" s="1" t="s">
        <v>1221</v>
      </c>
      <c r="AX215" s="1" t="s">
        <v>1033</v>
      </c>
      <c r="AY215">
        <v>12142.56</v>
      </c>
      <c r="AZ215">
        <v>253</v>
      </c>
      <c r="BA215">
        <v>4654734.66</v>
      </c>
      <c r="BB215" s="1"/>
      <c r="BD215" s="1"/>
      <c r="BE215" s="1"/>
      <c r="BG215" s="1"/>
      <c r="BH215" s="1"/>
      <c r="BJ215" s="1"/>
      <c r="BL215" s="1"/>
      <c r="BN215" s="1"/>
      <c r="BO215">
        <v>599</v>
      </c>
      <c r="BP215">
        <v>4654734.66</v>
      </c>
      <c r="BQ215">
        <v>4654734.66</v>
      </c>
    </row>
    <row r="216" spans="1:69" x14ac:dyDescent="0.35">
      <c r="A216" s="1" t="s">
        <v>68</v>
      </c>
      <c r="B216" s="1" t="s">
        <v>69</v>
      </c>
      <c r="C216" s="1" t="s">
        <v>70</v>
      </c>
      <c r="D216">
        <v>1</v>
      </c>
      <c r="E216">
        <v>1</v>
      </c>
      <c r="F216" s="2">
        <v>43585.43</v>
      </c>
      <c r="G216" s="3">
        <v>41275</v>
      </c>
      <c r="H216" s="3">
        <v>41639</v>
      </c>
      <c r="I216" s="1" t="s">
        <v>71</v>
      </c>
      <c r="J216">
        <v>4521</v>
      </c>
      <c r="K216">
        <v>0</v>
      </c>
      <c r="L216" s="1" t="s">
        <v>384</v>
      </c>
      <c r="M216" s="1" t="s">
        <v>72</v>
      </c>
      <c r="N216" s="1" t="s">
        <v>134</v>
      </c>
      <c r="O216" s="1" t="s">
        <v>385</v>
      </c>
      <c r="P216" s="1" t="s">
        <v>386</v>
      </c>
      <c r="Q216" s="1" t="s">
        <v>387</v>
      </c>
      <c r="R216">
        <v>103</v>
      </c>
      <c r="S216" s="1" t="s">
        <v>135</v>
      </c>
      <c r="T216" s="1" t="s">
        <v>388</v>
      </c>
      <c r="U216" s="1" t="s">
        <v>135</v>
      </c>
      <c r="V216" s="1"/>
      <c r="W216" s="1"/>
      <c r="X216" s="1"/>
      <c r="Y216" s="1"/>
      <c r="AA216" s="1"/>
      <c r="AC216" s="1"/>
      <c r="AD216" s="1"/>
      <c r="AE216" s="1"/>
      <c r="AN216" s="1" t="s">
        <v>74</v>
      </c>
      <c r="AO216">
        <v>97</v>
      </c>
      <c r="AP216" s="1" t="s">
        <v>832</v>
      </c>
      <c r="AQ216" s="1" t="s">
        <v>1033</v>
      </c>
      <c r="AR216" s="1" t="s">
        <v>1140</v>
      </c>
      <c r="AS216" s="1" t="s">
        <v>97</v>
      </c>
      <c r="AT216" s="3">
        <v>41378</v>
      </c>
      <c r="AU216" s="3">
        <v>41378</v>
      </c>
      <c r="AV216" s="3">
        <v>41394</v>
      </c>
      <c r="AW216" s="1" t="s">
        <v>1221</v>
      </c>
      <c r="AX216" s="1" t="s">
        <v>1033</v>
      </c>
      <c r="AY216">
        <v>409.84</v>
      </c>
      <c r="AZ216">
        <v>253</v>
      </c>
      <c r="BA216">
        <v>4654734.66</v>
      </c>
      <c r="BB216" s="1"/>
      <c r="BD216" s="1"/>
      <c r="BE216" s="1"/>
      <c r="BG216" s="1"/>
      <c r="BH216" s="1"/>
      <c r="BJ216" s="1"/>
      <c r="BL216" s="1"/>
      <c r="BN216" s="1"/>
      <c r="BO216">
        <v>599</v>
      </c>
      <c r="BP216">
        <v>4654734.66</v>
      </c>
      <c r="BQ216">
        <v>4654734.66</v>
      </c>
    </row>
    <row r="217" spans="1:69" x14ac:dyDescent="0.35">
      <c r="A217" s="1" t="s">
        <v>68</v>
      </c>
      <c r="B217" s="1" t="s">
        <v>69</v>
      </c>
      <c r="C217" s="1" t="s">
        <v>70</v>
      </c>
      <c r="D217">
        <v>1</v>
      </c>
      <c r="E217">
        <v>1</v>
      </c>
      <c r="F217" s="2">
        <v>43585.43</v>
      </c>
      <c r="G217" s="3">
        <v>41275</v>
      </c>
      <c r="H217" s="3">
        <v>41639</v>
      </c>
      <c r="I217" s="1" t="s">
        <v>71</v>
      </c>
      <c r="J217">
        <v>4521</v>
      </c>
      <c r="K217">
        <v>0</v>
      </c>
      <c r="L217" s="1" t="s">
        <v>384</v>
      </c>
      <c r="M217" s="1" t="s">
        <v>72</v>
      </c>
      <c r="N217" s="1" t="s">
        <v>134</v>
      </c>
      <c r="O217" s="1" t="s">
        <v>385</v>
      </c>
      <c r="P217" s="1" t="s">
        <v>386</v>
      </c>
      <c r="Q217" s="1" t="s">
        <v>387</v>
      </c>
      <c r="R217">
        <v>103</v>
      </c>
      <c r="S217" s="1" t="s">
        <v>135</v>
      </c>
      <c r="T217" s="1" t="s">
        <v>388</v>
      </c>
      <c r="U217" s="1" t="s">
        <v>135</v>
      </c>
      <c r="V217" s="1"/>
      <c r="W217" s="1"/>
      <c r="X217" s="1"/>
      <c r="Y217" s="1"/>
      <c r="AA217" s="1"/>
      <c r="AC217" s="1"/>
      <c r="AD217" s="1"/>
      <c r="AE217" s="1"/>
      <c r="AN217" s="1" t="s">
        <v>74</v>
      </c>
      <c r="AO217">
        <v>98</v>
      </c>
      <c r="AP217" s="1" t="s">
        <v>833</v>
      </c>
      <c r="AQ217" s="1" t="s">
        <v>1034</v>
      </c>
      <c r="AR217" s="1" t="s">
        <v>1141</v>
      </c>
      <c r="AS217" s="1" t="s">
        <v>97</v>
      </c>
      <c r="AT217" s="3">
        <v>41379</v>
      </c>
      <c r="AU217" s="3">
        <v>41379</v>
      </c>
      <c r="AV217" s="3">
        <v>41394</v>
      </c>
      <c r="AW217" s="1" t="s">
        <v>1221</v>
      </c>
      <c r="AX217" s="1" t="s">
        <v>1034</v>
      </c>
      <c r="AY217">
        <v>3075</v>
      </c>
      <c r="AZ217">
        <v>253</v>
      </c>
      <c r="BA217">
        <v>4654734.66</v>
      </c>
      <c r="BB217" s="1"/>
      <c r="BD217" s="1"/>
      <c r="BE217" s="1"/>
      <c r="BG217" s="1"/>
      <c r="BH217" s="1"/>
      <c r="BJ217" s="1"/>
      <c r="BL217" s="1"/>
      <c r="BN217" s="1"/>
      <c r="BO217">
        <v>599</v>
      </c>
      <c r="BP217">
        <v>4654734.66</v>
      </c>
      <c r="BQ217">
        <v>4654734.66</v>
      </c>
    </row>
    <row r="218" spans="1:69" x14ac:dyDescent="0.35">
      <c r="A218" s="1" t="s">
        <v>68</v>
      </c>
      <c r="B218" s="1" t="s">
        <v>69</v>
      </c>
      <c r="C218" s="1" t="s">
        <v>70</v>
      </c>
      <c r="D218">
        <v>1</v>
      </c>
      <c r="E218">
        <v>1</v>
      </c>
      <c r="F218" s="2">
        <v>43585.43</v>
      </c>
      <c r="G218" s="3">
        <v>41275</v>
      </c>
      <c r="H218" s="3">
        <v>41639</v>
      </c>
      <c r="I218" s="1" t="s">
        <v>71</v>
      </c>
      <c r="J218">
        <v>4521</v>
      </c>
      <c r="K218">
        <v>0</v>
      </c>
      <c r="L218" s="1" t="s">
        <v>384</v>
      </c>
      <c r="M218" s="1" t="s">
        <v>72</v>
      </c>
      <c r="N218" s="1" t="s">
        <v>134</v>
      </c>
      <c r="O218" s="1" t="s">
        <v>385</v>
      </c>
      <c r="P218" s="1" t="s">
        <v>386</v>
      </c>
      <c r="Q218" s="1" t="s">
        <v>387</v>
      </c>
      <c r="R218">
        <v>103</v>
      </c>
      <c r="S218" s="1" t="s">
        <v>135</v>
      </c>
      <c r="T218" s="1" t="s">
        <v>388</v>
      </c>
      <c r="U218" s="1" t="s">
        <v>135</v>
      </c>
      <c r="V218" s="1"/>
      <c r="W218" s="1"/>
      <c r="X218" s="1"/>
      <c r="Y218" s="1"/>
      <c r="AA218" s="1"/>
      <c r="AC218" s="1"/>
      <c r="AD218" s="1"/>
      <c r="AE218" s="1"/>
      <c r="AN218" s="1" t="s">
        <v>74</v>
      </c>
      <c r="AO218">
        <v>99</v>
      </c>
      <c r="AP218" s="1" t="s">
        <v>834</v>
      </c>
      <c r="AQ218" s="1" t="s">
        <v>1035</v>
      </c>
      <c r="AR218" s="1" t="s">
        <v>1142</v>
      </c>
      <c r="AS218" s="1" t="s">
        <v>1213</v>
      </c>
      <c r="AT218" s="3">
        <v>41380</v>
      </c>
      <c r="AU218" s="3">
        <v>41380</v>
      </c>
      <c r="AV218" s="3">
        <v>41394</v>
      </c>
      <c r="AW218" s="1" t="s">
        <v>1221</v>
      </c>
      <c r="AX218" s="1" t="s">
        <v>1002</v>
      </c>
      <c r="AY218">
        <v>22.12</v>
      </c>
      <c r="AZ218">
        <v>253</v>
      </c>
      <c r="BA218">
        <v>4654734.66</v>
      </c>
      <c r="BB218" s="1"/>
      <c r="BD218" s="1"/>
      <c r="BE218" s="1"/>
      <c r="BG218" s="1"/>
      <c r="BH218" s="1"/>
      <c r="BJ218" s="1"/>
      <c r="BL218" s="1"/>
      <c r="BN218" s="1"/>
      <c r="BO218">
        <v>599</v>
      </c>
      <c r="BP218">
        <v>4654734.66</v>
      </c>
      <c r="BQ218">
        <v>4654734.66</v>
      </c>
    </row>
    <row r="219" spans="1:69" x14ac:dyDescent="0.35">
      <c r="A219" s="1" t="s">
        <v>68</v>
      </c>
      <c r="B219" s="1" t="s">
        <v>69</v>
      </c>
      <c r="C219" s="1" t="s">
        <v>70</v>
      </c>
      <c r="D219">
        <v>1</v>
      </c>
      <c r="E219">
        <v>1</v>
      </c>
      <c r="F219" s="2">
        <v>43585.43</v>
      </c>
      <c r="G219" s="3">
        <v>41275</v>
      </c>
      <c r="H219" s="3">
        <v>41639</v>
      </c>
      <c r="I219" s="1" t="s">
        <v>71</v>
      </c>
      <c r="J219">
        <v>4521</v>
      </c>
      <c r="K219">
        <v>0</v>
      </c>
      <c r="L219" s="1" t="s">
        <v>384</v>
      </c>
      <c r="M219" s="1" t="s">
        <v>72</v>
      </c>
      <c r="N219" s="1" t="s">
        <v>134</v>
      </c>
      <c r="O219" s="1" t="s">
        <v>385</v>
      </c>
      <c r="P219" s="1" t="s">
        <v>386</v>
      </c>
      <c r="Q219" s="1" t="s">
        <v>387</v>
      </c>
      <c r="R219">
        <v>103</v>
      </c>
      <c r="S219" s="1" t="s">
        <v>135</v>
      </c>
      <c r="T219" s="1" t="s">
        <v>388</v>
      </c>
      <c r="U219" s="1" t="s">
        <v>135</v>
      </c>
      <c r="V219" s="1"/>
      <c r="W219" s="1"/>
      <c r="X219" s="1"/>
      <c r="Y219" s="1"/>
      <c r="AA219" s="1"/>
      <c r="AC219" s="1"/>
      <c r="AD219" s="1"/>
      <c r="AE219" s="1"/>
      <c r="AN219" s="1" t="s">
        <v>74</v>
      </c>
      <c r="AO219">
        <v>100</v>
      </c>
      <c r="AP219" s="1" t="s">
        <v>835</v>
      </c>
      <c r="AQ219" s="1" t="s">
        <v>1035</v>
      </c>
      <c r="AR219" s="1" t="s">
        <v>1142</v>
      </c>
      <c r="AS219" s="1" t="s">
        <v>1213</v>
      </c>
      <c r="AT219" s="3">
        <v>41380</v>
      </c>
      <c r="AU219" s="3">
        <v>41380</v>
      </c>
      <c r="AV219" s="3">
        <v>41394</v>
      </c>
      <c r="AW219" s="1" t="s">
        <v>1221</v>
      </c>
      <c r="AX219" s="1" t="s">
        <v>1244</v>
      </c>
      <c r="AY219">
        <v>325.12</v>
      </c>
      <c r="AZ219">
        <v>253</v>
      </c>
      <c r="BA219">
        <v>4654734.66</v>
      </c>
      <c r="BB219" s="1"/>
      <c r="BD219" s="1"/>
      <c r="BE219" s="1"/>
      <c r="BG219" s="1"/>
      <c r="BH219" s="1"/>
      <c r="BJ219" s="1"/>
      <c r="BL219" s="1"/>
      <c r="BN219" s="1"/>
      <c r="BO219">
        <v>599</v>
      </c>
      <c r="BP219">
        <v>4654734.66</v>
      </c>
      <c r="BQ219">
        <v>4654734.66</v>
      </c>
    </row>
    <row r="220" spans="1:69" x14ac:dyDescent="0.35">
      <c r="A220" s="1" t="s">
        <v>68</v>
      </c>
      <c r="B220" s="1" t="s">
        <v>69</v>
      </c>
      <c r="C220" s="1" t="s">
        <v>70</v>
      </c>
      <c r="D220">
        <v>1</v>
      </c>
      <c r="E220">
        <v>1</v>
      </c>
      <c r="F220" s="2">
        <v>43585.43</v>
      </c>
      <c r="G220" s="3">
        <v>41275</v>
      </c>
      <c r="H220" s="3">
        <v>41639</v>
      </c>
      <c r="I220" s="1" t="s">
        <v>71</v>
      </c>
      <c r="J220">
        <v>4521</v>
      </c>
      <c r="K220">
        <v>0</v>
      </c>
      <c r="L220" s="1" t="s">
        <v>384</v>
      </c>
      <c r="M220" s="1" t="s">
        <v>72</v>
      </c>
      <c r="N220" s="1" t="s">
        <v>134</v>
      </c>
      <c r="O220" s="1" t="s">
        <v>385</v>
      </c>
      <c r="P220" s="1" t="s">
        <v>386</v>
      </c>
      <c r="Q220" s="1" t="s">
        <v>387</v>
      </c>
      <c r="R220">
        <v>103</v>
      </c>
      <c r="S220" s="1" t="s">
        <v>135</v>
      </c>
      <c r="T220" s="1" t="s">
        <v>388</v>
      </c>
      <c r="U220" s="1" t="s">
        <v>135</v>
      </c>
      <c r="V220" s="1"/>
      <c r="W220" s="1"/>
      <c r="X220" s="1"/>
      <c r="Y220" s="1"/>
      <c r="AA220" s="1"/>
      <c r="AC220" s="1"/>
      <c r="AD220" s="1"/>
      <c r="AE220" s="1"/>
      <c r="AN220" s="1" t="s">
        <v>74</v>
      </c>
      <c r="AO220">
        <v>101</v>
      </c>
      <c r="AP220" s="1" t="s">
        <v>836</v>
      </c>
      <c r="AQ220" s="1" t="s">
        <v>1035</v>
      </c>
      <c r="AR220" s="1" t="s">
        <v>1142</v>
      </c>
      <c r="AS220" s="1" t="s">
        <v>1213</v>
      </c>
      <c r="AT220" s="3">
        <v>41380</v>
      </c>
      <c r="AU220" s="3">
        <v>41380</v>
      </c>
      <c r="AV220" s="3">
        <v>41394</v>
      </c>
      <c r="AW220" s="1" t="s">
        <v>1221</v>
      </c>
      <c r="AX220" s="1" t="s">
        <v>1245</v>
      </c>
      <c r="AY220">
        <v>23.12</v>
      </c>
      <c r="AZ220">
        <v>253</v>
      </c>
      <c r="BA220">
        <v>4654734.66</v>
      </c>
      <c r="BB220" s="1"/>
      <c r="BD220" s="1"/>
      <c r="BE220" s="1"/>
      <c r="BG220" s="1"/>
      <c r="BH220" s="1"/>
      <c r="BJ220" s="1"/>
      <c r="BL220" s="1"/>
      <c r="BN220" s="1"/>
      <c r="BO220">
        <v>599</v>
      </c>
      <c r="BP220">
        <v>4654734.66</v>
      </c>
      <c r="BQ220">
        <v>4654734.66</v>
      </c>
    </row>
    <row r="221" spans="1:69" x14ac:dyDescent="0.35">
      <c r="A221" s="1" t="s">
        <v>68</v>
      </c>
      <c r="B221" s="1" t="s">
        <v>69</v>
      </c>
      <c r="C221" s="1" t="s">
        <v>70</v>
      </c>
      <c r="D221">
        <v>1</v>
      </c>
      <c r="E221">
        <v>1</v>
      </c>
      <c r="F221" s="2">
        <v>43585.43</v>
      </c>
      <c r="G221" s="3">
        <v>41275</v>
      </c>
      <c r="H221" s="3">
        <v>41639</v>
      </c>
      <c r="I221" s="1" t="s">
        <v>71</v>
      </c>
      <c r="J221">
        <v>4521</v>
      </c>
      <c r="K221">
        <v>0</v>
      </c>
      <c r="L221" s="1" t="s">
        <v>384</v>
      </c>
      <c r="M221" s="1" t="s">
        <v>72</v>
      </c>
      <c r="N221" s="1" t="s">
        <v>134</v>
      </c>
      <c r="O221" s="1" t="s">
        <v>385</v>
      </c>
      <c r="P221" s="1" t="s">
        <v>386</v>
      </c>
      <c r="Q221" s="1" t="s">
        <v>387</v>
      </c>
      <c r="R221">
        <v>103</v>
      </c>
      <c r="S221" s="1" t="s">
        <v>135</v>
      </c>
      <c r="T221" s="1" t="s">
        <v>388</v>
      </c>
      <c r="U221" s="1" t="s">
        <v>135</v>
      </c>
      <c r="V221" s="1"/>
      <c r="W221" s="1"/>
      <c r="X221" s="1"/>
      <c r="Y221" s="1"/>
      <c r="AA221" s="1"/>
      <c r="AC221" s="1"/>
      <c r="AD221" s="1"/>
      <c r="AE221" s="1"/>
      <c r="AN221" s="1" t="s">
        <v>74</v>
      </c>
      <c r="AO221">
        <v>102</v>
      </c>
      <c r="AP221" s="1" t="s">
        <v>837</v>
      </c>
      <c r="AQ221" s="1" t="s">
        <v>1035</v>
      </c>
      <c r="AR221" s="1" t="s">
        <v>1142</v>
      </c>
      <c r="AS221" s="1" t="s">
        <v>1213</v>
      </c>
      <c r="AT221" s="3">
        <v>41380</v>
      </c>
      <c r="AU221" s="3">
        <v>41380</v>
      </c>
      <c r="AV221" s="3">
        <v>41394</v>
      </c>
      <c r="AW221" s="1" t="s">
        <v>1221</v>
      </c>
      <c r="AX221" s="1" t="s">
        <v>1245</v>
      </c>
      <c r="AY221">
        <v>15.12</v>
      </c>
      <c r="AZ221">
        <v>253</v>
      </c>
      <c r="BA221">
        <v>4654734.66</v>
      </c>
      <c r="BB221" s="1"/>
      <c r="BD221" s="1"/>
      <c r="BE221" s="1"/>
      <c r="BG221" s="1"/>
      <c r="BH221" s="1"/>
      <c r="BJ221" s="1"/>
      <c r="BL221" s="1"/>
      <c r="BN221" s="1"/>
      <c r="BO221">
        <v>599</v>
      </c>
      <c r="BP221">
        <v>4654734.66</v>
      </c>
      <c r="BQ221">
        <v>4654734.66</v>
      </c>
    </row>
    <row r="222" spans="1:69" x14ac:dyDescent="0.35">
      <c r="A222" s="1" t="s">
        <v>68</v>
      </c>
      <c r="B222" s="1" t="s">
        <v>69</v>
      </c>
      <c r="C222" s="1" t="s">
        <v>70</v>
      </c>
      <c r="D222">
        <v>1</v>
      </c>
      <c r="E222">
        <v>1</v>
      </c>
      <c r="F222" s="2">
        <v>43585.43</v>
      </c>
      <c r="G222" s="3">
        <v>41275</v>
      </c>
      <c r="H222" s="3">
        <v>41639</v>
      </c>
      <c r="I222" s="1" t="s">
        <v>71</v>
      </c>
      <c r="J222">
        <v>4521</v>
      </c>
      <c r="K222">
        <v>0</v>
      </c>
      <c r="L222" s="1" t="s">
        <v>384</v>
      </c>
      <c r="M222" s="1" t="s">
        <v>72</v>
      </c>
      <c r="N222" s="1" t="s">
        <v>134</v>
      </c>
      <c r="O222" s="1" t="s">
        <v>385</v>
      </c>
      <c r="P222" s="1" t="s">
        <v>386</v>
      </c>
      <c r="Q222" s="1" t="s">
        <v>387</v>
      </c>
      <c r="R222">
        <v>103</v>
      </c>
      <c r="S222" s="1" t="s">
        <v>135</v>
      </c>
      <c r="T222" s="1" t="s">
        <v>388</v>
      </c>
      <c r="U222" s="1" t="s">
        <v>135</v>
      </c>
      <c r="V222" s="1"/>
      <c r="W222" s="1"/>
      <c r="X222" s="1"/>
      <c r="Y222" s="1"/>
      <c r="AA222" s="1"/>
      <c r="AC222" s="1"/>
      <c r="AD222" s="1"/>
      <c r="AE222" s="1"/>
      <c r="AN222" s="1" t="s">
        <v>74</v>
      </c>
      <c r="AO222">
        <v>103</v>
      </c>
      <c r="AP222" s="1" t="s">
        <v>838</v>
      </c>
      <c r="AQ222" s="1" t="s">
        <v>1035</v>
      </c>
      <c r="AR222" s="1" t="s">
        <v>1142</v>
      </c>
      <c r="AS222" s="1" t="s">
        <v>1213</v>
      </c>
      <c r="AT222" s="3">
        <v>41380</v>
      </c>
      <c r="AU222" s="3">
        <v>41380</v>
      </c>
      <c r="AV222" s="3">
        <v>41394</v>
      </c>
      <c r="AW222" s="1" t="s">
        <v>1221</v>
      </c>
      <c r="AX222" s="1" t="s">
        <v>1245</v>
      </c>
      <c r="AY222">
        <v>35</v>
      </c>
      <c r="AZ222">
        <v>253</v>
      </c>
      <c r="BA222">
        <v>4654734.66</v>
      </c>
      <c r="BB222" s="1"/>
      <c r="BD222" s="1"/>
      <c r="BE222" s="1"/>
      <c r="BG222" s="1"/>
      <c r="BH222" s="1"/>
      <c r="BJ222" s="1"/>
      <c r="BL222" s="1"/>
      <c r="BN222" s="1"/>
      <c r="BO222">
        <v>599</v>
      </c>
      <c r="BP222">
        <v>4654734.66</v>
      </c>
      <c r="BQ222">
        <v>4654734.66</v>
      </c>
    </row>
    <row r="223" spans="1:69" x14ac:dyDescent="0.35">
      <c r="A223" s="1" t="s">
        <v>68</v>
      </c>
      <c r="B223" s="1" t="s">
        <v>69</v>
      </c>
      <c r="C223" s="1" t="s">
        <v>70</v>
      </c>
      <c r="D223">
        <v>1</v>
      </c>
      <c r="E223">
        <v>1</v>
      </c>
      <c r="F223" s="2">
        <v>43585.43</v>
      </c>
      <c r="G223" s="3">
        <v>41275</v>
      </c>
      <c r="H223" s="3">
        <v>41639</v>
      </c>
      <c r="I223" s="1" t="s">
        <v>71</v>
      </c>
      <c r="J223">
        <v>4521</v>
      </c>
      <c r="K223">
        <v>0</v>
      </c>
      <c r="L223" s="1" t="s">
        <v>384</v>
      </c>
      <c r="M223" s="1" t="s">
        <v>72</v>
      </c>
      <c r="N223" s="1" t="s">
        <v>134</v>
      </c>
      <c r="O223" s="1" t="s">
        <v>385</v>
      </c>
      <c r="P223" s="1" t="s">
        <v>386</v>
      </c>
      <c r="Q223" s="1" t="s">
        <v>387</v>
      </c>
      <c r="R223">
        <v>103</v>
      </c>
      <c r="S223" s="1" t="s">
        <v>135</v>
      </c>
      <c r="T223" s="1" t="s">
        <v>388</v>
      </c>
      <c r="U223" s="1" t="s">
        <v>135</v>
      </c>
      <c r="V223" s="1"/>
      <c r="W223" s="1"/>
      <c r="X223" s="1"/>
      <c r="Y223" s="1"/>
      <c r="AA223" s="1"/>
      <c r="AC223" s="1"/>
      <c r="AD223" s="1"/>
      <c r="AE223" s="1"/>
      <c r="AN223" s="1" t="s">
        <v>74</v>
      </c>
      <c r="AO223">
        <v>104</v>
      </c>
      <c r="AP223" s="1" t="s">
        <v>839</v>
      </c>
      <c r="AQ223" s="1" t="s">
        <v>1035</v>
      </c>
      <c r="AR223" s="1" t="s">
        <v>1142</v>
      </c>
      <c r="AS223" s="1" t="s">
        <v>1213</v>
      </c>
      <c r="AT223" s="3">
        <v>41380</v>
      </c>
      <c r="AU223" s="3">
        <v>41380</v>
      </c>
      <c r="AV223" s="3">
        <v>41394</v>
      </c>
      <c r="AW223" s="1" t="s">
        <v>1221</v>
      </c>
      <c r="AX223" s="1" t="s">
        <v>1245</v>
      </c>
      <c r="AY223">
        <v>110.5</v>
      </c>
      <c r="AZ223">
        <v>253</v>
      </c>
      <c r="BA223">
        <v>4654734.66</v>
      </c>
      <c r="BB223" s="1"/>
      <c r="BD223" s="1"/>
      <c r="BE223" s="1"/>
      <c r="BG223" s="1"/>
      <c r="BH223" s="1"/>
      <c r="BJ223" s="1"/>
      <c r="BL223" s="1"/>
      <c r="BN223" s="1"/>
      <c r="BO223">
        <v>599</v>
      </c>
      <c r="BP223">
        <v>4654734.66</v>
      </c>
      <c r="BQ223">
        <v>4654734.66</v>
      </c>
    </row>
    <row r="224" spans="1:69" x14ac:dyDescent="0.35">
      <c r="A224" s="1" t="s">
        <v>68</v>
      </c>
      <c r="B224" s="1" t="s">
        <v>69</v>
      </c>
      <c r="C224" s="1" t="s">
        <v>70</v>
      </c>
      <c r="D224">
        <v>1</v>
      </c>
      <c r="E224">
        <v>1</v>
      </c>
      <c r="F224" s="2">
        <v>43585.43</v>
      </c>
      <c r="G224" s="3">
        <v>41275</v>
      </c>
      <c r="H224" s="3">
        <v>41639</v>
      </c>
      <c r="I224" s="1" t="s">
        <v>71</v>
      </c>
      <c r="J224">
        <v>4521</v>
      </c>
      <c r="K224">
        <v>0</v>
      </c>
      <c r="L224" s="1" t="s">
        <v>384</v>
      </c>
      <c r="M224" s="1" t="s">
        <v>72</v>
      </c>
      <c r="N224" s="1" t="s">
        <v>134</v>
      </c>
      <c r="O224" s="1" t="s">
        <v>385</v>
      </c>
      <c r="P224" s="1" t="s">
        <v>386</v>
      </c>
      <c r="Q224" s="1" t="s">
        <v>387</v>
      </c>
      <c r="R224">
        <v>103</v>
      </c>
      <c r="S224" s="1" t="s">
        <v>135</v>
      </c>
      <c r="T224" s="1" t="s">
        <v>388</v>
      </c>
      <c r="U224" s="1" t="s">
        <v>135</v>
      </c>
      <c r="V224" s="1"/>
      <c r="W224" s="1"/>
      <c r="X224" s="1"/>
      <c r="Y224" s="1"/>
      <c r="AA224" s="1"/>
      <c r="AC224" s="1"/>
      <c r="AD224" s="1"/>
      <c r="AE224" s="1"/>
      <c r="AN224" s="1" t="s">
        <v>74</v>
      </c>
      <c r="AO224">
        <v>105</v>
      </c>
      <c r="AP224" s="1" t="s">
        <v>840</v>
      </c>
      <c r="AQ224" s="1" t="s">
        <v>1035</v>
      </c>
      <c r="AR224" s="1" t="s">
        <v>1142</v>
      </c>
      <c r="AS224" s="1" t="s">
        <v>1213</v>
      </c>
      <c r="AT224" s="3">
        <v>41380</v>
      </c>
      <c r="AU224" s="3">
        <v>41380</v>
      </c>
      <c r="AV224" s="3">
        <v>41394</v>
      </c>
      <c r="AW224" s="1" t="s">
        <v>1221</v>
      </c>
      <c r="AX224" s="1" t="s">
        <v>1245</v>
      </c>
      <c r="AY224">
        <v>65</v>
      </c>
      <c r="AZ224">
        <v>253</v>
      </c>
      <c r="BA224">
        <v>4654734.66</v>
      </c>
      <c r="BB224" s="1"/>
      <c r="BD224" s="1"/>
      <c r="BE224" s="1"/>
      <c r="BG224" s="1"/>
      <c r="BH224" s="1"/>
      <c r="BJ224" s="1"/>
      <c r="BL224" s="1"/>
      <c r="BN224" s="1"/>
      <c r="BO224">
        <v>599</v>
      </c>
      <c r="BP224">
        <v>4654734.66</v>
      </c>
      <c r="BQ224">
        <v>4654734.66</v>
      </c>
    </row>
    <row r="225" spans="1:69" x14ac:dyDescent="0.35">
      <c r="A225" s="1" t="s">
        <v>68</v>
      </c>
      <c r="B225" s="1" t="s">
        <v>69</v>
      </c>
      <c r="C225" s="1" t="s">
        <v>70</v>
      </c>
      <c r="D225">
        <v>1</v>
      </c>
      <c r="E225">
        <v>1</v>
      </c>
      <c r="F225" s="2">
        <v>43585.43</v>
      </c>
      <c r="G225" s="3">
        <v>41275</v>
      </c>
      <c r="H225" s="3">
        <v>41639</v>
      </c>
      <c r="I225" s="1" t="s">
        <v>71</v>
      </c>
      <c r="J225">
        <v>4521</v>
      </c>
      <c r="K225">
        <v>0</v>
      </c>
      <c r="L225" s="1" t="s">
        <v>384</v>
      </c>
      <c r="M225" s="1" t="s">
        <v>72</v>
      </c>
      <c r="N225" s="1" t="s">
        <v>134</v>
      </c>
      <c r="O225" s="1" t="s">
        <v>385</v>
      </c>
      <c r="P225" s="1" t="s">
        <v>386</v>
      </c>
      <c r="Q225" s="1" t="s">
        <v>387</v>
      </c>
      <c r="R225">
        <v>103</v>
      </c>
      <c r="S225" s="1" t="s">
        <v>135</v>
      </c>
      <c r="T225" s="1" t="s">
        <v>388</v>
      </c>
      <c r="U225" s="1" t="s">
        <v>135</v>
      </c>
      <c r="V225" s="1"/>
      <c r="W225" s="1"/>
      <c r="X225" s="1"/>
      <c r="Y225" s="1"/>
      <c r="AA225" s="1"/>
      <c r="AC225" s="1"/>
      <c r="AD225" s="1"/>
      <c r="AE225" s="1"/>
      <c r="AN225" s="1" t="s">
        <v>74</v>
      </c>
      <c r="AO225">
        <v>106</v>
      </c>
      <c r="AP225" s="1" t="s">
        <v>841</v>
      </c>
      <c r="AQ225" s="1" t="s">
        <v>1035</v>
      </c>
      <c r="AR225" s="1" t="s">
        <v>1142</v>
      </c>
      <c r="AS225" s="1" t="s">
        <v>1213</v>
      </c>
      <c r="AT225" s="3">
        <v>41380</v>
      </c>
      <c r="AU225" s="3">
        <v>41380</v>
      </c>
      <c r="AV225" s="3">
        <v>41394</v>
      </c>
      <c r="AW225" s="1" t="s">
        <v>1221</v>
      </c>
      <c r="AX225" s="1" t="s">
        <v>1245</v>
      </c>
      <c r="AY225">
        <v>35</v>
      </c>
      <c r="AZ225">
        <v>253</v>
      </c>
      <c r="BA225">
        <v>4654734.66</v>
      </c>
      <c r="BB225" s="1"/>
      <c r="BD225" s="1"/>
      <c r="BE225" s="1"/>
      <c r="BG225" s="1"/>
      <c r="BH225" s="1"/>
      <c r="BJ225" s="1"/>
      <c r="BL225" s="1"/>
      <c r="BN225" s="1"/>
      <c r="BO225">
        <v>599</v>
      </c>
      <c r="BP225">
        <v>4654734.66</v>
      </c>
      <c r="BQ225">
        <v>4654734.66</v>
      </c>
    </row>
    <row r="226" spans="1:69" x14ac:dyDescent="0.35">
      <c r="A226" s="1" t="s">
        <v>68</v>
      </c>
      <c r="B226" s="1" t="s">
        <v>69</v>
      </c>
      <c r="C226" s="1" t="s">
        <v>70</v>
      </c>
      <c r="D226">
        <v>1</v>
      </c>
      <c r="E226">
        <v>1</v>
      </c>
      <c r="F226" s="2">
        <v>43585.43</v>
      </c>
      <c r="G226" s="3">
        <v>41275</v>
      </c>
      <c r="H226" s="3">
        <v>41639</v>
      </c>
      <c r="I226" s="1" t="s">
        <v>71</v>
      </c>
      <c r="J226">
        <v>4521</v>
      </c>
      <c r="K226">
        <v>0</v>
      </c>
      <c r="L226" s="1" t="s">
        <v>384</v>
      </c>
      <c r="M226" s="1" t="s">
        <v>72</v>
      </c>
      <c r="N226" s="1" t="s">
        <v>134</v>
      </c>
      <c r="O226" s="1" t="s">
        <v>385</v>
      </c>
      <c r="P226" s="1" t="s">
        <v>386</v>
      </c>
      <c r="Q226" s="1" t="s">
        <v>387</v>
      </c>
      <c r="R226">
        <v>103</v>
      </c>
      <c r="S226" s="1" t="s">
        <v>135</v>
      </c>
      <c r="T226" s="1" t="s">
        <v>388</v>
      </c>
      <c r="U226" s="1" t="s">
        <v>135</v>
      </c>
      <c r="V226" s="1"/>
      <c r="W226" s="1"/>
      <c r="X226" s="1"/>
      <c r="Y226" s="1"/>
      <c r="AA226" s="1"/>
      <c r="AC226" s="1"/>
      <c r="AD226" s="1"/>
      <c r="AE226" s="1"/>
      <c r="AN226" s="1" t="s">
        <v>74</v>
      </c>
      <c r="AO226">
        <v>107</v>
      </c>
      <c r="AP226" s="1" t="s">
        <v>842</v>
      </c>
      <c r="AQ226" s="1" t="s">
        <v>1035</v>
      </c>
      <c r="AR226" s="1" t="s">
        <v>1142</v>
      </c>
      <c r="AS226" s="1" t="s">
        <v>1213</v>
      </c>
      <c r="AT226" s="3">
        <v>41380</v>
      </c>
      <c r="AU226" s="3">
        <v>41380</v>
      </c>
      <c r="AV226" s="3">
        <v>41394</v>
      </c>
      <c r="AW226" s="1" t="s">
        <v>1221</v>
      </c>
      <c r="AX226" s="1" t="s">
        <v>1245</v>
      </c>
      <c r="AY226">
        <v>55.5</v>
      </c>
      <c r="AZ226">
        <v>253</v>
      </c>
      <c r="BA226">
        <v>4654734.66</v>
      </c>
      <c r="BB226" s="1"/>
      <c r="BD226" s="1"/>
      <c r="BE226" s="1"/>
      <c r="BG226" s="1"/>
      <c r="BH226" s="1"/>
      <c r="BJ226" s="1"/>
      <c r="BL226" s="1"/>
      <c r="BN226" s="1"/>
      <c r="BO226">
        <v>599</v>
      </c>
      <c r="BP226">
        <v>4654734.66</v>
      </c>
      <c r="BQ226">
        <v>4654734.66</v>
      </c>
    </row>
    <row r="227" spans="1:69" x14ac:dyDescent="0.35">
      <c r="A227" s="1" t="s">
        <v>68</v>
      </c>
      <c r="B227" s="1" t="s">
        <v>69</v>
      </c>
      <c r="C227" s="1" t="s">
        <v>70</v>
      </c>
      <c r="D227">
        <v>1</v>
      </c>
      <c r="E227">
        <v>1</v>
      </c>
      <c r="F227" s="2">
        <v>43585.43</v>
      </c>
      <c r="G227" s="3">
        <v>41275</v>
      </c>
      <c r="H227" s="3">
        <v>41639</v>
      </c>
      <c r="I227" s="1" t="s">
        <v>71</v>
      </c>
      <c r="J227">
        <v>4521</v>
      </c>
      <c r="K227">
        <v>0</v>
      </c>
      <c r="L227" s="1" t="s">
        <v>384</v>
      </c>
      <c r="M227" s="1" t="s">
        <v>72</v>
      </c>
      <c r="N227" s="1" t="s">
        <v>134</v>
      </c>
      <c r="O227" s="1" t="s">
        <v>385</v>
      </c>
      <c r="P227" s="1" t="s">
        <v>386</v>
      </c>
      <c r="Q227" s="1" t="s">
        <v>387</v>
      </c>
      <c r="R227">
        <v>103</v>
      </c>
      <c r="S227" s="1" t="s">
        <v>135</v>
      </c>
      <c r="T227" s="1" t="s">
        <v>388</v>
      </c>
      <c r="U227" s="1" t="s">
        <v>135</v>
      </c>
      <c r="V227" s="1"/>
      <c r="W227" s="1"/>
      <c r="X227" s="1"/>
      <c r="Y227" s="1"/>
      <c r="AA227" s="1"/>
      <c r="AC227" s="1"/>
      <c r="AD227" s="1"/>
      <c r="AE227" s="1"/>
      <c r="AN227" s="1" t="s">
        <v>74</v>
      </c>
      <c r="AO227">
        <v>108</v>
      </c>
      <c r="AP227" s="1" t="s">
        <v>843</v>
      </c>
      <c r="AQ227" s="1" t="s">
        <v>1035</v>
      </c>
      <c r="AR227" s="1" t="s">
        <v>1142</v>
      </c>
      <c r="AS227" s="1" t="s">
        <v>1213</v>
      </c>
      <c r="AT227" s="3">
        <v>41380</v>
      </c>
      <c r="AU227" s="3">
        <v>41380</v>
      </c>
      <c r="AV227" s="3">
        <v>41394</v>
      </c>
      <c r="AW227" s="1" t="s">
        <v>1221</v>
      </c>
      <c r="AX227" s="1" t="s">
        <v>1246</v>
      </c>
      <c r="AY227">
        <v>500</v>
      </c>
      <c r="AZ227">
        <v>253</v>
      </c>
      <c r="BA227">
        <v>4654734.66</v>
      </c>
      <c r="BB227" s="1"/>
      <c r="BD227" s="1"/>
      <c r="BE227" s="1"/>
      <c r="BG227" s="1"/>
      <c r="BH227" s="1"/>
      <c r="BJ227" s="1"/>
      <c r="BL227" s="1"/>
      <c r="BN227" s="1"/>
      <c r="BO227">
        <v>599</v>
      </c>
      <c r="BP227">
        <v>4654734.66</v>
      </c>
      <c r="BQ227">
        <v>4654734.66</v>
      </c>
    </row>
    <row r="228" spans="1:69" x14ac:dyDescent="0.35">
      <c r="A228" s="1" t="s">
        <v>68</v>
      </c>
      <c r="B228" s="1" t="s">
        <v>69</v>
      </c>
      <c r="C228" s="1" t="s">
        <v>70</v>
      </c>
      <c r="D228">
        <v>1</v>
      </c>
      <c r="E228">
        <v>1</v>
      </c>
      <c r="F228" s="2">
        <v>43585.43</v>
      </c>
      <c r="G228" s="3">
        <v>41275</v>
      </c>
      <c r="H228" s="3">
        <v>41639</v>
      </c>
      <c r="I228" s="1" t="s">
        <v>71</v>
      </c>
      <c r="J228">
        <v>4521</v>
      </c>
      <c r="K228">
        <v>0</v>
      </c>
      <c r="L228" s="1" t="s">
        <v>384</v>
      </c>
      <c r="M228" s="1" t="s">
        <v>72</v>
      </c>
      <c r="N228" s="1" t="s">
        <v>134</v>
      </c>
      <c r="O228" s="1" t="s">
        <v>385</v>
      </c>
      <c r="P228" s="1" t="s">
        <v>386</v>
      </c>
      <c r="Q228" s="1" t="s">
        <v>387</v>
      </c>
      <c r="R228">
        <v>103</v>
      </c>
      <c r="S228" s="1" t="s">
        <v>135</v>
      </c>
      <c r="T228" s="1" t="s">
        <v>388</v>
      </c>
      <c r="U228" s="1" t="s">
        <v>135</v>
      </c>
      <c r="V228" s="1"/>
      <c r="W228" s="1"/>
      <c r="X228" s="1"/>
      <c r="Y228" s="1"/>
      <c r="AA228" s="1"/>
      <c r="AC228" s="1"/>
      <c r="AD228" s="1"/>
      <c r="AE228" s="1"/>
      <c r="AN228" s="1" t="s">
        <v>74</v>
      </c>
      <c r="AO228">
        <v>109</v>
      </c>
      <c r="AP228" s="1" t="s">
        <v>844</v>
      </c>
      <c r="AQ228" s="1" t="s">
        <v>1035</v>
      </c>
      <c r="AR228" s="1" t="s">
        <v>1142</v>
      </c>
      <c r="AS228" s="1" t="s">
        <v>1213</v>
      </c>
      <c r="AT228" s="3">
        <v>41380</v>
      </c>
      <c r="AU228" s="3">
        <v>41380</v>
      </c>
      <c r="AV228" s="3">
        <v>41394</v>
      </c>
      <c r="AW228" s="1" t="s">
        <v>1221</v>
      </c>
      <c r="AX228" s="1" t="s">
        <v>1245</v>
      </c>
      <c r="AY228">
        <v>339.24</v>
      </c>
      <c r="AZ228">
        <v>253</v>
      </c>
      <c r="BA228">
        <v>4654734.66</v>
      </c>
      <c r="BB228" s="1"/>
      <c r="BD228" s="1"/>
      <c r="BE228" s="1"/>
      <c r="BG228" s="1"/>
      <c r="BH228" s="1"/>
      <c r="BJ228" s="1"/>
      <c r="BL228" s="1"/>
      <c r="BN228" s="1"/>
      <c r="BO228">
        <v>599</v>
      </c>
      <c r="BP228">
        <v>4654734.66</v>
      </c>
      <c r="BQ228">
        <v>4654734.66</v>
      </c>
    </row>
    <row r="229" spans="1:69" x14ac:dyDescent="0.35">
      <c r="A229" s="1" t="s">
        <v>68</v>
      </c>
      <c r="B229" s="1" t="s">
        <v>69</v>
      </c>
      <c r="C229" s="1" t="s">
        <v>70</v>
      </c>
      <c r="D229">
        <v>1</v>
      </c>
      <c r="E229">
        <v>1</v>
      </c>
      <c r="F229" s="2">
        <v>43585.43</v>
      </c>
      <c r="G229" s="3">
        <v>41275</v>
      </c>
      <c r="H229" s="3">
        <v>41639</v>
      </c>
      <c r="I229" s="1" t="s">
        <v>71</v>
      </c>
      <c r="J229">
        <v>4521</v>
      </c>
      <c r="K229">
        <v>0</v>
      </c>
      <c r="L229" s="1" t="s">
        <v>384</v>
      </c>
      <c r="M229" s="1" t="s">
        <v>72</v>
      </c>
      <c r="N229" s="1" t="s">
        <v>134</v>
      </c>
      <c r="O229" s="1" t="s">
        <v>385</v>
      </c>
      <c r="P229" s="1" t="s">
        <v>386</v>
      </c>
      <c r="Q229" s="1" t="s">
        <v>387</v>
      </c>
      <c r="R229">
        <v>103</v>
      </c>
      <c r="S229" s="1" t="s">
        <v>135</v>
      </c>
      <c r="T229" s="1" t="s">
        <v>388</v>
      </c>
      <c r="U229" s="1" t="s">
        <v>135</v>
      </c>
      <c r="V229" s="1"/>
      <c r="W229" s="1"/>
      <c r="X229" s="1"/>
      <c r="Y229" s="1"/>
      <c r="AA229" s="1"/>
      <c r="AC229" s="1"/>
      <c r="AD229" s="1"/>
      <c r="AE229" s="1"/>
      <c r="AN229" s="1" t="s">
        <v>74</v>
      </c>
      <c r="AO229">
        <v>110</v>
      </c>
      <c r="AP229" s="1" t="s">
        <v>845</v>
      </c>
      <c r="AQ229" s="1" t="s">
        <v>1036</v>
      </c>
      <c r="AR229" s="1" t="s">
        <v>1143</v>
      </c>
      <c r="AS229" s="1" t="s">
        <v>95</v>
      </c>
      <c r="AT229" s="3">
        <v>41396</v>
      </c>
      <c r="AU229" s="3">
        <v>41396</v>
      </c>
      <c r="AV229" s="3">
        <v>41425</v>
      </c>
      <c r="AW229" s="1" t="s">
        <v>1221</v>
      </c>
      <c r="AX229" s="1" t="s">
        <v>1247</v>
      </c>
      <c r="AY229">
        <v>18450</v>
      </c>
      <c r="AZ229">
        <v>253</v>
      </c>
      <c r="BA229">
        <v>4654734.66</v>
      </c>
      <c r="BB229" s="1"/>
      <c r="BD229" s="1"/>
      <c r="BE229" s="1"/>
      <c r="BG229" s="1"/>
      <c r="BH229" s="1"/>
      <c r="BJ229" s="1"/>
      <c r="BL229" s="1"/>
      <c r="BN229" s="1"/>
      <c r="BO229">
        <v>599</v>
      </c>
      <c r="BP229">
        <v>4654734.66</v>
      </c>
      <c r="BQ229">
        <v>4654734.66</v>
      </c>
    </row>
    <row r="230" spans="1:69" x14ac:dyDescent="0.35">
      <c r="A230" s="1" t="s">
        <v>68</v>
      </c>
      <c r="B230" s="1" t="s">
        <v>69</v>
      </c>
      <c r="C230" s="1" t="s">
        <v>70</v>
      </c>
      <c r="D230">
        <v>1</v>
      </c>
      <c r="E230">
        <v>1</v>
      </c>
      <c r="F230" s="2">
        <v>43585.43</v>
      </c>
      <c r="G230" s="3">
        <v>41275</v>
      </c>
      <c r="H230" s="3">
        <v>41639</v>
      </c>
      <c r="I230" s="1" t="s">
        <v>71</v>
      </c>
      <c r="J230">
        <v>4521</v>
      </c>
      <c r="K230">
        <v>0</v>
      </c>
      <c r="L230" s="1" t="s">
        <v>384</v>
      </c>
      <c r="M230" s="1" t="s">
        <v>72</v>
      </c>
      <c r="N230" s="1" t="s">
        <v>134</v>
      </c>
      <c r="O230" s="1" t="s">
        <v>385</v>
      </c>
      <c r="P230" s="1" t="s">
        <v>386</v>
      </c>
      <c r="Q230" s="1" t="s">
        <v>387</v>
      </c>
      <c r="R230">
        <v>103</v>
      </c>
      <c r="S230" s="1" t="s">
        <v>135</v>
      </c>
      <c r="T230" s="1" t="s">
        <v>388</v>
      </c>
      <c r="U230" s="1" t="s">
        <v>135</v>
      </c>
      <c r="V230" s="1"/>
      <c r="W230" s="1"/>
      <c r="X230" s="1"/>
      <c r="Y230" s="1"/>
      <c r="AA230" s="1"/>
      <c r="AC230" s="1"/>
      <c r="AD230" s="1"/>
      <c r="AE230" s="1"/>
      <c r="AN230" s="1" t="s">
        <v>74</v>
      </c>
      <c r="AO230">
        <v>111</v>
      </c>
      <c r="AP230" s="1" t="s">
        <v>846</v>
      </c>
      <c r="AQ230" s="1" t="s">
        <v>1036</v>
      </c>
      <c r="AR230" s="1" t="s">
        <v>1143</v>
      </c>
      <c r="AS230" s="1" t="s">
        <v>95</v>
      </c>
      <c r="AT230" s="3">
        <v>41396</v>
      </c>
      <c r="AU230" s="3">
        <v>41396</v>
      </c>
      <c r="AV230" s="3">
        <v>41425</v>
      </c>
      <c r="AW230" s="1" t="s">
        <v>1221</v>
      </c>
      <c r="AX230" s="1" t="s">
        <v>1247</v>
      </c>
      <c r="AY230">
        <v>15000</v>
      </c>
      <c r="AZ230">
        <v>253</v>
      </c>
      <c r="BA230">
        <v>4654734.66</v>
      </c>
      <c r="BB230" s="1"/>
      <c r="BD230" s="1"/>
      <c r="BE230" s="1"/>
      <c r="BG230" s="1"/>
      <c r="BH230" s="1"/>
      <c r="BJ230" s="1"/>
      <c r="BL230" s="1"/>
      <c r="BN230" s="1"/>
      <c r="BO230">
        <v>599</v>
      </c>
      <c r="BP230">
        <v>4654734.66</v>
      </c>
      <c r="BQ230">
        <v>4654734.66</v>
      </c>
    </row>
    <row r="231" spans="1:69" x14ac:dyDescent="0.35">
      <c r="A231" s="1" t="s">
        <v>68</v>
      </c>
      <c r="B231" s="1" t="s">
        <v>69</v>
      </c>
      <c r="C231" s="1" t="s">
        <v>70</v>
      </c>
      <c r="D231">
        <v>1</v>
      </c>
      <c r="E231">
        <v>1</v>
      </c>
      <c r="F231" s="2">
        <v>43585.43</v>
      </c>
      <c r="G231" s="3">
        <v>41275</v>
      </c>
      <c r="H231" s="3">
        <v>41639</v>
      </c>
      <c r="I231" s="1" t="s">
        <v>71</v>
      </c>
      <c r="J231">
        <v>4521</v>
      </c>
      <c r="K231">
        <v>0</v>
      </c>
      <c r="L231" s="1" t="s">
        <v>384</v>
      </c>
      <c r="M231" s="1" t="s">
        <v>72</v>
      </c>
      <c r="N231" s="1" t="s">
        <v>134</v>
      </c>
      <c r="O231" s="1" t="s">
        <v>385</v>
      </c>
      <c r="P231" s="1" t="s">
        <v>386</v>
      </c>
      <c r="Q231" s="1" t="s">
        <v>387</v>
      </c>
      <c r="R231">
        <v>103</v>
      </c>
      <c r="S231" s="1" t="s">
        <v>135</v>
      </c>
      <c r="T231" s="1" t="s">
        <v>388</v>
      </c>
      <c r="U231" s="1" t="s">
        <v>135</v>
      </c>
      <c r="V231" s="1"/>
      <c r="W231" s="1"/>
      <c r="X231" s="1"/>
      <c r="Y231" s="1"/>
      <c r="AA231" s="1"/>
      <c r="AC231" s="1"/>
      <c r="AD231" s="1"/>
      <c r="AE231" s="1"/>
      <c r="AN231" s="1" t="s">
        <v>74</v>
      </c>
      <c r="AO231">
        <v>112</v>
      </c>
      <c r="AP231" s="1" t="s">
        <v>847</v>
      </c>
      <c r="AQ231" s="1" t="s">
        <v>1037</v>
      </c>
      <c r="AR231" s="1" t="s">
        <v>1144</v>
      </c>
      <c r="AS231" s="1" t="s">
        <v>97</v>
      </c>
      <c r="AT231" s="3">
        <v>41404</v>
      </c>
      <c r="AU231" s="3">
        <v>41404</v>
      </c>
      <c r="AV231" s="3">
        <v>41425</v>
      </c>
      <c r="AW231" s="1" t="s">
        <v>1221</v>
      </c>
      <c r="AX231" s="1" t="s">
        <v>1037</v>
      </c>
      <c r="AY231">
        <v>2898.86</v>
      </c>
      <c r="AZ231">
        <v>253</v>
      </c>
      <c r="BA231">
        <v>4654734.66</v>
      </c>
      <c r="BB231" s="1"/>
      <c r="BD231" s="1"/>
      <c r="BE231" s="1"/>
      <c r="BG231" s="1"/>
      <c r="BH231" s="1"/>
      <c r="BJ231" s="1"/>
      <c r="BL231" s="1"/>
      <c r="BN231" s="1"/>
      <c r="BO231">
        <v>599</v>
      </c>
      <c r="BP231">
        <v>4654734.66</v>
      </c>
      <c r="BQ231">
        <v>4654734.66</v>
      </c>
    </row>
    <row r="232" spans="1:69" x14ac:dyDescent="0.35">
      <c r="A232" s="1" t="s">
        <v>68</v>
      </c>
      <c r="B232" s="1" t="s">
        <v>69</v>
      </c>
      <c r="C232" s="1" t="s">
        <v>70</v>
      </c>
      <c r="D232">
        <v>1</v>
      </c>
      <c r="E232">
        <v>1</v>
      </c>
      <c r="F232" s="2">
        <v>43585.43</v>
      </c>
      <c r="G232" s="3">
        <v>41275</v>
      </c>
      <c r="H232" s="3">
        <v>41639</v>
      </c>
      <c r="I232" s="1" t="s">
        <v>71</v>
      </c>
      <c r="J232">
        <v>4521</v>
      </c>
      <c r="K232">
        <v>0</v>
      </c>
      <c r="L232" s="1" t="s">
        <v>384</v>
      </c>
      <c r="M232" s="1" t="s">
        <v>72</v>
      </c>
      <c r="N232" s="1" t="s">
        <v>134</v>
      </c>
      <c r="O232" s="1" t="s">
        <v>385</v>
      </c>
      <c r="P232" s="1" t="s">
        <v>386</v>
      </c>
      <c r="Q232" s="1" t="s">
        <v>387</v>
      </c>
      <c r="R232">
        <v>103</v>
      </c>
      <c r="S232" s="1" t="s">
        <v>135</v>
      </c>
      <c r="T232" s="1" t="s">
        <v>388</v>
      </c>
      <c r="U232" s="1" t="s">
        <v>135</v>
      </c>
      <c r="V232" s="1"/>
      <c r="W232" s="1"/>
      <c r="X232" s="1"/>
      <c r="Y232" s="1"/>
      <c r="AA232" s="1"/>
      <c r="AC232" s="1"/>
      <c r="AD232" s="1"/>
      <c r="AE232" s="1"/>
      <c r="AN232" s="1" t="s">
        <v>74</v>
      </c>
      <c r="AO232">
        <v>113</v>
      </c>
      <c r="AP232" s="1" t="s">
        <v>848</v>
      </c>
      <c r="AQ232" s="1" t="s">
        <v>1038</v>
      </c>
      <c r="AR232" s="1" t="s">
        <v>1145</v>
      </c>
      <c r="AS232" s="1" t="s">
        <v>98</v>
      </c>
      <c r="AT232" s="3">
        <v>41404</v>
      </c>
      <c r="AU232" s="3">
        <v>41404</v>
      </c>
      <c r="AV232" s="3">
        <v>41425</v>
      </c>
      <c r="AW232" s="1" t="s">
        <v>1221</v>
      </c>
      <c r="AX232" s="1" t="s">
        <v>1038</v>
      </c>
      <c r="AY232">
        <v>646.98</v>
      </c>
      <c r="AZ232">
        <v>253</v>
      </c>
      <c r="BA232">
        <v>4654734.66</v>
      </c>
      <c r="BB232" s="1"/>
      <c r="BD232" s="1"/>
      <c r="BE232" s="1"/>
      <c r="BG232" s="1"/>
      <c r="BH232" s="1"/>
      <c r="BJ232" s="1"/>
      <c r="BL232" s="1"/>
      <c r="BN232" s="1"/>
      <c r="BO232">
        <v>599</v>
      </c>
      <c r="BP232">
        <v>4654734.66</v>
      </c>
      <c r="BQ232">
        <v>4654734.66</v>
      </c>
    </row>
    <row r="233" spans="1:69" x14ac:dyDescent="0.35">
      <c r="A233" s="1" t="s">
        <v>68</v>
      </c>
      <c r="B233" s="1" t="s">
        <v>69</v>
      </c>
      <c r="C233" s="1" t="s">
        <v>70</v>
      </c>
      <c r="D233">
        <v>1</v>
      </c>
      <c r="E233">
        <v>1</v>
      </c>
      <c r="F233" s="2">
        <v>43585.43</v>
      </c>
      <c r="G233" s="3">
        <v>41275</v>
      </c>
      <c r="H233" s="3">
        <v>41639</v>
      </c>
      <c r="I233" s="1" t="s">
        <v>71</v>
      </c>
      <c r="J233">
        <v>4521</v>
      </c>
      <c r="K233">
        <v>0</v>
      </c>
      <c r="L233" s="1" t="s">
        <v>384</v>
      </c>
      <c r="M233" s="1" t="s">
        <v>72</v>
      </c>
      <c r="N233" s="1" t="s">
        <v>134</v>
      </c>
      <c r="O233" s="1" t="s">
        <v>385</v>
      </c>
      <c r="P233" s="1" t="s">
        <v>386</v>
      </c>
      <c r="Q233" s="1" t="s">
        <v>387</v>
      </c>
      <c r="R233">
        <v>103</v>
      </c>
      <c r="S233" s="1" t="s">
        <v>135</v>
      </c>
      <c r="T233" s="1" t="s">
        <v>388</v>
      </c>
      <c r="U233" s="1" t="s">
        <v>135</v>
      </c>
      <c r="V233" s="1"/>
      <c r="W233" s="1"/>
      <c r="X233" s="1"/>
      <c r="Y233" s="1"/>
      <c r="AA233" s="1"/>
      <c r="AC233" s="1"/>
      <c r="AD233" s="1"/>
      <c r="AE233" s="1"/>
      <c r="AN233" s="1" t="s">
        <v>74</v>
      </c>
      <c r="AO233">
        <v>114</v>
      </c>
      <c r="AP233" s="1" t="s">
        <v>849</v>
      </c>
      <c r="AQ233" s="1" t="s">
        <v>1039</v>
      </c>
      <c r="AR233" s="1" t="s">
        <v>1146</v>
      </c>
      <c r="AS233" s="1" t="s">
        <v>95</v>
      </c>
      <c r="AT233" s="3">
        <v>41404</v>
      </c>
      <c r="AU233" s="3">
        <v>41405</v>
      </c>
      <c r="AV233" s="3">
        <v>41425</v>
      </c>
      <c r="AW233" s="1" t="s">
        <v>1221</v>
      </c>
      <c r="AX233" s="1" t="s">
        <v>1039</v>
      </c>
      <c r="AY233">
        <v>747.98</v>
      </c>
      <c r="AZ233">
        <v>253</v>
      </c>
      <c r="BA233">
        <v>4654734.66</v>
      </c>
      <c r="BB233" s="1"/>
      <c r="BD233" s="1"/>
      <c r="BE233" s="1"/>
      <c r="BG233" s="1"/>
      <c r="BH233" s="1"/>
      <c r="BJ233" s="1"/>
      <c r="BL233" s="1"/>
      <c r="BN233" s="1"/>
      <c r="BO233">
        <v>599</v>
      </c>
      <c r="BP233">
        <v>4654734.66</v>
      </c>
      <c r="BQ233">
        <v>4654734.66</v>
      </c>
    </row>
    <row r="234" spans="1:69" x14ac:dyDescent="0.35">
      <c r="A234" s="1" t="s">
        <v>68</v>
      </c>
      <c r="B234" s="1" t="s">
        <v>69</v>
      </c>
      <c r="C234" s="1" t="s">
        <v>70</v>
      </c>
      <c r="D234">
        <v>1</v>
      </c>
      <c r="E234">
        <v>1</v>
      </c>
      <c r="F234" s="2">
        <v>43585.43</v>
      </c>
      <c r="G234" s="3">
        <v>41275</v>
      </c>
      <c r="H234" s="3">
        <v>41639</v>
      </c>
      <c r="I234" s="1" t="s">
        <v>71</v>
      </c>
      <c r="J234">
        <v>4521</v>
      </c>
      <c r="K234">
        <v>0</v>
      </c>
      <c r="L234" s="1" t="s">
        <v>384</v>
      </c>
      <c r="M234" s="1" t="s">
        <v>72</v>
      </c>
      <c r="N234" s="1" t="s">
        <v>134</v>
      </c>
      <c r="O234" s="1" t="s">
        <v>385</v>
      </c>
      <c r="P234" s="1" t="s">
        <v>386</v>
      </c>
      <c r="Q234" s="1" t="s">
        <v>387</v>
      </c>
      <c r="R234">
        <v>103</v>
      </c>
      <c r="S234" s="1" t="s">
        <v>135</v>
      </c>
      <c r="T234" s="1" t="s">
        <v>388</v>
      </c>
      <c r="U234" s="1" t="s">
        <v>135</v>
      </c>
      <c r="V234" s="1"/>
      <c r="W234" s="1"/>
      <c r="X234" s="1"/>
      <c r="Y234" s="1"/>
      <c r="AA234" s="1"/>
      <c r="AC234" s="1"/>
      <c r="AD234" s="1"/>
      <c r="AE234" s="1"/>
      <c r="AN234" s="1" t="s">
        <v>74</v>
      </c>
      <c r="AO234">
        <v>115</v>
      </c>
      <c r="AP234" s="1" t="s">
        <v>850</v>
      </c>
      <c r="AQ234" s="1" t="s">
        <v>1039</v>
      </c>
      <c r="AR234" s="1" t="s">
        <v>1146</v>
      </c>
      <c r="AS234" s="1" t="s">
        <v>95</v>
      </c>
      <c r="AT234" s="3">
        <v>41404</v>
      </c>
      <c r="AU234" s="3">
        <v>41405</v>
      </c>
      <c r="AV234" s="3">
        <v>41425</v>
      </c>
      <c r="AW234" s="1" t="s">
        <v>1221</v>
      </c>
      <c r="AX234" s="1" t="s">
        <v>1039</v>
      </c>
      <c r="AY234">
        <v>884</v>
      </c>
      <c r="AZ234">
        <v>253</v>
      </c>
      <c r="BA234">
        <v>4654734.66</v>
      </c>
      <c r="BB234" s="1"/>
      <c r="BD234" s="1"/>
      <c r="BE234" s="1"/>
      <c r="BG234" s="1"/>
      <c r="BH234" s="1"/>
      <c r="BJ234" s="1"/>
      <c r="BL234" s="1"/>
      <c r="BN234" s="1"/>
      <c r="BO234">
        <v>599</v>
      </c>
      <c r="BP234">
        <v>4654734.66</v>
      </c>
      <c r="BQ234">
        <v>4654734.66</v>
      </c>
    </row>
    <row r="235" spans="1:69" x14ac:dyDescent="0.35">
      <c r="A235" s="1" t="s">
        <v>68</v>
      </c>
      <c r="B235" s="1" t="s">
        <v>69</v>
      </c>
      <c r="C235" s="1" t="s">
        <v>70</v>
      </c>
      <c r="D235">
        <v>1</v>
      </c>
      <c r="E235">
        <v>1</v>
      </c>
      <c r="F235" s="2">
        <v>43585.43</v>
      </c>
      <c r="G235" s="3">
        <v>41275</v>
      </c>
      <c r="H235" s="3">
        <v>41639</v>
      </c>
      <c r="I235" s="1" t="s">
        <v>71</v>
      </c>
      <c r="J235">
        <v>4521</v>
      </c>
      <c r="K235">
        <v>0</v>
      </c>
      <c r="L235" s="1" t="s">
        <v>384</v>
      </c>
      <c r="M235" s="1" t="s">
        <v>72</v>
      </c>
      <c r="N235" s="1" t="s">
        <v>134</v>
      </c>
      <c r="O235" s="1" t="s">
        <v>385</v>
      </c>
      <c r="P235" s="1" t="s">
        <v>386</v>
      </c>
      <c r="Q235" s="1" t="s">
        <v>387</v>
      </c>
      <c r="R235">
        <v>103</v>
      </c>
      <c r="S235" s="1" t="s">
        <v>135</v>
      </c>
      <c r="T235" s="1" t="s">
        <v>388</v>
      </c>
      <c r="U235" s="1" t="s">
        <v>135</v>
      </c>
      <c r="V235" s="1"/>
      <c r="W235" s="1"/>
      <c r="X235" s="1"/>
      <c r="Y235" s="1"/>
      <c r="AA235" s="1"/>
      <c r="AC235" s="1"/>
      <c r="AD235" s="1"/>
      <c r="AE235" s="1"/>
      <c r="AN235" s="1" t="s">
        <v>74</v>
      </c>
      <c r="AO235">
        <v>116</v>
      </c>
      <c r="AP235" s="1" t="s">
        <v>851</v>
      </c>
      <c r="AQ235" s="1" t="s">
        <v>1039</v>
      </c>
      <c r="AR235" s="1" t="s">
        <v>1146</v>
      </c>
      <c r="AS235" s="1" t="s">
        <v>95</v>
      </c>
      <c r="AT235" s="3">
        <v>41404</v>
      </c>
      <c r="AU235" s="3">
        <v>41405</v>
      </c>
      <c r="AV235" s="3">
        <v>41425</v>
      </c>
      <c r="AW235" s="1" t="s">
        <v>1221</v>
      </c>
      <c r="AX235" s="1" t="s">
        <v>1039</v>
      </c>
      <c r="AY235">
        <v>1232.5</v>
      </c>
      <c r="AZ235">
        <v>253</v>
      </c>
      <c r="BA235">
        <v>4654734.66</v>
      </c>
      <c r="BB235" s="1"/>
      <c r="BD235" s="1"/>
      <c r="BE235" s="1"/>
      <c r="BG235" s="1"/>
      <c r="BH235" s="1"/>
      <c r="BJ235" s="1"/>
      <c r="BL235" s="1"/>
      <c r="BN235" s="1"/>
      <c r="BO235">
        <v>599</v>
      </c>
      <c r="BP235">
        <v>4654734.66</v>
      </c>
      <c r="BQ235">
        <v>4654734.66</v>
      </c>
    </row>
    <row r="236" spans="1:69" x14ac:dyDescent="0.35">
      <c r="A236" s="1" t="s">
        <v>68</v>
      </c>
      <c r="B236" s="1" t="s">
        <v>69</v>
      </c>
      <c r="C236" s="1" t="s">
        <v>70</v>
      </c>
      <c r="D236">
        <v>1</v>
      </c>
      <c r="E236">
        <v>1</v>
      </c>
      <c r="F236" s="2">
        <v>43585.43</v>
      </c>
      <c r="G236" s="3">
        <v>41275</v>
      </c>
      <c r="H236" s="3">
        <v>41639</v>
      </c>
      <c r="I236" s="1" t="s">
        <v>71</v>
      </c>
      <c r="J236">
        <v>4521</v>
      </c>
      <c r="K236">
        <v>0</v>
      </c>
      <c r="L236" s="1" t="s">
        <v>384</v>
      </c>
      <c r="M236" s="1" t="s">
        <v>72</v>
      </c>
      <c r="N236" s="1" t="s">
        <v>134</v>
      </c>
      <c r="O236" s="1" t="s">
        <v>385</v>
      </c>
      <c r="P236" s="1" t="s">
        <v>386</v>
      </c>
      <c r="Q236" s="1" t="s">
        <v>387</v>
      </c>
      <c r="R236">
        <v>103</v>
      </c>
      <c r="S236" s="1" t="s">
        <v>135</v>
      </c>
      <c r="T236" s="1" t="s">
        <v>388</v>
      </c>
      <c r="U236" s="1" t="s">
        <v>135</v>
      </c>
      <c r="V236" s="1"/>
      <c r="W236" s="1"/>
      <c r="X236" s="1"/>
      <c r="Y236" s="1"/>
      <c r="AA236" s="1"/>
      <c r="AC236" s="1"/>
      <c r="AD236" s="1"/>
      <c r="AE236" s="1"/>
      <c r="AN236" s="1" t="s">
        <v>74</v>
      </c>
      <c r="AO236">
        <v>117</v>
      </c>
      <c r="AP236" s="1" t="s">
        <v>852</v>
      </c>
      <c r="AQ236" s="1" t="s">
        <v>1039</v>
      </c>
      <c r="AR236" s="1" t="s">
        <v>1146</v>
      </c>
      <c r="AS236" s="1" t="s">
        <v>95</v>
      </c>
      <c r="AT236" s="3">
        <v>41404</v>
      </c>
      <c r="AU236" s="3">
        <v>41405</v>
      </c>
      <c r="AV236" s="3">
        <v>41425</v>
      </c>
      <c r="AW236" s="1" t="s">
        <v>1221</v>
      </c>
      <c r="AX236" s="1" t="s">
        <v>1039</v>
      </c>
      <c r="AY236">
        <v>2864.48</v>
      </c>
      <c r="AZ236">
        <v>253</v>
      </c>
      <c r="BA236">
        <v>4654734.66</v>
      </c>
      <c r="BB236" s="1"/>
      <c r="BD236" s="1"/>
      <c r="BE236" s="1"/>
      <c r="BG236" s="1"/>
      <c r="BH236" s="1"/>
      <c r="BJ236" s="1"/>
      <c r="BL236" s="1"/>
      <c r="BN236" s="1"/>
      <c r="BO236">
        <v>599</v>
      </c>
      <c r="BP236">
        <v>4654734.66</v>
      </c>
      <c r="BQ236">
        <v>4654734.66</v>
      </c>
    </row>
    <row r="237" spans="1:69" x14ac:dyDescent="0.35">
      <c r="A237" s="1" t="s">
        <v>68</v>
      </c>
      <c r="B237" s="1" t="s">
        <v>69</v>
      </c>
      <c r="C237" s="1" t="s">
        <v>70</v>
      </c>
      <c r="D237">
        <v>1</v>
      </c>
      <c r="E237">
        <v>1</v>
      </c>
      <c r="F237" s="2">
        <v>43585.43</v>
      </c>
      <c r="G237" s="3">
        <v>41275</v>
      </c>
      <c r="H237" s="3">
        <v>41639</v>
      </c>
      <c r="I237" s="1" t="s">
        <v>71</v>
      </c>
      <c r="J237">
        <v>4521</v>
      </c>
      <c r="K237">
        <v>0</v>
      </c>
      <c r="L237" s="1" t="s">
        <v>384</v>
      </c>
      <c r="M237" s="1" t="s">
        <v>72</v>
      </c>
      <c r="N237" s="1" t="s">
        <v>134</v>
      </c>
      <c r="O237" s="1" t="s">
        <v>385</v>
      </c>
      <c r="P237" s="1" t="s">
        <v>386</v>
      </c>
      <c r="Q237" s="1" t="s">
        <v>387</v>
      </c>
      <c r="R237">
        <v>103</v>
      </c>
      <c r="S237" s="1" t="s">
        <v>135</v>
      </c>
      <c r="T237" s="1" t="s">
        <v>388</v>
      </c>
      <c r="U237" s="1" t="s">
        <v>135</v>
      </c>
      <c r="V237" s="1"/>
      <c r="W237" s="1"/>
      <c r="X237" s="1"/>
      <c r="Y237" s="1"/>
      <c r="AA237" s="1"/>
      <c r="AC237" s="1"/>
      <c r="AD237" s="1"/>
      <c r="AE237" s="1"/>
      <c r="AN237" s="1" t="s">
        <v>74</v>
      </c>
      <c r="AO237">
        <v>118</v>
      </c>
      <c r="AP237" s="1" t="s">
        <v>853</v>
      </c>
      <c r="AQ237" s="1" t="s">
        <v>1039</v>
      </c>
      <c r="AR237" s="1" t="s">
        <v>1146</v>
      </c>
      <c r="AS237" s="1" t="s">
        <v>95</v>
      </c>
      <c r="AT237" s="3">
        <v>41404</v>
      </c>
      <c r="AU237" s="3">
        <v>41405</v>
      </c>
      <c r="AV237" s="3">
        <v>41425</v>
      </c>
      <c r="AW237" s="1" t="s">
        <v>1221</v>
      </c>
      <c r="AX237" s="1" t="s">
        <v>1039</v>
      </c>
      <c r="AY237">
        <v>884</v>
      </c>
      <c r="AZ237">
        <v>253</v>
      </c>
      <c r="BA237">
        <v>4654734.66</v>
      </c>
      <c r="BB237" s="1"/>
      <c r="BD237" s="1"/>
      <c r="BE237" s="1"/>
      <c r="BG237" s="1"/>
      <c r="BH237" s="1"/>
      <c r="BJ237" s="1"/>
      <c r="BL237" s="1"/>
      <c r="BN237" s="1"/>
      <c r="BO237">
        <v>599</v>
      </c>
      <c r="BP237">
        <v>4654734.66</v>
      </c>
      <c r="BQ237">
        <v>4654734.66</v>
      </c>
    </row>
    <row r="238" spans="1:69" x14ac:dyDescent="0.35">
      <c r="A238" s="1" t="s">
        <v>68</v>
      </c>
      <c r="B238" s="1" t="s">
        <v>69</v>
      </c>
      <c r="C238" s="1" t="s">
        <v>70</v>
      </c>
      <c r="D238">
        <v>1</v>
      </c>
      <c r="E238">
        <v>1</v>
      </c>
      <c r="F238" s="2">
        <v>43585.43</v>
      </c>
      <c r="G238" s="3">
        <v>41275</v>
      </c>
      <c r="H238" s="3">
        <v>41639</v>
      </c>
      <c r="I238" s="1" t="s">
        <v>71</v>
      </c>
      <c r="J238">
        <v>4521</v>
      </c>
      <c r="K238">
        <v>0</v>
      </c>
      <c r="L238" s="1" t="s">
        <v>384</v>
      </c>
      <c r="M238" s="1" t="s">
        <v>72</v>
      </c>
      <c r="N238" s="1" t="s">
        <v>134</v>
      </c>
      <c r="O238" s="1" t="s">
        <v>385</v>
      </c>
      <c r="P238" s="1" t="s">
        <v>386</v>
      </c>
      <c r="Q238" s="1" t="s">
        <v>387</v>
      </c>
      <c r="R238">
        <v>103</v>
      </c>
      <c r="S238" s="1" t="s">
        <v>135</v>
      </c>
      <c r="T238" s="1" t="s">
        <v>388</v>
      </c>
      <c r="U238" s="1" t="s">
        <v>135</v>
      </c>
      <c r="V238" s="1"/>
      <c r="W238" s="1"/>
      <c r="X238" s="1"/>
      <c r="Y238" s="1"/>
      <c r="AA238" s="1"/>
      <c r="AC238" s="1"/>
      <c r="AD238" s="1"/>
      <c r="AE238" s="1"/>
      <c r="AN238" s="1" t="s">
        <v>74</v>
      </c>
      <c r="AO238">
        <v>119</v>
      </c>
      <c r="AP238" s="1" t="s">
        <v>854</v>
      </c>
      <c r="AQ238" s="1" t="s">
        <v>1039</v>
      </c>
      <c r="AR238" s="1" t="s">
        <v>1146</v>
      </c>
      <c r="AS238" s="1" t="s">
        <v>95</v>
      </c>
      <c r="AT238" s="3">
        <v>41404</v>
      </c>
      <c r="AU238" s="3">
        <v>41405</v>
      </c>
      <c r="AV238" s="3">
        <v>41425</v>
      </c>
      <c r="AW238" s="1" t="s">
        <v>1221</v>
      </c>
      <c r="AX238" s="1" t="s">
        <v>1039</v>
      </c>
      <c r="AY238">
        <v>1232.5</v>
      </c>
      <c r="AZ238">
        <v>253</v>
      </c>
      <c r="BA238">
        <v>4654734.66</v>
      </c>
      <c r="BB238" s="1"/>
      <c r="BD238" s="1"/>
      <c r="BE238" s="1"/>
      <c r="BG238" s="1"/>
      <c r="BH238" s="1"/>
      <c r="BJ238" s="1"/>
      <c r="BL238" s="1"/>
      <c r="BN238" s="1"/>
      <c r="BO238">
        <v>599</v>
      </c>
      <c r="BP238">
        <v>4654734.66</v>
      </c>
      <c r="BQ238">
        <v>4654734.66</v>
      </c>
    </row>
    <row r="239" spans="1:69" x14ac:dyDescent="0.35">
      <c r="A239" s="1" t="s">
        <v>68</v>
      </c>
      <c r="B239" s="1" t="s">
        <v>69</v>
      </c>
      <c r="C239" s="1" t="s">
        <v>70</v>
      </c>
      <c r="D239">
        <v>1</v>
      </c>
      <c r="E239">
        <v>1</v>
      </c>
      <c r="F239" s="2">
        <v>43585.43</v>
      </c>
      <c r="G239" s="3">
        <v>41275</v>
      </c>
      <c r="H239" s="3">
        <v>41639</v>
      </c>
      <c r="I239" s="1" t="s">
        <v>71</v>
      </c>
      <c r="J239">
        <v>4521</v>
      </c>
      <c r="K239">
        <v>0</v>
      </c>
      <c r="L239" s="1" t="s">
        <v>384</v>
      </c>
      <c r="M239" s="1" t="s">
        <v>72</v>
      </c>
      <c r="N239" s="1" t="s">
        <v>134</v>
      </c>
      <c r="O239" s="1" t="s">
        <v>385</v>
      </c>
      <c r="P239" s="1" t="s">
        <v>386</v>
      </c>
      <c r="Q239" s="1" t="s">
        <v>387</v>
      </c>
      <c r="R239">
        <v>103</v>
      </c>
      <c r="S239" s="1" t="s">
        <v>135</v>
      </c>
      <c r="T239" s="1" t="s">
        <v>388</v>
      </c>
      <c r="U239" s="1" t="s">
        <v>135</v>
      </c>
      <c r="V239" s="1"/>
      <c r="W239" s="1"/>
      <c r="X239" s="1"/>
      <c r="Y239" s="1"/>
      <c r="AA239" s="1"/>
      <c r="AC239" s="1"/>
      <c r="AD239" s="1"/>
      <c r="AE239" s="1"/>
      <c r="AN239" s="1" t="s">
        <v>74</v>
      </c>
      <c r="AO239">
        <v>120</v>
      </c>
      <c r="AP239" s="1" t="s">
        <v>855</v>
      </c>
      <c r="AQ239" s="1" t="s">
        <v>1040</v>
      </c>
      <c r="AR239" s="1" t="s">
        <v>1147</v>
      </c>
      <c r="AS239" s="1" t="s">
        <v>98</v>
      </c>
      <c r="AT239" s="3">
        <v>41396</v>
      </c>
      <c r="AU239" s="3">
        <v>41407</v>
      </c>
      <c r="AV239" s="3">
        <v>41425</v>
      </c>
      <c r="AW239" s="1" t="s">
        <v>1221</v>
      </c>
      <c r="AX239" s="1" t="s">
        <v>1040</v>
      </c>
      <c r="AY239">
        <v>18450</v>
      </c>
      <c r="AZ239">
        <v>253</v>
      </c>
      <c r="BA239">
        <v>4654734.66</v>
      </c>
      <c r="BB239" s="1"/>
      <c r="BD239" s="1"/>
      <c r="BE239" s="1"/>
      <c r="BG239" s="1"/>
      <c r="BH239" s="1"/>
      <c r="BJ239" s="1"/>
      <c r="BL239" s="1"/>
      <c r="BN239" s="1"/>
      <c r="BO239">
        <v>599</v>
      </c>
      <c r="BP239">
        <v>4654734.66</v>
      </c>
      <c r="BQ239">
        <v>4654734.66</v>
      </c>
    </row>
    <row r="240" spans="1:69" x14ac:dyDescent="0.35">
      <c r="A240" s="1" t="s">
        <v>68</v>
      </c>
      <c r="B240" s="1" t="s">
        <v>69</v>
      </c>
      <c r="C240" s="1" t="s">
        <v>70</v>
      </c>
      <c r="D240">
        <v>1</v>
      </c>
      <c r="E240">
        <v>1</v>
      </c>
      <c r="F240" s="2">
        <v>43585.43</v>
      </c>
      <c r="G240" s="3">
        <v>41275</v>
      </c>
      <c r="H240" s="3">
        <v>41639</v>
      </c>
      <c r="I240" s="1" t="s">
        <v>71</v>
      </c>
      <c r="J240">
        <v>4521</v>
      </c>
      <c r="K240">
        <v>0</v>
      </c>
      <c r="L240" s="1" t="s">
        <v>384</v>
      </c>
      <c r="M240" s="1" t="s">
        <v>72</v>
      </c>
      <c r="N240" s="1" t="s">
        <v>134</v>
      </c>
      <c r="O240" s="1" t="s">
        <v>385</v>
      </c>
      <c r="P240" s="1" t="s">
        <v>386</v>
      </c>
      <c r="Q240" s="1" t="s">
        <v>387</v>
      </c>
      <c r="R240">
        <v>103</v>
      </c>
      <c r="S240" s="1" t="s">
        <v>135</v>
      </c>
      <c r="T240" s="1" t="s">
        <v>388</v>
      </c>
      <c r="U240" s="1" t="s">
        <v>135</v>
      </c>
      <c r="V240" s="1"/>
      <c r="W240" s="1"/>
      <c r="X240" s="1"/>
      <c r="Y240" s="1"/>
      <c r="AA240" s="1"/>
      <c r="AC240" s="1"/>
      <c r="AD240" s="1"/>
      <c r="AE240" s="1"/>
      <c r="AN240" s="1" t="s">
        <v>74</v>
      </c>
      <c r="AO240">
        <v>121</v>
      </c>
      <c r="AP240" s="1" t="s">
        <v>856</v>
      </c>
      <c r="AQ240" s="1" t="s">
        <v>1041</v>
      </c>
      <c r="AR240" s="1" t="s">
        <v>1148</v>
      </c>
      <c r="AS240" s="1" t="s">
        <v>1217</v>
      </c>
      <c r="AT240" s="3">
        <v>41408</v>
      </c>
      <c r="AU240" s="3">
        <v>41408</v>
      </c>
      <c r="AV240" s="3">
        <v>41425</v>
      </c>
      <c r="AW240" s="1" t="s">
        <v>1221</v>
      </c>
      <c r="AX240" s="1" t="s">
        <v>1248</v>
      </c>
      <c r="AY240">
        <v>405.77</v>
      </c>
      <c r="AZ240">
        <v>253</v>
      </c>
      <c r="BA240">
        <v>4654734.66</v>
      </c>
      <c r="BB240" s="1"/>
      <c r="BD240" s="1"/>
      <c r="BE240" s="1"/>
      <c r="BG240" s="1"/>
      <c r="BH240" s="1"/>
      <c r="BJ240" s="1"/>
      <c r="BL240" s="1"/>
      <c r="BN240" s="1"/>
      <c r="BO240">
        <v>599</v>
      </c>
      <c r="BP240">
        <v>4654734.66</v>
      </c>
      <c r="BQ240">
        <v>4654734.66</v>
      </c>
    </row>
    <row r="241" spans="1:69" x14ac:dyDescent="0.35">
      <c r="A241" s="1" t="s">
        <v>68</v>
      </c>
      <c r="B241" s="1" t="s">
        <v>69</v>
      </c>
      <c r="C241" s="1" t="s">
        <v>70</v>
      </c>
      <c r="D241">
        <v>1</v>
      </c>
      <c r="E241">
        <v>1</v>
      </c>
      <c r="F241" s="2">
        <v>43585.43</v>
      </c>
      <c r="G241" s="3">
        <v>41275</v>
      </c>
      <c r="H241" s="3">
        <v>41639</v>
      </c>
      <c r="I241" s="1" t="s">
        <v>71</v>
      </c>
      <c r="J241">
        <v>4521</v>
      </c>
      <c r="K241">
        <v>0</v>
      </c>
      <c r="L241" s="1" t="s">
        <v>384</v>
      </c>
      <c r="M241" s="1" t="s">
        <v>72</v>
      </c>
      <c r="N241" s="1" t="s">
        <v>134</v>
      </c>
      <c r="O241" s="1" t="s">
        <v>385</v>
      </c>
      <c r="P241" s="1" t="s">
        <v>386</v>
      </c>
      <c r="Q241" s="1" t="s">
        <v>387</v>
      </c>
      <c r="R241">
        <v>103</v>
      </c>
      <c r="S241" s="1" t="s">
        <v>135</v>
      </c>
      <c r="T241" s="1" t="s">
        <v>388</v>
      </c>
      <c r="U241" s="1" t="s">
        <v>135</v>
      </c>
      <c r="V241" s="1"/>
      <c r="W241" s="1"/>
      <c r="X241" s="1"/>
      <c r="Y241" s="1"/>
      <c r="AA241" s="1"/>
      <c r="AC241" s="1"/>
      <c r="AD241" s="1"/>
      <c r="AE241" s="1"/>
      <c r="AN241" s="1" t="s">
        <v>74</v>
      </c>
      <c r="AO241">
        <v>122</v>
      </c>
      <c r="AP241" s="1" t="s">
        <v>857</v>
      </c>
      <c r="AQ241" s="1" t="s">
        <v>1042</v>
      </c>
      <c r="AR241" s="1" t="s">
        <v>1149</v>
      </c>
      <c r="AS241" s="1" t="s">
        <v>1033</v>
      </c>
      <c r="AT241" s="3">
        <v>41408</v>
      </c>
      <c r="AU241" s="3">
        <v>41408</v>
      </c>
      <c r="AV241" s="3">
        <v>41425</v>
      </c>
      <c r="AW241" s="1" t="s">
        <v>1221</v>
      </c>
      <c r="AX241" s="1" t="s">
        <v>1042</v>
      </c>
      <c r="AY241">
        <v>4157.8999999999996</v>
      </c>
      <c r="AZ241">
        <v>253</v>
      </c>
      <c r="BA241">
        <v>4654734.66</v>
      </c>
      <c r="BB241" s="1"/>
      <c r="BD241" s="1"/>
      <c r="BE241" s="1"/>
      <c r="BG241" s="1"/>
      <c r="BH241" s="1"/>
      <c r="BJ241" s="1"/>
      <c r="BL241" s="1"/>
      <c r="BN241" s="1"/>
      <c r="BO241">
        <v>599</v>
      </c>
      <c r="BP241">
        <v>4654734.66</v>
      </c>
      <c r="BQ241">
        <v>4654734.66</v>
      </c>
    </row>
    <row r="242" spans="1:69" x14ac:dyDescent="0.35">
      <c r="A242" s="1" t="s">
        <v>68</v>
      </c>
      <c r="B242" s="1" t="s">
        <v>69</v>
      </c>
      <c r="C242" s="1" t="s">
        <v>70</v>
      </c>
      <c r="D242">
        <v>1</v>
      </c>
      <c r="E242">
        <v>1</v>
      </c>
      <c r="F242" s="2">
        <v>43585.43</v>
      </c>
      <c r="G242" s="3">
        <v>41275</v>
      </c>
      <c r="H242" s="3">
        <v>41639</v>
      </c>
      <c r="I242" s="1" t="s">
        <v>71</v>
      </c>
      <c r="J242">
        <v>4521</v>
      </c>
      <c r="K242">
        <v>0</v>
      </c>
      <c r="L242" s="1" t="s">
        <v>384</v>
      </c>
      <c r="M242" s="1" t="s">
        <v>72</v>
      </c>
      <c r="N242" s="1" t="s">
        <v>134</v>
      </c>
      <c r="O242" s="1" t="s">
        <v>385</v>
      </c>
      <c r="P242" s="1" t="s">
        <v>386</v>
      </c>
      <c r="Q242" s="1" t="s">
        <v>387</v>
      </c>
      <c r="R242">
        <v>103</v>
      </c>
      <c r="S242" s="1" t="s">
        <v>135</v>
      </c>
      <c r="T242" s="1" t="s">
        <v>388</v>
      </c>
      <c r="U242" s="1" t="s">
        <v>135</v>
      </c>
      <c r="V242" s="1"/>
      <c r="W242" s="1"/>
      <c r="X242" s="1"/>
      <c r="Y242" s="1"/>
      <c r="AA242" s="1"/>
      <c r="AC242" s="1"/>
      <c r="AD242" s="1"/>
      <c r="AE242" s="1"/>
      <c r="AN242" s="1" t="s">
        <v>74</v>
      </c>
      <c r="AO242">
        <v>123</v>
      </c>
      <c r="AP242" s="1" t="s">
        <v>858</v>
      </c>
      <c r="AQ242" s="1" t="s">
        <v>1042</v>
      </c>
      <c r="AR242" s="1" t="s">
        <v>1150</v>
      </c>
      <c r="AS242" s="1" t="s">
        <v>1033</v>
      </c>
      <c r="AT242" s="3">
        <v>41408</v>
      </c>
      <c r="AU242" s="3">
        <v>41408</v>
      </c>
      <c r="AV242" s="3">
        <v>41425</v>
      </c>
      <c r="AW242" s="1" t="s">
        <v>1221</v>
      </c>
      <c r="AX242" s="1" t="s">
        <v>1042</v>
      </c>
      <c r="AY242">
        <v>4915.1000000000004</v>
      </c>
      <c r="AZ242">
        <v>253</v>
      </c>
      <c r="BA242">
        <v>4654734.66</v>
      </c>
      <c r="BB242" s="1"/>
      <c r="BD242" s="1"/>
      <c r="BE242" s="1"/>
      <c r="BG242" s="1"/>
      <c r="BH242" s="1"/>
      <c r="BJ242" s="1"/>
      <c r="BL242" s="1"/>
      <c r="BN242" s="1"/>
      <c r="BO242">
        <v>599</v>
      </c>
      <c r="BP242">
        <v>4654734.66</v>
      </c>
      <c r="BQ242">
        <v>4654734.66</v>
      </c>
    </row>
    <row r="243" spans="1:69" x14ac:dyDescent="0.35">
      <c r="A243" s="1" t="s">
        <v>68</v>
      </c>
      <c r="B243" s="1" t="s">
        <v>69</v>
      </c>
      <c r="C243" s="1" t="s">
        <v>70</v>
      </c>
      <c r="D243">
        <v>1</v>
      </c>
      <c r="E243">
        <v>1</v>
      </c>
      <c r="F243" s="2">
        <v>43585.43</v>
      </c>
      <c r="G243" s="3">
        <v>41275</v>
      </c>
      <c r="H243" s="3">
        <v>41639</v>
      </c>
      <c r="I243" s="1" t="s">
        <v>71</v>
      </c>
      <c r="J243">
        <v>4521</v>
      </c>
      <c r="K243">
        <v>0</v>
      </c>
      <c r="L243" s="1" t="s">
        <v>384</v>
      </c>
      <c r="M243" s="1" t="s">
        <v>72</v>
      </c>
      <c r="N243" s="1" t="s">
        <v>134</v>
      </c>
      <c r="O243" s="1" t="s">
        <v>385</v>
      </c>
      <c r="P243" s="1" t="s">
        <v>386</v>
      </c>
      <c r="Q243" s="1" t="s">
        <v>387</v>
      </c>
      <c r="R243">
        <v>103</v>
      </c>
      <c r="S243" s="1" t="s">
        <v>135</v>
      </c>
      <c r="T243" s="1" t="s">
        <v>388</v>
      </c>
      <c r="U243" s="1" t="s">
        <v>135</v>
      </c>
      <c r="V243" s="1"/>
      <c r="W243" s="1"/>
      <c r="X243" s="1"/>
      <c r="Y243" s="1"/>
      <c r="AA243" s="1"/>
      <c r="AC243" s="1"/>
      <c r="AD243" s="1"/>
      <c r="AE243" s="1"/>
      <c r="AN243" s="1" t="s">
        <v>74</v>
      </c>
      <c r="AO243">
        <v>124</v>
      </c>
      <c r="AP243" s="1" t="s">
        <v>859</v>
      </c>
      <c r="AQ243" s="1" t="s">
        <v>1043</v>
      </c>
      <c r="AR243" s="1" t="s">
        <v>1151</v>
      </c>
      <c r="AS243" s="1" t="s">
        <v>96</v>
      </c>
      <c r="AT243" s="3">
        <v>41408</v>
      </c>
      <c r="AU243" s="3">
        <v>41408</v>
      </c>
      <c r="AV243" s="3">
        <v>41425</v>
      </c>
      <c r="AW243" s="1" t="s">
        <v>1221</v>
      </c>
      <c r="AX243" s="1" t="s">
        <v>1249</v>
      </c>
      <c r="AY243">
        <v>500000</v>
      </c>
      <c r="AZ243">
        <v>253</v>
      </c>
      <c r="BA243">
        <v>4654734.66</v>
      </c>
      <c r="BB243" s="1"/>
      <c r="BD243" s="1"/>
      <c r="BE243" s="1"/>
      <c r="BG243" s="1"/>
      <c r="BH243" s="1"/>
      <c r="BJ243" s="1"/>
      <c r="BL243" s="1"/>
      <c r="BN243" s="1"/>
      <c r="BO243">
        <v>599</v>
      </c>
      <c r="BP243">
        <v>4654734.66</v>
      </c>
      <c r="BQ243">
        <v>4654734.66</v>
      </c>
    </row>
    <row r="244" spans="1:69" x14ac:dyDescent="0.35">
      <c r="A244" s="1" t="s">
        <v>68</v>
      </c>
      <c r="B244" s="1" t="s">
        <v>69</v>
      </c>
      <c r="C244" s="1" t="s">
        <v>70</v>
      </c>
      <c r="D244">
        <v>1</v>
      </c>
      <c r="E244">
        <v>1</v>
      </c>
      <c r="F244" s="2">
        <v>43585.43</v>
      </c>
      <c r="G244" s="3">
        <v>41275</v>
      </c>
      <c r="H244" s="3">
        <v>41639</v>
      </c>
      <c r="I244" s="1" t="s">
        <v>71</v>
      </c>
      <c r="J244">
        <v>4521</v>
      </c>
      <c r="K244">
        <v>0</v>
      </c>
      <c r="L244" s="1" t="s">
        <v>384</v>
      </c>
      <c r="M244" s="1" t="s">
        <v>72</v>
      </c>
      <c r="N244" s="1" t="s">
        <v>134</v>
      </c>
      <c r="O244" s="1" t="s">
        <v>385</v>
      </c>
      <c r="P244" s="1" t="s">
        <v>386</v>
      </c>
      <c r="Q244" s="1" t="s">
        <v>387</v>
      </c>
      <c r="R244">
        <v>103</v>
      </c>
      <c r="S244" s="1" t="s">
        <v>135</v>
      </c>
      <c r="T244" s="1" t="s">
        <v>388</v>
      </c>
      <c r="U244" s="1" t="s">
        <v>135</v>
      </c>
      <c r="V244" s="1"/>
      <c r="W244" s="1"/>
      <c r="X244" s="1"/>
      <c r="Y244" s="1"/>
      <c r="AA244" s="1"/>
      <c r="AC244" s="1"/>
      <c r="AD244" s="1"/>
      <c r="AE244" s="1"/>
      <c r="AN244" s="1" t="s">
        <v>74</v>
      </c>
      <c r="AO244">
        <v>125</v>
      </c>
      <c r="AP244" s="1" t="s">
        <v>860</v>
      </c>
      <c r="AQ244" s="1" t="s">
        <v>1043</v>
      </c>
      <c r="AR244" s="1" t="s">
        <v>1151</v>
      </c>
      <c r="AS244" s="1" t="s">
        <v>96</v>
      </c>
      <c r="AT244" s="3">
        <v>41408</v>
      </c>
      <c r="AU244" s="3">
        <v>41408</v>
      </c>
      <c r="AV244" s="3">
        <v>41425</v>
      </c>
      <c r="AW244" s="1" t="s">
        <v>1221</v>
      </c>
      <c r="AX244" s="1" t="s">
        <v>1250</v>
      </c>
      <c r="AY244">
        <v>92250</v>
      </c>
      <c r="AZ244">
        <v>253</v>
      </c>
      <c r="BA244">
        <v>4654734.66</v>
      </c>
      <c r="BB244" s="1"/>
      <c r="BD244" s="1"/>
      <c r="BE244" s="1"/>
      <c r="BG244" s="1"/>
      <c r="BH244" s="1"/>
      <c r="BJ244" s="1"/>
      <c r="BL244" s="1"/>
      <c r="BN244" s="1"/>
      <c r="BO244">
        <v>599</v>
      </c>
      <c r="BP244">
        <v>4654734.66</v>
      </c>
      <c r="BQ244">
        <v>4654734.66</v>
      </c>
    </row>
    <row r="245" spans="1:69" x14ac:dyDescent="0.35">
      <c r="A245" s="1" t="s">
        <v>68</v>
      </c>
      <c r="B245" s="1" t="s">
        <v>69</v>
      </c>
      <c r="C245" s="1" t="s">
        <v>70</v>
      </c>
      <c r="D245">
        <v>1</v>
      </c>
      <c r="E245">
        <v>1</v>
      </c>
      <c r="F245" s="2">
        <v>43585.43</v>
      </c>
      <c r="G245" s="3">
        <v>41275</v>
      </c>
      <c r="H245" s="3">
        <v>41639</v>
      </c>
      <c r="I245" s="1" t="s">
        <v>71</v>
      </c>
      <c r="J245">
        <v>4521</v>
      </c>
      <c r="K245">
        <v>0</v>
      </c>
      <c r="L245" s="1" t="s">
        <v>384</v>
      </c>
      <c r="M245" s="1" t="s">
        <v>72</v>
      </c>
      <c r="N245" s="1" t="s">
        <v>134</v>
      </c>
      <c r="O245" s="1" t="s">
        <v>385</v>
      </c>
      <c r="P245" s="1" t="s">
        <v>386</v>
      </c>
      <c r="Q245" s="1" t="s">
        <v>387</v>
      </c>
      <c r="R245">
        <v>103</v>
      </c>
      <c r="S245" s="1" t="s">
        <v>135</v>
      </c>
      <c r="T245" s="1" t="s">
        <v>388</v>
      </c>
      <c r="U245" s="1" t="s">
        <v>135</v>
      </c>
      <c r="V245" s="1"/>
      <c r="W245" s="1"/>
      <c r="X245" s="1"/>
      <c r="Y245" s="1"/>
      <c r="AA245" s="1"/>
      <c r="AC245" s="1"/>
      <c r="AD245" s="1"/>
      <c r="AE245" s="1"/>
      <c r="AN245" s="1" t="s">
        <v>74</v>
      </c>
      <c r="AO245">
        <v>126</v>
      </c>
      <c r="AP245" s="1" t="s">
        <v>861</v>
      </c>
      <c r="AQ245" s="1" t="s">
        <v>1043</v>
      </c>
      <c r="AR245" s="1" t="s">
        <v>1151</v>
      </c>
      <c r="AS245" s="1" t="s">
        <v>96</v>
      </c>
      <c r="AT245" s="3">
        <v>41408</v>
      </c>
      <c r="AU245" s="3">
        <v>41408</v>
      </c>
      <c r="AV245" s="3">
        <v>41425</v>
      </c>
      <c r="AW245" s="1" t="s">
        <v>1221</v>
      </c>
      <c r="AX245" s="1" t="s">
        <v>1251</v>
      </c>
      <c r="AY245">
        <v>38990</v>
      </c>
      <c r="AZ245">
        <v>253</v>
      </c>
      <c r="BA245">
        <v>4654734.66</v>
      </c>
      <c r="BB245" s="1"/>
      <c r="BD245" s="1"/>
      <c r="BE245" s="1"/>
      <c r="BG245" s="1"/>
      <c r="BH245" s="1"/>
      <c r="BJ245" s="1"/>
      <c r="BL245" s="1"/>
      <c r="BN245" s="1"/>
      <c r="BO245">
        <v>599</v>
      </c>
      <c r="BP245">
        <v>4654734.66</v>
      </c>
      <c r="BQ245">
        <v>4654734.66</v>
      </c>
    </row>
    <row r="246" spans="1:69" x14ac:dyDescent="0.35">
      <c r="A246" s="1" t="s">
        <v>68</v>
      </c>
      <c r="B246" s="1" t="s">
        <v>69</v>
      </c>
      <c r="C246" s="1" t="s">
        <v>70</v>
      </c>
      <c r="D246">
        <v>1</v>
      </c>
      <c r="E246">
        <v>1</v>
      </c>
      <c r="F246" s="2">
        <v>43585.43</v>
      </c>
      <c r="G246" s="3">
        <v>41275</v>
      </c>
      <c r="H246" s="3">
        <v>41639</v>
      </c>
      <c r="I246" s="1" t="s">
        <v>71</v>
      </c>
      <c r="J246">
        <v>4521</v>
      </c>
      <c r="K246">
        <v>0</v>
      </c>
      <c r="L246" s="1" t="s">
        <v>384</v>
      </c>
      <c r="M246" s="1" t="s">
        <v>72</v>
      </c>
      <c r="N246" s="1" t="s">
        <v>134</v>
      </c>
      <c r="O246" s="1" t="s">
        <v>385</v>
      </c>
      <c r="P246" s="1" t="s">
        <v>386</v>
      </c>
      <c r="Q246" s="1" t="s">
        <v>387</v>
      </c>
      <c r="R246">
        <v>103</v>
      </c>
      <c r="S246" s="1" t="s">
        <v>135</v>
      </c>
      <c r="T246" s="1" t="s">
        <v>388</v>
      </c>
      <c r="U246" s="1" t="s">
        <v>135</v>
      </c>
      <c r="V246" s="1"/>
      <c r="W246" s="1"/>
      <c r="X246" s="1"/>
      <c r="Y246" s="1"/>
      <c r="AA246" s="1"/>
      <c r="AC246" s="1"/>
      <c r="AD246" s="1"/>
      <c r="AE246" s="1"/>
      <c r="AN246" s="1" t="s">
        <v>74</v>
      </c>
      <c r="AO246">
        <v>127</v>
      </c>
      <c r="AP246" s="1" t="s">
        <v>862</v>
      </c>
      <c r="AQ246" s="1" t="s">
        <v>1043</v>
      </c>
      <c r="AR246" s="1" t="s">
        <v>1151</v>
      </c>
      <c r="AS246" s="1" t="s">
        <v>96</v>
      </c>
      <c r="AT246" s="3">
        <v>41408</v>
      </c>
      <c r="AU246" s="3">
        <v>41408</v>
      </c>
      <c r="AV246" s="3">
        <v>41425</v>
      </c>
      <c r="AW246" s="1" t="s">
        <v>1221</v>
      </c>
      <c r="AX246" s="1" t="s">
        <v>1252</v>
      </c>
      <c r="AY246">
        <v>159000</v>
      </c>
      <c r="AZ246">
        <v>253</v>
      </c>
      <c r="BA246">
        <v>4654734.66</v>
      </c>
      <c r="BB246" s="1"/>
      <c r="BD246" s="1"/>
      <c r="BE246" s="1"/>
      <c r="BG246" s="1"/>
      <c r="BH246" s="1"/>
      <c r="BJ246" s="1"/>
      <c r="BL246" s="1"/>
      <c r="BN246" s="1"/>
      <c r="BO246">
        <v>599</v>
      </c>
      <c r="BP246">
        <v>4654734.66</v>
      </c>
      <c r="BQ246">
        <v>4654734.66</v>
      </c>
    </row>
    <row r="247" spans="1:69" x14ac:dyDescent="0.35">
      <c r="A247" s="1" t="s">
        <v>68</v>
      </c>
      <c r="B247" s="1" t="s">
        <v>69</v>
      </c>
      <c r="C247" s="1" t="s">
        <v>70</v>
      </c>
      <c r="D247">
        <v>1</v>
      </c>
      <c r="E247">
        <v>1</v>
      </c>
      <c r="F247" s="2">
        <v>43585.43</v>
      </c>
      <c r="G247" s="3">
        <v>41275</v>
      </c>
      <c r="H247" s="3">
        <v>41639</v>
      </c>
      <c r="I247" s="1" t="s">
        <v>71</v>
      </c>
      <c r="J247">
        <v>4521</v>
      </c>
      <c r="K247">
        <v>0</v>
      </c>
      <c r="L247" s="1" t="s">
        <v>384</v>
      </c>
      <c r="M247" s="1" t="s">
        <v>72</v>
      </c>
      <c r="N247" s="1" t="s">
        <v>134</v>
      </c>
      <c r="O247" s="1" t="s">
        <v>385</v>
      </c>
      <c r="P247" s="1" t="s">
        <v>386</v>
      </c>
      <c r="Q247" s="1" t="s">
        <v>387</v>
      </c>
      <c r="R247">
        <v>103</v>
      </c>
      <c r="S247" s="1" t="s">
        <v>135</v>
      </c>
      <c r="T247" s="1" t="s">
        <v>388</v>
      </c>
      <c r="U247" s="1" t="s">
        <v>135</v>
      </c>
      <c r="V247" s="1"/>
      <c r="W247" s="1"/>
      <c r="X247" s="1"/>
      <c r="Y247" s="1"/>
      <c r="AA247" s="1"/>
      <c r="AC247" s="1"/>
      <c r="AD247" s="1"/>
      <c r="AE247" s="1"/>
      <c r="AN247" s="1" t="s">
        <v>74</v>
      </c>
      <c r="AO247">
        <v>128</v>
      </c>
      <c r="AP247" s="1" t="s">
        <v>863</v>
      </c>
      <c r="AQ247" s="1" t="s">
        <v>1043</v>
      </c>
      <c r="AR247" s="1" t="s">
        <v>1151</v>
      </c>
      <c r="AS247" s="1" t="s">
        <v>96</v>
      </c>
      <c r="AT247" s="3">
        <v>41408</v>
      </c>
      <c r="AU247" s="3">
        <v>41408</v>
      </c>
      <c r="AV247" s="3">
        <v>41425</v>
      </c>
      <c r="AW247" s="1" t="s">
        <v>1221</v>
      </c>
      <c r="AX247" s="1" t="s">
        <v>1253</v>
      </c>
      <c r="AY247">
        <v>100000</v>
      </c>
      <c r="AZ247">
        <v>253</v>
      </c>
      <c r="BA247">
        <v>4654734.66</v>
      </c>
      <c r="BB247" s="1"/>
      <c r="BD247" s="1"/>
      <c r="BE247" s="1"/>
      <c r="BG247" s="1"/>
      <c r="BH247" s="1"/>
      <c r="BJ247" s="1"/>
      <c r="BL247" s="1"/>
      <c r="BN247" s="1"/>
      <c r="BO247">
        <v>599</v>
      </c>
      <c r="BP247">
        <v>4654734.66</v>
      </c>
      <c r="BQ247">
        <v>4654734.66</v>
      </c>
    </row>
    <row r="248" spans="1:69" x14ac:dyDescent="0.35">
      <c r="A248" s="1" t="s">
        <v>68</v>
      </c>
      <c r="B248" s="1" t="s">
        <v>69</v>
      </c>
      <c r="C248" s="1" t="s">
        <v>70</v>
      </c>
      <c r="D248">
        <v>1</v>
      </c>
      <c r="E248">
        <v>1</v>
      </c>
      <c r="F248" s="2">
        <v>43585.43</v>
      </c>
      <c r="G248" s="3">
        <v>41275</v>
      </c>
      <c r="H248" s="3">
        <v>41639</v>
      </c>
      <c r="I248" s="1" t="s">
        <v>71</v>
      </c>
      <c r="J248">
        <v>4521</v>
      </c>
      <c r="K248">
        <v>0</v>
      </c>
      <c r="L248" s="1" t="s">
        <v>384</v>
      </c>
      <c r="M248" s="1" t="s">
        <v>72</v>
      </c>
      <c r="N248" s="1" t="s">
        <v>134</v>
      </c>
      <c r="O248" s="1" t="s">
        <v>385</v>
      </c>
      <c r="P248" s="1" t="s">
        <v>386</v>
      </c>
      <c r="Q248" s="1" t="s">
        <v>387</v>
      </c>
      <c r="R248">
        <v>103</v>
      </c>
      <c r="S248" s="1" t="s">
        <v>135</v>
      </c>
      <c r="T248" s="1" t="s">
        <v>388</v>
      </c>
      <c r="U248" s="1" t="s">
        <v>135</v>
      </c>
      <c r="V248" s="1"/>
      <c r="W248" s="1"/>
      <c r="X248" s="1"/>
      <c r="Y248" s="1"/>
      <c r="AA248" s="1"/>
      <c r="AC248" s="1"/>
      <c r="AD248" s="1"/>
      <c r="AE248" s="1"/>
      <c r="AN248" s="1" t="s">
        <v>74</v>
      </c>
      <c r="AO248">
        <v>129</v>
      </c>
      <c r="AP248" s="1" t="s">
        <v>864</v>
      </c>
      <c r="AQ248" s="1" t="s">
        <v>619</v>
      </c>
      <c r="AR248" s="1" t="s">
        <v>1152</v>
      </c>
      <c r="AS248" s="1" t="s">
        <v>97</v>
      </c>
      <c r="AT248" s="3">
        <v>41427</v>
      </c>
      <c r="AU248" s="3">
        <v>41435</v>
      </c>
      <c r="AV248" s="3">
        <v>41455</v>
      </c>
      <c r="AW248" s="1" t="s">
        <v>1221</v>
      </c>
      <c r="AX248" s="1" t="s">
        <v>619</v>
      </c>
      <c r="AY248">
        <v>28905</v>
      </c>
      <c r="AZ248">
        <v>253</v>
      </c>
      <c r="BA248">
        <v>4654734.66</v>
      </c>
      <c r="BB248" s="1"/>
      <c r="BD248" s="1"/>
      <c r="BE248" s="1"/>
      <c r="BG248" s="1"/>
      <c r="BH248" s="1"/>
      <c r="BJ248" s="1"/>
      <c r="BL248" s="1"/>
      <c r="BN248" s="1"/>
      <c r="BO248">
        <v>599</v>
      </c>
      <c r="BP248">
        <v>4654734.66</v>
      </c>
      <c r="BQ248">
        <v>4654734.66</v>
      </c>
    </row>
    <row r="249" spans="1:69" x14ac:dyDescent="0.35">
      <c r="A249" s="1" t="s">
        <v>68</v>
      </c>
      <c r="B249" s="1" t="s">
        <v>69</v>
      </c>
      <c r="C249" s="1" t="s">
        <v>70</v>
      </c>
      <c r="D249">
        <v>1</v>
      </c>
      <c r="E249">
        <v>1</v>
      </c>
      <c r="F249" s="2">
        <v>43585.43</v>
      </c>
      <c r="G249" s="3">
        <v>41275</v>
      </c>
      <c r="H249" s="3">
        <v>41639</v>
      </c>
      <c r="I249" s="1" t="s">
        <v>71</v>
      </c>
      <c r="J249">
        <v>4521</v>
      </c>
      <c r="K249">
        <v>0</v>
      </c>
      <c r="L249" s="1" t="s">
        <v>384</v>
      </c>
      <c r="M249" s="1" t="s">
        <v>72</v>
      </c>
      <c r="N249" s="1" t="s">
        <v>134</v>
      </c>
      <c r="O249" s="1" t="s">
        <v>385</v>
      </c>
      <c r="P249" s="1" t="s">
        <v>386</v>
      </c>
      <c r="Q249" s="1" t="s">
        <v>387</v>
      </c>
      <c r="R249">
        <v>103</v>
      </c>
      <c r="S249" s="1" t="s">
        <v>135</v>
      </c>
      <c r="T249" s="1" t="s">
        <v>388</v>
      </c>
      <c r="U249" s="1" t="s">
        <v>135</v>
      </c>
      <c r="V249" s="1"/>
      <c r="W249" s="1"/>
      <c r="X249" s="1"/>
      <c r="Y249" s="1"/>
      <c r="AA249" s="1"/>
      <c r="AC249" s="1"/>
      <c r="AD249" s="1"/>
      <c r="AE249" s="1"/>
      <c r="AN249" s="1" t="s">
        <v>74</v>
      </c>
      <c r="AO249">
        <v>130</v>
      </c>
      <c r="AP249" s="1" t="s">
        <v>865</v>
      </c>
      <c r="AQ249" s="1" t="s">
        <v>1040</v>
      </c>
      <c r="AR249" s="1" t="s">
        <v>1153</v>
      </c>
      <c r="AS249" s="1" t="s">
        <v>97</v>
      </c>
      <c r="AT249" s="3">
        <v>41427</v>
      </c>
      <c r="AU249" s="3">
        <v>41427</v>
      </c>
      <c r="AV249" s="3">
        <v>41455</v>
      </c>
      <c r="AW249" s="1" t="s">
        <v>1221</v>
      </c>
      <c r="AX249" s="1" t="s">
        <v>1040</v>
      </c>
      <c r="AY249">
        <v>18450</v>
      </c>
      <c r="AZ249">
        <v>253</v>
      </c>
      <c r="BA249">
        <v>4654734.66</v>
      </c>
      <c r="BB249" s="1"/>
      <c r="BD249" s="1"/>
      <c r="BE249" s="1"/>
      <c r="BG249" s="1"/>
      <c r="BH249" s="1"/>
      <c r="BJ249" s="1"/>
      <c r="BL249" s="1"/>
      <c r="BN249" s="1"/>
      <c r="BO249">
        <v>599</v>
      </c>
      <c r="BP249">
        <v>4654734.66</v>
      </c>
      <c r="BQ249">
        <v>4654734.66</v>
      </c>
    </row>
    <row r="250" spans="1:69" x14ac:dyDescent="0.35">
      <c r="A250" s="1" t="s">
        <v>68</v>
      </c>
      <c r="B250" s="1" t="s">
        <v>69</v>
      </c>
      <c r="C250" s="1" t="s">
        <v>70</v>
      </c>
      <c r="D250">
        <v>1</v>
      </c>
      <c r="E250">
        <v>1</v>
      </c>
      <c r="F250" s="2">
        <v>43585.43</v>
      </c>
      <c r="G250" s="3">
        <v>41275</v>
      </c>
      <c r="H250" s="3">
        <v>41639</v>
      </c>
      <c r="I250" s="1" t="s">
        <v>71</v>
      </c>
      <c r="J250">
        <v>4521</v>
      </c>
      <c r="K250">
        <v>0</v>
      </c>
      <c r="L250" s="1" t="s">
        <v>384</v>
      </c>
      <c r="M250" s="1" t="s">
        <v>72</v>
      </c>
      <c r="N250" s="1" t="s">
        <v>134</v>
      </c>
      <c r="O250" s="1" t="s">
        <v>385</v>
      </c>
      <c r="P250" s="1" t="s">
        <v>386</v>
      </c>
      <c r="Q250" s="1" t="s">
        <v>387</v>
      </c>
      <c r="R250">
        <v>103</v>
      </c>
      <c r="S250" s="1" t="s">
        <v>135</v>
      </c>
      <c r="T250" s="1" t="s">
        <v>388</v>
      </c>
      <c r="U250" s="1" t="s">
        <v>135</v>
      </c>
      <c r="V250" s="1"/>
      <c r="W250" s="1"/>
      <c r="X250" s="1"/>
      <c r="Y250" s="1"/>
      <c r="AA250" s="1"/>
      <c r="AC250" s="1"/>
      <c r="AD250" s="1"/>
      <c r="AE250" s="1"/>
      <c r="AN250" s="1" t="s">
        <v>74</v>
      </c>
      <c r="AO250">
        <v>131</v>
      </c>
      <c r="AP250" s="1" t="s">
        <v>866</v>
      </c>
      <c r="AQ250" s="1" t="s">
        <v>1039</v>
      </c>
      <c r="AR250" s="1" t="s">
        <v>1154</v>
      </c>
      <c r="AS250" s="1" t="s">
        <v>95</v>
      </c>
      <c r="AT250" s="3">
        <v>41435</v>
      </c>
      <c r="AU250" s="3">
        <v>41436</v>
      </c>
      <c r="AV250" s="3">
        <v>41455</v>
      </c>
      <c r="AW250" s="1" t="s">
        <v>1221</v>
      </c>
      <c r="AX250" s="1" t="s">
        <v>1039</v>
      </c>
      <c r="AY250">
        <v>747.98</v>
      </c>
      <c r="AZ250">
        <v>253</v>
      </c>
      <c r="BA250">
        <v>4654734.66</v>
      </c>
      <c r="BB250" s="1"/>
      <c r="BD250" s="1"/>
      <c r="BE250" s="1"/>
      <c r="BG250" s="1"/>
      <c r="BH250" s="1"/>
      <c r="BJ250" s="1"/>
      <c r="BL250" s="1"/>
      <c r="BN250" s="1"/>
      <c r="BO250">
        <v>599</v>
      </c>
      <c r="BP250">
        <v>4654734.66</v>
      </c>
      <c r="BQ250">
        <v>4654734.66</v>
      </c>
    </row>
    <row r="251" spans="1:69" x14ac:dyDescent="0.35">
      <c r="A251" s="1" t="s">
        <v>68</v>
      </c>
      <c r="B251" s="1" t="s">
        <v>69</v>
      </c>
      <c r="C251" s="1" t="s">
        <v>70</v>
      </c>
      <c r="D251">
        <v>1</v>
      </c>
      <c r="E251">
        <v>1</v>
      </c>
      <c r="F251" s="2">
        <v>43585.43</v>
      </c>
      <c r="G251" s="3">
        <v>41275</v>
      </c>
      <c r="H251" s="3">
        <v>41639</v>
      </c>
      <c r="I251" s="1" t="s">
        <v>71</v>
      </c>
      <c r="J251">
        <v>4521</v>
      </c>
      <c r="K251">
        <v>0</v>
      </c>
      <c r="L251" s="1" t="s">
        <v>384</v>
      </c>
      <c r="M251" s="1" t="s">
        <v>72</v>
      </c>
      <c r="N251" s="1" t="s">
        <v>134</v>
      </c>
      <c r="O251" s="1" t="s">
        <v>385</v>
      </c>
      <c r="P251" s="1" t="s">
        <v>386</v>
      </c>
      <c r="Q251" s="1" t="s">
        <v>387</v>
      </c>
      <c r="R251">
        <v>103</v>
      </c>
      <c r="S251" s="1" t="s">
        <v>135</v>
      </c>
      <c r="T251" s="1" t="s">
        <v>388</v>
      </c>
      <c r="U251" s="1" t="s">
        <v>135</v>
      </c>
      <c r="V251" s="1"/>
      <c r="W251" s="1"/>
      <c r="X251" s="1"/>
      <c r="Y251" s="1"/>
      <c r="AA251" s="1"/>
      <c r="AC251" s="1"/>
      <c r="AD251" s="1"/>
      <c r="AE251" s="1"/>
      <c r="AN251" s="1" t="s">
        <v>74</v>
      </c>
      <c r="AO251">
        <v>132</v>
      </c>
      <c r="AP251" s="1" t="s">
        <v>867</v>
      </c>
      <c r="AQ251" s="1" t="s">
        <v>1039</v>
      </c>
      <c r="AR251" s="1" t="s">
        <v>1154</v>
      </c>
      <c r="AS251" s="1" t="s">
        <v>95</v>
      </c>
      <c r="AT251" s="3">
        <v>41435</v>
      </c>
      <c r="AU251" s="3">
        <v>41436</v>
      </c>
      <c r="AV251" s="3">
        <v>41455</v>
      </c>
      <c r="AW251" s="1" t="s">
        <v>1221</v>
      </c>
      <c r="AX251" s="1" t="s">
        <v>1039</v>
      </c>
      <c r="AY251">
        <v>884</v>
      </c>
      <c r="AZ251">
        <v>253</v>
      </c>
      <c r="BA251">
        <v>4654734.66</v>
      </c>
      <c r="BB251" s="1"/>
      <c r="BD251" s="1"/>
      <c r="BE251" s="1"/>
      <c r="BG251" s="1"/>
      <c r="BH251" s="1"/>
      <c r="BJ251" s="1"/>
      <c r="BL251" s="1"/>
      <c r="BN251" s="1"/>
      <c r="BO251">
        <v>599</v>
      </c>
      <c r="BP251">
        <v>4654734.66</v>
      </c>
      <c r="BQ251">
        <v>4654734.66</v>
      </c>
    </row>
    <row r="252" spans="1:69" x14ac:dyDescent="0.35">
      <c r="A252" s="1" t="s">
        <v>68</v>
      </c>
      <c r="B252" s="1" t="s">
        <v>69</v>
      </c>
      <c r="C252" s="1" t="s">
        <v>70</v>
      </c>
      <c r="D252">
        <v>1</v>
      </c>
      <c r="E252">
        <v>1</v>
      </c>
      <c r="F252" s="2">
        <v>43585.43</v>
      </c>
      <c r="G252" s="3">
        <v>41275</v>
      </c>
      <c r="H252" s="3">
        <v>41639</v>
      </c>
      <c r="I252" s="1" t="s">
        <v>71</v>
      </c>
      <c r="J252">
        <v>4521</v>
      </c>
      <c r="K252">
        <v>0</v>
      </c>
      <c r="L252" s="1" t="s">
        <v>384</v>
      </c>
      <c r="M252" s="1" t="s">
        <v>72</v>
      </c>
      <c r="N252" s="1" t="s">
        <v>134</v>
      </c>
      <c r="O252" s="1" t="s">
        <v>385</v>
      </c>
      <c r="P252" s="1" t="s">
        <v>386</v>
      </c>
      <c r="Q252" s="1" t="s">
        <v>387</v>
      </c>
      <c r="R252">
        <v>103</v>
      </c>
      <c r="S252" s="1" t="s">
        <v>135</v>
      </c>
      <c r="T252" s="1" t="s">
        <v>388</v>
      </c>
      <c r="U252" s="1" t="s">
        <v>135</v>
      </c>
      <c r="V252" s="1"/>
      <c r="W252" s="1"/>
      <c r="X252" s="1"/>
      <c r="Y252" s="1"/>
      <c r="AA252" s="1"/>
      <c r="AC252" s="1"/>
      <c r="AD252" s="1"/>
      <c r="AE252" s="1"/>
      <c r="AN252" s="1" t="s">
        <v>74</v>
      </c>
      <c r="AO252">
        <v>133</v>
      </c>
      <c r="AP252" s="1" t="s">
        <v>868</v>
      </c>
      <c r="AQ252" s="1" t="s">
        <v>1039</v>
      </c>
      <c r="AR252" s="1" t="s">
        <v>1154</v>
      </c>
      <c r="AS252" s="1" t="s">
        <v>95</v>
      </c>
      <c r="AT252" s="3">
        <v>41435</v>
      </c>
      <c r="AU252" s="3">
        <v>41436</v>
      </c>
      <c r="AV252" s="3">
        <v>41455</v>
      </c>
      <c r="AW252" s="1" t="s">
        <v>1221</v>
      </c>
      <c r="AX252" s="1" t="s">
        <v>1039</v>
      </c>
      <c r="AY252">
        <v>1232.5</v>
      </c>
      <c r="AZ252">
        <v>253</v>
      </c>
      <c r="BA252">
        <v>4654734.66</v>
      </c>
      <c r="BB252" s="1"/>
      <c r="BD252" s="1"/>
      <c r="BE252" s="1"/>
      <c r="BG252" s="1"/>
      <c r="BH252" s="1"/>
      <c r="BJ252" s="1"/>
      <c r="BL252" s="1"/>
      <c r="BN252" s="1"/>
      <c r="BO252">
        <v>599</v>
      </c>
      <c r="BP252">
        <v>4654734.66</v>
      </c>
      <c r="BQ252">
        <v>4654734.66</v>
      </c>
    </row>
    <row r="253" spans="1:69" x14ac:dyDescent="0.35">
      <c r="A253" s="1" t="s">
        <v>68</v>
      </c>
      <c r="B253" s="1" t="s">
        <v>69</v>
      </c>
      <c r="C253" s="1" t="s">
        <v>70</v>
      </c>
      <c r="D253">
        <v>1</v>
      </c>
      <c r="E253">
        <v>1</v>
      </c>
      <c r="F253" s="2">
        <v>43585.43</v>
      </c>
      <c r="G253" s="3">
        <v>41275</v>
      </c>
      <c r="H253" s="3">
        <v>41639</v>
      </c>
      <c r="I253" s="1" t="s">
        <v>71</v>
      </c>
      <c r="J253">
        <v>4521</v>
      </c>
      <c r="K253">
        <v>0</v>
      </c>
      <c r="L253" s="1" t="s">
        <v>384</v>
      </c>
      <c r="M253" s="1" t="s">
        <v>72</v>
      </c>
      <c r="N253" s="1" t="s">
        <v>134</v>
      </c>
      <c r="O253" s="1" t="s">
        <v>385</v>
      </c>
      <c r="P253" s="1" t="s">
        <v>386</v>
      </c>
      <c r="Q253" s="1" t="s">
        <v>387</v>
      </c>
      <c r="R253">
        <v>103</v>
      </c>
      <c r="S253" s="1" t="s">
        <v>135</v>
      </c>
      <c r="T253" s="1" t="s">
        <v>388</v>
      </c>
      <c r="U253" s="1" t="s">
        <v>135</v>
      </c>
      <c r="V253" s="1"/>
      <c r="W253" s="1"/>
      <c r="X253" s="1"/>
      <c r="Y253" s="1"/>
      <c r="AA253" s="1"/>
      <c r="AC253" s="1"/>
      <c r="AD253" s="1"/>
      <c r="AE253" s="1"/>
      <c r="AN253" s="1" t="s">
        <v>74</v>
      </c>
      <c r="AO253">
        <v>134</v>
      </c>
      <c r="AP253" s="1" t="s">
        <v>869</v>
      </c>
      <c r="AQ253" s="1" t="s">
        <v>1039</v>
      </c>
      <c r="AR253" s="1" t="s">
        <v>1154</v>
      </c>
      <c r="AS253" s="1" t="s">
        <v>95</v>
      </c>
      <c r="AT253" s="3">
        <v>41435</v>
      </c>
      <c r="AU253" s="3">
        <v>41436</v>
      </c>
      <c r="AV253" s="3">
        <v>41455</v>
      </c>
      <c r="AW253" s="1" t="s">
        <v>1221</v>
      </c>
      <c r="AX253" s="1" t="s">
        <v>1039</v>
      </c>
      <c r="AY253">
        <v>2864.48</v>
      </c>
      <c r="AZ253">
        <v>253</v>
      </c>
      <c r="BA253">
        <v>4654734.66</v>
      </c>
      <c r="BB253" s="1"/>
      <c r="BD253" s="1"/>
      <c r="BE253" s="1"/>
      <c r="BG253" s="1"/>
      <c r="BH253" s="1"/>
      <c r="BJ253" s="1"/>
      <c r="BL253" s="1"/>
      <c r="BN253" s="1"/>
      <c r="BO253">
        <v>599</v>
      </c>
      <c r="BP253">
        <v>4654734.66</v>
      </c>
      <c r="BQ253">
        <v>4654734.66</v>
      </c>
    </row>
    <row r="254" spans="1:69" x14ac:dyDescent="0.35">
      <c r="A254" s="1" t="s">
        <v>68</v>
      </c>
      <c r="B254" s="1" t="s">
        <v>69</v>
      </c>
      <c r="C254" s="1" t="s">
        <v>70</v>
      </c>
      <c r="D254">
        <v>1</v>
      </c>
      <c r="E254">
        <v>1</v>
      </c>
      <c r="F254" s="2">
        <v>43585.43</v>
      </c>
      <c r="G254" s="3">
        <v>41275</v>
      </c>
      <c r="H254" s="3">
        <v>41639</v>
      </c>
      <c r="I254" s="1" t="s">
        <v>71</v>
      </c>
      <c r="J254">
        <v>4521</v>
      </c>
      <c r="K254">
        <v>0</v>
      </c>
      <c r="L254" s="1" t="s">
        <v>384</v>
      </c>
      <c r="M254" s="1" t="s">
        <v>72</v>
      </c>
      <c r="N254" s="1" t="s">
        <v>134</v>
      </c>
      <c r="O254" s="1" t="s">
        <v>385</v>
      </c>
      <c r="P254" s="1" t="s">
        <v>386</v>
      </c>
      <c r="Q254" s="1" t="s">
        <v>387</v>
      </c>
      <c r="R254">
        <v>103</v>
      </c>
      <c r="S254" s="1" t="s">
        <v>135</v>
      </c>
      <c r="T254" s="1" t="s">
        <v>388</v>
      </c>
      <c r="U254" s="1" t="s">
        <v>135</v>
      </c>
      <c r="V254" s="1"/>
      <c r="W254" s="1"/>
      <c r="X254" s="1"/>
      <c r="Y254" s="1"/>
      <c r="AA254" s="1"/>
      <c r="AC254" s="1"/>
      <c r="AD254" s="1"/>
      <c r="AE254" s="1"/>
      <c r="AN254" s="1" t="s">
        <v>74</v>
      </c>
      <c r="AO254">
        <v>135</v>
      </c>
      <c r="AP254" s="1" t="s">
        <v>870</v>
      </c>
      <c r="AQ254" s="1" t="s">
        <v>1039</v>
      </c>
      <c r="AR254" s="1" t="s">
        <v>1154</v>
      </c>
      <c r="AS254" s="1" t="s">
        <v>95</v>
      </c>
      <c r="AT254" s="3">
        <v>41435</v>
      </c>
      <c r="AU254" s="3">
        <v>41436</v>
      </c>
      <c r="AV254" s="3">
        <v>41455</v>
      </c>
      <c r="AW254" s="1" t="s">
        <v>1221</v>
      </c>
      <c r="AX254" s="1" t="s">
        <v>1039</v>
      </c>
      <c r="AY254">
        <v>884</v>
      </c>
      <c r="AZ254">
        <v>253</v>
      </c>
      <c r="BA254">
        <v>4654734.66</v>
      </c>
      <c r="BB254" s="1"/>
      <c r="BD254" s="1"/>
      <c r="BE254" s="1"/>
      <c r="BG254" s="1"/>
      <c r="BH254" s="1"/>
      <c r="BJ254" s="1"/>
      <c r="BL254" s="1"/>
      <c r="BN254" s="1"/>
      <c r="BO254">
        <v>599</v>
      </c>
      <c r="BP254">
        <v>4654734.66</v>
      </c>
      <c r="BQ254">
        <v>4654734.66</v>
      </c>
    </row>
    <row r="255" spans="1:69" x14ac:dyDescent="0.35">
      <c r="A255" s="1" t="s">
        <v>68</v>
      </c>
      <c r="B255" s="1" t="s">
        <v>69</v>
      </c>
      <c r="C255" s="1" t="s">
        <v>70</v>
      </c>
      <c r="D255">
        <v>1</v>
      </c>
      <c r="E255">
        <v>1</v>
      </c>
      <c r="F255" s="2">
        <v>43585.43</v>
      </c>
      <c r="G255" s="3">
        <v>41275</v>
      </c>
      <c r="H255" s="3">
        <v>41639</v>
      </c>
      <c r="I255" s="1" t="s">
        <v>71</v>
      </c>
      <c r="J255">
        <v>4521</v>
      </c>
      <c r="K255">
        <v>0</v>
      </c>
      <c r="L255" s="1" t="s">
        <v>384</v>
      </c>
      <c r="M255" s="1" t="s">
        <v>72</v>
      </c>
      <c r="N255" s="1" t="s">
        <v>134</v>
      </c>
      <c r="O255" s="1" t="s">
        <v>385</v>
      </c>
      <c r="P255" s="1" t="s">
        <v>386</v>
      </c>
      <c r="Q255" s="1" t="s">
        <v>387</v>
      </c>
      <c r="R255">
        <v>103</v>
      </c>
      <c r="S255" s="1" t="s">
        <v>135</v>
      </c>
      <c r="T255" s="1" t="s">
        <v>388</v>
      </c>
      <c r="U255" s="1" t="s">
        <v>135</v>
      </c>
      <c r="V255" s="1"/>
      <c r="W255" s="1"/>
      <c r="X255" s="1"/>
      <c r="Y255" s="1"/>
      <c r="AA255" s="1"/>
      <c r="AC255" s="1"/>
      <c r="AD255" s="1"/>
      <c r="AE255" s="1"/>
      <c r="AN255" s="1" t="s">
        <v>74</v>
      </c>
      <c r="AO255">
        <v>136</v>
      </c>
      <c r="AP255" s="1" t="s">
        <v>871</v>
      </c>
      <c r="AQ255" s="1" t="s">
        <v>1039</v>
      </c>
      <c r="AR255" s="1" t="s">
        <v>1154</v>
      </c>
      <c r="AS255" s="1" t="s">
        <v>95</v>
      </c>
      <c r="AT255" s="3">
        <v>41435</v>
      </c>
      <c r="AU255" s="3">
        <v>41436</v>
      </c>
      <c r="AV255" s="3">
        <v>41455</v>
      </c>
      <c r="AW255" s="1" t="s">
        <v>1221</v>
      </c>
      <c r="AX255" s="1" t="s">
        <v>1039</v>
      </c>
      <c r="AY255">
        <v>1232.5</v>
      </c>
      <c r="AZ255">
        <v>253</v>
      </c>
      <c r="BA255">
        <v>4654734.66</v>
      </c>
      <c r="BB255" s="1"/>
      <c r="BD255" s="1"/>
      <c r="BE255" s="1"/>
      <c r="BG255" s="1"/>
      <c r="BH255" s="1"/>
      <c r="BJ255" s="1"/>
      <c r="BL255" s="1"/>
      <c r="BN255" s="1"/>
      <c r="BO255">
        <v>599</v>
      </c>
      <c r="BP255">
        <v>4654734.66</v>
      </c>
      <c r="BQ255">
        <v>4654734.66</v>
      </c>
    </row>
    <row r="256" spans="1:69" x14ac:dyDescent="0.35">
      <c r="A256" s="1" t="s">
        <v>68</v>
      </c>
      <c r="B256" s="1" t="s">
        <v>69</v>
      </c>
      <c r="C256" s="1" t="s">
        <v>70</v>
      </c>
      <c r="D256">
        <v>1</v>
      </c>
      <c r="E256">
        <v>1</v>
      </c>
      <c r="F256" s="2">
        <v>43585.43</v>
      </c>
      <c r="G256" s="3">
        <v>41275</v>
      </c>
      <c r="H256" s="3">
        <v>41639</v>
      </c>
      <c r="I256" s="1" t="s">
        <v>71</v>
      </c>
      <c r="J256">
        <v>4521</v>
      </c>
      <c r="K256">
        <v>0</v>
      </c>
      <c r="L256" s="1" t="s">
        <v>384</v>
      </c>
      <c r="M256" s="1" t="s">
        <v>72</v>
      </c>
      <c r="N256" s="1" t="s">
        <v>134</v>
      </c>
      <c r="O256" s="1" t="s">
        <v>385</v>
      </c>
      <c r="P256" s="1" t="s">
        <v>386</v>
      </c>
      <c r="Q256" s="1" t="s">
        <v>387</v>
      </c>
      <c r="R256">
        <v>103</v>
      </c>
      <c r="S256" s="1" t="s">
        <v>135</v>
      </c>
      <c r="T256" s="1" t="s">
        <v>388</v>
      </c>
      <c r="U256" s="1" t="s">
        <v>135</v>
      </c>
      <c r="V256" s="1"/>
      <c r="W256" s="1"/>
      <c r="X256" s="1"/>
      <c r="Y256" s="1"/>
      <c r="AA256" s="1"/>
      <c r="AC256" s="1"/>
      <c r="AD256" s="1"/>
      <c r="AE256" s="1"/>
      <c r="AN256" s="1" t="s">
        <v>74</v>
      </c>
      <c r="AO256">
        <v>137</v>
      </c>
      <c r="AP256" s="1" t="s">
        <v>872</v>
      </c>
      <c r="AQ256" s="1" t="s">
        <v>1018</v>
      </c>
      <c r="AR256" s="1" t="s">
        <v>1155</v>
      </c>
      <c r="AS256" s="1" t="s">
        <v>98</v>
      </c>
      <c r="AT256" s="3">
        <v>41436</v>
      </c>
      <c r="AU256" s="3">
        <v>41436</v>
      </c>
      <c r="AV256" s="3">
        <v>41455</v>
      </c>
      <c r="AW256" s="1" t="s">
        <v>1221</v>
      </c>
      <c r="AX256" s="1" t="s">
        <v>1018</v>
      </c>
      <c r="AY256">
        <v>85839.12</v>
      </c>
      <c r="AZ256">
        <v>253</v>
      </c>
      <c r="BA256">
        <v>4654734.66</v>
      </c>
      <c r="BB256" s="1"/>
      <c r="BD256" s="1"/>
      <c r="BE256" s="1"/>
      <c r="BG256" s="1"/>
      <c r="BH256" s="1"/>
      <c r="BJ256" s="1"/>
      <c r="BL256" s="1"/>
      <c r="BN256" s="1"/>
      <c r="BO256">
        <v>599</v>
      </c>
      <c r="BP256">
        <v>4654734.66</v>
      </c>
      <c r="BQ256">
        <v>4654734.66</v>
      </c>
    </row>
    <row r="257" spans="1:69" x14ac:dyDescent="0.35">
      <c r="A257" s="1" t="s">
        <v>68</v>
      </c>
      <c r="B257" s="1" t="s">
        <v>69</v>
      </c>
      <c r="C257" s="1" t="s">
        <v>70</v>
      </c>
      <c r="D257">
        <v>1</v>
      </c>
      <c r="E257">
        <v>1</v>
      </c>
      <c r="F257" s="2">
        <v>43585.43</v>
      </c>
      <c r="G257" s="3">
        <v>41275</v>
      </c>
      <c r="H257" s="3">
        <v>41639</v>
      </c>
      <c r="I257" s="1" t="s">
        <v>71</v>
      </c>
      <c r="J257">
        <v>4521</v>
      </c>
      <c r="K257">
        <v>0</v>
      </c>
      <c r="L257" s="1" t="s">
        <v>384</v>
      </c>
      <c r="M257" s="1" t="s">
        <v>72</v>
      </c>
      <c r="N257" s="1" t="s">
        <v>134</v>
      </c>
      <c r="O257" s="1" t="s">
        <v>385</v>
      </c>
      <c r="P257" s="1" t="s">
        <v>386</v>
      </c>
      <c r="Q257" s="1" t="s">
        <v>387</v>
      </c>
      <c r="R257">
        <v>103</v>
      </c>
      <c r="S257" s="1" t="s">
        <v>135</v>
      </c>
      <c r="T257" s="1" t="s">
        <v>388</v>
      </c>
      <c r="U257" s="1" t="s">
        <v>135</v>
      </c>
      <c r="V257" s="1"/>
      <c r="W257" s="1"/>
      <c r="X257" s="1"/>
      <c r="Y257" s="1"/>
      <c r="AA257" s="1"/>
      <c r="AC257" s="1"/>
      <c r="AD257" s="1"/>
      <c r="AE257" s="1"/>
      <c r="AN257" s="1" t="s">
        <v>74</v>
      </c>
      <c r="AO257">
        <v>138</v>
      </c>
      <c r="AP257" s="1" t="s">
        <v>873</v>
      </c>
      <c r="AQ257" s="1" t="s">
        <v>1013</v>
      </c>
      <c r="AR257" s="1" t="s">
        <v>1156</v>
      </c>
      <c r="AS257" s="1" t="s">
        <v>98</v>
      </c>
      <c r="AT257" s="3">
        <v>41439</v>
      </c>
      <c r="AU257" s="3">
        <v>41439</v>
      </c>
      <c r="AV257" s="3">
        <v>41455</v>
      </c>
      <c r="AW257" s="1" t="s">
        <v>1221</v>
      </c>
      <c r="AX257" s="1" t="s">
        <v>1013</v>
      </c>
      <c r="AY257">
        <v>33579</v>
      </c>
      <c r="AZ257">
        <v>253</v>
      </c>
      <c r="BA257">
        <v>4654734.66</v>
      </c>
      <c r="BB257" s="1"/>
      <c r="BD257" s="1"/>
      <c r="BE257" s="1"/>
      <c r="BG257" s="1"/>
      <c r="BH257" s="1"/>
      <c r="BJ257" s="1"/>
      <c r="BL257" s="1"/>
      <c r="BN257" s="1"/>
      <c r="BO257">
        <v>599</v>
      </c>
      <c r="BP257">
        <v>4654734.66</v>
      </c>
      <c r="BQ257">
        <v>4654734.66</v>
      </c>
    </row>
    <row r="258" spans="1:69" x14ac:dyDescent="0.35">
      <c r="A258" s="1" t="s">
        <v>68</v>
      </c>
      <c r="B258" s="1" t="s">
        <v>69</v>
      </c>
      <c r="C258" s="1" t="s">
        <v>70</v>
      </c>
      <c r="D258">
        <v>1</v>
      </c>
      <c r="E258">
        <v>1</v>
      </c>
      <c r="F258" s="2">
        <v>43585.43</v>
      </c>
      <c r="G258" s="3">
        <v>41275</v>
      </c>
      <c r="H258" s="3">
        <v>41639</v>
      </c>
      <c r="I258" s="1" t="s">
        <v>71</v>
      </c>
      <c r="J258">
        <v>4521</v>
      </c>
      <c r="K258">
        <v>0</v>
      </c>
      <c r="L258" s="1" t="s">
        <v>384</v>
      </c>
      <c r="M258" s="1" t="s">
        <v>72</v>
      </c>
      <c r="N258" s="1" t="s">
        <v>134</v>
      </c>
      <c r="O258" s="1" t="s">
        <v>385</v>
      </c>
      <c r="P258" s="1" t="s">
        <v>386</v>
      </c>
      <c r="Q258" s="1" t="s">
        <v>387</v>
      </c>
      <c r="R258">
        <v>103</v>
      </c>
      <c r="S258" s="1" t="s">
        <v>135</v>
      </c>
      <c r="T258" s="1" t="s">
        <v>388</v>
      </c>
      <c r="U258" s="1" t="s">
        <v>135</v>
      </c>
      <c r="V258" s="1"/>
      <c r="W258" s="1"/>
      <c r="X258" s="1"/>
      <c r="Y258" s="1"/>
      <c r="AA258" s="1"/>
      <c r="AC258" s="1"/>
      <c r="AD258" s="1"/>
      <c r="AE258" s="1"/>
      <c r="AN258" s="1" t="s">
        <v>74</v>
      </c>
      <c r="AO258">
        <v>139</v>
      </c>
      <c r="AP258" s="1" t="s">
        <v>874</v>
      </c>
      <c r="AQ258" s="1" t="s">
        <v>619</v>
      </c>
      <c r="AR258" s="1" t="s">
        <v>1157</v>
      </c>
      <c r="AS258" s="1" t="s">
        <v>97</v>
      </c>
      <c r="AT258" s="3">
        <v>41443</v>
      </c>
      <c r="AU258" s="3">
        <v>41444</v>
      </c>
      <c r="AV258" s="3">
        <v>41455</v>
      </c>
      <c r="AW258" s="1" t="s">
        <v>1221</v>
      </c>
      <c r="AX258" s="1" t="s">
        <v>619</v>
      </c>
      <c r="AY258">
        <v>23828.400000000001</v>
      </c>
      <c r="AZ258">
        <v>253</v>
      </c>
      <c r="BA258">
        <v>4654734.66</v>
      </c>
      <c r="BB258" s="1"/>
      <c r="BD258" s="1"/>
      <c r="BE258" s="1"/>
      <c r="BG258" s="1"/>
      <c r="BH258" s="1"/>
      <c r="BJ258" s="1"/>
      <c r="BL258" s="1"/>
      <c r="BN258" s="1"/>
      <c r="BO258">
        <v>599</v>
      </c>
      <c r="BP258">
        <v>4654734.66</v>
      </c>
      <c r="BQ258">
        <v>4654734.66</v>
      </c>
    </row>
    <row r="259" spans="1:69" x14ac:dyDescent="0.35">
      <c r="A259" s="1" t="s">
        <v>68</v>
      </c>
      <c r="B259" s="1" t="s">
        <v>69</v>
      </c>
      <c r="C259" s="1" t="s">
        <v>70</v>
      </c>
      <c r="D259">
        <v>1</v>
      </c>
      <c r="E259">
        <v>1</v>
      </c>
      <c r="F259" s="2">
        <v>43585.43</v>
      </c>
      <c r="G259" s="3">
        <v>41275</v>
      </c>
      <c r="H259" s="3">
        <v>41639</v>
      </c>
      <c r="I259" s="1" t="s">
        <v>71</v>
      </c>
      <c r="J259">
        <v>4521</v>
      </c>
      <c r="K259">
        <v>0</v>
      </c>
      <c r="L259" s="1" t="s">
        <v>384</v>
      </c>
      <c r="M259" s="1" t="s">
        <v>72</v>
      </c>
      <c r="N259" s="1" t="s">
        <v>134</v>
      </c>
      <c r="O259" s="1" t="s">
        <v>385</v>
      </c>
      <c r="P259" s="1" t="s">
        <v>386</v>
      </c>
      <c r="Q259" s="1" t="s">
        <v>387</v>
      </c>
      <c r="R259">
        <v>103</v>
      </c>
      <c r="S259" s="1" t="s">
        <v>135</v>
      </c>
      <c r="T259" s="1" t="s">
        <v>388</v>
      </c>
      <c r="U259" s="1" t="s">
        <v>135</v>
      </c>
      <c r="V259" s="1"/>
      <c r="W259" s="1"/>
      <c r="X259" s="1"/>
      <c r="Y259" s="1"/>
      <c r="AA259" s="1"/>
      <c r="AC259" s="1"/>
      <c r="AD259" s="1"/>
      <c r="AE259" s="1"/>
      <c r="AN259" s="1" t="s">
        <v>74</v>
      </c>
      <c r="AO259">
        <v>140</v>
      </c>
      <c r="AP259" s="1" t="s">
        <v>875</v>
      </c>
      <c r="AQ259" s="1" t="s">
        <v>1033</v>
      </c>
      <c r="AR259" s="1" t="s">
        <v>1158</v>
      </c>
      <c r="AS259" s="1" t="s">
        <v>97</v>
      </c>
      <c r="AT259" s="3">
        <v>41443</v>
      </c>
      <c r="AU259" s="3">
        <v>41443</v>
      </c>
      <c r="AV259" s="3">
        <v>41455</v>
      </c>
      <c r="AW259" s="1" t="s">
        <v>1221</v>
      </c>
      <c r="AX259" s="1" t="s">
        <v>1033</v>
      </c>
      <c r="AY259">
        <v>19870</v>
      </c>
      <c r="AZ259">
        <v>253</v>
      </c>
      <c r="BA259">
        <v>4654734.66</v>
      </c>
      <c r="BB259" s="1"/>
      <c r="BD259" s="1"/>
      <c r="BE259" s="1"/>
      <c r="BG259" s="1"/>
      <c r="BH259" s="1"/>
      <c r="BJ259" s="1"/>
      <c r="BL259" s="1"/>
      <c r="BN259" s="1"/>
      <c r="BO259">
        <v>599</v>
      </c>
      <c r="BP259">
        <v>4654734.66</v>
      </c>
      <c r="BQ259">
        <v>4654734.66</v>
      </c>
    </row>
    <row r="260" spans="1:69" x14ac:dyDescent="0.35">
      <c r="A260" s="1" t="s">
        <v>68</v>
      </c>
      <c r="B260" s="1" t="s">
        <v>69</v>
      </c>
      <c r="C260" s="1" t="s">
        <v>70</v>
      </c>
      <c r="D260">
        <v>1</v>
      </c>
      <c r="E260">
        <v>1</v>
      </c>
      <c r="F260" s="2">
        <v>43585.43</v>
      </c>
      <c r="G260" s="3">
        <v>41275</v>
      </c>
      <c r="H260" s="3">
        <v>41639</v>
      </c>
      <c r="I260" s="1" t="s">
        <v>71</v>
      </c>
      <c r="J260">
        <v>4521</v>
      </c>
      <c r="K260">
        <v>0</v>
      </c>
      <c r="L260" s="1" t="s">
        <v>384</v>
      </c>
      <c r="M260" s="1" t="s">
        <v>72</v>
      </c>
      <c r="N260" s="1" t="s">
        <v>134</v>
      </c>
      <c r="O260" s="1" t="s">
        <v>385</v>
      </c>
      <c r="P260" s="1" t="s">
        <v>386</v>
      </c>
      <c r="Q260" s="1" t="s">
        <v>387</v>
      </c>
      <c r="R260">
        <v>103</v>
      </c>
      <c r="S260" s="1" t="s">
        <v>135</v>
      </c>
      <c r="T260" s="1" t="s">
        <v>388</v>
      </c>
      <c r="U260" s="1" t="s">
        <v>135</v>
      </c>
      <c r="V260" s="1"/>
      <c r="W260" s="1"/>
      <c r="X260" s="1"/>
      <c r="Y260" s="1"/>
      <c r="AA260" s="1"/>
      <c r="AC260" s="1"/>
      <c r="AD260" s="1"/>
      <c r="AE260" s="1"/>
      <c r="AN260" s="1" t="s">
        <v>74</v>
      </c>
      <c r="AO260">
        <v>141</v>
      </c>
      <c r="AP260" s="1" t="s">
        <v>876</v>
      </c>
      <c r="AQ260" s="1" t="s">
        <v>1044</v>
      </c>
      <c r="AR260" s="1" t="s">
        <v>1159</v>
      </c>
      <c r="AS260" s="1" t="s">
        <v>96</v>
      </c>
      <c r="AT260" s="3">
        <v>41445</v>
      </c>
      <c r="AU260" s="3">
        <v>41445</v>
      </c>
      <c r="AV260" s="3">
        <v>41455</v>
      </c>
      <c r="AW260" s="1" t="s">
        <v>1221</v>
      </c>
      <c r="AX260" s="1" t="s">
        <v>1250</v>
      </c>
      <c r="AY260">
        <v>2000</v>
      </c>
      <c r="AZ260">
        <v>253</v>
      </c>
      <c r="BA260">
        <v>4654734.66</v>
      </c>
      <c r="BB260" s="1"/>
      <c r="BD260" s="1"/>
      <c r="BE260" s="1"/>
      <c r="BG260" s="1"/>
      <c r="BH260" s="1"/>
      <c r="BJ260" s="1"/>
      <c r="BL260" s="1"/>
      <c r="BN260" s="1"/>
      <c r="BO260">
        <v>599</v>
      </c>
      <c r="BP260">
        <v>4654734.66</v>
      </c>
      <c r="BQ260">
        <v>4654734.66</v>
      </c>
    </row>
    <row r="261" spans="1:69" x14ac:dyDescent="0.35">
      <c r="A261" s="1" t="s">
        <v>68</v>
      </c>
      <c r="B261" s="1" t="s">
        <v>69</v>
      </c>
      <c r="C261" s="1" t="s">
        <v>70</v>
      </c>
      <c r="D261">
        <v>1</v>
      </c>
      <c r="E261">
        <v>1</v>
      </c>
      <c r="F261" s="2">
        <v>43585.43</v>
      </c>
      <c r="G261" s="3">
        <v>41275</v>
      </c>
      <c r="H261" s="3">
        <v>41639</v>
      </c>
      <c r="I261" s="1" t="s">
        <v>71</v>
      </c>
      <c r="J261">
        <v>4521</v>
      </c>
      <c r="K261">
        <v>0</v>
      </c>
      <c r="L261" s="1" t="s">
        <v>384</v>
      </c>
      <c r="M261" s="1" t="s">
        <v>72</v>
      </c>
      <c r="N261" s="1" t="s">
        <v>134</v>
      </c>
      <c r="O261" s="1" t="s">
        <v>385</v>
      </c>
      <c r="P261" s="1" t="s">
        <v>386</v>
      </c>
      <c r="Q261" s="1" t="s">
        <v>387</v>
      </c>
      <c r="R261">
        <v>103</v>
      </c>
      <c r="S261" s="1" t="s">
        <v>135</v>
      </c>
      <c r="T261" s="1" t="s">
        <v>388</v>
      </c>
      <c r="U261" s="1" t="s">
        <v>135</v>
      </c>
      <c r="V261" s="1"/>
      <c r="W261" s="1"/>
      <c r="X261" s="1"/>
      <c r="Y261" s="1"/>
      <c r="AA261" s="1"/>
      <c r="AC261" s="1"/>
      <c r="AD261" s="1"/>
      <c r="AE261" s="1"/>
      <c r="AN261" s="1" t="s">
        <v>74</v>
      </c>
      <c r="AO261">
        <v>142</v>
      </c>
      <c r="AP261" s="1" t="s">
        <v>877</v>
      </c>
      <c r="AQ261" s="1" t="s">
        <v>1044</v>
      </c>
      <c r="AR261" s="1" t="s">
        <v>1159</v>
      </c>
      <c r="AS261" s="1" t="s">
        <v>96</v>
      </c>
      <c r="AT261" s="3">
        <v>41445</v>
      </c>
      <c r="AU261" s="3">
        <v>41445</v>
      </c>
      <c r="AV261" s="3">
        <v>41455</v>
      </c>
      <c r="AW261" s="1" t="s">
        <v>1221</v>
      </c>
      <c r="AX261" s="1" t="s">
        <v>1251</v>
      </c>
      <c r="AY261">
        <v>38990</v>
      </c>
      <c r="AZ261">
        <v>253</v>
      </c>
      <c r="BA261">
        <v>4654734.66</v>
      </c>
      <c r="BB261" s="1"/>
      <c r="BD261" s="1"/>
      <c r="BE261" s="1"/>
      <c r="BG261" s="1"/>
      <c r="BH261" s="1"/>
      <c r="BJ261" s="1"/>
      <c r="BL261" s="1"/>
      <c r="BN261" s="1"/>
      <c r="BO261">
        <v>599</v>
      </c>
      <c r="BP261">
        <v>4654734.66</v>
      </c>
      <c r="BQ261">
        <v>4654734.66</v>
      </c>
    </row>
    <row r="262" spans="1:69" x14ac:dyDescent="0.35">
      <c r="A262" s="1" t="s">
        <v>68</v>
      </c>
      <c r="B262" s="1" t="s">
        <v>69</v>
      </c>
      <c r="C262" s="1" t="s">
        <v>70</v>
      </c>
      <c r="D262">
        <v>1</v>
      </c>
      <c r="E262">
        <v>1</v>
      </c>
      <c r="F262" s="2">
        <v>43585.43</v>
      </c>
      <c r="G262" s="3">
        <v>41275</v>
      </c>
      <c r="H262" s="3">
        <v>41639</v>
      </c>
      <c r="I262" s="1" t="s">
        <v>71</v>
      </c>
      <c r="J262">
        <v>4521</v>
      </c>
      <c r="K262">
        <v>0</v>
      </c>
      <c r="L262" s="1" t="s">
        <v>384</v>
      </c>
      <c r="M262" s="1" t="s">
        <v>72</v>
      </c>
      <c r="N262" s="1" t="s">
        <v>134</v>
      </c>
      <c r="O262" s="1" t="s">
        <v>385</v>
      </c>
      <c r="P262" s="1" t="s">
        <v>386</v>
      </c>
      <c r="Q262" s="1" t="s">
        <v>387</v>
      </c>
      <c r="R262">
        <v>103</v>
      </c>
      <c r="S262" s="1" t="s">
        <v>135</v>
      </c>
      <c r="T262" s="1" t="s">
        <v>388</v>
      </c>
      <c r="U262" s="1" t="s">
        <v>135</v>
      </c>
      <c r="V262" s="1"/>
      <c r="W262" s="1"/>
      <c r="X262" s="1"/>
      <c r="Y262" s="1"/>
      <c r="AA262" s="1"/>
      <c r="AC262" s="1"/>
      <c r="AD262" s="1"/>
      <c r="AE262" s="1"/>
      <c r="AN262" s="1" t="s">
        <v>74</v>
      </c>
      <c r="AO262">
        <v>143</v>
      </c>
      <c r="AP262" s="1" t="s">
        <v>878</v>
      </c>
      <c r="AQ262" s="1" t="s">
        <v>1044</v>
      </c>
      <c r="AR262" s="1" t="s">
        <v>1159</v>
      </c>
      <c r="AS262" s="1" t="s">
        <v>96</v>
      </c>
      <c r="AT262" s="3">
        <v>41445</v>
      </c>
      <c r="AU262" s="3">
        <v>41445</v>
      </c>
      <c r="AV262" s="3">
        <v>41455</v>
      </c>
      <c r="AW262" s="1" t="s">
        <v>1221</v>
      </c>
      <c r="AX262" s="1" t="s">
        <v>1252</v>
      </c>
      <c r="AY262">
        <v>50000</v>
      </c>
      <c r="AZ262">
        <v>253</v>
      </c>
      <c r="BA262">
        <v>4654734.66</v>
      </c>
      <c r="BB262" s="1"/>
      <c r="BD262" s="1"/>
      <c r="BE262" s="1"/>
      <c r="BG262" s="1"/>
      <c r="BH262" s="1"/>
      <c r="BJ262" s="1"/>
      <c r="BL262" s="1"/>
      <c r="BN262" s="1"/>
      <c r="BO262">
        <v>599</v>
      </c>
      <c r="BP262">
        <v>4654734.66</v>
      </c>
      <c r="BQ262">
        <v>4654734.66</v>
      </c>
    </row>
    <row r="263" spans="1:69" x14ac:dyDescent="0.35">
      <c r="A263" s="1" t="s">
        <v>68</v>
      </c>
      <c r="B263" s="1" t="s">
        <v>69</v>
      </c>
      <c r="C263" s="1" t="s">
        <v>70</v>
      </c>
      <c r="D263">
        <v>1</v>
      </c>
      <c r="E263">
        <v>1</v>
      </c>
      <c r="F263" s="2">
        <v>43585.43</v>
      </c>
      <c r="G263" s="3">
        <v>41275</v>
      </c>
      <c r="H263" s="3">
        <v>41639</v>
      </c>
      <c r="I263" s="1" t="s">
        <v>71</v>
      </c>
      <c r="J263">
        <v>4521</v>
      </c>
      <c r="K263">
        <v>0</v>
      </c>
      <c r="L263" s="1" t="s">
        <v>384</v>
      </c>
      <c r="M263" s="1" t="s">
        <v>72</v>
      </c>
      <c r="N263" s="1" t="s">
        <v>134</v>
      </c>
      <c r="O263" s="1" t="s">
        <v>385</v>
      </c>
      <c r="P263" s="1" t="s">
        <v>386</v>
      </c>
      <c r="Q263" s="1" t="s">
        <v>387</v>
      </c>
      <c r="R263">
        <v>103</v>
      </c>
      <c r="S263" s="1" t="s">
        <v>135</v>
      </c>
      <c r="T263" s="1" t="s">
        <v>388</v>
      </c>
      <c r="U263" s="1" t="s">
        <v>135</v>
      </c>
      <c r="V263" s="1"/>
      <c r="W263" s="1"/>
      <c r="X263" s="1"/>
      <c r="Y263" s="1"/>
      <c r="AA263" s="1"/>
      <c r="AC263" s="1"/>
      <c r="AD263" s="1"/>
      <c r="AE263" s="1"/>
      <c r="AN263" s="1" t="s">
        <v>74</v>
      </c>
      <c r="AO263">
        <v>144</v>
      </c>
      <c r="AP263" s="1" t="s">
        <v>879</v>
      </c>
      <c r="AQ263" s="1" t="s">
        <v>1044</v>
      </c>
      <c r="AR263" s="1" t="s">
        <v>1159</v>
      </c>
      <c r="AS263" s="1" t="s">
        <v>96</v>
      </c>
      <c r="AT263" s="3">
        <v>41445</v>
      </c>
      <c r="AU263" s="3">
        <v>41445</v>
      </c>
      <c r="AV263" s="3">
        <v>41455</v>
      </c>
      <c r="AW263" s="1" t="s">
        <v>1221</v>
      </c>
      <c r="AX263" s="1" t="s">
        <v>1253</v>
      </c>
      <c r="AY263">
        <v>100000</v>
      </c>
      <c r="AZ263">
        <v>253</v>
      </c>
      <c r="BA263">
        <v>4654734.66</v>
      </c>
      <c r="BB263" s="1"/>
      <c r="BD263" s="1"/>
      <c r="BE263" s="1"/>
      <c r="BG263" s="1"/>
      <c r="BH263" s="1"/>
      <c r="BJ263" s="1"/>
      <c r="BL263" s="1"/>
      <c r="BN263" s="1"/>
      <c r="BO263">
        <v>599</v>
      </c>
      <c r="BP263">
        <v>4654734.66</v>
      </c>
      <c r="BQ263">
        <v>4654734.66</v>
      </c>
    </row>
    <row r="264" spans="1:69" x14ac:dyDescent="0.35">
      <c r="A264" s="1" t="s">
        <v>68</v>
      </c>
      <c r="B264" s="1" t="s">
        <v>69</v>
      </c>
      <c r="C264" s="1" t="s">
        <v>70</v>
      </c>
      <c r="D264">
        <v>1</v>
      </c>
      <c r="E264">
        <v>1</v>
      </c>
      <c r="F264" s="2">
        <v>43585.43</v>
      </c>
      <c r="G264" s="3">
        <v>41275</v>
      </c>
      <c r="H264" s="3">
        <v>41639</v>
      </c>
      <c r="I264" s="1" t="s">
        <v>71</v>
      </c>
      <c r="J264">
        <v>4521</v>
      </c>
      <c r="K264">
        <v>0</v>
      </c>
      <c r="L264" s="1" t="s">
        <v>384</v>
      </c>
      <c r="M264" s="1" t="s">
        <v>72</v>
      </c>
      <c r="N264" s="1" t="s">
        <v>134</v>
      </c>
      <c r="O264" s="1" t="s">
        <v>385</v>
      </c>
      <c r="P264" s="1" t="s">
        <v>386</v>
      </c>
      <c r="Q264" s="1" t="s">
        <v>387</v>
      </c>
      <c r="R264">
        <v>103</v>
      </c>
      <c r="S264" s="1" t="s">
        <v>135</v>
      </c>
      <c r="T264" s="1" t="s">
        <v>388</v>
      </c>
      <c r="U264" s="1" t="s">
        <v>135</v>
      </c>
      <c r="V264" s="1"/>
      <c r="W264" s="1"/>
      <c r="X264" s="1"/>
      <c r="Y264" s="1"/>
      <c r="AA264" s="1"/>
      <c r="AC264" s="1"/>
      <c r="AD264" s="1"/>
      <c r="AE264" s="1"/>
      <c r="AN264" s="1" t="s">
        <v>74</v>
      </c>
      <c r="AO264">
        <v>145</v>
      </c>
      <c r="AP264" s="1" t="s">
        <v>880</v>
      </c>
      <c r="AQ264" s="1" t="s">
        <v>1045</v>
      </c>
      <c r="AR264" s="1" t="s">
        <v>1160</v>
      </c>
      <c r="AS264" s="1" t="s">
        <v>95</v>
      </c>
      <c r="AT264" s="3">
        <v>41455</v>
      </c>
      <c r="AU264" s="3">
        <v>41455</v>
      </c>
      <c r="AV264" s="3">
        <v>41455</v>
      </c>
      <c r="AW264" s="1" t="s">
        <v>1221</v>
      </c>
      <c r="AX264" s="1" t="s">
        <v>1254</v>
      </c>
      <c r="AY264">
        <v>18450</v>
      </c>
      <c r="AZ264">
        <v>253</v>
      </c>
      <c r="BA264">
        <v>4654734.66</v>
      </c>
      <c r="BB264" s="1"/>
      <c r="BD264" s="1"/>
      <c r="BE264" s="1"/>
      <c r="BG264" s="1"/>
      <c r="BH264" s="1"/>
      <c r="BJ264" s="1"/>
      <c r="BL264" s="1"/>
      <c r="BN264" s="1"/>
      <c r="BO264">
        <v>599</v>
      </c>
      <c r="BP264">
        <v>4654734.66</v>
      </c>
      <c r="BQ264">
        <v>4654734.66</v>
      </c>
    </row>
    <row r="265" spans="1:69" x14ac:dyDescent="0.35">
      <c r="A265" s="1" t="s">
        <v>68</v>
      </c>
      <c r="B265" s="1" t="s">
        <v>69</v>
      </c>
      <c r="C265" s="1" t="s">
        <v>70</v>
      </c>
      <c r="D265">
        <v>1</v>
      </c>
      <c r="E265">
        <v>1</v>
      </c>
      <c r="F265" s="2">
        <v>43585.43</v>
      </c>
      <c r="G265" s="3">
        <v>41275</v>
      </c>
      <c r="H265" s="3">
        <v>41639</v>
      </c>
      <c r="I265" s="1" t="s">
        <v>71</v>
      </c>
      <c r="J265">
        <v>4521</v>
      </c>
      <c r="K265">
        <v>0</v>
      </c>
      <c r="L265" s="1" t="s">
        <v>384</v>
      </c>
      <c r="M265" s="1" t="s">
        <v>72</v>
      </c>
      <c r="N265" s="1" t="s">
        <v>134</v>
      </c>
      <c r="O265" s="1" t="s">
        <v>385</v>
      </c>
      <c r="P265" s="1" t="s">
        <v>386</v>
      </c>
      <c r="Q265" s="1" t="s">
        <v>387</v>
      </c>
      <c r="R265">
        <v>103</v>
      </c>
      <c r="S265" s="1" t="s">
        <v>135</v>
      </c>
      <c r="T265" s="1" t="s">
        <v>388</v>
      </c>
      <c r="U265" s="1" t="s">
        <v>135</v>
      </c>
      <c r="V265" s="1"/>
      <c r="W265" s="1"/>
      <c r="X265" s="1"/>
      <c r="Y265" s="1"/>
      <c r="AA265" s="1"/>
      <c r="AC265" s="1"/>
      <c r="AD265" s="1"/>
      <c r="AE265" s="1"/>
      <c r="AN265" s="1" t="s">
        <v>74</v>
      </c>
      <c r="AO265">
        <v>146</v>
      </c>
      <c r="AP265" s="1" t="s">
        <v>881</v>
      </c>
      <c r="AQ265" s="1" t="s">
        <v>1045</v>
      </c>
      <c r="AR265" s="1" t="s">
        <v>1160</v>
      </c>
      <c r="AS265" s="1" t="s">
        <v>95</v>
      </c>
      <c r="AT265" s="3">
        <v>41455</v>
      </c>
      <c r="AU265" s="3">
        <v>41455</v>
      </c>
      <c r="AV265" s="3">
        <v>41455</v>
      </c>
      <c r="AW265" s="1" t="s">
        <v>1221</v>
      </c>
      <c r="AX265" s="1" t="s">
        <v>1254</v>
      </c>
      <c r="AY265">
        <v>15000</v>
      </c>
      <c r="AZ265">
        <v>253</v>
      </c>
      <c r="BA265">
        <v>4654734.66</v>
      </c>
      <c r="BB265" s="1"/>
      <c r="BD265" s="1"/>
      <c r="BE265" s="1"/>
      <c r="BG265" s="1"/>
      <c r="BH265" s="1"/>
      <c r="BJ265" s="1"/>
      <c r="BL265" s="1"/>
      <c r="BN265" s="1"/>
      <c r="BO265">
        <v>599</v>
      </c>
      <c r="BP265">
        <v>4654734.66</v>
      </c>
      <c r="BQ265">
        <v>4654734.66</v>
      </c>
    </row>
    <row r="266" spans="1:69" x14ac:dyDescent="0.35">
      <c r="A266" s="1" t="s">
        <v>68</v>
      </c>
      <c r="B266" s="1" t="s">
        <v>69</v>
      </c>
      <c r="C266" s="1" t="s">
        <v>70</v>
      </c>
      <c r="D266">
        <v>1</v>
      </c>
      <c r="E266">
        <v>1</v>
      </c>
      <c r="F266" s="2">
        <v>43585.43</v>
      </c>
      <c r="G266" s="3">
        <v>41275</v>
      </c>
      <c r="H266" s="3">
        <v>41639</v>
      </c>
      <c r="I266" s="1" t="s">
        <v>71</v>
      </c>
      <c r="J266">
        <v>4521</v>
      </c>
      <c r="K266">
        <v>0</v>
      </c>
      <c r="L266" s="1" t="s">
        <v>384</v>
      </c>
      <c r="M266" s="1" t="s">
        <v>72</v>
      </c>
      <c r="N266" s="1" t="s">
        <v>134</v>
      </c>
      <c r="O266" s="1" t="s">
        <v>385</v>
      </c>
      <c r="P266" s="1" t="s">
        <v>386</v>
      </c>
      <c r="Q266" s="1" t="s">
        <v>387</v>
      </c>
      <c r="R266">
        <v>103</v>
      </c>
      <c r="S266" s="1" t="s">
        <v>135</v>
      </c>
      <c r="T266" s="1" t="s">
        <v>388</v>
      </c>
      <c r="U266" s="1" t="s">
        <v>135</v>
      </c>
      <c r="V266" s="1"/>
      <c r="W266" s="1"/>
      <c r="X266" s="1"/>
      <c r="Y266" s="1"/>
      <c r="AA266" s="1"/>
      <c r="AC266" s="1"/>
      <c r="AD266" s="1"/>
      <c r="AE266" s="1"/>
      <c r="AN266" s="1" t="s">
        <v>74</v>
      </c>
      <c r="AO266">
        <v>147</v>
      </c>
      <c r="AP266" s="1" t="s">
        <v>882</v>
      </c>
      <c r="AQ266" s="1" t="s">
        <v>1040</v>
      </c>
      <c r="AR266" s="1" t="s">
        <v>1161</v>
      </c>
      <c r="AS266" s="1" t="s">
        <v>97</v>
      </c>
      <c r="AT266" s="3">
        <v>41457</v>
      </c>
      <c r="AU266" s="3">
        <v>41457</v>
      </c>
      <c r="AV266" s="3">
        <v>41486</v>
      </c>
      <c r="AW266" s="1" t="s">
        <v>1221</v>
      </c>
      <c r="AX266" s="1" t="s">
        <v>1040</v>
      </c>
      <c r="AY266">
        <v>18450</v>
      </c>
      <c r="AZ266">
        <v>253</v>
      </c>
      <c r="BA266">
        <v>4654734.66</v>
      </c>
      <c r="BB266" s="1"/>
      <c r="BD266" s="1"/>
      <c r="BE266" s="1"/>
      <c r="BG266" s="1"/>
      <c r="BH266" s="1"/>
      <c r="BJ266" s="1"/>
      <c r="BL266" s="1"/>
      <c r="BN266" s="1"/>
      <c r="BO266">
        <v>599</v>
      </c>
      <c r="BP266">
        <v>4654734.66</v>
      </c>
      <c r="BQ266">
        <v>4654734.66</v>
      </c>
    </row>
    <row r="267" spans="1:69" x14ac:dyDescent="0.35">
      <c r="A267" s="1" t="s">
        <v>68</v>
      </c>
      <c r="B267" s="1" t="s">
        <v>69</v>
      </c>
      <c r="C267" s="1" t="s">
        <v>70</v>
      </c>
      <c r="D267">
        <v>1</v>
      </c>
      <c r="E267">
        <v>1</v>
      </c>
      <c r="F267" s="2">
        <v>43585.43</v>
      </c>
      <c r="G267" s="3">
        <v>41275</v>
      </c>
      <c r="H267" s="3">
        <v>41639</v>
      </c>
      <c r="I267" s="1" t="s">
        <v>71</v>
      </c>
      <c r="J267">
        <v>4521</v>
      </c>
      <c r="K267">
        <v>0</v>
      </c>
      <c r="L267" s="1" t="s">
        <v>384</v>
      </c>
      <c r="M267" s="1" t="s">
        <v>72</v>
      </c>
      <c r="N267" s="1" t="s">
        <v>134</v>
      </c>
      <c r="O267" s="1" t="s">
        <v>385</v>
      </c>
      <c r="P267" s="1" t="s">
        <v>386</v>
      </c>
      <c r="Q267" s="1" t="s">
        <v>387</v>
      </c>
      <c r="R267">
        <v>103</v>
      </c>
      <c r="S267" s="1" t="s">
        <v>135</v>
      </c>
      <c r="T267" s="1" t="s">
        <v>388</v>
      </c>
      <c r="U267" s="1" t="s">
        <v>135</v>
      </c>
      <c r="V267" s="1"/>
      <c r="W267" s="1"/>
      <c r="X267" s="1"/>
      <c r="Y267" s="1"/>
      <c r="AA267" s="1"/>
      <c r="AC267" s="1"/>
      <c r="AD267" s="1"/>
      <c r="AE267" s="1"/>
      <c r="AN267" s="1" t="s">
        <v>74</v>
      </c>
      <c r="AO267">
        <v>148</v>
      </c>
      <c r="AP267" s="1" t="s">
        <v>883</v>
      </c>
      <c r="AQ267" s="1" t="s">
        <v>1025</v>
      </c>
      <c r="AR267" s="1" t="s">
        <v>1162</v>
      </c>
      <c r="AS267" s="1" t="s">
        <v>95</v>
      </c>
      <c r="AT267" s="3">
        <v>41470</v>
      </c>
      <c r="AU267" s="3">
        <v>41470</v>
      </c>
      <c r="AV267" s="3">
        <v>41486</v>
      </c>
      <c r="AW267" s="1" t="s">
        <v>1221</v>
      </c>
      <c r="AX267" s="1" t="s">
        <v>1025</v>
      </c>
      <c r="AY267">
        <v>362</v>
      </c>
      <c r="AZ267">
        <v>253</v>
      </c>
      <c r="BA267">
        <v>4654734.66</v>
      </c>
      <c r="BB267" s="1"/>
      <c r="BD267" s="1"/>
      <c r="BE267" s="1"/>
      <c r="BG267" s="1"/>
      <c r="BH267" s="1"/>
      <c r="BJ267" s="1"/>
      <c r="BL267" s="1"/>
      <c r="BN267" s="1"/>
      <c r="BO267">
        <v>599</v>
      </c>
      <c r="BP267">
        <v>4654734.66</v>
      </c>
      <c r="BQ267">
        <v>4654734.66</v>
      </c>
    </row>
    <row r="268" spans="1:69" x14ac:dyDescent="0.35">
      <c r="A268" s="1" t="s">
        <v>68</v>
      </c>
      <c r="B268" s="1" t="s">
        <v>69</v>
      </c>
      <c r="C268" s="1" t="s">
        <v>70</v>
      </c>
      <c r="D268">
        <v>1</v>
      </c>
      <c r="E268">
        <v>1</v>
      </c>
      <c r="F268" s="2">
        <v>43585.43</v>
      </c>
      <c r="G268" s="3">
        <v>41275</v>
      </c>
      <c r="H268" s="3">
        <v>41639</v>
      </c>
      <c r="I268" s="1" t="s">
        <v>71</v>
      </c>
      <c r="J268">
        <v>4521</v>
      </c>
      <c r="K268">
        <v>0</v>
      </c>
      <c r="L268" s="1" t="s">
        <v>384</v>
      </c>
      <c r="M268" s="1" t="s">
        <v>72</v>
      </c>
      <c r="N268" s="1" t="s">
        <v>134</v>
      </c>
      <c r="O268" s="1" t="s">
        <v>385</v>
      </c>
      <c r="P268" s="1" t="s">
        <v>386</v>
      </c>
      <c r="Q268" s="1" t="s">
        <v>387</v>
      </c>
      <c r="R268">
        <v>103</v>
      </c>
      <c r="S268" s="1" t="s">
        <v>135</v>
      </c>
      <c r="T268" s="1" t="s">
        <v>388</v>
      </c>
      <c r="U268" s="1" t="s">
        <v>135</v>
      </c>
      <c r="V268" s="1"/>
      <c r="W268" s="1"/>
      <c r="X268" s="1"/>
      <c r="Y268" s="1"/>
      <c r="AA268" s="1"/>
      <c r="AC268" s="1"/>
      <c r="AD268" s="1"/>
      <c r="AE268" s="1"/>
      <c r="AN268" s="1" t="s">
        <v>74</v>
      </c>
      <c r="AO268">
        <v>149</v>
      </c>
      <c r="AP268" s="1" t="s">
        <v>884</v>
      </c>
      <c r="AQ268" s="1" t="s">
        <v>1046</v>
      </c>
      <c r="AR268" s="1" t="s">
        <v>1163</v>
      </c>
      <c r="AS268" s="1" t="s">
        <v>95</v>
      </c>
      <c r="AT268" s="3">
        <v>41470</v>
      </c>
      <c r="AU268" s="3">
        <v>41470</v>
      </c>
      <c r="AV268" s="3">
        <v>41486</v>
      </c>
      <c r="AW268" s="1" t="s">
        <v>1221</v>
      </c>
      <c r="AX268" s="1" t="s">
        <v>1046</v>
      </c>
      <c r="AY268">
        <v>32</v>
      </c>
      <c r="AZ268">
        <v>253</v>
      </c>
      <c r="BA268">
        <v>4654734.66</v>
      </c>
      <c r="BB268" s="1"/>
      <c r="BD268" s="1"/>
      <c r="BE268" s="1"/>
      <c r="BG268" s="1"/>
      <c r="BH268" s="1"/>
      <c r="BJ268" s="1"/>
      <c r="BL268" s="1"/>
      <c r="BN268" s="1"/>
      <c r="BO268">
        <v>599</v>
      </c>
      <c r="BP268">
        <v>4654734.66</v>
      </c>
      <c r="BQ268">
        <v>4654734.66</v>
      </c>
    </row>
    <row r="269" spans="1:69" x14ac:dyDescent="0.35">
      <c r="A269" s="1" t="s">
        <v>68</v>
      </c>
      <c r="B269" s="1" t="s">
        <v>69</v>
      </c>
      <c r="C269" s="1" t="s">
        <v>70</v>
      </c>
      <c r="D269">
        <v>1</v>
      </c>
      <c r="E269">
        <v>1</v>
      </c>
      <c r="F269" s="2">
        <v>43585.43</v>
      </c>
      <c r="G269" s="3">
        <v>41275</v>
      </c>
      <c r="H269" s="3">
        <v>41639</v>
      </c>
      <c r="I269" s="1" t="s">
        <v>71</v>
      </c>
      <c r="J269">
        <v>4521</v>
      </c>
      <c r="K269">
        <v>0</v>
      </c>
      <c r="L269" s="1" t="s">
        <v>384</v>
      </c>
      <c r="M269" s="1" t="s">
        <v>72</v>
      </c>
      <c r="N269" s="1" t="s">
        <v>134</v>
      </c>
      <c r="O269" s="1" t="s">
        <v>385</v>
      </c>
      <c r="P269" s="1" t="s">
        <v>386</v>
      </c>
      <c r="Q269" s="1" t="s">
        <v>387</v>
      </c>
      <c r="R269">
        <v>103</v>
      </c>
      <c r="S269" s="1" t="s">
        <v>135</v>
      </c>
      <c r="T269" s="1" t="s">
        <v>388</v>
      </c>
      <c r="U269" s="1" t="s">
        <v>135</v>
      </c>
      <c r="V269" s="1"/>
      <c r="W269" s="1"/>
      <c r="X269" s="1"/>
      <c r="Y269" s="1"/>
      <c r="AA269" s="1"/>
      <c r="AC269" s="1"/>
      <c r="AD269" s="1"/>
      <c r="AE269" s="1"/>
      <c r="AN269" s="1" t="s">
        <v>74</v>
      </c>
      <c r="AO269">
        <v>150</v>
      </c>
      <c r="AP269" s="1" t="s">
        <v>885</v>
      </c>
      <c r="AQ269" s="1" t="s">
        <v>987</v>
      </c>
      <c r="AR269" s="1" t="s">
        <v>1164</v>
      </c>
      <c r="AS269" s="1" t="s">
        <v>1203</v>
      </c>
      <c r="AT269" s="3">
        <v>41470</v>
      </c>
      <c r="AU269" s="3">
        <v>41470</v>
      </c>
      <c r="AV269" s="3">
        <v>41486</v>
      </c>
      <c r="AW269" s="1" t="s">
        <v>1221</v>
      </c>
      <c r="AX269" s="1" t="s">
        <v>987</v>
      </c>
      <c r="AY269">
        <v>3770.55</v>
      </c>
      <c r="AZ269">
        <v>253</v>
      </c>
      <c r="BA269">
        <v>4654734.66</v>
      </c>
      <c r="BB269" s="1"/>
      <c r="BD269" s="1"/>
      <c r="BE269" s="1"/>
      <c r="BG269" s="1"/>
      <c r="BH269" s="1"/>
      <c r="BJ269" s="1"/>
      <c r="BL269" s="1"/>
      <c r="BN269" s="1"/>
      <c r="BO269">
        <v>599</v>
      </c>
      <c r="BP269">
        <v>4654734.66</v>
      </c>
      <c r="BQ269">
        <v>4654734.66</v>
      </c>
    </row>
    <row r="270" spans="1:69" x14ac:dyDescent="0.35">
      <c r="A270" s="1" t="s">
        <v>68</v>
      </c>
      <c r="B270" s="1" t="s">
        <v>69</v>
      </c>
      <c r="C270" s="1" t="s">
        <v>70</v>
      </c>
      <c r="D270">
        <v>1</v>
      </c>
      <c r="E270">
        <v>1</v>
      </c>
      <c r="F270" s="2">
        <v>43585.43</v>
      </c>
      <c r="G270" s="3">
        <v>41275</v>
      </c>
      <c r="H270" s="3">
        <v>41639</v>
      </c>
      <c r="I270" s="1" t="s">
        <v>71</v>
      </c>
      <c r="J270">
        <v>4521</v>
      </c>
      <c r="K270">
        <v>0</v>
      </c>
      <c r="L270" s="1" t="s">
        <v>384</v>
      </c>
      <c r="M270" s="1" t="s">
        <v>72</v>
      </c>
      <c r="N270" s="1" t="s">
        <v>134</v>
      </c>
      <c r="O270" s="1" t="s">
        <v>385</v>
      </c>
      <c r="P270" s="1" t="s">
        <v>386</v>
      </c>
      <c r="Q270" s="1" t="s">
        <v>387</v>
      </c>
      <c r="R270">
        <v>103</v>
      </c>
      <c r="S270" s="1" t="s">
        <v>135</v>
      </c>
      <c r="T270" s="1" t="s">
        <v>388</v>
      </c>
      <c r="U270" s="1" t="s">
        <v>135</v>
      </c>
      <c r="V270" s="1"/>
      <c r="W270" s="1"/>
      <c r="X270" s="1"/>
      <c r="Y270" s="1"/>
      <c r="AA270" s="1"/>
      <c r="AC270" s="1"/>
      <c r="AD270" s="1"/>
      <c r="AE270" s="1"/>
      <c r="AN270" s="1" t="s">
        <v>74</v>
      </c>
      <c r="AO270">
        <v>151</v>
      </c>
      <c r="AP270" s="1" t="s">
        <v>886</v>
      </c>
      <c r="AQ270" s="1" t="s">
        <v>987</v>
      </c>
      <c r="AR270" s="1" t="s">
        <v>1164</v>
      </c>
      <c r="AS270" s="1" t="s">
        <v>1203</v>
      </c>
      <c r="AT270" s="3">
        <v>41470</v>
      </c>
      <c r="AU270" s="3">
        <v>41470</v>
      </c>
      <c r="AV270" s="3">
        <v>41486</v>
      </c>
      <c r="AW270" s="1" t="s">
        <v>1221</v>
      </c>
      <c r="AX270" s="1" t="s">
        <v>987</v>
      </c>
      <c r="AY270">
        <v>3591</v>
      </c>
      <c r="AZ270">
        <v>253</v>
      </c>
      <c r="BA270">
        <v>4654734.66</v>
      </c>
      <c r="BB270" s="1"/>
      <c r="BD270" s="1"/>
      <c r="BE270" s="1"/>
      <c r="BG270" s="1"/>
      <c r="BH270" s="1"/>
      <c r="BJ270" s="1"/>
      <c r="BL270" s="1"/>
      <c r="BN270" s="1"/>
      <c r="BO270">
        <v>599</v>
      </c>
      <c r="BP270">
        <v>4654734.66</v>
      </c>
      <c r="BQ270">
        <v>4654734.66</v>
      </c>
    </row>
    <row r="271" spans="1:69" x14ac:dyDescent="0.35">
      <c r="A271" s="1" t="s">
        <v>68</v>
      </c>
      <c r="B271" s="1" t="s">
        <v>69</v>
      </c>
      <c r="C271" s="1" t="s">
        <v>70</v>
      </c>
      <c r="D271">
        <v>1</v>
      </c>
      <c r="E271">
        <v>1</v>
      </c>
      <c r="F271" s="2">
        <v>43585.43</v>
      </c>
      <c r="G271" s="3">
        <v>41275</v>
      </c>
      <c r="H271" s="3">
        <v>41639</v>
      </c>
      <c r="I271" s="1" t="s">
        <v>71</v>
      </c>
      <c r="J271">
        <v>4521</v>
      </c>
      <c r="K271">
        <v>0</v>
      </c>
      <c r="L271" s="1" t="s">
        <v>384</v>
      </c>
      <c r="M271" s="1" t="s">
        <v>72</v>
      </c>
      <c r="N271" s="1" t="s">
        <v>134</v>
      </c>
      <c r="O271" s="1" t="s">
        <v>385</v>
      </c>
      <c r="P271" s="1" t="s">
        <v>386</v>
      </c>
      <c r="Q271" s="1" t="s">
        <v>387</v>
      </c>
      <c r="R271">
        <v>103</v>
      </c>
      <c r="S271" s="1" t="s">
        <v>135</v>
      </c>
      <c r="T271" s="1" t="s">
        <v>388</v>
      </c>
      <c r="U271" s="1" t="s">
        <v>135</v>
      </c>
      <c r="V271" s="1"/>
      <c r="W271" s="1"/>
      <c r="X271" s="1"/>
      <c r="Y271" s="1"/>
      <c r="AA271" s="1"/>
      <c r="AC271" s="1"/>
      <c r="AD271" s="1"/>
      <c r="AE271" s="1"/>
      <c r="AN271" s="1" t="s">
        <v>74</v>
      </c>
      <c r="AO271">
        <v>152</v>
      </c>
      <c r="AP271" s="1" t="s">
        <v>887</v>
      </c>
      <c r="AQ271" s="1" t="s">
        <v>1047</v>
      </c>
      <c r="AR271" s="1" t="s">
        <v>1165</v>
      </c>
      <c r="AS271" s="1" t="s">
        <v>95</v>
      </c>
      <c r="AT271" s="3">
        <v>41470</v>
      </c>
      <c r="AU271" s="3">
        <v>41470</v>
      </c>
      <c r="AV271" s="3">
        <v>41486</v>
      </c>
      <c r="AW271" s="1" t="s">
        <v>1221</v>
      </c>
      <c r="AX271" s="1" t="s">
        <v>1047</v>
      </c>
      <c r="AY271">
        <v>18400.5</v>
      </c>
      <c r="AZ271">
        <v>253</v>
      </c>
      <c r="BA271">
        <v>4654734.66</v>
      </c>
      <c r="BB271" s="1"/>
      <c r="BD271" s="1"/>
      <c r="BE271" s="1"/>
      <c r="BG271" s="1"/>
      <c r="BH271" s="1"/>
      <c r="BJ271" s="1"/>
      <c r="BL271" s="1"/>
      <c r="BN271" s="1"/>
      <c r="BO271">
        <v>599</v>
      </c>
      <c r="BP271">
        <v>4654734.66</v>
      </c>
      <c r="BQ271">
        <v>4654734.66</v>
      </c>
    </row>
    <row r="272" spans="1:69" x14ac:dyDescent="0.35">
      <c r="A272" s="1" t="s">
        <v>68</v>
      </c>
      <c r="B272" s="1" t="s">
        <v>69</v>
      </c>
      <c r="C272" s="1" t="s">
        <v>70</v>
      </c>
      <c r="D272">
        <v>1</v>
      </c>
      <c r="E272">
        <v>1</v>
      </c>
      <c r="F272" s="2">
        <v>43585.43</v>
      </c>
      <c r="G272" s="3">
        <v>41275</v>
      </c>
      <c r="H272" s="3">
        <v>41639</v>
      </c>
      <c r="I272" s="1" t="s">
        <v>71</v>
      </c>
      <c r="J272">
        <v>4521</v>
      </c>
      <c r="K272">
        <v>0</v>
      </c>
      <c r="L272" s="1" t="s">
        <v>384</v>
      </c>
      <c r="M272" s="1" t="s">
        <v>72</v>
      </c>
      <c r="N272" s="1" t="s">
        <v>134</v>
      </c>
      <c r="O272" s="1" t="s">
        <v>385</v>
      </c>
      <c r="P272" s="1" t="s">
        <v>386</v>
      </c>
      <c r="Q272" s="1" t="s">
        <v>387</v>
      </c>
      <c r="R272">
        <v>103</v>
      </c>
      <c r="S272" s="1" t="s">
        <v>135</v>
      </c>
      <c r="T272" s="1" t="s">
        <v>388</v>
      </c>
      <c r="U272" s="1" t="s">
        <v>135</v>
      </c>
      <c r="V272" s="1"/>
      <c r="W272" s="1"/>
      <c r="X272" s="1"/>
      <c r="Y272" s="1"/>
      <c r="AA272" s="1"/>
      <c r="AC272" s="1"/>
      <c r="AD272" s="1"/>
      <c r="AE272" s="1"/>
      <c r="AN272" s="1" t="s">
        <v>74</v>
      </c>
      <c r="AO272">
        <v>153</v>
      </c>
      <c r="AP272" s="1" t="s">
        <v>888</v>
      </c>
      <c r="AQ272" s="1" t="s">
        <v>982</v>
      </c>
      <c r="AR272" s="1" t="s">
        <v>1166</v>
      </c>
      <c r="AS272" s="1" t="s">
        <v>98</v>
      </c>
      <c r="AT272" s="3">
        <v>41472</v>
      </c>
      <c r="AU272" s="3">
        <v>41472</v>
      </c>
      <c r="AV272" s="3">
        <v>41486</v>
      </c>
      <c r="AW272" s="1" t="s">
        <v>1221</v>
      </c>
      <c r="AX272" s="1" t="s">
        <v>982</v>
      </c>
      <c r="AY272">
        <v>12145.02</v>
      </c>
      <c r="AZ272">
        <v>253</v>
      </c>
      <c r="BA272">
        <v>4654734.66</v>
      </c>
      <c r="BB272" s="1"/>
      <c r="BD272" s="1"/>
      <c r="BE272" s="1"/>
      <c r="BG272" s="1"/>
      <c r="BH272" s="1"/>
      <c r="BJ272" s="1"/>
      <c r="BL272" s="1"/>
      <c r="BN272" s="1"/>
      <c r="BO272">
        <v>599</v>
      </c>
      <c r="BP272">
        <v>4654734.66</v>
      </c>
      <c r="BQ272">
        <v>4654734.66</v>
      </c>
    </row>
    <row r="273" spans="1:69" x14ac:dyDescent="0.35">
      <c r="A273" s="1" t="s">
        <v>68</v>
      </c>
      <c r="B273" s="1" t="s">
        <v>69</v>
      </c>
      <c r="C273" s="1" t="s">
        <v>70</v>
      </c>
      <c r="D273">
        <v>1</v>
      </c>
      <c r="E273">
        <v>1</v>
      </c>
      <c r="F273" s="2">
        <v>43585.43</v>
      </c>
      <c r="G273" s="3">
        <v>41275</v>
      </c>
      <c r="H273" s="3">
        <v>41639</v>
      </c>
      <c r="I273" s="1" t="s">
        <v>71</v>
      </c>
      <c r="J273">
        <v>4521</v>
      </c>
      <c r="K273">
        <v>0</v>
      </c>
      <c r="L273" s="1" t="s">
        <v>384</v>
      </c>
      <c r="M273" s="1" t="s">
        <v>72</v>
      </c>
      <c r="N273" s="1" t="s">
        <v>134</v>
      </c>
      <c r="O273" s="1" t="s">
        <v>385</v>
      </c>
      <c r="P273" s="1" t="s">
        <v>386</v>
      </c>
      <c r="Q273" s="1" t="s">
        <v>387</v>
      </c>
      <c r="R273">
        <v>103</v>
      </c>
      <c r="S273" s="1" t="s">
        <v>135</v>
      </c>
      <c r="T273" s="1" t="s">
        <v>388</v>
      </c>
      <c r="U273" s="1" t="s">
        <v>135</v>
      </c>
      <c r="V273" s="1"/>
      <c r="W273" s="1"/>
      <c r="X273" s="1"/>
      <c r="Y273" s="1"/>
      <c r="AA273" s="1"/>
      <c r="AC273" s="1"/>
      <c r="AD273" s="1"/>
      <c r="AE273" s="1"/>
      <c r="AN273" s="1" t="s">
        <v>74</v>
      </c>
      <c r="AO273">
        <v>154</v>
      </c>
      <c r="AP273" s="1" t="s">
        <v>889</v>
      </c>
      <c r="AQ273" s="1" t="s">
        <v>1048</v>
      </c>
      <c r="AR273" s="1" t="s">
        <v>1167</v>
      </c>
      <c r="AS273" s="1" t="s">
        <v>96</v>
      </c>
      <c r="AT273" s="3">
        <v>41480</v>
      </c>
      <c r="AU273" s="3">
        <v>41480</v>
      </c>
      <c r="AV273" s="3">
        <v>41486</v>
      </c>
      <c r="AW273" s="1" t="s">
        <v>1221</v>
      </c>
      <c r="AX273" s="1" t="s">
        <v>1250</v>
      </c>
      <c r="AY273">
        <v>92250</v>
      </c>
      <c r="AZ273">
        <v>253</v>
      </c>
      <c r="BA273">
        <v>4654734.66</v>
      </c>
      <c r="BB273" s="1"/>
      <c r="BD273" s="1"/>
      <c r="BE273" s="1"/>
      <c r="BG273" s="1"/>
      <c r="BH273" s="1"/>
      <c r="BJ273" s="1"/>
      <c r="BL273" s="1"/>
      <c r="BN273" s="1"/>
      <c r="BO273">
        <v>599</v>
      </c>
      <c r="BP273">
        <v>4654734.66</v>
      </c>
      <c r="BQ273">
        <v>4654734.66</v>
      </c>
    </row>
    <row r="274" spans="1:69" x14ac:dyDescent="0.35">
      <c r="A274" s="1" t="s">
        <v>68</v>
      </c>
      <c r="B274" s="1" t="s">
        <v>69</v>
      </c>
      <c r="C274" s="1" t="s">
        <v>70</v>
      </c>
      <c r="D274">
        <v>1</v>
      </c>
      <c r="E274">
        <v>1</v>
      </c>
      <c r="F274" s="2">
        <v>43585.43</v>
      </c>
      <c r="G274" s="3">
        <v>41275</v>
      </c>
      <c r="H274" s="3">
        <v>41639</v>
      </c>
      <c r="I274" s="1" t="s">
        <v>71</v>
      </c>
      <c r="J274">
        <v>4521</v>
      </c>
      <c r="K274">
        <v>0</v>
      </c>
      <c r="L274" s="1" t="s">
        <v>384</v>
      </c>
      <c r="M274" s="1" t="s">
        <v>72</v>
      </c>
      <c r="N274" s="1" t="s">
        <v>134</v>
      </c>
      <c r="O274" s="1" t="s">
        <v>385</v>
      </c>
      <c r="P274" s="1" t="s">
        <v>386</v>
      </c>
      <c r="Q274" s="1" t="s">
        <v>387</v>
      </c>
      <c r="R274">
        <v>103</v>
      </c>
      <c r="S274" s="1" t="s">
        <v>135</v>
      </c>
      <c r="T274" s="1" t="s">
        <v>388</v>
      </c>
      <c r="U274" s="1" t="s">
        <v>135</v>
      </c>
      <c r="V274" s="1"/>
      <c r="W274" s="1"/>
      <c r="X274" s="1"/>
      <c r="Y274" s="1"/>
      <c r="AA274" s="1"/>
      <c r="AC274" s="1"/>
      <c r="AD274" s="1"/>
      <c r="AE274" s="1"/>
      <c r="AN274" s="1" t="s">
        <v>74</v>
      </c>
      <c r="AO274">
        <v>155</v>
      </c>
      <c r="AP274" s="1" t="s">
        <v>890</v>
      </c>
      <c r="AQ274" s="1" t="s">
        <v>1048</v>
      </c>
      <c r="AR274" s="1" t="s">
        <v>1167</v>
      </c>
      <c r="AS274" s="1" t="s">
        <v>96</v>
      </c>
      <c r="AT274" s="3">
        <v>41480</v>
      </c>
      <c r="AU274" s="3">
        <v>41480</v>
      </c>
      <c r="AV274" s="3">
        <v>41486</v>
      </c>
      <c r="AW274" s="1" t="s">
        <v>1221</v>
      </c>
      <c r="AX274" s="1" t="s">
        <v>1251</v>
      </c>
      <c r="AY274">
        <v>10000</v>
      </c>
      <c r="AZ274">
        <v>253</v>
      </c>
      <c r="BA274">
        <v>4654734.66</v>
      </c>
      <c r="BB274" s="1"/>
      <c r="BD274" s="1"/>
      <c r="BE274" s="1"/>
      <c r="BG274" s="1"/>
      <c r="BH274" s="1"/>
      <c r="BJ274" s="1"/>
      <c r="BL274" s="1"/>
      <c r="BN274" s="1"/>
      <c r="BO274">
        <v>599</v>
      </c>
      <c r="BP274">
        <v>4654734.66</v>
      </c>
      <c r="BQ274">
        <v>4654734.66</v>
      </c>
    </row>
    <row r="275" spans="1:69" x14ac:dyDescent="0.35">
      <c r="A275" s="1" t="s">
        <v>68</v>
      </c>
      <c r="B275" s="1" t="s">
        <v>69</v>
      </c>
      <c r="C275" s="1" t="s">
        <v>70</v>
      </c>
      <c r="D275">
        <v>1</v>
      </c>
      <c r="E275">
        <v>1</v>
      </c>
      <c r="F275" s="2">
        <v>43585.43</v>
      </c>
      <c r="G275" s="3">
        <v>41275</v>
      </c>
      <c r="H275" s="3">
        <v>41639</v>
      </c>
      <c r="I275" s="1" t="s">
        <v>71</v>
      </c>
      <c r="J275">
        <v>4521</v>
      </c>
      <c r="K275">
        <v>0</v>
      </c>
      <c r="L275" s="1" t="s">
        <v>384</v>
      </c>
      <c r="M275" s="1" t="s">
        <v>72</v>
      </c>
      <c r="N275" s="1" t="s">
        <v>134</v>
      </c>
      <c r="O275" s="1" t="s">
        <v>385</v>
      </c>
      <c r="P275" s="1" t="s">
        <v>386</v>
      </c>
      <c r="Q275" s="1" t="s">
        <v>387</v>
      </c>
      <c r="R275">
        <v>103</v>
      </c>
      <c r="S275" s="1" t="s">
        <v>135</v>
      </c>
      <c r="T275" s="1" t="s">
        <v>388</v>
      </c>
      <c r="U275" s="1" t="s">
        <v>135</v>
      </c>
      <c r="V275" s="1"/>
      <c r="W275" s="1"/>
      <c r="X275" s="1"/>
      <c r="Y275" s="1"/>
      <c r="AA275" s="1"/>
      <c r="AC275" s="1"/>
      <c r="AD275" s="1"/>
      <c r="AE275" s="1"/>
      <c r="AN275" s="1" t="s">
        <v>74</v>
      </c>
      <c r="AO275">
        <v>156</v>
      </c>
      <c r="AP275" s="1" t="s">
        <v>891</v>
      </c>
      <c r="AQ275" s="1" t="s">
        <v>1048</v>
      </c>
      <c r="AR275" s="1" t="s">
        <v>1167</v>
      </c>
      <c r="AS275" s="1" t="s">
        <v>96</v>
      </c>
      <c r="AT275" s="3">
        <v>41480</v>
      </c>
      <c r="AU275" s="3">
        <v>41480</v>
      </c>
      <c r="AV275" s="3">
        <v>41486</v>
      </c>
      <c r="AW275" s="1" t="s">
        <v>1221</v>
      </c>
      <c r="AX275" s="1" t="s">
        <v>1252</v>
      </c>
      <c r="AY275">
        <v>60000</v>
      </c>
      <c r="AZ275">
        <v>253</v>
      </c>
      <c r="BA275">
        <v>4654734.66</v>
      </c>
      <c r="BB275" s="1"/>
      <c r="BD275" s="1"/>
      <c r="BE275" s="1"/>
      <c r="BG275" s="1"/>
      <c r="BH275" s="1"/>
      <c r="BJ275" s="1"/>
      <c r="BL275" s="1"/>
      <c r="BN275" s="1"/>
      <c r="BO275">
        <v>599</v>
      </c>
      <c r="BP275">
        <v>4654734.66</v>
      </c>
      <c r="BQ275">
        <v>4654734.66</v>
      </c>
    </row>
    <row r="276" spans="1:69" x14ac:dyDescent="0.35">
      <c r="A276" s="1" t="s">
        <v>68</v>
      </c>
      <c r="B276" s="1" t="s">
        <v>69</v>
      </c>
      <c r="C276" s="1" t="s">
        <v>70</v>
      </c>
      <c r="D276">
        <v>1</v>
      </c>
      <c r="E276">
        <v>1</v>
      </c>
      <c r="F276" s="2">
        <v>43585.43</v>
      </c>
      <c r="G276" s="3">
        <v>41275</v>
      </c>
      <c r="H276" s="3">
        <v>41639</v>
      </c>
      <c r="I276" s="1" t="s">
        <v>71</v>
      </c>
      <c r="J276">
        <v>4521</v>
      </c>
      <c r="K276">
        <v>0</v>
      </c>
      <c r="L276" s="1" t="s">
        <v>384</v>
      </c>
      <c r="M276" s="1" t="s">
        <v>72</v>
      </c>
      <c r="N276" s="1" t="s">
        <v>134</v>
      </c>
      <c r="O276" s="1" t="s">
        <v>385</v>
      </c>
      <c r="P276" s="1" t="s">
        <v>386</v>
      </c>
      <c r="Q276" s="1" t="s">
        <v>387</v>
      </c>
      <c r="R276">
        <v>103</v>
      </c>
      <c r="S276" s="1" t="s">
        <v>135</v>
      </c>
      <c r="T276" s="1" t="s">
        <v>388</v>
      </c>
      <c r="U276" s="1" t="s">
        <v>135</v>
      </c>
      <c r="V276" s="1"/>
      <c r="W276" s="1"/>
      <c r="X276" s="1"/>
      <c r="Y276" s="1"/>
      <c r="AA276" s="1"/>
      <c r="AC276" s="1"/>
      <c r="AD276" s="1"/>
      <c r="AE276" s="1"/>
      <c r="AN276" s="1" t="s">
        <v>74</v>
      </c>
      <c r="AO276">
        <v>157</v>
      </c>
      <c r="AP276" s="1" t="s">
        <v>892</v>
      </c>
      <c r="AQ276" s="1" t="s">
        <v>1048</v>
      </c>
      <c r="AR276" s="1" t="s">
        <v>1167</v>
      </c>
      <c r="AS276" s="1" t="s">
        <v>96</v>
      </c>
      <c r="AT276" s="3">
        <v>41480</v>
      </c>
      <c r="AU276" s="3">
        <v>41480</v>
      </c>
      <c r="AV276" s="3">
        <v>41486</v>
      </c>
      <c r="AW276" s="1" t="s">
        <v>1221</v>
      </c>
      <c r="AX276" s="1" t="s">
        <v>1253</v>
      </c>
      <c r="AY276">
        <v>100000</v>
      </c>
      <c r="AZ276">
        <v>253</v>
      </c>
      <c r="BA276">
        <v>4654734.66</v>
      </c>
      <c r="BB276" s="1"/>
      <c r="BD276" s="1"/>
      <c r="BE276" s="1"/>
      <c r="BG276" s="1"/>
      <c r="BH276" s="1"/>
      <c r="BJ276" s="1"/>
      <c r="BL276" s="1"/>
      <c r="BN276" s="1"/>
      <c r="BO276">
        <v>599</v>
      </c>
      <c r="BP276">
        <v>4654734.66</v>
      </c>
      <c r="BQ276">
        <v>4654734.66</v>
      </c>
    </row>
    <row r="277" spans="1:69" x14ac:dyDescent="0.35">
      <c r="A277" s="1" t="s">
        <v>68</v>
      </c>
      <c r="B277" s="1" t="s">
        <v>69</v>
      </c>
      <c r="C277" s="1" t="s">
        <v>70</v>
      </c>
      <c r="D277">
        <v>1</v>
      </c>
      <c r="E277">
        <v>1</v>
      </c>
      <c r="F277" s="2">
        <v>43585.43</v>
      </c>
      <c r="G277" s="3">
        <v>41275</v>
      </c>
      <c r="H277" s="3">
        <v>41639</v>
      </c>
      <c r="I277" s="1" t="s">
        <v>71</v>
      </c>
      <c r="J277">
        <v>4521</v>
      </c>
      <c r="K277">
        <v>0</v>
      </c>
      <c r="L277" s="1" t="s">
        <v>384</v>
      </c>
      <c r="M277" s="1" t="s">
        <v>72</v>
      </c>
      <c r="N277" s="1" t="s">
        <v>134</v>
      </c>
      <c r="O277" s="1" t="s">
        <v>385</v>
      </c>
      <c r="P277" s="1" t="s">
        <v>386</v>
      </c>
      <c r="Q277" s="1" t="s">
        <v>387</v>
      </c>
      <c r="R277">
        <v>103</v>
      </c>
      <c r="S277" s="1" t="s">
        <v>135</v>
      </c>
      <c r="T277" s="1" t="s">
        <v>388</v>
      </c>
      <c r="U277" s="1" t="s">
        <v>135</v>
      </c>
      <c r="V277" s="1"/>
      <c r="W277" s="1"/>
      <c r="X277" s="1"/>
      <c r="Y277" s="1"/>
      <c r="AA277" s="1"/>
      <c r="AC277" s="1"/>
      <c r="AD277" s="1"/>
      <c r="AE277" s="1"/>
      <c r="AN277" s="1" t="s">
        <v>74</v>
      </c>
      <c r="AO277">
        <v>158</v>
      </c>
      <c r="AP277" s="1" t="s">
        <v>893</v>
      </c>
      <c r="AQ277" s="1" t="s">
        <v>1049</v>
      </c>
      <c r="AR277" s="1" t="s">
        <v>1168</v>
      </c>
      <c r="AS277" s="1" t="s">
        <v>95</v>
      </c>
      <c r="AT277" s="3">
        <v>41485</v>
      </c>
      <c r="AU277" s="3">
        <v>41485</v>
      </c>
      <c r="AV277" s="3">
        <v>41486</v>
      </c>
      <c r="AW277" s="1" t="s">
        <v>1221</v>
      </c>
      <c r="AX277" s="1" t="s">
        <v>1049</v>
      </c>
      <c r="AY277">
        <v>1747.98</v>
      </c>
      <c r="AZ277">
        <v>253</v>
      </c>
      <c r="BA277">
        <v>4654734.66</v>
      </c>
      <c r="BB277" s="1"/>
      <c r="BD277" s="1"/>
      <c r="BE277" s="1"/>
      <c r="BG277" s="1"/>
      <c r="BH277" s="1"/>
      <c r="BJ277" s="1"/>
      <c r="BL277" s="1"/>
      <c r="BN277" s="1"/>
      <c r="BO277">
        <v>599</v>
      </c>
      <c r="BP277">
        <v>4654734.66</v>
      </c>
      <c r="BQ277">
        <v>4654734.66</v>
      </c>
    </row>
    <row r="278" spans="1:69" x14ac:dyDescent="0.35">
      <c r="A278" s="1" t="s">
        <v>68</v>
      </c>
      <c r="B278" s="1" t="s">
        <v>69</v>
      </c>
      <c r="C278" s="1" t="s">
        <v>70</v>
      </c>
      <c r="D278">
        <v>1</v>
      </c>
      <c r="E278">
        <v>1</v>
      </c>
      <c r="F278" s="2">
        <v>43585.43</v>
      </c>
      <c r="G278" s="3">
        <v>41275</v>
      </c>
      <c r="H278" s="3">
        <v>41639</v>
      </c>
      <c r="I278" s="1" t="s">
        <v>71</v>
      </c>
      <c r="J278">
        <v>4521</v>
      </c>
      <c r="K278">
        <v>0</v>
      </c>
      <c r="L278" s="1" t="s">
        <v>384</v>
      </c>
      <c r="M278" s="1" t="s">
        <v>72</v>
      </c>
      <c r="N278" s="1" t="s">
        <v>134</v>
      </c>
      <c r="O278" s="1" t="s">
        <v>385</v>
      </c>
      <c r="P278" s="1" t="s">
        <v>386</v>
      </c>
      <c r="Q278" s="1" t="s">
        <v>387</v>
      </c>
      <c r="R278">
        <v>103</v>
      </c>
      <c r="S278" s="1" t="s">
        <v>135</v>
      </c>
      <c r="T278" s="1" t="s">
        <v>388</v>
      </c>
      <c r="U278" s="1" t="s">
        <v>135</v>
      </c>
      <c r="V278" s="1"/>
      <c r="W278" s="1"/>
      <c r="X278" s="1"/>
      <c r="Y278" s="1"/>
      <c r="AA278" s="1"/>
      <c r="AC278" s="1"/>
      <c r="AD278" s="1"/>
      <c r="AE278" s="1"/>
      <c r="AN278" s="1" t="s">
        <v>74</v>
      </c>
      <c r="AO278">
        <v>159</v>
      </c>
      <c r="AP278" s="1" t="s">
        <v>894</v>
      </c>
      <c r="AQ278" s="1" t="s">
        <v>1049</v>
      </c>
      <c r="AR278" s="1" t="s">
        <v>1168</v>
      </c>
      <c r="AS278" s="1" t="s">
        <v>95</v>
      </c>
      <c r="AT278" s="3">
        <v>41485</v>
      </c>
      <c r="AU278" s="3">
        <v>41485</v>
      </c>
      <c r="AV278" s="3">
        <v>41486</v>
      </c>
      <c r="AW278" s="1" t="s">
        <v>1221</v>
      </c>
      <c r="AX278" s="1" t="s">
        <v>1049</v>
      </c>
      <c r="AY278">
        <v>584</v>
      </c>
      <c r="AZ278">
        <v>253</v>
      </c>
      <c r="BA278">
        <v>4654734.66</v>
      </c>
      <c r="BB278" s="1"/>
      <c r="BD278" s="1"/>
      <c r="BE278" s="1"/>
      <c r="BG278" s="1"/>
      <c r="BH278" s="1"/>
      <c r="BJ278" s="1"/>
      <c r="BL278" s="1"/>
      <c r="BN278" s="1"/>
      <c r="BO278">
        <v>599</v>
      </c>
      <c r="BP278">
        <v>4654734.66</v>
      </c>
      <c r="BQ278">
        <v>4654734.66</v>
      </c>
    </row>
    <row r="279" spans="1:69" x14ac:dyDescent="0.35">
      <c r="A279" s="1" t="s">
        <v>68</v>
      </c>
      <c r="B279" s="1" t="s">
        <v>69</v>
      </c>
      <c r="C279" s="1" t="s">
        <v>70</v>
      </c>
      <c r="D279">
        <v>1</v>
      </c>
      <c r="E279">
        <v>1</v>
      </c>
      <c r="F279" s="2">
        <v>43585.43</v>
      </c>
      <c r="G279" s="3">
        <v>41275</v>
      </c>
      <c r="H279" s="3">
        <v>41639</v>
      </c>
      <c r="I279" s="1" t="s">
        <v>71</v>
      </c>
      <c r="J279">
        <v>4521</v>
      </c>
      <c r="K279">
        <v>0</v>
      </c>
      <c r="L279" s="1" t="s">
        <v>384</v>
      </c>
      <c r="M279" s="1" t="s">
        <v>72</v>
      </c>
      <c r="N279" s="1" t="s">
        <v>134</v>
      </c>
      <c r="O279" s="1" t="s">
        <v>385</v>
      </c>
      <c r="P279" s="1" t="s">
        <v>386</v>
      </c>
      <c r="Q279" s="1" t="s">
        <v>387</v>
      </c>
      <c r="R279">
        <v>103</v>
      </c>
      <c r="S279" s="1" t="s">
        <v>135</v>
      </c>
      <c r="T279" s="1" t="s">
        <v>388</v>
      </c>
      <c r="U279" s="1" t="s">
        <v>135</v>
      </c>
      <c r="V279" s="1"/>
      <c r="W279" s="1"/>
      <c r="X279" s="1"/>
      <c r="Y279" s="1"/>
      <c r="AA279" s="1"/>
      <c r="AC279" s="1"/>
      <c r="AD279" s="1"/>
      <c r="AE279" s="1"/>
      <c r="AN279" s="1" t="s">
        <v>74</v>
      </c>
      <c r="AO279">
        <v>160</v>
      </c>
      <c r="AP279" s="1" t="s">
        <v>895</v>
      </c>
      <c r="AQ279" s="1" t="s">
        <v>1049</v>
      </c>
      <c r="AR279" s="1" t="s">
        <v>1168</v>
      </c>
      <c r="AS279" s="1" t="s">
        <v>95</v>
      </c>
      <c r="AT279" s="3">
        <v>41485</v>
      </c>
      <c r="AU279" s="3">
        <v>41485</v>
      </c>
      <c r="AV279" s="3">
        <v>41486</v>
      </c>
      <c r="AW279" s="1" t="s">
        <v>1221</v>
      </c>
      <c r="AX279" s="1" t="s">
        <v>1049</v>
      </c>
      <c r="AY279">
        <v>1932.5</v>
      </c>
      <c r="AZ279">
        <v>253</v>
      </c>
      <c r="BA279">
        <v>4654734.66</v>
      </c>
      <c r="BB279" s="1"/>
      <c r="BD279" s="1"/>
      <c r="BE279" s="1"/>
      <c r="BG279" s="1"/>
      <c r="BH279" s="1"/>
      <c r="BJ279" s="1"/>
      <c r="BL279" s="1"/>
      <c r="BN279" s="1"/>
      <c r="BO279">
        <v>599</v>
      </c>
      <c r="BP279">
        <v>4654734.66</v>
      </c>
      <c r="BQ279">
        <v>4654734.66</v>
      </c>
    </row>
    <row r="280" spans="1:69" x14ac:dyDescent="0.35">
      <c r="A280" s="1" t="s">
        <v>68</v>
      </c>
      <c r="B280" s="1" t="s">
        <v>69</v>
      </c>
      <c r="C280" s="1" t="s">
        <v>70</v>
      </c>
      <c r="D280">
        <v>1</v>
      </c>
      <c r="E280">
        <v>1</v>
      </c>
      <c r="F280" s="2">
        <v>43585.43</v>
      </c>
      <c r="G280" s="3">
        <v>41275</v>
      </c>
      <c r="H280" s="3">
        <v>41639</v>
      </c>
      <c r="I280" s="1" t="s">
        <v>71</v>
      </c>
      <c r="J280">
        <v>4521</v>
      </c>
      <c r="K280">
        <v>0</v>
      </c>
      <c r="L280" s="1" t="s">
        <v>384</v>
      </c>
      <c r="M280" s="1" t="s">
        <v>72</v>
      </c>
      <c r="N280" s="1" t="s">
        <v>134</v>
      </c>
      <c r="O280" s="1" t="s">
        <v>385</v>
      </c>
      <c r="P280" s="1" t="s">
        <v>386</v>
      </c>
      <c r="Q280" s="1" t="s">
        <v>387</v>
      </c>
      <c r="R280">
        <v>103</v>
      </c>
      <c r="S280" s="1" t="s">
        <v>135</v>
      </c>
      <c r="T280" s="1" t="s">
        <v>388</v>
      </c>
      <c r="U280" s="1" t="s">
        <v>135</v>
      </c>
      <c r="V280" s="1"/>
      <c r="W280" s="1"/>
      <c r="X280" s="1"/>
      <c r="Y280" s="1"/>
      <c r="AA280" s="1"/>
      <c r="AC280" s="1"/>
      <c r="AD280" s="1"/>
      <c r="AE280" s="1"/>
      <c r="AN280" s="1" t="s">
        <v>74</v>
      </c>
      <c r="AO280">
        <v>161</v>
      </c>
      <c r="AP280" s="1" t="s">
        <v>896</v>
      </c>
      <c r="AQ280" s="1" t="s">
        <v>1049</v>
      </c>
      <c r="AR280" s="1" t="s">
        <v>1168</v>
      </c>
      <c r="AS280" s="1" t="s">
        <v>95</v>
      </c>
      <c r="AT280" s="3">
        <v>41485</v>
      </c>
      <c r="AU280" s="3">
        <v>41485</v>
      </c>
      <c r="AV280" s="3">
        <v>41486</v>
      </c>
      <c r="AW280" s="1" t="s">
        <v>1221</v>
      </c>
      <c r="AX280" s="1" t="s">
        <v>1049</v>
      </c>
      <c r="AY280">
        <v>4264.4799999999996</v>
      </c>
      <c r="AZ280">
        <v>253</v>
      </c>
      <c r="BA280">
        <v>4654734.66</v>
      </c>
      <c r="BB280" s="1"/>
      <c r="BD280" s="1"/>
      <c r="BE280" s="1"/>
      <c r="BG280" s="1"/>
      <c r="BH280" s="1"/>
      <c r="BJ280" s="1"/>
      <c r="BL280" s="1"/>
      <c r="BN280" s="1"/>
      <c r="BO280">
        <v>599</v>
      </c>
      <c r="BP280">
        <v>4654734.66</v>
      </c>
      <c r="BQ280">
        <v>4654734.66</v>
      </c>
    </row>
    <row r="281" spans="1:69" x14ac:dyDescent="0.35">
      <c r="A281" s="1" t="s">
        <v>68</v>
      </c>
      <c r="B281" s="1" t="s">
        <v>69</v>
      </c>
      <c r="C281" s="1" t="s">
        <v>70</v>
      </c>
      <c r="D281">
        <v>1</v>
      </c>
      <c r="E281">
        <v>1</v>
      </c>
      <c r="F281" s="2">
        <v>43585.43</v>
      </c>
      <c r="G281" s="3">
        <v>41275</v>
      </c>
      <c r="H281" s="3">
        <v>41639</v>
      </c>
      <c r="I281" s="1" t="s">
        <v>71</v>
      </c>
      <c r="J281">
        <v>4521</v>
      </c>
      <c r="K281">
        <v>0</v>
      </c>
      <c r="L281" s="1" t="s">
        <v>384</v>
      </c>
      <c r="M281" s="1" t="s">
        <v>72</v>
      </c>
      <c r="N281" s="1" t="s">
        <v>134</v>
      </c>
      <c r="O281" s="1" t="s">
        <v>385</v>
      </c>
      <c r="P281" s="1" t="s">
        <v>386</v>
      </c>
      <c r="Q281" s="1" t="s">
        <v>387</v>
      </c>
      <c r="R281">
        <v>103</v>
      </c>
      <c r="S281" s="1" t="s">
        <v>135</v>
      </c>
      <c r="T281" s="1" t="s">
        <v>388</v>
      </c>
      <c r="U281" s="1" t="s">
        <v>135</v>
      </c>
      <c r="V281" s="1"/>
      <c r="W281" s="1"/>
      <c r="X281" s="1"/>
      <c r="Y281" s="1"/>
      <c r="AA281" s="1"/>
      <c r="AC281" s="1"/>
      <c r="AD281" s="1"/>
      <c r="AE281" s="1"/>
      <c r="AN281" s="1" t="s">
        <v>74</v>
      </c>
      <c r="AO281">
        <v>162</v>
      </c>
      <c r="AP281" s="1" t="s">
        <v>897</v>
      </c>
      <c r="AQ281" s="1" t="s">
        <v>1049</v>
      </c>
      <c r="AR281" s="1" t="s">
        <v>1168</v>
      </c>
      <c r="AS281" s="1" t="s">
        <v>95</v>
      </c>
      <c r="AT281" s="3">
        <v>41485</v>
      </c>
      <c r="AU281" s="3">
        <v>41485</v>
      </c>
      <c r="AV281" s="3">
        <v>41486</v>
      </c>
      <c r="AW281" s="1" t="s">
        <v>1221</v>
      </c>
      <c r="AX281" s="1" t="s">
        <v>1049</v>
      </c>
      <c r="AY281">
        <v>884</v>
      </c>
      <c r="AZ281">
        <v>253</v>
      </c>
      <c r="BA281">
        <v>4654734.66</v>
      </c>
      <c r="BB281" s="1"/>
      <c r="BD281" s="1"/>
      <c r="BE281" s="1"/>
      <c r="BG281" s="1"/>
      <c r="BH281" s="1"/>
      <c r="BJ281" s="1"/>
      <c r="BL281" s="1"/>
      <c r="BN281" s="1"/>
      <c r="BO281">
        <v>599</v>
      </c>
      <c r="BP281">
        <v>4654734.66</v>
      </c>
      <c r="BQ281">
        <v>4654734.66</v>
      </c>
    </row>
    <row r="282" spans="1:69" x14ac:dyDescent="0.35">
      <c r="A282" s="1" t="s">
        <v>68</v>
      </c>
      <c r="B282" s="1" t="s">
        <v>69</v>
      </c>
      <c r="C282" s="1" t="s">
        <v>70</v>
      </c>
      <c r="D282">
        <v>1</v>
      </c>
      <c r="E282">
        <v>1</v>
      </c>
      <c r="F282" s="2">
        <v>43585.43</v>
      </c>
      <c r="G282" s="3">
        <v>41275</v>
      </c>
      <c r="H282" s="3">
        <v>41639</v>
      </c>
      <c r="I282" s="1" t="s">
        <v>71</v>
      </c>
      <c r="J282">
        <v>4521</v>
      </c>
      <c r="K282">
        <v>0</v>
      </c>
      <c r="L282" s="1" t="s">
        <v>384</v>
      </c>
      <c r="M282" s="1" t="s">
        <v>72</v>
      </c>
      <c r="N282" s="1" t="s">
        <v>134</v>
      </c>
      <c r="O282" s="1" t="s">
        <v>385</v>
      </c>
      <c r="P282" s="1" t="s">
        <v>386</v>
      </c>
      <c r="Q282" s="1" t="s">
        <v>387</v>
      </c>
      <c r="R282">
        <v>103</v>
      </c>
      <c r="S282" s="1" t="s">
        <v>135</v>
      </c>
      <c r="T282" s="1" t="s">
        <v>388</v>
      </c>
      <c r="U282" s="1" t="s">
        <v>135</v>
      </c>
      <c r="V282" s="1"/>
      <c r="W282" s="1"/>
      <c r="X282" s="1"/>
      <c r="Y282" s="1"/>
      <c r="AA282" s="1"/>
      <c r="AC282" s="1"/>
      <c r="AD282" s="1"/>
      <c r="AE282" s="1"/>
      <c r="AN282" s="1" t="s">
        <v>74</v>
      </c>
      <c r="AO282">
        <v>163</v>
      </c>
      <c r="AP282" s="1" t="s">
        <v>898</v>
      </c>
      <c r="AQ282" s="1" t="s">
        <v>1049</v>
      </c>
      <c r="AR282" s="1" t="s">
        <v>1168</v>
      </c>
      <c r="AS282" s="1" t="s">
        <v>95</v>
      </c>
      <c r="AT282" s="3">
        <v>41485</v>
      </c>
      <c r="AU282" s="3">
        <v>41485</v>
      </c>
      <c r="AV282" s="3">
        <v>41486</v>
      </c>
      <c r="AW282" s="1" t="s">
        <v>1221</v>
      </c>
      <c r="AX282" s="1" t="s">
        <v>1049</v>
      </c>
      <c r="AY282">
        <v>1232.5</v>
      </c>
      <c r="AZ282">
        <v>253</v>
      </c>
      <c r="BA282">
        <v>4654734.66</v>
      </c>
      <c r="BB282" s="1"/>
      <c r="BD282" s="1"/>
      <c r="BE282" s="1"/>
      <c r="BG282" s="1"/>
      <c r="BH282" s="1"/>
      <c r="BJ282" s="1"/>
      <c r="BL282" s="1"/>
      <c r="BN282" s="1"/>
      <c r="BO282">
        <v>599</v>
      </c>
      <c r="BP282">
        <v>4654734.66</v>
      </c>
      <c r="BQ282">
        <v>4654734.66</v>
      </c>
    </row>
    <row r="283" spans="1:69" x14ac:dyDescent="0.35">
      <c r="A283" s="1" t="s">
        <v>68</v>
      </c>
      <c r="B283" s="1" t="s">
        <v>69</v>
      </c>
      <c r="C283" s="1" t="s">
        <v>70</v>
      </c>
      <c r="D283">
        <v>1</v>
      </c>
      <c r="E283">
        <v>1</v>
      </c>
      <c r="F283" s="2">
        <v>43585.43</v>
      </c>
      <c r="G283" s="3">
        <v>41275</v>
      </c>
      <c r="H283" s="3">
        <v>41639</v>
      </c>
      <c r="I283" s="1" t="s">
        <v>71</v>
      </c>
      <c r="J283">
        <v>4521</v>
      </c>
      <c r="K283">
        <v>0</v>
      </c>
      <c r="L283" s="1" t="s">
        <v>384</v>
      </c>
      <c r="M283" s="1" t="s">
        <v>72</v>
      </c>
      <c r="N283" s="1" t="s">
        <v>134</v>
      </c>
      <c r="O283" s="1" t="s">
        <v>385</v>
      </c>
      <c r="P283" s="1" t="s">
        <v>386</v>
      </c>
      <c r="Q283" s="1" t="s">
        <v>387</v>
      </c>
      <c r="R283">
        <v>103</v>
      </c>
      <c r="S283" s="1" t="s">
        <v>135</v>
      </c>
      <c r="T283" s="1" t="s">
        <v>388</v>
      </c>
      <c r="U283" s="1" t="s">
        <v>135</v>
      </c>
      <c r="V283" s="1"/>
      <c r="W283" s="1"/>
      <c r="X283" s="1"/>
      <c r="Y283" s="1"/>
      <c r="AA283" s="1"/>
      <c r="AC283" s="1"/>
      <c r="AD283" s="1"/>
      <c r="AE283" s="1"/>
      <c r="AN283" s="1" t="s">
        <v>74</v>
      </c>
      <c r="AO283">
        <v>164</v>
      </c>
      <c r="AP283" s="1" t="s">
        <v>899</v>
      </c>
      <c r="AQ283" s="1" t="s">
        <v>1040</v>
      </c>
      <c r="AR283" s="1" t="s">
        <v>1169</v>
      </c>
      <c r="AS283" s="1" t="s">
        <v>97</v>
      </c>
      <c r="AT283" s="3">
        <v>41494</v>
      </c>
      <c r="AU283" s="3">
        <v>41494</v>
      </c>
      <c r="AV283" s="3">
        <v>41517</v>
      </c>
      <c r="AW283" s="1" t="s">
        <v>1221</v>
      </c>
      <c r="AX283" s="1" t="s">
        <v>1040</v>
      </c>
      <c r="AY283">
        <v>18450</v>
      </c>
      <c r="AZ283">
        <v>253</v>
      </c>
      <c r="BA283">
        <v>4654734.66</v>
      </c>
      <c r="BB283" s="1"/>
      <c r="BD283" s="1"/>
      <c r="BE283" s="1"/>
      <c r="BG283" s="1"/>
      <c r="BH283" s="1"/>
      <c r="BJ283" s="1"/>
      <c r="BL283" s="1"/>
      <c r="BN283" s="1"/>
      <c r="BO283">
        <v>599</v>
      </c>
      <c r="BP283">
        <v>4654734.66</v>
      </c>
      <c r="BQ283">
        <v>4654734.66</v>
      </c>
    </row>
    <row r="284" spans="1:69" x14ac:dyDescent="0.35">
      <c r="A284" s="1" t="s">
        <v>68</v>
      </c>
      <c r="B284" s="1" t="s">
        <v>69</v>
      </c>
      <c r="C284" s="1" t="s">
        <v>70</v>
      </c>
      <c r="D284">
        <v>1</v>
      </c>
      <c r="E284">
        <v>1</v>
      </c>
      <c r="F284" s="2">
        <v>43585.43</v>
      </c>
      <c r="G284" s="3">
        <v>41275</v>
      </c>
      <c r="H284" s="3">
        <v>41639</v>
      </c>
      <c r="I284" s="1" t="s">
        <v>71</v>
      </c>
      <c r="J284">
        <v>4521</v>
      </c>
      <c r="K284">
        <v>0</v>
      </c>
      <c r="L284" s="1" t="s">
        <v>384</v>
      </c>
      <c r="M284" s="1" t="s">
        <v>72</v>
      </c>
      <c r="N284" s="1" t="s">
        <v>134</v>
      </c>
      <c r="O284" s="1" t="s">
        <v>385</v>
      </c>
      <c r="P284" s="1" t="s">
        <v>386</v>
      </c>
      <c r="Q284" s="1" t="s">
        <v>387</v>
      </c>
      <c r="R284">
        <v>103</v>
      </c>
      <c r="S284" s="1" t="s">
        <v>135</v>
      </c>
      <c r="T284" s="1" t="s">
        <v>388</v>
      </c>
      <c r="U284" s="1" t="s">
        <v>135</v>
      </c>
      <c r="V284" s="1"/>
      <c r="W284" s="1"/>
      <c r="X284" s="1"/>
      <c r="Y284" s="1"/>
      <c r="AA284" s="1"/>
      <c r="AC284" s="1"/>
      <c r="AD284" s="1"/>
      <c r="AE284" s="1"/>
      <c r="AN284" s="1" t="s">
        <v>74</v>
      </c>
      <c r="AO284">
        <v>165</v>
      </c>
      <c r="AP284" s="1" t="s">
        <v>900</v>
      </c>
      <c r="AQ284" s="1" t="s">
        <v>1050</v>
      </c>
      <c r="AR284" s="1" t="s">
        <v>1170</v>
      </c>
      <c r="AS284" s="1" t="s">
        <v>97</v>
      </c>
      <c r="AT284" s="3">
        <v>41503</v>
      </c>
      <c r="AU284" s="3">
        <v>41504</v>
      </c>
      <c r="AV284" s="3">
        <v>41517</v>
      </c>
      <c r="AW284" s="1" t="s">
        <v>1221</v>
      </c>
      <c r="AX284" s="1" t="s">
        <v>1050</v>
      </c>
      <c r="AY284">
        <v>4548.54</v>
      </c>
      <c r="AZ284">
        <v>253</v>
      </c>
      <c r="BA284">
        <v>4654734.66</v>
      </c>
      <c r="BB284" s="1"/>
      <c r="BD284" s="1"/>
      <c r="BE284" s="1"/>
      <c r="BG284" s="1"/>
      <c r="BH284" s="1"/>
      <c r="BJ284" s="1"/>
      <c r="BL284" s="1"/>
      <c r="BN284" s="1"/>
      <c r="BO284">
        <v>599</v>
      </c>
      <c r="BP284">
        <v>4654734.66</v>
      </c>
      <c r="BQ284">
        <v>4654734.66</v>
      </c>
    </row>
    <row r="285" spans="1:69" x14ac:dyDescent="0.35">
      <c r="A285" s="1" t="s">
        <v>68</v>
      </c>
      <c r="B285" s="1" t="s">
        <v>69</v>
      </c>
      <c r="C285" s="1" t="s">
        <v>70</v>
      </c>
      <c r="D285">
        <v>1</v>
      </c>
      <c r="E285">
        <v>1</v>
      </c>
      <c r="F285" s="2">
        <v>43585.43</v>
      </c>
      <c r="G285" s="3">
        <v>41275</v>
      </c>
      <c r="H285" s="3">
        <v>41639</v>
      </c>
      <c r="I285" s="1" t="s">
        <v>71</v>
      </c>
      <c r="J285">
        <v>4521</v>
      </c>
      <c r="K285">
        <v>0</v>
      </c>
      <c r="L285" s="1" t="s">
        <v>384</v>
      </c>
      <c r="M285" s="1" t="s">
        <v>72</v>
      </c>
      <c r="N285" s="1" t="s">
        <v>134</v>
      </c>
      <c r="O285" s="1" t="s">
        <v>385</v>
      </c>
      <c r="P285" s="1" t="s">
        <v>386</v>
      </c>
      <c r="Q285" s="1" t="s">
        <v>387</v>
      </c>
      <c r="R285">
        <v>103</v>
      </c>
      <c r="S285" s="1" t="s">
        <v>135</v>
      </c>
      <c r="T285" s="1" t="s">
        <v>388</v>
      </c>
      <c r="U285" s="1" t="s">
        <v>135</v>
      </c>
      <c r="V285" s="1"/>
      <c r="W285" s="1"/>
      <c r="X285" s="1"/>
      <c r="Y285" s="1"/>
      <c r="AA285" s="1"/>
      <c r="AC285" s="1"/>
      <c r="AD285" s="1"/>
      <c r="AE285" s="1"/>
      <c r="AN285" s="1" t="s">
        <v>74</v>
      </c>
      <c r="AO285">
        <v>166</v>
      </c>
      <c r="AP285" s="1" t="s">
        <v>901</v>
      </c>
      <c r="AQ285" s="1" t="s">
        <v>1051</v>
      </c>
      <c r="AR285" s="1" t="s">
        <v>1171</v>
      </c>
      <c r="AS285" s="1" t="s">
        <v>97</v>
      </c>
      <c r="AT285" s="3">
        <v>41503</v>
      </c>
      <c r="AU285" s="3">
        <v>41503</v>
      </c>
      <c r="AV285" s="3">
        <v>41517</v>
      </c>
      <c r="AW285" s="1" t="s">
        <v>1221</v>
      </c>
      <c r="AX285" s="1" t="s">
        <v>1051</v>
      </c>
      <c r="AY285">
        <v>1845</v>
      </c>
      <c r="AZ285">
        <v>253</v>
      </c>
      <c r="BA285">
        <v>4654734.66</v>
      </c>
      <c r="BB285" s="1"/>
      <c r="BD285" s="1"/>
      <c r="BE285" s="1"/>
      <c r="BG285" s="1"/>
      <c r="BH285" s="1"/>
      <c r="BJ285" s="1"/>
      <c r="BL285" s="1"/>
      <c r="BN285" s="1"/>
      <c r="BO285">
        <v>599</v>
      </c>
      <c r="BP285">
        <v>4654734.66</v>
      </c>
      <c r="BQ285">
        <v>4654734.66</v>
      </c>
    </row>
    <row r="286" spans="1:69" x14ac:dyDescent="0.35">
      <c r="A286" s="1" t="s">
        <v>68</v>
      </c>
      <c r="B286" s="1" t="s">
        <v>69</v>
      </c>
      <c r="C286" s="1" t="s">
        <v>70</v>
      </c>
      <c r="D286">
        <v>1</v>
      </c>
      <c r="E286">
        <v>1</v>
      </c>
      <c r="F286" s="2">
        <v>43585.43</v>
      </c>
      <c r="G286" s="3">
        <v>41275</v>
      </c>
      <c r="H286" s="3">
        <v>41639</v>
      </c>
      <c r="I286" s="1" t="s">
        <v>71</v>
      </c>
      <c r="J286">
        <v>4521</v>
      </c>
      <c r="K286">
        <v>0</v>
      </c>
      <c r="L286" s="1" t="s">
        <v>384</v>
      </c>
      <c r="M286" s="1" t="s">
        <v>72</v>
      </c>
      <c r="N286" s="1" t="s">
        <v>134</v>
      </c>
      <c r="O286" s="1" t="s">
        <v>385</v>
      </c>
      <c r="P286" s="1" t="s">
        <v>386</v>
      </c>
      <c r="Q286" s="1" t="s">
        <v>387</v>
      </c>
      <c r="R286">
        <v>103</v>
      </c>
      <c r="S286" s="1" t="s">
        <v>135</v>
      </c>
      <c r="T286" s="1" t="s">
        <v>388</v>
      </c>
      <c r="U286" s="1" t="s">
        <v>135</v>
      </c>
      <c r="V286" s="1"/>
      <c r="W286" s="1"/>
      <c r="X286" s="1"/>
      <c r="Y286" s="1"/>
      <c r="AA286" s="1"/>
      <c r="AC286" s="1"/>
      <c r="AD286" s="1"/>
      <c r="AE286" s="1"/>
      <c r="AN286" s="1" t="s">
        <v>74</v>
      </c>
      <c r="AO286">
        <v>167</v>
      </c>
      <c r="AP286" s="1" t="s">
        <v>902</v>
      </c>
      <c r="AQ286" s="1" t="s">
        <v>1052</v>
      </c>
      <c r="AR286" s="1" t="s">
        <v>1172</v>
      </c>
      <c r="AS286" s="1" t="s">
        <v>1203</v>
      </c>
      <c r="AT286" s="3">
        <v>41505</v>
      </c>
      <c r="AU286" s="3">
        <v>41505</v>
      </c>
      <c r="AV286" s="3">
        <v>41517</v>
      </c>
      <c r="AW286" s="1" t="s">
        <v>1221</v>
      </c>
      <c r="AX286" s="1" t="s">
        <v>1052</v>
      </c>
      <c r="AY286">
        <v>1034.25</v>
      </c>
      <c r="AZ286">
        <v>253</v>
      </c>
      <c r="BA286">
        <v>4654734.66</v>
      </c>
      <c r="BB286" s="1"/>
      <c r="BD286" s="1"/>
      <c r="BE286" s="1"/>
      <c r="BG286" s="1"/>
      <c r="BH286" s="1"/>
      <c r="BJ286" s="1"/>
      <c r="BL286" s="1"/>
      <c r="BN286" s="1"/>
      <c r="BO286">
        <v>599</v>
      </c>
      <c r="BP286">
        <v>4654734.66</v>
      </c>
      <c r="BQ286">
        <v>4654734.66</v>
      </c>
    </row>
    <row r="287" spans="1:69" x14ac:dyDescent="0.35">
      <c r="A287" s="1" t="s">
        <v>68</v>
      </c>
      <c r="B287" s="1" t="s">
        <v>69</v>
      </c>
      <c r="C287" s="1" t="s">
        <v>70</v>
      </c>
      <c r="D287">
        <v>1</v>
      </c>
      <c r="E287">
        <v>1</v>
      </c>
      <c r="F287" s="2">
        <v>43585.43</v>
      </c>
      <c r="G287" s="3">
        <v>41275</v>
      </c>
      <c r="H287" s="3">
        <v>41639</v>
      </c>
      <c r="I287" s="1" t="s">
        <v>71</v>
      </c>
      <c r="J287">
        <v>4521</v>
      </c>
      <c r="K287">
        <v>0</v>
      </c>
      <c r="L287" s="1" t="s">
        <v>384</v>
      </c>
      <c r="M287" s="1" t="s">
        <v>72</v>
      </c>
      <c r="N287" s="1" t="s">
        <v>134</v>
      </c>
      <c r="O287" s="1" t="s">
        <v>385</v>
      </c>
      <c r="P287" s="1" t="s">
        <v>386</v>
      </c>
      <c r="Q287" s="1" t="s">
        <v>387</v>
      </c>
      <c r="R287">
        <v>103</v>
      </c>
      <c r="S287" s="1" t="s">
        <v>135</v>
      </c>
      <c r="T287" s="1" t="s">
        <v>388</v>
      </c>
      <c r="U287" s="1" t="s">
        <v>135</v>
      </c>
      <c r="V287" s="1"/>
      <c r="W287" s="1"/>
      <c r="X287" s="1"/>
      <c r="Y287" s="1"/>
      <c r="AA287" s="1"/>
      <c r="AC287" s="1"/>
      <c r="AD287" s="1"/>
      <c r="AE287" s="1"/>
      <c r="AN287" s="1" t="s">
        <v>74</v>
      </c>
      <c r="AO287">
        <v>168</v>
      </c>
      <c r="AP287" s="1" t="s">
        <v>903</v>
      </c>
      <c r="AQ287" s="1" t="s">
        <v>1052</v>
      </c>
      <c r="AR287" s="1" t="s">
        <v>1172</v>
      </c>
      <c r="AS287" s="1" t="s">
        <v>1203</v>
      </c>
      <c r="AT287" s="3">
        <v>41505</v>
      </c>
      <c r="AU287" s="3">
        <v>41505</v>
      </c>
      <c r="AV287" s="3">
        <v>41517</v>
      </c>
      <c r="AW287" s="1" t="s">
        <v>1221</v>
      </c>
      <c r="AX287" s="1" t="s">
        <v>1052</v>
      </c>
      <c r="AY287">
        <v>985</v>
      </c>
      <c r="AZ287">
        <v>253</v>
      </c>
      <c r="BA287">
        <v>4654734.66</v>
      </c>
      <c r="BB287" s="1"/>
      <c r="BD287" s="1"/>
      <c r="BE287" s="1"/>
      <c r="BG287" s="1"/>
      <c r="BH287" s="1"/>
      <c r="BJ287" s="1"/>
      <c r="BL287" s="1"/>
      <c r="BN287" s="1"/>
      <c r="BO287">
        <v>599</v>
      </c>
      <c r="BP287">
        <v>4654734.66</v>
      </c>
      <c r="BQ287">
        <v>4654734.66</v>
      </c>
    </row>
    <row r="288" spans="1:69" x14ac:dyDescent="0.35">
      <c r="A288" s="1" t="s">
        <v>68</v>
      </c>
      <c r="B288" s="1" t="s">
        <v>69</v>
      </c>
      <c r="C288" s="1" t="s">
        <v>70</v>
      </c>
      <c r="D288">
        <v>1</v>
      </c>
      <c r="E288">
        <v>1</v>
      </c>
      <c r="F288" s="2">
        <v>43585.43</v>
      </c>
      <c r="G288" s="3">
        <v>41275</v>
      </c>
      <c r="H288" s="3">
        <v>41639</v>
      </c>
      <c r="I288" s="1" t="s">
        <v>71</v>
      </c>
      <c r="J288">
        <v>4521</v>
      </c>
      <c r="K288">
        <v>0</v>
      </c>
      <c r="L288" s="1" t="s">
        <v>384</v>
      </c>
      <c r="M288" s="1" t="s">
        <v>72</v>
      </c>
      <c r="N288" s="1" t="s">
        <v>134</v>
      </c>
      <c r="O288" s="1" t="s">
        <v>385</v>
      </c>
      <c r="P288" s="1" t="s">
        <v>386</v>
      </c>
      <c r="Q288" s="1" t="s">
        <v>387</v>
      </c>
      <c r="R288">
        <v>103</v>
      </c>
      <c r="S288" s="1" t="s">
        <v>135</v>
      </c>
      <c r="T288" s="1" t="s">
        <v>388</v>
      </c>
      <c r="U288" s="1" t="s">
        <v>135</v>
      </c>
      <c r="V288" s="1"/>
      <c r="W288" s="1"/>
      <c r="X288" s="1"/>
      <c r="Y288" s="1"/>
      <c r="AA288" s="1"/>
      <c r="AC288" s="1"/>
      <c r="AD288" s="1"/>
      <c r="AE288" s="1"/>
      <c r="AN288" s="1" t="s">
        <v>74</v>
      </c>
      <c r="AO288">
        <v>169</v>
      </c>
      <c r="AP288" s="1" t="s">
        <v>904</v>
      </c>
      <c r="AQ288" s="1" t="s">
        <v>985</v>
      </c>
      <c r="AR288" s="1" t="s">
        <v>1173</v>
      </c>
      <c r="AS288" s="1" t="s">
        <v>98</v>
      </c>
      <c r="AT288" s="3">
        <v>41505</v>
      </c>
      <c r="AU288" s="3">
        <v>41505</v>
      </c>
      <c r="AV288" s="3">
        <v>41517</v>
      </c>
      <c r="AW288" s="1" t="s">
        <v>1221</v>
      </c>
      <c r="AX288" s="1" t="s">
        <v>985</v>
      </c>
      <c r="AY288">
        <v>1158.6600000000001</v>
      </c>
      <c r="AZ288">
        <v>253</v>
      </c>
      <c r="BA288">
        <v>4654734.66</v>
      </c>
      <c r="BB288" s="1"/>
      <c r="BD288" s="1"/>
      <c r="BE288" s="1"/>
      <c r="BG288" s="1"/>
      <c r="BH288" s="1"/>
      <c r="BJ288" s="1"/>
      <c r="BL288" s="1"/>
      <c r="BN288" s="1"/>
      <c r="BO288">
        <v>599</v>
      </c>
      <c r="BP288">
        <v>4654734.66</v>
      </c>
      <c r="BQ288">
        <v>4654734.66</v>
      </c>
    </row>
    <row r="289" spans="1:69" x14ac:dyDescent="0.35">
      <c r="A289" s="1" t="s">
        <v>68</v>
      </c>
      <c r="B289" s="1" t="s">
        <v>69</v>
      </c>
      <c r="C289" s="1" t="s">
        <v>70</v>
      </c>
      <c r="D289">
        <v>1</v>
      </c>
      <c r="E289">
        <v>1</v>
      </c>
      <c r="F289" s="2">
        <v>43585.43</v>
      </c>
      <c r="G289" s="3">
        <v>41275</v>
      </c>
      <c r="H289" s="3">
        <v>41639</v>
      </c>
      <c r="I289" s="1" t="s">
        <v>71</v>
      </c>
      <c r="J289">
        <v>4521</v>
      </c>
      <c r="K289">
        <v>0</v>
      </c>
      <c r="L289" s="1" t="s">
        <v>384</v>
      </c>
      <c r="M289" s="1" t="s">
        <v>72</v>
      </c>
      <c r="N289" s="1" t="s">
        <v>134</v>
      </c>
      <c r="O289" s="1" t="s">
        <v>385</v>
      </c>
      <c r="P289" s="1" t="s">
        <v>386</v>
      </c>
      <c r="Q289" s="1" t="s">
        <v>387</v>
      </c>
      <c r="R289">
        <v>103</v>
      </c>
      <c r="S289" s="1" t="s">
        <v>135</v>
      </c>
      <c r="T289" s="1" t="s">
        <v>388</v>
      </c>
      <c r="U289" s="1" t="s">
        <v>135</v>
      </c>
      <c r="V289" s="1"/>
      <c r="W289" s="1"/>
      <c r="X289" s="1"/>
      <c r="Y289" s="1"/>
      <c r="AA289" s="1"/>
      <c r="AC289" s="1"/>
      <c r="AD289" s="1"/>
      <c r="AE289" s="1"/>
      <c r="AN289" s="1" t="s">
        <v>74</v>
      </c>
      <c r="AO289">
        <v>170</v>
      </c>
      <c r="AP289" s="1" t="s">
        <v>905</v>
      </c>
      <c r="AQ289" s="1" t="s">
        <v>982</v>
      </c>
      <c r="AR289" s="1" t="s">
        <v>1174</v>
      </c>
      <c r="AS289" s="1" t="s">
        <v>98</v>
      </c>
      <c r="AT289" s="3">
        <v>41505</v>
      </c>
      <c r="AU289" s="3">
        <v>41505</v>
      </c>
      <c r="AV289" s="3">
        <v>41517</v>
      </c>
      <c r="AW289" s="1" t="s">
        <v>1221</v>
      </c>
      <c r="AX289" s="1" t="s">
        <v>982</v>
      </c>
      <c r="AY289">
        <v>1075.02</v>
      </c>
      <c r="AZ289">
        <v>253</v>
      </c>
      <c r="BA289">
        <v>4654734.66</v>
      </c>
      <c r="BB289" s="1"/>
      <c r="BD289" s="1"/>
      <c r="BE289" s="1"/>
      <c r="BG289" s="1"/>
      <c r="BH289" s="1"/>
      <c r="BJ289" s="1"/>
      <c r="BL289" s="1"/>
      <c r="BN289" s="1"/>
      <c r="BO289">
        <v>599</v>
      </c>
      <c r="BP289">
        <v>4654734.66</v>
      </c>
      <c r="BQ289">
        <v>4654734.66</v>
      </c>
    </row>
    <row r="290" spans="1:69" x14ac:dyDescent="0.35">
      <c r="A290" s="1" t="s">
        <v>68</v>
      </c>
      <c r="B290" s="1" t="s">
        <v>69</v>
      </c>
      <c r="C290" s="1" t="s">
        <v>70</v>
      </c>
      <c r="D290">
        <v>1</v>
      </c>
      <c r="E290">
        <v>1</v>
      </c>
      <c r="F290" s="2">
        <v>43585.43</v>
      </c>
      <c r="G290" s="3">
        <v>41275</v>
      </c>
      <c r="H290" s="3">
        <v>41639</v>
      </c>
      <c r="I290" s="1" t="s">
        <v>71</v>
      </c>
      <c r="J290">
        <v>4521</v>
      </c>
      <c r="K290">
        <v>0</v>
      </c>
      <c r="L290" s="1" t="s">
        <v>384</v>
      </c>
      <c r="M290" s="1" t="s">
        <v>72</v>
      </c>
      <c r="N290" s="1" t="s">
        <v>134</v>
      </c>
      <c r="O290" s="1" t="s">
        <v>385</v>
      </c>
      <c r="P290" s="1" t="s">
        <v>386</v>
      </c>
      <c r="Q290" s="1" t="s">
        <v>387</v>
      </c>
      <c r="R290">
        <v>103</v>
      </c>
      <c r="S290" s="1" t="s">
        <v>135</v>
      </c>
      <c r="T290" s="1" t="s">
        <v>388</v>
      </c>
      <c r="U290" s="1" t="s">
        <v>135</v>
      </c>
      <c r="V290" s="1"/>
      <c r="W290" s="1"/>
      <c r="X290" s="1"/>
      <c r="Y290" s="1"/>
      <c r="AA290" s="1"/>
      <c r="AC290" s="1"/>
      <c r="AD290" s="1"/>
      <c r="AE290" s="1"/>
      <c r="AN290" s="1" t="s">
        <v>74</v>
      </c>
      <c r="AO290">
        <v>171</v>
      </c>
      <c r="AP290" s="1" t="s">
        <v>906</v>
      </c>
      <c r="AQ290" s="1" t="s">
        <v>1052</v>
      </c>
      <c r="AR290" s="1" t="s">
        <v>1175</v>
      </c>
      <c r="AS290" s="1" t="s">
        <v>1203</v>
      </c>
      <c r="AT290" s="3">
        <v>41506</v>
      </c>
      <c r="AU290" s="3">
        <v>41506</v>
      </c>
      <c r="AV290" s="3">
        <v>41517</v>
      </c>
      <c r="AW290" s="1" t="s">
        <v>1221</v>
      </c>
      <c r="AX290" s="1" t="s">
        <v>1052</v>
      </c>
      <c r="AY290">
        <v>684.6</v>
      </c>
      <c r="AZ290">
        <v>253</v>
      </c>
      <c r="BA290">
        <v>4654734.66</v>
      </c>
      <c r="BB290" s="1"/>
      <c r="BD290" s="1"/>
      <c r="BE290" s="1"/>
      <c r="BG290" s="1"/>
      <c r="BH290" s="1"/>
      <c r="BJ290" s="1"/>
      <c r="BL290" s="1"/>
      <c r="BN290" s="1"/>
      <c r="BO290">
        <v>599</v>
      </c>
      <c r="BP290">
        <v>4654734.66</v>
      </c>
      <c r="BQ290">
        <v>4654734.66</v>
      </c>
    </row>
    <row r="291" spans="1:69" x14ac:dyDescent="0.35">
      <c r="A291" s="1" t="s">
        <v>68</v>
      </c>
      <c r="B291" s="1" t="s">
        <v>69</v>
      </c>
      <c r="C291" s="1" t="s">
        <v>70</v>
      </c>
      <c r="D291">
        <v>1</v>
      </c>
      <c r="E291">
        <v>1</v>
      </c>
      <c r="F291" s="2">
        <v>43585.43</v>
      </c>
      <c r="G291" s="3">
        <v>41275</v>
      </c>
      <c r="H291" s="3">
        <v>41639</v>
      </c>
      <c r="I291" s="1" t="s">
        <v>71</v>
      </c>
      <c r="J291">
        <v>4521</v>
      </c>
      <c r="K291">
        <v>0</v>
      </c>
      <c r="L291" s="1" t="s">
        <v>384</v>
      </c>
      <c r="M291" s="1" t="s">
        <v>72</v>
      </c>
      <c r="N291" s="1" t="s">
        <v>134</v>
      </c>
      <c r="O291" s="1" t="s">
        <v>385</v>
      </c>
      <c r="P291" s="1" t="s">
        <v>386</v>
      </c>
      <c r="Q291" s="1" t="s">
        <v>387</v>
      </c>
      <c r="R291">
        <v>103</v>
      </c>
      <c r="S291" s="1" t="s">
        <v>135</v>
      </c>
      <c r="T291" s="1" t="s">
        <v>388</v>
      </c>
      <c r="U291" s="1" t="s">
        <v>135</v>
      </c>
      <c r="V291" s="1"/>
      <c r="W291" s="1"/>
      <c r="X291" s="1"/>
      <c r="Y291" s="1"/>
      <c r="AA291" s="1"/>
      <c r="AC291" s="1"/>
      <c r="AD291" s="1"/>
      <c r="AE291" s="1"/>
      <c r="AN291" s="1" t="s">
        <v>74</v>
      </c>
      <c r="AO291">
        <v>172</v>
      </c>
      <c r="AP291" s="1" t="s">
        <v>907</v>
      </c>
      <c r="AQ291" s="1" t="s">
        <v>1052</v>
      </c>
      <c r="AR291" s="1" t="s">
        <v>1175</v>
      </c>
      <c r="AS291" s="1" t="s">
        <v>1203</v>
      </c>
      <c r="AT291" s="3">
        <v>41506</v>
      </c>
      <c r="AU291" s="3">
        <v>41506</v>
      </c>
      <c r="AV291" s="3">
        <v>41517</v>
      </c>
      <c r="AW291" s="1" t="s">
        <v>1221</v>
      </c>
      <c r="AX291" s="1" t="s">
        <v>1052</v>
      </c>
      <c r="AY291">
        <v>652</v>
      </c>
      <c r="AZ291">
        <v>253</v>
      </c>
      <c r="BA291">
        <v>4654734.66</v>
      </c>
      <c r="BB291" s="1"/>
      <c r="BD291" s="1"/>
      <c r="BE291" s="1"/>
      <c r="BG291" s="1"/>
      <c r="BH291" s="1"/>
      <c r="BJ291" s="1"/>
      <c r="BL291" s="1"/>
      <c r="BN291" s="1"/>
      <c r="BO291">
        <v>599</v>
      </c>
      <c r="BP291">
        <v>4654734.66</v>
      </c>
      <c r="BQ291">
        <v>4654734.66</v>
      </c>
    </row>
    <row r="292" spans="1:69" x14ac:dyDescent="0.35">
      <c r="A292" s="1" t="s">
        <v>68</v>
      </c>
      <c r="B292" s="1" t="s">
        <v>69</v>
      </c>
      <c r="C292" s="1" t="s">
        <v>70</v>
      </c>
      <c r="D292">
        <v>1</v>
      </c>
      <c r="E292">
        <v>1</v>
      </c>
      <c r="F292" s="2">
        <v>43585.43</v>
      </c>
      <c r="G292" s="3">
        <v>41275</v>
      </c>
      <c r="H292" s="3">
        <v>41639</v>
      </c>
      <c r="I292" s="1" t="s">
        <v>71</v>
      </c>
      <c r="J292">
        <v>4521</v>
      </c>
      <c r="K292">
        <v>0</v>
      </c>
      <c r="L292" s="1" t="s">
        <v>384</v>
      </c>
      <c r="M292" s="1" t="s">
        <v>72</v>
      </c>
      <c r="N292" s="1" t="s">
        <v>134</v>
      </c>
      <c r="O292" s="1" t="s">
        <v>385</v>
      </c>
      <c r="P292" s="1" t="s">
        <v>386</v>
      </c>
      <c r="Q292" s="1" t="s">
        <v>387</v>
      </c>
      <c r="R292">
        <v>103</v>
      </c>
      <c r="S292" s="1" t="s">
        <v>135</v>
      </c>
      <c r="T292" s="1" t="s">
        <v>388</v>
      </c>
      <c r="U292" s="1" t="s">
        <v>135</v>
      </c>
      <c r="V292" s="1"/>
      <c r="W292" s="1"/>
      <c r="X292" s="1"/>
      <c r="Y292" s="1"/>
      <c r="AA292" s="1"/>
      <c r="AC292" s="1"/>
      <c r="AD292" s="1"/>
      <c r="AE292" s="1"/>
      <c r="AN292" s="1" t="s">
        <v>74</v>
      </c>
      <c r="AO292">
        <v>173</v>
      </c>
      <c r="AP292" s="1" t="s">
        <v>908</v>
      </c>
      <c r="AQ292" s="1" t="s">
        <v>1053</v>
      </c>
      <c r="AR292" s="1" t="s">
        <v>1176</v>
      </c>
      <c r="AS292" s="1" t="s">
        <v>1213</v>
      </c>
      <c r="AT292" s="3">
        <v>41507</v>
      </c>
      <c r="AU292" s="3">
        <v>41507</v>
      </c>
      <c r="AV292" s="3">
        <v>41517</v>
      </c>
      <c r="AW292" s="1" t="s">
        <v>1221</v>
      </c>
      <c r="AX292" s="1" t="s">
        <v>1228</v>
      </c>
      <c r="AY292">
        <v>15000</v>
      </c>
      <c r="AZ292">
        <v>253</v>
      </c>
      <c r="BA292">
        <v>4654734.66</v>
      </c>
      <c r="BB292" s="1"/>
      <c r="BD292" s="1"/>
      <c r="BE292" s="1"/>
      <c r="BG292" s="1"/>
      <c r="BH292" s="1"/>
      <c r="BJ292" s="1"/>
      <c r="BL292" s="1"/>
      <c r="BN292" s="1"/>
      <c r="BO292">
        <v>599</v>
      </c>
      <c r="BP292">
        <v>4654734.66</v>
      </c>
      <c r="BQ292">
        <v>4654734.66</v>
      </c>
    </row>
    <row r="293" spans="1:69" x14ac:dyDescent="0.35">
      <c r="A293" s="1" t="s">
        <v>68</v>
      </c>
      <c r="B293" s="1" t="s">
        <v>69</v>
      </c>
      <c r="C293" s="1" t="s">
        <v>70</v>
      </c>
      <c r="D293">
        <v>1</v>
      </c>
      <c r="E293">
        <v>1</v>
      </c>
      <c r="F293" s="2">
        <v>43585.43</v>
      </c>
      <c r="G293" s="3">
        <v>41275</v>
      </c>
      <c r="H293" s="3">
        <v>41639</v>
      </c>
      <c r="I293" s="1" t="s">
        <v>71</v>
      </c>
      <c r="J293">
        <v>4521</v>
      </c>
      <c r="K293">
        <v>0</v>
      </c>
      <c r="L293" s="1" t="s">
        <v>384</v>
      </c>
      <c r="M293" s="1" t="s">
        <v>72</v>
      </c>
      <c r="N293" s="1" t="s">
        <v>134</v>
      </c>
      <c r="O293" s="1" t="s">
        <v>385</v>
      </c>
      <c r="P293" s="1" t="s">
        <v>386</v>
      </c>
      <c r="Q293" s="1" t="s">
        <v>387</v>
      </c>
      <c r="R293">
        <v>103</v>
      </c>
      <c r="S293" s="1" t="s">
        <v>135</v>
      </c>
      <c r="T293" s="1" t="s">
        <v>388</v>
      </c>
      <c r="U293" s="1" t="s">
        <v>135</v>
      </c>
      <c r="V293" s="1"/>
      <c r="W293" s="1"/>
      <c r="X293" s="1"/>
      <c r="Y293" s="1"/>
      <c r="AA293" s="1"/>
      <c r="AC293" s="1"/>
      <c r="AD293" s="1"/>
      <c r="AE293" s="1"/>
      <c r="AN293" s="1" t="s">
        <v>74</v>
      </c>
      <c r="AO293">
        <v>174</v>
      </c>
      <c r="AP293" s="1" t="s">
        <v>909</v>
      </c>
      <c r="AQ293" s="1" t="s">
        <v>1053</v>
      </c>
      <c r="AR293" s="1" t="s">
        <v>1176</v>
      </c>
      <c r="AS293" s="1" t="s">
        <v>1213</v>
      </c>
      <c r="AT293" s="3">
        <v>41507</v>
      </c>
      <c r="AU293" s="3">
        <v>41507</v>
      </c>
      <c r="AV293" s="3">
        <v>41517</v>
      </c>
      <c r="AW293" s="1" t="s">
        <v>1221</v>
      </c>
      <c r="AX293" s="1" t="s">
        <v>1255</v>
      </c>
      <c r="AY293">
        <v>6500</v>
      </c>
      <c r="AZ293">
        <v>253</v>
      </c>
      <c r="BA293">
        <v>4654734.66</v>
      </c>
      <c r="BB293" s="1"/>
      <c r="BD293" s="1"/>
      <c r="BE293" s="1"/>
      <c r="BG293" s="1"/>
      <c r="BH293" s="1"/>
      <c r="BJ293" s="1"/>
      <c r="BL293" s="1"/>
      <c r="BN293" s="1"/>
      <c r="BO293">
        <v>599</v>
      </c>
      <c r="BP293">
        <v>4654734.66</v>
      </c>
      <c r="BQ293">
        <v>4654734.66</v>
      </c>
    </row>
    <row r="294" spans="1:69" x14ac:dyDescent="0.35">
      <c r="A294" s="1" t="s">
        <v>68</v>
      </c>
      <c r="B294" s="1" t="s">
        <v>69</v>
      </c>
      <c r="C294" s="1" t="s">
        <v>70</v>
      </c>
      <c r="D294">
        <v>1</v>
      </c>
      <c r="E294">
        <v>1</v>
      </c>
      <c r="F294" s="2">
        <v>43585.43</v>
      </c>
      <c r="G294" s="3">
        <v>41275</v>
      </c>
      <c r="H294" s="3">
        <v>41639</v>
      </c>
      <c r="I294" s="1" t="s">
        <v>71</v>
      </c>
      <c r="J294">
        <v>4521</v>
      </c>
      <c r="K294">
        <v>0</v>
      </c>
      <c r="L294" s="1" t="s">
        <v>384</v>
      </c>
      <c r="M294" s="1" t="s">
        <v>72</v>
      </c>
      <c r="N294" s="1" t="s">
        <v>134</v>
      </c>
      <c r="O294" s="1" t="s">
        <v>385</v>
      </c>
      <c r="P294" s="1" t="s">
        <v>386</v>
      </c>
      <c r="Q294" s="1" t="s">
        <v>387</v>
      </c>
      <c r="R294">
        <v>103</v>
      </c>
      <c r="S294" s="1" t="s">
        <v>135</v>
      </c>
      <c r="T294" s="1" t="s">
        <v>388</v>
      </c>
      <c r="U294" s="1" t="s">
        <v>135</v>
      </c>
      <c r="V294" s="1"/>
      <c r="W294" s="1"/>
      <c r="X294" s="1"/>
      <c r="Y294" s="1"/>
      <c r="AA294" s="1"/>
      <c r="AC294" s="1"/>
      <c r="AD294" s="1"/>
      <c r="AE294" s="1"/>
      <c r="AN294" s="1" t="s">
        <v>74</v>
      </c>
      <c r="AO294">
        <v>175</v>
      </c>
      <c r="AP294" s="1" t="s">
        <v>910</v>
      </c>
      <c r="AQ294" s="1" t="s">
        <v>1054</v>
      </c>
      <c r="AR294" s="1" t="s">
        <v>1177</v>
      </c>
      <c r="AS294" s="1" t="s">
        <v>96</v>
      </c>
      <c r="AT294" s="3">
        <v>41507</v>
      </c>
      <c r="AU294" s="3">
        <v>41507</v>
      </c>
      <c r="AV294" s="3">
        <v>41517</v>
      </c>
      <c r="AW294" s="1" t="s">
        <v>1221</v>
      </c>
      <c r="AX294" s="1" t="s">
        <v>1251</v>
      </c>
      <c r="AY294">
        <v>15000</v>
      </c>
      <c r="AZ294">
        <v>253</v>
      </c>
      <c r="BA294">
        <v>4654734.66</v>
      </c>
      <c r="BB294" s="1"/>
      <c r="BD294" s="1"/>
      <c r="BE294" s="1"/>
      <c r="BG294" s="1"/>
      <c r="BH294" s="1"/>
      <c r="BJ294" s="1"/>
      <c r="BL294" s="1"/>
      <c r="BN294" s="1"/>
      <c r="BO294">
        <v>599</v>
      </c>
      <c r="BP294">
        <v>4654734.66</v>
      </c>
      <c r="BQ294">
        <v>4654734.66</v>
      </c>
    </row>
    <row r="295" spans="1:69" x14ac:dyDescent="0.35">
      <c r="A295" s="1" t="s">
        <v>68</v>
      </c>
      <c r="B295" s="1" t="s">
        <v>69</v>
      </c>
      <c r="C295" s="1" t="s">
        <v>70</v>
      </c>
      <c r="D295">
        <v>1</v>
      </c>
      <c r="E295">
        <v>1</v>
      </c>
      <c r="F295" s="2">
        <v>43585.43</v>
      </c>
      <c r="G295" s="3">
        <v>41275</v>
      </c>
      <c r="H295" s="3">
        <v>41639</v>
      </c>
      <c r="I295" s="1" t="s">
        <v>71</v>
      </c>
      <c r="J295">
        <v>4521</v>
      </c>
      <c r="K295">
        <v>0</v>
      </c>
      <c r="L295" s="1" t="s">
        <v>384</v>
      </c>
      <c r="M295" s="1" t="s">
        <v>72</v>
      </c>
      <c r="N295" s="1" t="s">
        <v>134</v>
      </c>
      <c r="O295" s="1" t="s">
        <v>385</v>
      </c>
      <c r="P295" s="1" t="s">
        <v>386</v>
      </c>
      <c r="Q295" s="1" t="s">
        <v>387</v>
      </c>
      <c r="R295">
        <v>103</v>
      </c>
      <c r="S295" s="1" t="s">
        <v>135</v>
      </c>
      <c r="T295" s="1" t="s">
        <v>388</v>
      </c>
      <c r="U295" s="1" t="s">
        <v>135</v>
      </c>
      <c r="V295" s="1"/>
      <c r="W295" s="1"/>
      <c r="X295" s="1"/>
      <c r="Y295" s="1"/>
      <c r="AA295" s="1"/>
      <c r="AC295" s="1"/>
      <c r="AD295" s="1"/>
      <c r="AE295" s="1"/>
      <c r="AN295" s="1" t="s">
        <v>74</v>
      </c>
      <c r="AO295">
        <v>176</v>
      </c>
      <c r="AP295" s="1" t="s">
        <v>911</v>
      </c>
      <c r="AQ295" s="1" t="s">
        <v>1054</v>
      </c>
      <c r="AR295" s="1" t="s">
        <v>1177</v>
      </c>
      <c r="AS295" s="1" t="s">
        <v>96</v>
      </c>
      <c r="AT295" s="3">
        <v>41507</v>
      </c>
      <c r="AU295" s="3">
        <v>41507</v>
      </c>
      <c r="AV295" s="3">
        <v>41517</v>
      </c>
      <c r="AW295" s="1" t="s">
        <v>1221</v>
      </c>
      <c r="AX295" s="1" t="s">
        <v>1253</v>
      </c>
      <c r="AY295">
        <v>100000</v>
      </c>
      <c r="AZ295">
        <v>253</v>
      </c>
      <c r="BA295">
        <v>4654734.66</v>
      </c>
      <c r="BB295" s="1"/>
      <c r="BD295" s="1"/>
      <c r="BE295" s="1"/>
      <c r="BG295" s="1"/>
      <c r="BH295" s="1"/>
      <c r="BJ295" s="1"/>
      <c r="BL295" s="1"/>
      <c r="BN295" s="1"/>
      <c r="BO295">
        <v>599</v>
      </c>
      <c r="BP295">
        <v>4654734.66</v>
      </c>
      <c r="BQ295">
        <v>4654734.66</v>
      </c>
    </row>
    <row r="296" spans="1:69" x14ac:dyDescent="0.35">
      <c r="A296" s="1" t="s">
        <v>68</v>
      </c>
      <c r="B296" s="1" t="s">
        <v>69</v>
      </c>
      <c r="C296" s="1" t="s">
        <v>70</v>
      </c>
      <c r="D296">
        <v>1</v>
      </c>
      <c r="E296">
        <v>1</v>
      </c>
      <c r="F296" s="2">
        <v>43585.43</v>
      </c>
      <c r="G296" s="3">
        <v>41275</v>
      </c>
      <c r="H296" s="3">
        <v>41639</v>
      </c>
      <c r="I296" s="1" t="s">
        <v>71</v>
      </c>
      <c r="J296">
        <v>4521</v>
      </c>
      <c r="K296">
        <v>0</v>
      </c>
      <c r="L296" s="1" t="s">
        <v>384</v>
      </c>
      <c r="M296" s="1" t="s">
        <v>72</v>
      </c>
      <c r="N296" s="1" t="s">
        <v>134</v>
      </c>
      <c r="O296" s="1" t="s">
        <v>385</v>
      </c>
      <c r="P296" s="1" t="s">
        <v>386</v>
      </c>
      <c r="Q296" s="1" t="s">
        <v>387</v>
      </c>
      <c r="R296">
        <v>103</v>
      </c>
      <c r="S296" s="1" t="s">
        <v>135</v>
      </c>
      <c r="T296" s="1" t="s">
        <v>388</v>
      </c>
      <c r="U296" s="1" t="s">
        <v>135</v>
      </c>
      <c r="V296" s="1"/>
      <c r="W296" s="1"/>
      <c r="X296" s="1"/>
      <c r="Y296" s="1"/>
      <c r="AA296" s="1"/>
      <c r="AC296" s="1"/>
      <c r="AD296" s="1"/>
      <c r="AE296" s="1"/>
      <c r="AN296" s="1" t="s">
        <v>74</v>
      </c>
      <c r="AO296">
        <v>177</v>
      </c>
      <c r="AP296" s="1" t="s">
        <v>912</v>
      </c>
      <c r="AQ296" s="1" t="s">
        <v>1054</v>
      </c>
      <c r="AR296" s="1" t="s">
        <v>1177</v>
      </c>
      <c r="AS296" s="1" t="s">
        <v>96</v>
      </c>
      <c r="AT296" s="3">
        <v>41507</v>
      </c>
      <c r="AU296" s="3">
        <v>41507</v>
      </c>
      <c r="AV296" s="3">
        <v>41517</v>
      </c>
      <c r="AW296" s="1" t="s">
        <v>1221</v>
      </c>
      <c r="AX296" s="1" t="s">
        <v>1256</v>
      </c>
      <c r="AY296">
        <v>1560</v>
      </c>
      <c r="AZ296">
        <v>253</v>
      </c>
      <c r="BA296">
        <v>4654734.66</v>
      </c>
      <c r="BB296" s="1"/>
      <c r="BD296" s="1"/>
      <c r="BE296" s="1"/>
      <c r="BG296" s="1"/>
      <c r="BH296" s="1"/>
      <c r="BJ296" s="1"/>
      <c r="BL296" s="1"/>
      <c r="BN296" s="1"/>
      <c r="BO296">
        <v>599</v>
      </c>
      <c r="BP296">
        <v>4654734.66</v>
      </c>
      <c r="BQ296">
        <v>4654734.66</v>
      </c>
    </row>
    <row r="297" spans="1:69" x14ac:dyDescent="0.35">
      <c r="A297" s="1" t="s">
        <v>68</v>
      </c>
      <c r="B297" s="1" t="s">
        <v>69</v>
      </c>
      <c r="C297" s="1" t="s">
        <v>70</v>
      </c>
      <c r="D297">
        <v>1</v>
      </c>
      <c r="E297">
        <v>1</v>
      </c>
      <c r="F297" s="2">
        <v>43585.43</v>
      </c>
      <c r="G297" s="3">
        <v>41275</v>
      </c>
      <c r="H297" s="3">
        <v>41639</v>
      </c>
      <c r="I297" s="1" t="s">
        <v>71</v>
      </c>
      <c r="J297">
        <v>4521</v>
      </c>
      <c r="K297">
        <v>0</v>
      </c>
      <c r="L297" s="1" t="s">
        <v>384</v>
      </c>
      <c r="M297" s="1" t="s">
        <v>72</v>
      </c>
      <c r="N297" s="1" t="s">
        <v>134</v>
      </c>
      <c r="O297" s="1" t="s">
        <v>385</v>
      </c>
      <c r="P297" s="1" t="s">
        <v>386</v>
      </c>
      <c r="Q297" s="1" t="s">
        <v>387</v>
      </c>
      <c r="R297">
        <v>103</v>
      </c>
      <c r="S297" s="1" t="s">
        <v>135</v>
      </c>
      <c r="T297" s="1" t="s">
        <v>388</v>
      </c>
      <c r="U297" s="1" t="s">
        <v>135</v>
      </c>
      <c r="V297" s="1"/>
      <c r="W297" s="1"/>
      <c r="X297" s="1"/>
      <c r="Y297" s="1"/>
      <c r="AA297" s="1"/>
      <c r="AC297" s="1"/>
      <c r="AD297" s="1"/>
      <c r="AE297" s="1"/>
      <c r="AN297" s="1" t="s">
        <v>74</v>
      </c>
      <c r="AO297">
        <v>178</v>
      </c>
      <c r="AP297" s="1" t="s">
        <v>913</v>
      </c>
      <c r="AQ297" s="1" t="s">
        <v>1054</v>
      </c>
      <c r="AR297" s="1" t="s">
        <v>1177</v>
      </c>
      <c r="AS297" s="1" t="s">
        <v>96</v>
      </c>
      <c r="AT297" s="3">
        <v>41507</v>
      </c>
      <c r="AU297" s="3">
        <v>41507</v>
      </c>
      <c r="AV297" s="3">
        <v>41517</v>
      </c>
      <c r="AW297" s="1" t="s">
        <v>1221</v>
      </c>
      <c r="AX297" s="1" t="s">
        <v>1256</v>
      </c>
      <c r="AY297">
        <v>5600</v>
      </c>
      <c r="AZ297">
        <v>253</v>
      </c>
      <c r="BA297">
        <v>4654734.66</v>
      </c>
      <c r="BB297" s="1"/>
      <c r="BD297" s="1"/>
      <c r="BE297" s="1"/>
      <c r="BG297" s="1"/>
      <c r="BH297" s="1"/>
      <c r="BJ297" s="1"/>
      <c r="BL297" s="1"/>
      <c r="BN297" s="1"/>
      <c r="BO297">
        <v>599</v>
      </c>
      <c r="BP297">
        <v>4654734.66</v>
      </c>
      <c r="BQ297">
        <v>4654734.66</v>
      </c>
    </row>
    <row r="298" spans="1:69" x14ac:dyDescent="0.35">
      <c r="A298" s="1" t="s">
        <v>68</v>
      </c>
      <c r="B298" s="1" t="s">
        <v>69</v>
      </c>
      <c r="C298" s="1" t="s">
        <v>70</v>
      </c>
      <c r="D298">
        <v>1</v>
      </c>
      <c r="E298">
        <v>1</v>
      </c>
      <c r="F298" s="2">
        <v>43585.43</v>
      </c>
      <c r="G298" s="3">
        <v>41275</v>
      </c>
      <c r="H298" s="3">
        <v>41639</v>
      </c>
      <c r="I298" s="1" t="s">
        <v>71</v>
      </c>
      <c r="J298">
        <v>4521</v>
      </c>
      <c r="K298">
        <v>0</v>
      </c>
      <c r="L298" s="1" t="s">
        <v>384</v>
      </c>
      <c r="M298" s="1" t="s">
        <v>72</v>
      </c>
      <c r="N298" s="1" t="s">
        <v>134</v>
      </c>
      <c r="O298" s="1" t="s">
        <v>385</v>
      </c>
      <c r="P298" s="1" t="s">
        <v>386</v>
      </c>
      <c r="Q298" s="1" t="s">
        <v>387</v>
      </c>
      <c r="R298">
        <v>103</v>
      </c>
      <c r="S298" s="1" t="s">
        <v>135</v>
      </c>
      <c r="T298" s="1" t="s">
        <v>388</v>
      </c>
      <c r="U298" s="1" t="s">
        <v>135</v>
      </c>
      <c r="V298" s="1"/>
      <c r="W298" s="1"/>
      <c r="X298" s="1"/>
      <c r="Y298" s="1"/>
      <c r="AA298" s="1"/>
      <c r="AC298" s="1"/>
      <c r="AD298" s="1"/>
      <c r="AE298" s="1"/>
      <c r="AN298" s="1" t="s">
        <v>74</v>
      </c>
      <c r="AO298">
        <v>179</v>
      </c>
      <c r="AP298" s="1" t="s">
        <v>914</v>
      </c>
      <c r="AQ298" s="1" t="s">
        <v>1054</v>
      </c>
      <c r="AR298" s="1" t="s">
        <v>1177</v>
      </c>
      <c r="AS298" s="1" t="s">
        <v>96</v>
      </c>
      <c r="AT298" s="3">
        <v>41507</v>
      </c>
      <c r="AU298" s="3">
        <v>41507</v>
      </c>
      <c r="AV298" s="3">
        <v>41517</v>
      </c>
      <c r="AW298" s="1" t="s">
        <v>1221</v>
      </c>
      <c r="AX298" s="1" t="s">
        <v>1256</v>
      </c>
      <c r="AY298">
        <v>6289.8</v>
      </c>
      <c r="AZ298">
        <v>253</v>
      </c>
      <c r="BA298">
        <v>4654734.66</v>
      </c>
      <c r="BB298" s="1"/>
      <c r="BD298" s="1"/>
      <c r="BE298" s="1"/>
      <c r="BG298" s="1"/>
      <c r="BH298" s="1"/>
      <c r="BJ298" s="1"/>
      <c r="BL298" s="1"/>
      <c r="BN298" s="1"/>
      <c r="BO298">
        <v>599</v>
      </c>
      <c r="BP298">
        <v>4654734.66</v>
      </c>
      <c r="BQ298">
        <v>4654734.66</v>
      </c>
    </row>
    <row r="299" spans="1:69" x14ac:dyDescent="0.35">
      <c r="A299" s="1" t="s">
        <v>68</v>
      </c>
      <c r="B299" s="1" t="s">
        <v>69</v>
      </c>
      <c r="C299" s="1" t="s">
        <v>70</v>
      </c>
      <c r="D299">
        <v>1</v>
      </c>
      <c r="E299">
        <v>1</v>
      </c>
      <c r="F299" s="2">
        <v>43585.43</v>
      </c>
      <c r="G299" s="3">
        <v>41275</v>
      </c>
      <c r="H299" s="3">
        <v>41639</v>
      </c>
      <c r="I299" s="1" t="s">
        <v>71</v>
      </c>
      <c r="J299">
        <v>4521</v>
      </c>
      <c r="K299">
        <v>0</v>
      </c>
      <c r="L299" s="1" t="s">
        <v>384</v>
      </c>
      <c r="M299" s="1" t="s">
        <v>72</v>
      </c>
      <c r="N299" s="1" t="s">
        <v>134</v>
      </c>
      <c r="O299" s="1" t="s">
        <v>385</v>
      </c>
      <c r="P299" s="1" t="s">
        <v>386</v>
      </c>
      <c r="Q299" s="1" t="s">
        <v>387</v>
      </c>
      <c r="R299">
        <v>103</v>
      </c>
      <c r="S299" s="1" t="s">
        <v>135</v>
      </c>
      <c r="T299" s="1" t="s">
        <v>388</v>
      </c>
      <c r="U299" s="1" t="s">
        <v>135</v>
      </c>
      <c r="V299" s="1"/>
      <c r="W299" s="1"/>
      <c r="X299" s="1"/>
      <c r="Y299" s="1"/>
      <c r="AA299" s="1"/>
      <c r="AC299" s="1"/>
      <c r="AD299" s="1"/>
      <c r="AE299" s="1"/>
      <c r="AN299" s="1" t="s">
        <v>74</v>
      </c>
      <c r="AO299">
        <v>180</v>
      </c>
      <c r="AP299" s="1" t="s">
        <v>915</v>
      </c>
      <c r="AQ299" s="1" t="s">
        <v>1055</v>
      </c>
      <c r="AR299" s="1" t="s">
        <v>1178</v>
      </c>
      <c r="AS299" s="1" t="s">
        <v>85</v>
      </c>
      <c r="AT299" s="3">
        <v>41507</v>
      </c>
      <c r="AU299" s="3">
        <v>41507</v>
      </c>
      <c r="AV299" s="3">
        <v>41517</v>
      </c>
      <c r="AW299" s="1" t="s">
        <v>1221</v>
      </c>
      <c r="AX299" s="1" t="s">
        <v>1055</v>
      </c>
      <c r="AY299">
        <v>271.8</v>
      </c>
      <c r="AZ299">
        <v>253</v>
      </c>
      <c r="BA299">
        <v>4654734.66</v>
      </c>
      <c r="BB299" s="1"/>
      <c r="BD299" s="1"/>
      <c r="BE299" s="1"/>
      <c r="BG299" s="1"/>
      <c r="BH299" s="1"/>
      <c r="BJ299" s="1"/>
      <c r="BL299" s="1"/>
      <c r="BN299" s="1"/>
      <c r="BO299">
        <v>599</v>
      </c>
      <c r="BP299">
        <v>4654734.66</v>
      </c>
      <c r="BQ299">
        <v>4654734.66</v>
      </c>
    </row>
    <row r="300" spans="1:69" x14ac:dyDescent="0.35">
      <c r="A300" s="1" t="s">
        <v>68</v>
      </c>
      <c r="B300" s="1" t="s">
        <v>69</v>
      </c>
      <c r="C300" s="1" t="s">
        <v>70</v>
      </c>
      <c r="D300">
        <v>1</v>
      </c>
      <c r="E300">
        <v>1</v>
      </c>
      <c r="F300" s="2">
        <v>43585.43</v>
      </c>
      <c r="G300" s="3">
        <v>41275</v>
      </c>
      <c r="H300" s="3">
        <v>41639</v>
      </c>
      <c r="I300" s="1" t="s">
        <v>71</v>
      </c>
      <c r="J300">
        <v>4521</v>
      </c>
      <c r="K300">
        <v>0</v>
      </c>
      <c r="L300" s="1" t="s">
        <v>384</v>
      </c>
      <c r="M300" s="1" t="s">
        <v>72</v>
      </c>
      <c r="N300" s="1" t="s">
        <v>134</v>
      </c>
      <c r="O300" s="1" t="s">
        <v>385</v>
      </c>
      <c r="P300" s="1" t="s">
        <v>386</v>
      </c>
      <c r="Q300" s="1" t="s">
        <v>387</v>
      </c>
      <c r="R300">
        <v>103</v>
      </c>
      <c r="S300" s="1" t="s">
        <v>135</v>
      </c>
      <c r="T300" s="1" t="s">
        <v>388</v>
      </c>
      <c r="U300" s="1" t="s">
        <v>135</v>
      </c>
      <c r="V300" s="1"/>
      <c r="W300" s="1"/>
      <c r="X300" s="1"/>
      <c r="Y300" s="1"/>
      <c r="AA300" s="1"/>
      <c r="AC300" s="1"/>
      <c r="AD300" s="1"/>
      <c r="AE300" s="1"/>
      <c r="AN300" s="1" t="s">
        <v>74</v>
      </c>
      <c r="AO300">
        <v>181</v>
      </c>
      <c r="AP300" s="1" t="s">
        <v>916</v>
      </c>
      <c r="AQ300" s="1" t="s">
        <v>1056</v>
      </c>
      <c r="AR300" s="1" t="s">
        <v>1179</v>
      </c>
      <c r="AS300" s="1" t="s">
        <v>95</v>
      </c>
      <c r="AT300" s="3">
        <v>41517</v>
      </c>
      <c r="AU300" s="3">
        <v>41517</v>
      </c>
      <c r="AV300" s="3">
        <v>41517</v>
      </c>
      <c r="AW300" s="1" t="s">
        <v>1221</v>
      </c>
      <c r="AX300" s="1" t="s">
        <v>1056</v>
      </c>
      <c r="AY300">
        <v>1747.98</v>
      </c>
      <c r="AZ300">
        <v>253</v>
      </c>
      <c r="BA300">
        <v>4654734.66</v>
      </c>
      <c r="BB300" s="1"/>
      <c r="BD300" s="1"/>
      <c r="BE300" s="1"/>
      <c r="BG300" s="1"/>
      <c r="BH300" s="1"/>
      <c r="BJ300" s="1"/>
      <c r="BL300" s="1"/>
      <c r="BN300" s="1"/>
      <c r="BO300">
        <v>599</v>
      </c>
      <c r="BP300">
        <v>4654734.66</v>
      </c>
      <c r="BQ300">
        <v>4654734.66</v>
      </c>
    </row>
    <row r="301" spans="1:69" x14ac:dyDescent="0.35">
      <c r="A301" s="1" t="s">
        <v>68</v>
      </c>
      <c r="B301" s="1" t="s">
        <v>69</v>
      </c>
      <c r="C301" s="1" t="s">
        <v>70</v>
      </c>
      <c r="D301">
        <v>1</v>
      </c>
      <c r="E301">
        <v>1</v>
      </c>
      <c r="F301" s="2">
        <v>43585.43</v>
      </c>
      <c r="G301" s="3">
        <v>41275</v>
      </c>
      <c r="H301" s="3">
        <v>41639</v>
      </c>
      <c r="I301" s="1" t="s">
        <v>71</v>
      </c>
      <c r="J301">
        <v>4521</v>
      </c>
      <c r="K301">
        <v>0</v>
      </c>
      <c r="L301" s="1" t="s">
        <v>384</v>
      </c>
      <c r="M301" s="1" t="s">
        <v>72</v>
      </c>
      <c r="N301" s="1" t="s">
        <v>134</v>
      </c>
      <c r="O301" s="1" t="s">
        <v>385</v>
      </c>
      <c r="P301" s="1" t="s">
        <v>386</v>
      </c>
      <c r="Q301" s="1" t="s">
        <v>387</v>
      </c>
      <c r="R301">
        <v>103</v>
      </c>
      <c r="S301" s="1" t="s">
        <v>135</v>
      </c>
      <c r="T301" s="1" t="s">
        <v>388</v>
      </c>
      <c r="U301" s="1" t="s">
        <v>135</v>
      </c>
      <c r="V301" s="1"/>
      <c r="W301" s="1"/>
      <c r="X301" s="1"/>
      <c r="Y301" s="1"/>
      <c r="AA301" s="1"/>
      <c r="AC301" s="1"/>
      <c r="AD301" s="1"/>
      <c r="AE301" s="1"/>
      <c r="AN301" s="1" t="s">
        <v>74</v>
      </c>
      <c r="AO301">
        <v>182</v>
      </c>
      <c r="AP301" s="1" t="s">
        <v>917</v>
      </c>
      <c r="AQ301" s="1" t="s">
        <v>1056</v>
      </c>
      <c r="AR301" s="1" t="s">
        <v>1179</v>
      </c>
      <c r="AS301" s="1" t="s">
        <v>95</v>
      </c>
      <c r="AT301" s="3">
        <v>41517</v>
      </c>
      <c r="AU301" s="3">
        <v>41517</v>
      </c>
      <c r="AV301" s="3">
        <v>41517</v>
      </c>
      <c r="AW301" s="1" t="s">
        <v>1221</v>
      </c>
      <c r="AX301" s="1" t="s">
        <v>1056</v>
      </c>
      <c r="AY301">
        <v>584</v>
      </c>
      <c r="AZ301">
        <v>253</v>
      </c>
      <c r="BA301">
        <v>4654734.66</v>
      </c>
      <c r="BB301" s="1"/>
      <c r="BD301" s="1"/>
      <c r="BE301" s="1"/>
      <c r="BG301" s="1"/>
      <c r="BH301" s="1"/>
      <c r="BJ301" s="1"/>
      <c r="BL301" s="1"/>
      <c r="BN301" s="1"/>
      <c r="BO301">
        <v>599</v>
      </c>
      <c r="BP301">
        <v>4654734.66</v>
      </c>
      <c r="BQ301">
        <v>4654734.66</v>
      </c>
    </row>
    <row r="302" spans="1:69" x14ac:dyDescent="0.35">
      <c r="A302" s="1" t="s">
        <v>68</v>
      </c>
      <c r="B302" s="1" t="s">
        <v>69</v>
      </c>
      <c r="C302" s="1" t="s">
        <v>70</v>
      </c>
      <c r="D302">
        <v>1</v>
      </c>
      <c r="E302">
        <v>1</v>
      </c>
      <c r="F302" s="2">
        <v>43585.43</v>
      </c>
      <c r="G302" s="3">
        <v>41275</v>
      </c>
      <c r="H302" s="3">
        <v>41639</v>
      </c>
      <c r="I302" s="1" t="s">
        <v>71</v>
      </c>
      <c r="J302">
        <v>4521</v>
      </c>
      <c r="K302">
        <v>0</v>
      </c>
      <c r="L302" s="1" t="s">
        <v>384</v>
      </c>
      <c r="M302" s="1" t="s">
        <v>72</v>
      </c>
      <c r="N302" s="1" t="s">
        <v>134</v>
      </c>
      <c r="O302" s="1" t="s">
        <v>385</v>
      </c>
      <c r="P302" s="1" t="s">
        <v>386</v>
      </c>
      <c r="Q302" s="1" t="s">
        <v>387</v>
      </c>
      <c r="R302">
        <v>103</v>
      </c>
      <c r="S302" s="1" t="s">
        <v>135</v>
      </c>
      <c r="T302" s="1" t="s">
        <v>388</v>
      </c>
      <c r="U302" s="1" t="s">
        <v>135</v>
      </c>
      <c r="V302" s="1"/>
      <c r="W302" s="1"/>
      <c r="X302" s="1"/>
      <c r="Y302" s="1"/>
      <c r="AA302" s="1"/>
      <c r="AC302" s="1"/>
      <c r="AD302" s="1"/>
      <c r="AE302" s="1"/>
      <c r="AN302" s="1" t="s">
        <v>74</v>
      </c>
      <c r="AO302">
        <v>183</v>
      </c>
      <c r="AP302" s="1" t="s">
        <v>918</v>
      </c>
      <c r="AQ302" s="1" t="s">
        <v>1056</v>
      </c>
      <c r="AR302" s="1" t="s">
        <v>1179</v>
      </c>
      <c r="AS302" s="1" t="s">
        <v>95</v>
      </c>
      <c r="AT302" s="3">
        <v>41517</v>
      </c>
      <c r="AU302" s="3">
        <v>41517</v>
      </c>
      <c r="AV302" s="3">
        <v>41517</v>
      </c>
      <c r="AW302" s="1" t="s">
        <v>1221</v>
      </c>
      <c r="AX302" s="1" t="s">
        <v>1056</v>
      </c>
      <c r="AY302">
        <v>1932.5</v>
      </c>
      <c r="AZ302">
        <v>253</v>
      </c>
      <c r="BA302">
        <v>4654734.66</v>
      </c>
      <c r="BB302" s="1"/>
      <c r="BD302" s="1"/>
      <c r="BE302" s="1"/>
      <c r="BG302" s="1"/>
      <c r="BH302" s="1"/>
      <c r="BJ302" s="1"/>
      <c r="BL302" s="1"/>
      <c r="BN302" s="1"/>
      <c r="BO302">
        <v>599</v>
      </c>
      <c r="BP302">
        <v>4654734.66</v>
      </c>
      <c r="BQ302">
        <v>4654734.66</v>
      </c>
    </row>
    <row r="303" spans="1:69" x14ac:dyDescent="0.35">
      <c r="A303" s="1" t="s">
        <v>68</v>
      </c>
      <c r="B303" s="1" t="s">
        <v>69</v>
      </c>
      <c r="C303" s="1" t="s">
        <v>70</v>
      </c>
      <c r="D303">
        <v>1</v>
      </c>
      <c r="E303">
        <v>1</v>
      </c>
      <c r="F303" s="2">
        <v>43585.43</v>
      </c>
      <c r="G303" s="3">
        <v>41275</v>
      </c>
      <c r="H303" s="3">
        <v>41639</v>
      </c>
      <c r="I303" s="1" t="s">
        <v>71</v>
      </c>
      <c r="J303">
        <v>4521</v>
      </c>
      <c r="K303">
        <v>0</v>
      </c>
      <c r="L303" s="1" t="s">
        <v>384</v>
      </c>
      <c r="M303" s="1" t="s">
        <v>72</v>
      </c>
      <c r="N303" s="1" t="s">
        <v>134</v>
      </c>
      <c r="O303" s="1" t="s">
        <v>385</v>
      </c>
      <c r="P303" s="1" t="s">
        <v>386</v>
      </c>
      <c r="Q303" s="1" t="s">
        <v>387</v>
      </c>
      <c r="R303">
        <v>103</v>
      </c>
      <c r="S303" s="1" t="s">
        <v>135</v>
      </c>
      <c r="T303" s="1" t="s">
        <v>388</v>
      </c>
      <c r="U303" s="1" t="s">
        <v>135</v>
      </c>
      <c r="V303" s="1"/>
      <c r="W303" s="1"/>
      <c r="X303" s="1"/>
      <c r="Y303" s="1"/>
      <c r="AA303" s="1"/>
      <c r="AC303" s="1"/>
      <c r="AD303" s="1"/>
      <c r="AE303" s="1"/>
      <c r="AN303" s="1" t="s">
        <v>74</v>
      </c>
      <c r="AO303">
        <v>184</v>
      </c>
      <c r="AP303" s="1" t="s">
        <v>919</v>
      </c>
      <c r="AQ303" s="1" t="s">
        <v>1056</v>
      </c>
      <c r="AR303" s="1" t="s">
        <v>1179</v>
      </c>
      <c r="AS303" s="1" t="s">
        <v>95</v>
      </c>
      <c r="AT303" s="3">
        <v>41517</v>
      </c>
      <c r="AU303" s="3">
        <v>41517</v>
      </c>
      <c r="AV303" s="3">
        <v>41517</v>
      </c>
      <c r="AW303" s="1" t="s">
        <v>1221</v>
      </c>
      <c r="AX303" s="1" t="s">
        <v>1056</v>
      </c>
      <c r="AY303">
        <v>4264.4799999999996</v>
      </c>
      <c r="AZ303">
        <v>253</v>
      </c>
      <c r="BA303">
        <v>4654734.66</v>
      </c>
      <c r="BB303" s="1"/>
      <c r="BD303" s="1"/>
      <c r="BE303" s="1"/>
      <c r="BG303" s="1"/>
      <c r="BH303" s="1"/>
      <c r="BJ303" s="1"/>
      <c r="BL303" s="1"/>
      <c r="BN303" s="1"/>
      <c r="BO303">
        <v>599</v>
      </c>
      <c r="BP303">
        <v>4654734.66</v>
      </c>
      <c r="BQ303">
        <v>4654734.66</v>
      </c>
    </row>
    <row r="304" spans="1:69" x14ac:dyDescent="0.35">
      <c r="A304" s="1" t="s">
        <v>68</v>
      </c>
      <c r="B304" s="1" t="s">
        <v>69</v>
      </c>
      <c r="C304" s="1" t="s">
        <v>70</v>
      </c>
      <c r="D304">
        <v>1</v>
      </c>
      <c r="E304">
        <v>1</v>
      </c>
      <c r="F304" s="2">
        <v>43585.43</v>
      </c>
      <c r="G304" s="3">
        <v>41275</v>
      </c>
      <c r="H304" s="3">
        <v>41639</v>
      </c>
      <c r="I304" s="1" t="s">
        <v>71</v>
      </c>
      <c r="J304">
        <v>4521</v>
      </c>
      <c r="K304">
        <v>0</v>
      </c>
      <c r="L304" s="1" t="s">
        <v>384</v>
      </c>
      <c r="M304" s="1" t="s">
        <v>72</v>
      </c>
      <c r="N304" s="1" t="s">
        <v>134</v>
      </c>
      <c r="O304" s="1" t="s">
        <v>385</v>
      </c>
      <c r="P304" s="1" t="s">
        <v>386</v>
      </c>
      <c r="Q304" s="1" t="s">
        <v>387</v>
      </c>
      <c r="R304">
        <v>103</v>
      </c>
      <c r="S304" s="1" t="s">
        <v>135</v>
      </c>
      <c r="T304" s="1" t="s">
        <v>388</v>
      </c>
      <c r="U304" s="1" t="s">
        <v>135</v>
      </c>
      <c r="V304" s="1"/>
      <c r="W304" s="1"/>
      <c r="X304" s="1"/>
      <c r="Y304" s="1"/>
      <c r="AA304" s="1"/>
      <c r="AC304" s="1"/>
      <c r="AD304" s="1"/>
      <c r="AE304" s="1"/>
      <c r="AN304" s="1" t="s">
        <v>74</v>
      </c>
      <c r="AO304">
        <v>185</v>
      </c>
      <c r="AP304" s="1" t="s">
        <v>920</v>
      </c>
      <c r="AQ304" s="1" t="s">
        <v>1056</v>
      </c>
      <c r="AR304" s="1" t="s">
        <v>1179</v>
      </c>
      <c r="AS304" s="1" t="s">
        <v>95</v>
      </c>
      <c r="AT304" s="3">
        <v>41517</v>
      </c>
      <c r="AU304" s="3">
        <v>41517</v>
      </c>
      <c r="AV304" s="3">
        <v>41517</v>
      </c>
      <c r="AW304" s="1" t="s">
        <v>1221</v>
      </c>
      <c r="AX304" s="1" t="s">
        <v>1056</v>
      </c>
      <c r="AY304">
        <v>884</v>
      </c>
      <c r="AZ304">
        <v>253</v>
      </c>
      <c r="BA304">
        <v>4654734.66</v>
      </c>
      <c r="BB304" s="1"/>
      <c r="BD304" s="1"/>
      <c r="BE304" s="1"/>
      <c r="BG304" s="1"/>
      <c r="BH304" s="1"/>
      <c r="BJ304" s="1"/>
      <c r="BL304" s="1"/>
      <c r="BN304" s="1"/>
      <c r="BO304">
        <v>599</v>
      </c>
      <c r="BP304">
        <v>4654734.66</v>
      </c>
      <c r="BQ304">
        <v>4654734.66</v>
      </c>
    </row>
    <row r="305" spans="1:69" x14ac:dyDescent="0.35">
      <c r="A305" s="1" t="s">
        <v>68</v>
      </c>
      <c r="B305" s="1" t="s">
        <v>69</v>
      </c>
      <c r="C305" s="1" t="s">
        <v>70</v>
      </c>
      <c r="D305">
        <v>1</v>
      </c>
      <c r="E305">
        <v>1</v>
      </c>
      <c r="F305" s="2">
        <v>43585.43</v>
      </c>
      <c r="G305" s="3">
        <v>41275</v>
      </c>
      <c r="H305" s="3">
        <v>41639</v>
      </c>
      <c r="I305" s="1" t="s">
        <v>71</v>
      </c>
      <c r="J305">
        <v>4521</v>
      </c>
      <c r="K305">
        <v>0</v>
      </c>
      <c r="L305" s="1" t="s">
        <v>384</v>
      </c>
      <c r="M305" s="1" t="s">
        <v>72</v>
      </c>
      <c r="N305" s="1" t="s">
        <v>134</v>
      </c>
      <c r="O305" s="1" t="s">
        <v>385</v>
      </c>
      <c r="P305" s="1" t="s">
        <v>386</v>
      </c>
      <c r="Q305" s="1" t="s">
        <v>387</v>
      </c>
      <c r="R305">
        <v>103</v>
      </c>
      <c r="S305" s="1" t="s">
        <v>135</v>
      </c>
      <c r="T305" s="1" t="s">
        <v>388</v>
      </c>
      <c r="U305" s="1" t="s">
        <v>135</v>
      </c>
      <c r="V305" s="1"/>
      <c r="W305" s="1"/>
      <c r="X305" s="1"/>
      <c r="Y305" s="1"/>
      <c r="AA305" s="1"/>
      <c r="AC305" s="1"/>
      <c r="AD305" s="1"/>
      <c r="AE305" s="1"/>
      <c r="AN305" s="1" t="s">
        <v>74</v>
      </c>
      <c r="AO305">
        <v>186</v>
      </c>
      <c r="AP305" s="1" t="s">
        <v>921</v>
      </c>
      <c r="AQ305" s="1" t="s">
        <v>1056</v>
      </c>
      <c r="AR305" s="1" t="s">
        <v>1179</v>
      </c>
      <c r="AS305" s="1" t="s">
        <v>95</v>
      </c>
      <c r="AT305" s="3">
        <v>41517</v>
      </c>
      <c r="AU305" s="3">
        <v>41517</v>
      </c>
      <c r="AV305" s="3">
        <v>41517</v>
      </c>
      <c r="AW305" s="1" t="s">
        <v>1221</v>
      </c>
      <c r="AX305" s="1" t="s">
        <v>1056</v>
      </c>
      <c r="AY305">
        <v>1232.5</v>
      </c>
      <c r="AZ305">
        <v>253</v>
      </c>
      <c r="BA305">
        <v>4654734.66</v>
      </c>
      <c r="BB305" s="1"/>
      <c r="BD305" s="1"/>
      <c r="BE305" s="1"/>
      <c r="BG305" s="1"/>
      <c r="BH305" s="1"/>
      <c r="BJ305" s="1"/>
      <c r="BL305" s="1"/>
      <c r="BN305" s="1"/>
      <c r="BO305">
        <v>599</v>
      </c>
      <c r="BP305">
        <v>4654734.66</v>
      </c>
      <c r="BQ305">
        <v>4654734.66</v>
      </c>
    </row>
    <row r="306" spans="1:69" x14ac:dyDescent="0.35">
      <c r="A306" s="1" t="s">
        <v>68</v>
      </c>
      <c r="B306" s="1" t="s">
        <v>69</v>
      </c>
      <c r="C306" s="1" t="s">
        <v>70</v>
      </c>
      <c r="D306">
        <v>1</v>
      </c>
      <c r="E306">
        <v>1</v>
      </c>
      <c r="F306" s="2">
        <v>43585.43</v>
      </c>
      <c r="G306" s="3">
        <v>41275</v>
      </c>
      <c r="H306" s="3">
        <v>41639</v>
      </c>
      <c r="I306" s="1" t="s">
        <v>71</v>
      </c>
      <c r="J306">
        <v>4521</v>
      </c>
      <c r="K306">
        <v>0</v>
      </c>
      <c r="L306" s="1" t="s">
        <v>384</v>
      </c>
      <c r="M306" s="1" t="s">
        <v>72</v>
      </c>
      <c r="N306" s="1" t="s">
        <v>134</v>
      </c>
      <c r="O306" s="1" t="s">
        <v>385</v>
      </c>
      <c r="P306" s="1" t="s">
        <v>386</v>
      </c>
      <c r="Q306" s="1" t="s">
        <v>387</v>
      </c>
      <c r="R306">
        <v>103</v>
      </c>
      <c r="S306" s="1" t="s">
        <v>135</v>
      </c>
      <c r="T306" s="1" t="s">
        <v>388</v>
      </c>
      <c r="U306" s="1" t="s">
        <v>135</v>
      </c>
      <c r="V306" s="1"/>
      <c r="W306" s="1"/>
      <c r="X306" s="1"/>
      <c r="Y306" s="1"/>
      <c r="AA306" s="1"/>
      <c r="AC306" s="1"/>
      <c r="AD306" s="1"/>
      <c r="AE306" s="1"/>
      <c r="AN306" s="1" t="s">
        <v>74</v>
      </c>
      <c r="AO306">
        <v>187</v>
      </c>
      <c r="AP306" s="1" t="s">
        <v>922</v>
      </c>
      <c r="AQ306" s="1" t="s">
        <v>1057</v>
      </c>
      <c r="AR306" s="1" t="s">
        <v>1180</v>
      </c>
      <c r="AS306" s="1" t="s">
        <v>95</v>
      </c>
      <c r="AT306" s="3">
        <v>41517</v>
      </c>
      <c r="AU306" s="3">
        <v>41517</v>
      </c>
      <c r="AV306" s="3">
        <v>41517</v>
      </c>
      <c r="AW306" s="1" t="s">
        <v>1221</v>
      </c>
      <c r="AX306" s="1" t="s">
        <v>1257</v>
      </c>
      <c r="AY306">
        <v>18450</v>
      </c>
      <c r="AZ306">
        <v>253</v>
      </c>
      <c r="BA306">
        <v>4654734.66</v>
      </c>
      <c r="BB306" s="1"/>
      <c r="BD306" s="1"/>
      <c r="BE306" s="1"/>
      <c r="BG306" s="1"/>
      <c r="BH306" s="1"/>
      <c r="BJ306" s="1"/>
      <c r="BL306" s="1"/>
      <c r="BN306" s="1"/>
      <c r="BO306">
        <v>599</v>
      </c>
      <c r="BP306">
        <v>4654734.66</v>
      </c>
      <c r="BQ306">
        <v>4654734.66</v>
      </c>
    </row>
    <row r="307" spans="1:69" x14ac:dyDescent="0.35">
      <c r="A307" s="1" t="s">
        <v>68</v>
      </c>
      <c r="B307" s="1" t="s">
        <v>69</v>
      </c>
      <c r="C307" s="1" t="s">
        <v>70</v>
      </c>
      <c r="D307">
        <v>1</v>
      </c>
      <c r="E307">
        <v>1</v>
      </c>
      <c r="F307" s="2">
        <v>43585.43</v>
      </c>
      <c r="G307" s="3">
        <v>41275</v>
      </c>
      <c r="H307" s="3">
        <v>41639</v>
      </c>
      <c r="I307" s="1" t="s">
        <v>71</v>
      </c>
      <c r="J307">
        <v>4521</v>
      </c>
      <c r="K307">
        <v>0</v>
      </c>
      <c r="L307" s="1" t="s">
        <v>384</v>
      </c>
      <c r="M307" s="1" t="s">
        <v>72</v>
      </c>
      <c r="N307" s="1" t="s">
        <v>134</v>
      </c>
      <c r="O307" s="1" t="s">
        <v>385</v>
      </c>
      <c r="P307" s="1" t="s">
        <v>386</v>
      </c>
      <c r="Q307" s="1" t="s">
        <v>387</v>
      </c>
      <c r="R307">
        <v>103</v>
      </c>
      <c r="S307" s="1" t="s">
        <v>135</v>
      </c>
      <c r="T307" s="1" t="s">
        <v>388</v>
      </c>
      <c r="U307" s="1" t="s">
        <v>135</v>
      </c>
      <c r="V307" s="1"/>
      <c r="W307" s="1"/>
      <c r="X307" s="1"/>
      <c r="Y307" s="1"/>
      <c r="AA307" s="1"/>
      <c r="AC307" s="1"/>
      <c r="AD307" s="1"/>
      <c r="AE307" s="1"/>
      <c r="AN307" s="1" t="s">
        <v>74</v>
      </c>
      <c r="AO307">
        <v>188</v>
      </c>
      <c r="AP307" s="1" t="s">
        <v>923</v>
      </c>
      <c r="AQ307" s="1" t="s">
        <v>1057</v>
      </c>
      <c r="AR307" s="1" t="s">
        <v>1180</v>
      </c>
      <c r="AS307" s="1" t="s">
        <v>95</v>
      </c>
      <c r="AT307" s="3">
        <v>41517</v>
      </c>
      <c r="AU307" s="3">
        <v>41517</v>
      </c>
      <c r="AV307" s="3">
        <v>41517</v>
      </c>
      <c r="AW307" s="1" t="s">
        <v>1221</v>
      </c>
      <c r="AX307" s="1" t="s">
        <v>1257</v>
      </c>
      <c r="AY307">
        <v>15000</v>
      </c>
      <c r="AZ307">
        <v>253</v>
      </c>
      <c r="BA307">
        <v>4654734.66</v>
      </c>
      <c r="BB307" s="1"/>
      <c r="BD307" s="1"/>
      <c r="BE307" s="1"/>
      <c r="BG307" s="1"/>
      <c r="BH307" s="1"/>
      <c r="BJ307" s="1"/>
      <c r="BL307" s="1"/>
      <c r="BN307" s="1"/>
      <c r="BO307">
        <v>599</v>
      </c>
      <c r="BP307">
        <v>4654734.66</v>
      </c>
      <c r="BQ307">
        <v>4654734.66</v>
      </c>
    </row>
    <row r="308" spans="1:69" x14ac:dyDescent="0.35">
      <c r="A308" s="1" t="s">
        <v>68</v>
      </c>
      <c r="B308" s="1" t="s">
        <v>69</v>
      </c>
      <c r="C308" s="1" t="s">
        <v>70</v>
      </c>
      <c r="D308">
        <v>1</v>
      </c>
      <c r="E308">
        <v>1</v>
      </c>
      <c r="F308" s="2">
        <v>43585.43</v>
      </c>
      <c r="G308" s="3">
        <v>41275</v>
      </c>
      <c r="H308" s="3">
        <v>41639</v>
      </c>
      <c r="I308" s="1" t="s">
        <v>71</v>
      </c>
      <c r="J308">
        <v>4521</v>
      </c>
      <c r="K308">
        <v>0</v>
      </c>
      <c r="L308" s="1" t="s">
        <v>384</v>
      </c>
      <c r="M308" s="1" t="s">
        <v>72</v>
      </c>
      <c r="N308" s="1" t="s">
        <v>134</v>
      </c>
      <c r="O308" s="1" t="s">
        <v>385</v>
      </c>
      <c r="P308" s="1" t="s">
        <v>386</v>
      </c>
      <c r="Q308" s="1" t="s">
        <v>387</v>
      </c>
      <c r="R308">
        <v>103</v>
      </c>
      <c r="S308" s="1" t="s">
        <v>135</v>
      </c>
      <c r="T308" s="1" t="s">
        <v>388</v>
      </c>
      <c r="U308" s="1" t="s">
        <v>135</v>
      </c>
      <c r="V308" s="1"/>
      <c r="W308" s="1"/>
      <c r="X308" s="1"/>
      <c r="Y308" s="1"/>
      <c r="AA308" s="1"/>
      <c r="AC308" s="1"/>
      <c r="AD308" s="1"/>
      <c r="AE308" s="1"/>
      <c r="AN308" s="1" t="s">
        <v>74</v>
      </c>
      <c r="AO308">
        <v>189</v>
      </c>
      <c r="AP308" s="1" t="s">
        <v>924</v>
      </c>
      <c r="AQ308" s="1" t="s">
        <v>1040</v>
      </c>
      <c r="AR308" s="1" t="s">
        <v>1181</v>
      </c>
      <c r="AS308" s="1" t="s">
        <v>97</v>
      </c>
      <c r="AT308" s="3">
        <v>41526</v>
      </c>
      <c r="AU308" s="3">
        <v>41526</v>
      </c>
      <c r="AV308" s="3">
        <v>41547</v>
      </c>
      <c r="AW308" s="1" t="s">
        <v>1221</v>
      </c>
      <c r="AX308" s="1" t="s">
        <v>1040</v>
      </c>
      <c r="AY308">
        <v>18450</v>
      </c>
      <c r="AZ308">
        <v>253</v>
      </c>
      <c r="BA308">
        <v>4654734.66</v>
      </c>
      <c r="BB308" s="1"/>
      <c r="BD308" s="1"/>
      <c r="BE308" s="1"/>
      <c r="BG308" s="1"/>
      <c r="BH308" s="1"/>
      <c r="BJ308" s="1"/>
      <c r="BL308" s="1"/>
      <c r="BN308" s="1"/>
      <c r="BO308">
        <v>599</v>
      </c>
      <c r="BP308">
        <v>4654734.66</v>
      </c>
      <c r="BQ308">
        <v>4654734.66</v>
      </c>
    </row>
    <row r="309" spans="1:69" x14ac:dyDescent="0.35">
      <c r="A309" s="1" t="s">
        <v>68</v>
      </c>
      <c r="B309" s="1" t="s">
        <v>69</v>
      </c>
      <c r="C309" s="1" t="s">
        <v>70</v>
      </c>
      <c r="D309">
        <v>1</v>
      </c>
      <c r="E309">
        <v>1</v>
      </c>
      <c r="F309" s="2">
        <v>43585.43</v>
      </c>
      <c r="G309" s="3">
        <v>41275</v>
      </c>
      <c r="H309" s="3">
        <v>41639</v>
      </c>
      <c r="I309" s="1" t="s">
        <v>71</v>
      </c>
      <c r="J309">
        <v>4521</v>
      </c>
      <c r="K309">
        <v>0</v>
      </c>
      <c r="L309" s="1" t="s">
        <v>384</v>
      </c>
      <c r="M309" s="1" t="s">
        <v>72</v>
      </c>
      <c r="N309" s="1" t="s">
        <v>134</v>
      </c>
      <c r="O309" s="1" t="s">
        <v>385</v>
      </c>
      <c r="P309" s="1" t="s">
        <v>386</v>
      </c>
      <c r="Q309" s="1" t="s">
        <v>387</v>
      </c>
      <c r="R309">
        <v>103</v>
      </c>
      <c r="S309" s="1" t="s">
        <v>135</v>
      </c>
      <c r="T309" s="1" t="s">
        <v>388</v>
      </c>
      <c r="U309" s="1" t="s">
        <v>135</v>
      </c>
      <c r="V309" s="1"/>
      <c r="W309" s="1"/>
      <c r="X309" s="1"/>
      <c r="Y309" s="1"/>
      <c r="AA309" s="1"/>
      <c r="AC309" s="1"/>
      <c r="AD309" s="1"/>
      <c r="AE309" s="1"/>
      <c r="AN309" s="1" t="s">
        <v>74</v>
      </c>
      <c r="AO309">
        <v>190</v>
      </c>
      <c r="AP309" s="1" t="s">
        <v>925</v>
      </c>
      <c r="AQ309" s="1" t="s">
        <v>1033</v>
      </c>
      <c r="AR309" s="1" t="s">
        <v>1182</v>
      </c>
      <c r="AS309" s="1" t="s">
        <v>97</v>
      </c>
      <c r="AT309" s="3">
        <v>41519</v>
      </c>
      <c r="AU309" s="3">
        <v>41524</v>
      </c>
      <c r="AV309" s="3">
        <v>41547</v>
      </c>
      <c r="AW309" s="1" t="s">
        <v>1221</v>
      </c>
      <c r="AX309" s="1" t="s">
        <v>1033</v>
      </c>
      <c r="AY309">
        <v>22000</v>
      </c>
      <c r="AZ309">
        <v>253</v>
      </c>
      <c r="BA309">
        <v>4654734.66</v>
      </c>
      <c r="BB309" s="1"/>
      <c r="BD309" s="1"/>
      <c r="BE309" s="1"/>
      <c r="BG309" s="1"/>
      <c r="BH309" s="1"/>
      <c r="BJ309" s="1"/>
      <c r="BL309" s="1"/>
      <c r="BN309" s="1"/>
      <c r="BO309">
        <v>599</v>
      </c>
      <c r="BP309">
        <v>4654734.66</v>
      </c>
      <c r="BQ309">
        <v>4654734.66</v>
      </c>
    </row>
    <row r="310" spans="1:69" x14ac:dyDescent="0.35">
      <c r="A310" s="1" t="s">
        <v>68</v>
      </c>
      <c r="B310" s="1" t="s">
        <v>69</v>
      </c>
      <c r="C310" s="1" t="s">
        <v>70</v>
      </c>
      <c r="D310">
        <v>1</v>
      </c>
      <c r="E310">
        <v>1</v>
      </c>
      <c r="F310" s="2">
        <v>43585.43</v>
      </c>
      <c r="G310" s="3">
        <v>41275</v>
      </c>
      <c r="H310" s="3">
        <v>41639</v>
      </c>
      <c r="I310" s="1" t="s">
        <v>71</v>
      </c>
      <c r="J310">
        <v>4521</v>
      </c>
      <c r="K310">
        <v>0</v>
      </c>
      <c r="L310" s="1" t="s">
        <v>384</v>
      </c>
      <c r="M310" s="1" t="s">
        <v>72</v>
      </c>
      <c r="N310" s="1" t="s">
        <v>134</v>
      </c>
      <c r="O310" s="1" t="s">
        <v>385</v>
      </c>
      <c r="P310" s="1" t="s">
        <v>386</v>
      </c>
      <c r="Q310" s="1" t="s">
        <v>387</v>
      </c>
      <c r="R310">
        <v>103</v>
      </c>
      <c r="S310" s="1" t="s">
        <v>135</v>
      </c>
      <c r="T310" s="1" t="s">
        <v>388</v>
      </c>
      <c r="U310" s="1" t="s">
        <v>135</v>
      </c>
      <c r="V310" s="1"/>
      <c r="W310" s="1"/>
      <c r="X310" s="1"/>
      <c r="Y310" s="1"/>
      <c r="AA310" s="1"/>
      <c r="AC310" s="1"/>
      <c r="AD310" s="1"/>
      <c r="AE310" s="1"/>
      <c r="AN310" s="1" t="s">
        <v>74</v>
      </c>
      <c r="AO310">
        <v>191</v>
      </c>
      <c r="AP310" s="1" t="s">
        <v>926</v>
      </c>
      <c r="AQ310" s="1" t="s">
        <v>619</v>
      </c>
      <c r="AR310" s="1" t="s">
        <v>1157</v>
      </c>
      <c r="AS310" s="1" t="s">
        <v>97</v>
      </c>
      <c r="AT310" s="3">
        <v>41443</v>
      </c>
      <c r="AU310" s="3">
        <v>41444</v>
      </c>
      <c r="AV310" s="3">
        <v>41547</v>
      </c>
      <c r="AW310" s="1" t="s">
        <v>1221</v>
      </c>
      <c r="AX310" s="1" t="s">
        <v>619</v>
      </c>
      <c r="AY310">
        <v>2909.2</v>
      </c>
      <c r="AZ310">
        <v>253</v>
      </c>
      <c r="BA310">
        <v>4654734.66</v>
      </c>
      <c r="BB310" s="1"/>
      <c r="BD310" s="1"/>
      <c r="BE310" s="1"/>
      <c r="BG310" s="1"/>
      <c r="BH310" s="1"/>
      <c r="BJ310" s="1"/>
      <c r="BL310" s="1"/>
      <c r="BN310" s="1"/>
      <c r="BO310">
        <v>599</v>
      </c>
      <c r="BP310">
        <v>4654734.66</v>
      </c>
      <c r="BQ310">
        <v>4654734.66</v>
      </c>
    </row>
    <row r="311" spans="1:69" x14ac:dyDescent="0.35">
      <c r="A311" s="1" t="s">
        <v>68</v>
      </c>
      <c r="B311" s="1" t="s">
        <v>69</v>
      </c>
      <c r="C311" s="1" t="s">
        <v>70</v>
      </c>
      <c r="D311">
        <v>1</v>
      </c>
      <c r="E311">
        <v>1</v>
      </c>
      <c r="F311" s="2">
        <v>43585.43</v>
      </c>
      <c r="G311" s="3">
        <v>41275</v>
      </c>
      <c r="H311" s="3">
        <v>41639</v>
      </c>
      <c r="I311" s="1" t="s">
        <v>71</v>
      </c>
      <c r="J311">
        <v>4521</v>
      </c>
      <c r="K311">
        <v>0</v>
      </c>
      <c r="L311" s="1" t="s">
        <v>384</v>
      </c>
      <c r="M311" s="1" t="s">
        <v>72</v>
      </c>
      <c r="N311" s="1" t="s">
        <v>134</v>
      </c>
      <c r="O311" s="1" t="s">
        <v>385</v>
      </c>
      <c r="P311" s="1" t="s">
        <v>386</v>
      </c>
      <c r="Q311" s="1" t="s">
        <v>387</v>
      </c>
      <c r="R311">
        <v>103</v>
      </c>
      <c r="S311" s="1" t="s">
        <v>135</v>
      </c>
      <c r="T311" s="1" t="s">
        <v>388</v>
      </c>
      <c r="U311" s="1" t="s">
        <v>135</v>
      </c>
      <c r="V311" s="1"/>
      <c r="W311" s="1"/>
      <c r="X311" s="1"/>
      <c r="Y311" s="1"/>
      <c r="AA311" s="1"/>
      <c r="AC311" s="1"/>
      <c r="AD311" s="1"/>
      <c r="AE311" s="1"/>
      <c r="AN311" s="1" t="s">
        <v>74</v>
      </c>
      <c r="AO311">
        <v>192</v>
      </c>
      <c r="AP311" s="1" t="s">
        <v>927</v>
      </c>
      <c r="AQ311" s="1" t="s">
        <v>1037</v>
      </c>
      <c r="AR311" s="1" t="s">
        <v>1183</v>
      </c>
      <c r="AS311" s="1" t="s">
        <v>97</v>
      </c>
      <c r="AT311" s="3">
        <v>41519</v>
      </c>
      <c r="AU311" s="3">
        <v>41519</v>
      </c>
      <c r="AV311" s="3">
        <v>41547</v>
      </c>
      <c r="AW311" s="1" t="s">
        <v>1221</v>
      </c>
      <c r="AX311" s="1" t="s">
        <v>1037</v>
      </c>
      <c r="AY311">
        <v>2786.23</v>
      </c>
      <c r="AZ311">
        <v>253</v>
      </c>
      <c r="BA311">
        <v>4654734.66</v>
      </c>
      <c r="BB311" s="1"/>
      <c r="BD311" s="1"/>
      <c r="BE311" s="1"/>
      <c r="BG311" s="1"/>
      <c r="BH311" s="1"/>
      <c r="BJ311" s="1"/>
      <c r="BL311" s="1"/>
      <c r="BN311" s="1"/>
      <c r="BO311">
        <v>599</v>
      </c>
      <c r="BP311">
        <v>4654734.66</v>
      </c>
      <c r="BQ311">
        <v>4654734.66</v>
      </c>
    </row>
    <row r="312" spans="1:69" x14ac:dyDescent="0.35">
      <c r="A312" s="1" t="s">
        <v>68</v>
      </c>
      <c r="B312" s="1" t="s">
        <v>69</v>
      </c>
      <c r="C312" s="1" t="s">
        <v>70</v>
      </c>
      <c r="D312">
        <v>1</v>
      </c>
      <c r="E312">
        <v>1</v>
      </c>
      <c r="F312" s="2">
        <v>43585.43</v>
      </c>
      <c r="G312" s="3">
        <v>41275</v>
      </c>
      <c r="H312" s="3">
        <v>41639</v>
      </c>
      <c r="I312" s="1" t="s">
        <v>71</v>
      </c>
      <c r="J312">
        <v>4521</v>
      </c>
      <c r="K312">
        <v>0</v>
      </c>
      <c r="L312" s="1" t="s">
        <v>384</v>
      </c>
      <c r="M312" s="1" t="s">
        <v>72</v>
      </c>
      <c r="N312" s="1" t="s">
        <v>134</v>
      </c>
      <c r="O312" s="1" t="s">
        <v>385</v>
      </c>
      <c r="P312" s="1" t="s">
        <v>386</v>
      </c>
      <c r="Q312" s="1" t="s">
        <v>387</v>
      </c>
      <c r="R312">
        <v>103</v>
      </c>
      <c r="S312" s="1" t="s">
        <v>135</v>
      </c>
      <c r="T312" s="1" t="s">
        <v>388</v>
      </c>
      <c r="U312" s="1" t="s">
        <v>135</v>
      </c>
      <c r="V312" s="1"/>
      <c r="W312" s="1"/>
      <c r="X312" s="1"/>
      <c r="Y312" s="1"/>
      <c r="AA312" s="1"/>
      <c r="AC312" s="1"/>
      <c r="AD312" s="1"/>
      <c r="AE312" s="1"/>
      <c r="AN312" s="1" t="s">
        <v>74</v>
      </c>
      <c r="AO312">
        <v>193</v>
      </c>
      <c r="AP312" s="1" t="s">
        <v>928</v>
      </c>
      <c r="AQ312" s="1" t="s">
        <v>1020</v>
      </c>
      <c r="AR312" s="1" t="s">
        <v>1184</v>
      </c>
      <c r="AS312" s="1" t="s">
        <v>98</v>
      </c>
      <c r="AT312" s="3">
        <v>41522</v>
      </c>
      <c r="AU312" s="3">
        <v>41522</v>
      </c>
      <c r="AV312" s="3">
        <v>41547</v>
      </c>
      <c r="AW312" s="1" t="s">
        <v>1221</v>
      </c>
      <c r="AX312" s="1" t="s">
        <v>1020</v>
      </c>
      <c r="AY312">
        <v>1205.4000000000001</v>
      </c>
      <c r="AZ312">
        <v>253</v>
      </c>
      <c r="BA312">
        <v>4654734.66</v>
      </c>
      <c r="BB312" s="1"/>
      <c r="BD312" s="1"/>
      <c r="BE312" s="1"/>
      <c r="BG312" s="1"/>
      <c r="BH312" s="1"/>
      <c r="BJ312" s="1"/>
      <c r="BL312" s="1"/>
      <c r="BN312" s="1"/>
      <c r="BO312">
        <v>599</v>
      </c>
      <c r="BP312">
        <v>4654734.66</v>
      </c>
      <c r="BQ312">
        <v>4654734.66</v>
      </c>
    </row>
    <row r="313" spans="1:69" x14ac:dyDescent="0.35">
      <c r="A313" s="1" t="s">
        <v>68</v>
      </c>
      <c r="B313" s="1" t="s">
        <v>69</v>
      </c>
      <c r="C313" s="1" t="s">
        <v>70</v>
      </c>
      <c r="D313">
        <v>1</v>
      </c>
      <c r="E313">
        <v>1</v>
      </c>
      <c r="F313" s="2">
        <v>43585.43</v>
      </c>
      <c r="G313" s="3">
        <v>41275</v>
      </c>
      <c r="H313" s="3">
        <v>41639</v>
      </c>
      <c r="I313" s="1" t="s">
        <v>71</v>
      </c>
      <c r="J313">
        <v>4521</v>
      </c>
      <c r="K313">
        <v>0</v>
      </c>
      <c r="L313" s="1" t="s">
        <v>384</v>
      </c>
      <c r="M313" s="1" t="s">
        <v>72</v>
      </c>
      <c r="N313" s="1" t="s">
        <v>134</v>
      </c>
      <c r="O313" s="1" t="s">
        <v>385</v>
      </c>
      <c r="P313" s="1" t="s">
        <v>386</v>
      </c>
      <c r="Q313" s="1" t="s">
        <v>387</v>
      </c>
      <c r="R313">
        <v>103</v>
      </c>
      <c r="S313" s="1" t="s">
        <v>135</v>
      </c>
      <c r="T313" s="1" t="s">
        <v>388</v>
      </c>
      <c r="U313" s="1" t="s">
        <v>135</v>
      </c>
      <c r="V313" s="1"/>
      <c r="W313" s="1"/>
      <c r="X313" s="1"/>
      <c r="Y313" s="1"/>
      <c r="AA313" s="1"/>
      <c r="AC313" s="1"/>
      <c r="AD313" s="1"/>
      <c r="AE313" s="1"/>
      <c r="AN313" s="1" t="s">
        <v>74</v>
      </c>
      <c r="AO313">
        <v>194</v>
      </c>
      <c r="AP313" s="1" t="s">
        <v>929</v>
      </c>
      <c r="AQ313" s="1" t="s">
        <v>982</v>
      </c>
      <c r="AR313" s="1" t="s">
        <v>1185</v>
      </c>
      <c r="AS313" s="1" t="s">
        <v>98</v>
      </c>
      <c r="AT313" s="3">
        <v>41527</v>
      </c>
      <c r="AU313" s="3">
        <v>41527</v>
      </c>
      <c r="AV313" s="3">
        <v>41547</v>
      </c>
      <c r="AW313" s="1" t="s">
        <v>1221</v>
      </c>
      <c r="AX313" s="1" t="s">
        <v>982</v>
      </c>
      <c r="AY313">
        <v>5619.87</v>
      </c>
      <c r="AZ313">
        <v>253</v>
      </c>
      <c r="BA313">
        <v>4654734.66</v>
      </c>
      <c r="BB313" s="1"/>
      <c r="BD313" s="1"/>
      <c r="BE313" s="1"/>
      <c r="BG313" s="1"/>
      <c r="BH313" s="1"/>
      <c r="BJ313" s="1"/>
      <c r="BL313" s="1"/>
      <c r="BN313" s="1"/>
      <c r="BO313">
        <v>599</v>
      </c>
      <c r="BP313">
        <v>4654734.66</v>
      </c>
      <c r="BQ313">
        <v>4654734.66</v>
      </c>
    </row>
    <row r="314" spans="1:69" x14ac:dyDescent="0.35">
      <c r="A314" s="1" t="s">
        <v>68</v>
      </c>
      <c r="B314" s="1" t="s">
        <v>69</v>
      </c>
      <c r="C314" s="1" t="s">
        <v>70</v>
      </c>
      <c r="D314">
        <v>1</v>
      </c>
      <c r="E314">
        <v>1</v>
      </c>
      <c r="F314" s="2">
        <v>43585.43</v>
      </c>
      <c r="G314" s="3">
        <v>41275</v>
      </c>
      <c r="H314" s="3">
        <v>41639</v>
      </c>
      <c r="I314" s="1" t="s">
        <v>71</v>
      </c>
      <c r="J314">
        <v>4521</v>
      </c>
      <c r="K314">
        <v>0</v>
      </c>
      <c r="L314" s="1" t="s">
        <v>384</v>
      </c>
      <c r="M314" s="1" t="s">
        <v>72</v>
      </c>
      <c r="N314" s="1" t="s">
        <v>134</v>
      </c>
      <c r="O314" s="1" t="s">
        <v>385</v>
      </c>
      <c r="P314" s="1" t="s">
        <v>386</v>
      </c>
      <c r="Q314" s="1" t="s">
        <v>387</v>
      </c>
      <c r="R314">
        <v>103</v>
      </c>
      <c r="S314" s="1" t="s">
        <v>135</v>
      </c>
      <c r="T314" s="1" t="s">
        <v>388</v>
      </c>
      <c r="U314" s="1" t="s">
        <v>135</v>
      </c>
      <c r="V314" s="1"/>
      <c r="W314" s="1"/>
      <c r="X314" s="1"/>
      <c r="Y314" s="1"/>
      <c r="AA314" s="1"/>
      <c r="AC314" s="1"/>
      <c r="AD314" s="1"/>
      <c r="AE314" s="1"/>
      <c r="AN314" s="1" t="s">
        <v>74</v>
      </c>
      <c r="AO314">
        <v>195</v>
      </c>
      <c r="AP314" s="1" t="s">
        <v>930</v>
      </c>
      <c r="AQ314" s="1" t="s">
        <v>1023</v>
      </c>
      <c r="AR314" s="1" t="s">
        <v>1186</v>
      </c>
      <c r="AS314" s="1" t="s">
        <v>98</v>
      </c>
      <c r="AT314" s="3">
        <v>41536</v>
      </c>
      <c r="AU314" s="3">
        <v>41529</v>
      </c>
      <c r="AV314" s="3">
        <v>41547</v>
      </c>
      <c r="AW314" s="1" t="s">
        <v>1221</v>
      </c>
      <c r="AX314" s="1" t="s">
        <v>1023</v>
      </c>
      <c r="AY314">
        <v>7779.75</v>
      </c>
      <c r="AZ314">
        <v>253</v>
      </c>
      <c r="BA314">
        <v>4654734.66</v>
      </c>
      <c r="BB314" s="1"/>
      <c r="BD314" s="1"/>
      <c r="BE314" s="1"/>
      <c r="BG314" s="1"/>
      <c r="BH314" s="1"/>
      <c r="BJ314" s="1"/>
      <c r="BL314" s="1"/>
      <c r="BN314" s="1"/>
      <c r="BO314">
        <v>599</v>
      </c>
      <c r="BP314">
        <v>4654734.66</v>
      </c>
      <c r="BQ314">
        <v>4654734.66</v>
      </c>
    </row>
    <row r="315" spans="1:69" x14ac:dyDescent="0.35">
      <c r="A315" s="1" t="s">
        <v>68</v>
      </c>
      <c r="B315" s="1" t="s">
        <v>69</v>
      </c>
      <c r="C315" s="1" t="s">
        <v>70</v>
      </c>
      <c r="D315">
        <v>1</v>
      </c>
      <c r="E315">
        <v>1</v>
      </c>
      <c r="F315" s="2">
        <v>43585.43</v>
      </c>
      <c r="G315" s="3">
        <v>41275</v>
      </c>
      <c r="H315" s="3">
        <v>41639</v>
      </c>
      <c r="I315" s="1" t="s">
        <v>71</v>
      </c>
      <c r="J315">
        <v>4521</v>
      </c>
      <c r="K315">
        <v>0</v>
      </c>
      <c r="L315" s="1" t="s">
        <v>384</v>
      </c>
      <c r="M315" s="1" t="s">
        <v>72</v>
      </c>
      <c r="N315" s="1" t="s">
        <v>134</v>
      </c>
      <c r="O315" s="1" t="s">
        <v>385</v>
      </c>
      <c r="P315" s="1" t="s">
        <v>386</v>
      </c>
      <c r="Q315" s="1" t="s">
        <v>387</v>
      </c>
      <c r="R315">
        <v>103</v>
      </c>
      <c r="S315" s="1" t="s">
        <v>135</v>
      </c>
      <c r="T315" s="1" t="s">
        <v>388</v>
      </c>
      <c r="U315" s="1" t="s">
        <v>135</v>
      </c>
      <c r="V315" s="1"/>
      <c r="W315" s="1"/>
      <c r="X315" s="1"/>
      <c r="Y315" s="1"/>
      <c r="AA315" s="1"/>
      <c r="AC315" s="1"/>
      <c r="AD315" s="1"/>
      <c r="AE315" s="1"/>
      <c r="AN315" s="1" t="s">
        <v>74</v>
      </c>
      <c r="AO315">
        <v>196</v>
      </c>
      <c r="AP315" s="1" t="s">
        <v>931</v>
      </c>
      <c r="AQ315" s="1" t="s">
        <v>1058</v>
      </c>
      <c r="AR315" s="1" t="s">
        <v>1187</v>
      </c>
      <c r="AS315" s="1" t="s">
        <v>1213</v>
      </c>
      <c r="AT315" s="3">
        <v>41544</v>
      </c>
      <c r="AU315" s="3">
        <v>41544</v>
      </c>
      <c r="AV315" s="3">
        <v>41547</v>
      </c>
      <c r="AW315" s="1" t="s">
        <v>1221</v>
      </c>
      <c r="AX315" s="1" t="s">
        <v>1002</v>
      </c>
      <c r="AY315">
        <v>56</v>
      </c>
      <c r="AZ315">
        <v>253</v>
      </c>
      <c r="BA315">
        <v>4654734.66</v>
      </c>
      <c r="BB315" s="1"/>
      <c r="BD315" s="1"/>
      <c r="BE315" s="1"/>
      <c r="BG315" s="1"/>
      <c r="BH315" s="1"/>
      <c r="BJ315" s="1"/>
      <c r="BL315" s="1"/>
      <c r="BN315" s="1"/>
      <c r="BO315">
        <v>599</v>
      </c>
      <c r="BP315">
        <v>4654734.66</v>
      </c>
      <c r="BQ315">
        <v>4654734.66</v>
      </c>
    </row>
    <row r="316" spans="1:69" x14ac:dyDescent="0.35">
      <c r="A316" s="1" t="s">
        <v>68</v>
      </c>
      <c r="B316" s="1" t="s">
        <v>69</v>
      </c>
      <c r="C316" s="1" t="s">
        <v>70</v>
      </c>
      <c r="D316">
        <v>1</v>
      </c>
      <c r="E316">
        <v>1</v>
      </c>
      <c r="F316" s="2">
        <v>43585.43</v>
      </c>
      <c r="G316" s="3">
        <v>41275</v>
      </c>
      <c r="H316" s="3">
        <v>41639</v>
      </c>
      <c r="I316" s="1" t="s">
        <v>71</v>
      </c>
      <c r="J316">
        <v>4521</v>
      </c>
      <c r="K316">
        <v>0</v>
      </c>
      <c r="L316" s="1" t="s">
        <v>384</v>
      </c>
      <c r="M316" s="1" t="s">
        <v>72</v>
      </c>
      <c r="N316" s="1" t="s">
        <v>134</v>
      </c>
      <c r="O316" s="1" t="s">
        <v>385</v>
      </c>
      <c r="P316" s="1" t="s">
        <v>386</v>
      </c>
      <c r="Q316" s="1" t="s">
        <v>387</v>
      </c>
      <c r="R316">
        <v>103</v>
      </c>
      <c r="S316" s="1" t="s">
        <v>135</v>
      </c>
      <c r="T316" s="1" t="s">
        <v>388</v>
      </c>
      <c r="U316" s="1" t="s">
        <v>135</v>
      </c>
      <c r="V316" s="1"/>
      <c r="W316" s="1"/>
      <c r="X316" s="1"/>
      <c r="Y316" s="1"/>
      <c r="AA316" s="1"/>
      <c r="AC316" s="1"/>
      <c r="AD316" s="1"/>
      <c r="AE316" s="1"/>
      <c r="AN316" s="1" t="s">
        <v>74</v>
      </c>
      <c r="AO316">
        <v>197</v>
      </c>
      <c r="AP316" s="1" t="s">
        <v>932</v>
      </c>
      <c r="AQ316" s="1" t="s">
        <v>1058</v>
      </c>
      <c r="AR316" s="1" t="s">
        <v>1187</v>
      </c>
      <c r="AS316" s="1" t="s">
        <v>1213</v>
      </c>
      <c r="AT316" s="3">
        <v>41544</v>
      </c>
      <c r="AU316" s="3">
        <v>41544</v>
      </c>
      <c r="AV316" s="3">
        <v>41547</v>
      </c>
      <c r="AW316" s="1" t="s">
        <v>1221</v>
      </c>
      <c r="AX316" s="1" t="s">
        <v>1244</v>
      </c>
      <c r="AY316">
        <v>156.12</v>
      </c>
      <c r="AZ316">
        <v>253</v>
      </c>
      <c r="BA316">
        <v>4654734.66</v>
      </c>
      <c r="BB316" s="1"/>
      <c r="BD316" s="1"/>
      <c r="BE316" s="1"/>
      <c r="BG316" s="1"/>
      <c r="BH316" s="1"/>
      <c r="BJ316" s="1"/>
      <c r="BL316" s="1"/>
      <c r="BN316" s="1"/>
      <c r="BO316">
        <v>599</v>
      </c>
      <c r="BP316">
        <v>4654734.66</v>
      </c>
      <c r="BQ316">
        <v>4654734.66</v>
      </c>
    </row>
    <row r="317" spans="1:69" x14ac:dyDescent="0.35">
      <c r="A317" s="1" t="s">
        <v>68</v>
      </c>
      <c r="B317" s="1" t="s">
        <v>69</v>
      </c>
      <c r="C317" s="1" t="s">
        <v>70</v>
      </c>
      <c r="D317">
        <v>1</v>
      </c>
      <c r="E317">
        <v>1</v>
      </c>
      <c r="F317" s="2">
        <v>43585.43</v>
      </c>
      <c r="G317" s="3">
        <v>41275</v>
      </c>
      <c r="H317" s="3">
        <v>41639</v>
      </c>
      <c r="I317" s="1" t="s">
        <v>71</v>
      </c>
      <c r="J317">
        <v>4521</v>
      </c>
      <c r="K317">
        <v>0</v>
      </c>
      <c r="L317" s="1" t="s">
        <v>384</v>
      </c>
      <c r="M317" s="1" t="s">
        <v>72</v>
      </c>
      <c r="N317" s="1" t="s">
        <v>134</v>
      </c>
      <c r="O317" s="1" t="s">
        <v>385</v>
      </c>
      <c r="P317" s="1" t="s">
        <v>386</v>
      </c>
      <c r="Q317" s="1" t="s">
        <v>387</v>
      </c>
      <c r="R317">
        <v>103</v>
      </c>
      <c r="S317" s="1" t="s">
        <v>135</v>
      </c>
      <c r="T317" s="1" t="s">
        <v>388</v>
      </c>
      <c r="U317" s="1" t="s">
        <v>135</v>
      </c>
      <c r="V317" s="1"/>
      <c r="W317" s="1"/>
      <c r="X317" s="1"/>
      <c r="Y317" s="1"/>
      <c r="AA317" s="1"/>
      <c r="AC317" s="1"/>
      <c r="AD317" s="1"/>
      <c r="AE317" s="1"/>
      <c r="AN317" s="1" t="s">
        <v>74</v>
      </c>
      <c r="AO317">
        <v>198</v>
      </c>
      <c r="AP317" s="1" t="s">
        <v>933</v>
      </c>
      <c r="AQ317" s="1" t="s">
        <v>1058</v>
      </c>
      <c r="AR317" s="1" t="s">
        <v>1187</v>
      </c>
      <c r="AS317" s="1" t="s">
        <v>1213</v>
      </c>
      <c r="AT317" s="3">
        <v>41544</v>
      </c>
      <c r="AU317" s="3">
        <v>41544</v>
      </c>
      <c r="AV317" s="3">
        <v>41547</v>
      </c>
      <c r="AW317" s="1" t="s">
        <v>1221</v>
      </c>
      <c r="AX317" s="1" t="s">
        <v>1245</v>
      </c>
      <c r="AY317">
        <v>15.3</v>
      </c>
      <c r="AZ317">
        <v>253</v>
      </c>
      <c r="BA317">
        <v>4654734.66</v>
      </c>
      <c r="BB317" s="1"/>
      <c r="BD317" s="1"/>
      <c r="BE317" s="1"/>
      <c r="BG317" s="1"/>
      <c r="BH317" s="1"/>
      <c r="BJ317" s="1"/>
      <c r="BL317" s="1"/>
      <c r="BN317" s="1"/>
      <c r="BO317">
        <v>599</v>
      </c>
      <c r="BP317">
        <v>4654734.66</v>
      </c>
      <c r="BQ317">
        <v>4654734.66</v>
      </c>
    </row>
    <row r="318" spans="1:69" x14ac:dyDescent="0.35">
      <c r="A318" s="1" t="s">
        <v>68</v>
      </c>
      <c r="B318" s="1" t="s">
        <v>69</v>
      </c>
      <c r="C318" s="1" t="s">
        <v>70</v>
      </c>
      <c r="D318">
        <v>1</v>
      </c>
      <c r="E318">
        <v>1</v>
      </c>
      <c r="F318" s="2">
        <v>43585.43</v>
      </c>
      <c r="G318" s="3">
        <v>41275</v>
      </c>
      <c r="H318" s="3">
        <v>41639</v>
      </c>
      <c r="I318" s="1" t="s">
        <v>71</v>
      </c>
      <c r="J318">
        <v>4521</v>
      </c>
      <c r="K318">
        <v>0</v>
      </c>
      <c r="L318" s="1" t="s">
        <v>384</v>
      </c>
      <c r="M318" s="1" t="s">
        <v>72</v>
      </c>
      <c r="N318" s="1" t="s">
        <v>134</v>
      </c>
      <c r="O318" s="1" t="s">
        <v>385</v>
      </c>
      <c r="P318" s="1" t="s">
        <v>386</v>
      </c>
      <c r="Q318" s="1" t="s">
        <v>387</v>
      </c>
      <c r="R318">
        <v>103</v>
      </c>
      <c r="S318" s="1" t="s">
        <v>135</v>
      </c>
      <c r="T318" s="1" t="s">
        <v>388</v>
      </c>
      <c r="U318" s="1" t="s">
        <v>135</v>
      </c>
      <c r="V318" s="1"/>
      <c r="W318" s="1"/>
      <c r="X318" s="1"/>
      <c r="Y318" s="1"/>
      <c r="AA318" s="1"/>
      <c r="AC318" s="1"/>
      <c r="AD318" s="1"/>
      <c r="AE318" s="1"/>
      <c r="AN318" s="1" t="s">
        <v>74</v>
      </c>
      <c r="AO318">
        <v>199</v>
      </c>
      <c r="AP318" s="1" t="s">
        <v>934</v>
      </c>
      <c r="AQ318" s="1" t="s">
        <v>1058</v>
      </c>
      <c r="AR318" s="1" t="s">
        <v>1187</v>
      </c>
      <c r="AS318" s="1" t="s">
        <v>1213</v>
      </c>
      <c r="AT318" s="3">
        <v>41544</v>
      </c>
      <c r="AU318" s="3">
        <v>41544</v>
      </c>
      <c r="AV318" s="3">
        <v>41547</v>
      </c>
      <c r="AW318" s="1" t="s">
        <v>1221</v>
      </c>
      <c r="AX318" s="1" t="s">
        <v>1245</v>
      </c>
      <c r="AY318">
        <v>45</v>
      </c>
      <c r="AZ318">
        <v>253</v>
      </c>
      <c r="BA318">
        <v>4654734.66</v>
      </c>
      <c r="BB318" s="1"/>
      <c r="BD318" s="1"/>
      <c r="BE318" s="1"/>
      <c r="BG318" s="1"/>
      <c r="BH318" s="1"/>
      <c r="BJ318" s="1"/>
      <c r="BL318" s="1"/>
      <c r="BN318" s="1"/>
      <c r="BO318">
        <v>599</v>
      </c>
      <c r="BP318">
        <v>4654734.66</v>
      </c>
      <c r="BQ318">
        <v>4654734.66</v>
      </c>
    </row>
    <row r="319" spans="1:69" x14ac:dyDescent="0.35">
      <c r="A319" s="1" t="s">
        <v>68</v>
      </c>
      <c r="B319" s="1" t="s">
        <v>69</v>
      </c>
      <c r="C319" s="1" t="s">
        <v>70</v>
      </c>
      <c r="D319">
        <v>1</v>
      </c>
      <c r="E319">
        <v>1</v>
      </c>
      <c r="F319" s="2">
        <v>43585.43</v>
      </c>
      <c r="G319" s="3">
        <v>41275</v>
      </c>
      <c r="H319" s="3">
        <v>41639</v>
      </c>
      <c r="I319" s="1" t="s">
        <v>71</v>
      </c>
      <c r="J319">
        <v>4521</v>
      </c>
      <c r="K319">
        <v>0</v>
      </c>
      <c r="L319" s="1" t="s">
        <v>384</v>
      </c>
      <c r="M319" s="1" t="s">
        <v>72</v>
      </c>
      <c r="N319" s="1" t="s">
        <v>134</v>
      </c>
      <c r="O319" s="1" t="s">
        <v>385</v>
      </c>
      <c r="P319" s="1" t="s">
        <v>386</v>
      </c>
      <c r="Q319" s="1" t="s">
        <v>387</v>
      </c>
      <c r="R319">
        <v>103</v>
      </c>
      <c r="S319" s="1" t="s">
        <v>135</v>
      </c>
      <c r="T319" s="1" t="s">
        <v>388</v>
      </c>
      <c r="U319" s="1" t="s">
        <v>135</v>
      </c>
      <c r="V319" s="1"/>
      <c r="W319" s="1"/>
      <c r="X319" s="1"/>
      <c r="Y319" s="1"/>
      <c r="AA319" s="1"/>
      <c r="AC319" s="1"/>
      <c r="AD319" s="1"/>
      <c r="AE319" s="1"/>
      <c r="AN319" s="1" t="s">
        <v>74</v>
      </c>
      <c r="AO319">
        <v>200</v>
      </c>
      <c r="AP319" s="1" t="s">
        <v>935</v>
      </c>
      <c r="AQ319" s="1" t="s">
        <v>1058</v>
      </c>
      <c r="AR319" s="1" t="s">
        <v>1187</v>
      </c>
      <c r="AS319" s="1" t="s">
        <v>1213</v>
      </c>
      <c r="AT319" s="3">
        <v>41544</v>
      </c>
      <c r="AU319" s="3">
        <v>41544</v>
      </c>
      <c r="AV319" s="3">
        <v>41547</v>
      </c>
      <c r="AW319" s="1" t="s">
        <v>1221</v>
      </c>
      <c r="AX319" s="1" t="s">
        <v>1245</v>
      </c>
      <c r="AY319">
        <v>150</v>
      </c>
      <c r="AZ319">
        <v>253</v>
      </c>
      <c r="BA319">
        <v>4654734.66</v>
      </c>
      <c r="BB319" s="1"/>
      <c r="BD319" s="1"/>
      <c r="BE319" s="1"/>
      <c r="BG319" s="1"/>
      <c r="BH319" s="1"/>
      <c r="BJ319" s="1"/>
      <c r="BL319" s="1"/>
      <c r="BN319" s="1"/>
      <c r="BO319">
        <v>599</v>
      </c>
      <c r="BP319">
        <v>4654734.66</v>
      </c>
      <c r="BQ319">
        <v>4654734.66</v>
      </c>
    </row>
    <row r="320" spans="1:69" x14ac:dyDescent="0.35">
      <c r="A320" s="1" t="s">
        <v>68</v>
      </c>
      <c r="B320" s="1" t="s">
        <v>69</v>
      </c>
      <c r="C320" s="1" t="s">
        <v>70</v>
      </c>
      <c r="D320">
        <v>1</v>
      </c>
      <c r="E320">
        <v>1</v>
      </c>
      <c r="F320" s="2">
        <v>43585.43</v>
      </c>
      <c r="G320" s="3">
        <v>41275</v>
      </c>
      <c r="H320" s="3">
        <v>41639</v>
      </c>
      <c r="I320" s="1" t="s">
        <v>71</v>
      </c>
      <c r="J320">
        <v>4521</v>
      </c>
      <c r="K320">
        <v>0</v>
      </c>
      <c r="L320" s="1" t="s">
        <v>384</v>
      </c>
      <c r="M320" s="1" t="s">
        <v>72</v>
      </c>
      <c r="N320" s="1" t="s">
        <v>134</v>
      </c>
      <c r="O320" s="1" t="s">
        <v>385</v>
      </c>
      <c r="P320" s="1" t="s">
        <v>386</v>
      </c>
      <c r="Q320" s="1" t="s">
        <v>387</v>
      </c>
      <c r="R320">
        <v>103</v>
      </c>
      <c r="S320" s="1" t="s">
        <v>135</v>
      </c>
      <c r="T320" s="1" t="s">
        <v>388</v>
      </c>
      <c r="U320" s="1" t="s">
        <v>135</v>
      </c>
      <c r="V320" s="1"/>
      <c r="W320" s="1"/>
      <c r="X320" s="1"/>
      <c r="Y320" s="1"/>
      <c r="AA320" s="1"/>
      <c r="AC320" s="1"/>
      <c r="AD320" s="1"/>
      <c r="AE320" s="1"/>
      <c r="AN320" s="1" t="s">
        <v>74</v>
      </c>
      <c r="AO320">
        <v>201</v>
      </c>
      <c r="AP320" s="1" t="s">
        <v>936</v>
      </c>
      <c r="AQ320" s="1" t="s">
        <v>1058</v>
      </c>
      <c r="AR320" s="1" t="s">
        <v>1187</v>
      </c>
      <c r="AS320" s="1" t="s">
        <v>1213</v>
      </c>
      <c r="AT320" s="3">
        <v>41544</v>
      </c>
      <c r="AU320" s="3">
        <v>41544</v>
      </c>
      <c r="AV320" s="3">
        <v>41547</v>
      </c>
      <c r="AW320" s="1" t="s">
        <v>1221</v>
      </c>
      <c r="AX320" s="1" t="s">
        <v>1245</v>
      </c>
      <c r="AY320">
        <v>90.5</v>
      </c>
      <c r="AZ320">
        <v>253</v>
      </c>
      <c r="BA320">
        <v>4654734.66</v>
      </c>
      <c r="BB320" s="1"/>
      <c r="BD320" s="1"/>
      <c r="BE320" s="1"/>
      <c r="BG320" s="1"/>
      <c r="BH320" s="1"/>
      <c r="BJ320" s="1"/>
      <c r="BL320" s="1"/>
      <c r="BN320" s="1"/>
      <c r="BO320">
        <v>599</v>
      </c>
      <c r="BP320">
        <v>4654734.66</v>
      </c>
      <c r="BQ320">
        <v>4654734.66</v>
      </c>
    </row>
    <row r="321" spans="1:69" x14ac:dyDescent="0.35">
      <c r="A321" s="1" t="s">
        <v>68</v>
      </c>
      <c r="B321" s="1" t="s">
        <v>69</v>
      </c>
      <c r="C321" s="1" t="s">
        <v>70</v>
      </c>
      <c r="D321">
        <v>1</v>
      </c>
      <c r="E321">
        <v>1</v>
      </c>
      <c r="F321" s="2">
        <v>43585.43</v>
      </c>
      <c r="G321" s="3">
        <v>41275</v>
      </c>
      <c r="H321" s="3">
        <v>41639</v>
      </c>
      <c r="I321" s="1" t="s">
        <v>71</v>
      </c>
      <c r="J321">
        <v>4521</v>
      </c>
      <c r="K321">
        <v>0</v>
      </c>
      <c r="L321" s="1" t="s">
        <v>384</v>
      </c>
      <c r="M321" s="1" t="s">
        <v>72</v>
      </c>
      <c r="N321" s="1" t="s">
        <v>134</v>
      </c>
      <c r="O321" s="1" t="s">
        <v>385</v>
      </c>
      <c r="P321" s="1" t="s">
        <v>386</v>
      </c>
      <c r="Q321" s="1" t="s">
        <v>387</v>
      </c>
      <c r="R321">
        <v>103</v>
      </c>
      <c r="S321" s="1" t="s">
        <v>135</v>
      </c>
      <c r="T321" s="1" t="s">
        <v>388</v>
      </c>
      <c r="U321" s="1" t="s">
        <v>135</v>
      </c>
      <c r="V321" s="1"/>
      <c r="W321" s="1"/>
      <c r="X321" s="1"/>
      <c r="Y321" s="1"/>
      <c r="AA321" s="1"/>
      <c r="AC321" s="1"/>
      <c r="AD321" s="1"/>
      <c r="AE321" s="1"/>
      <c r="AN321" s="1" t="s">
        <v>74</v>
      </c>
      <c r="AO321">
        <v>202</v>
      </c>
      <c r="AP321" s="1" t="s">
        <v>937</v>
      </c>
      <c r="AQ321" s="1" t="s">
        <v>1058</v>
      </c>
      <c r="AR321" s="1" t="s">
        <v>1187</v>
      </c>
      <c r="AS321" s="1" t="s">
        <v>1213</v>
      </c>
      <c r="AT321" s="3">
        <v>41544</v>
      </c>
      <c r="AU321" s="3">
        <v>41544</v>
      </c>
      <c r="AV321" s="3">
        <v>41547</v>
      </c>
      <c r="AW321" s="1" t="s">
        <v>1221</v>
      </c>
      <c r="AX321" s="1" t="s">
        <v>1245</v>
      </c>
      <c r="AY321">
        <v>55</v>
      </c>
      <c r="AZ321">
        <v>253</v>
      </c>
      <c r="BA321">
        <v>4654734.66</v>
      </c>
      <c r="BB321" s="1"/>
      <c r="BD321" s="1"/>
      <c r="BE321" s="1"/>
      <c r="BG321" s="1"/>
      <c r="BH321" s="1"/>
      <c r="BJ321" s="1"/>
      <c r="BL321" s="1"/>
      <c r="BN321" s="1"/>
      <c r="BO321">
        <v>599</v>
      </c>
      <c r="BP321">
        <v>4654734.66</v>
      </c>
      <c r="BQ321">
        <v>4654734.66</v>
      </c>
    </row>
    <row r="322" spans="1:69" x14ac:dyDescent="0.35">
      <c r="A322" s="1" t="s">
        <v>68</v>
      </c>
      <c r="B322" s="1" t="s">
        <v>69</v>
      </c>
      <c r="C322" s="1" t="s">
        <v>70</v>
      </c>
      <c r="D322">
        <v>1</v>
      </c>
      <c r="E322">
        <v>1</v>
      </c>
      <c r="F322" s="2">
        <v>43585.43</v>
      </c>
      <c r="G322" s="3">
        <v>41275</v>
      </c>
      <c r="H322" s="3">
        <v>41639</v>
      </c>
      <c r="I322" s="1" t="s">
        <v>71</v>
      </c>
      <c r="J322">
        <v>4521</v>
      </c>
      <c r="K322">
        <v>0</v>
      </c>
      <c r="L322" s="1" t="s">
        <v>384</v>
      </c>
      <c r="M322" s="1" t="s">
        <v>72</v>
      </c>
      <c r="N322" s="1" t="s">
        <v>134</v>
      </c>
      <c r="O322" s="1" t="s">
        <v>385</v>
      </c>
      <c r="P322" s="1" t="s">
        <v>386</v>
      </c>
      <c r="Q322" s="1" t="s">
        <v>387</v>
      </c>
      <c r="R322">
        <v>103</v>
      </c>
      <c r="S322" s="1" t="s">
        <v>135</v>
      </c>
      <c r="T322" s="1" t="s">
        <v>388</v>
      </c>
      <c r="U322" s="1" t="s">
        <v>135</v>
      </c>
      <c r="V322" s="1"/>
      <c r="W322" s="1"/>
      <c r="X322" s="1"/>
      <c r="Y322" s="1"/>
      <c r="AA322" s="1"/>
      <c r="AC322" s="1"/>
      <c r="AD322" s="1"/>
      <c r="AE322" s="1"/>
      <c r="AN322" s="1" t="s">
        <v>74</v>
      </c>
      <c r="AO322">
        <v>203</v>
      </c>
      <c r="AP322" s="1" t="s">
        <v>938</v>
      </c>
      <c r="AQ322" s="1" t="s">
        <v>1058</v>
      </c>
      <c r="AR322" s="1" t="s">
        <v>1187</v>
      </c>
      <c r="AS322" s="1" t="s">
        <v>1213</v>
      </c>
      <c r="AT322" s="3">
        <v>41544</v>
      </c>
      <c r="AU322" s="3">
        <v>41544</v>
      </c>
      <c r="AV322" s="3">
        <v>41547</v>
      </c>
      <c r="AW322" s="1" t="s">
        <v>1221</v>
      </c>
      <c r="AX322" s="1" t="s">
        <v>1245</v>
      </c>
      <c r="AY322">
        <v>12.5</v>
      </c>
      <c r="AZ322">
        <v>253</v>
      </c>
      <c r="BA322">
        <v>4654734.66</v>
      </c>
      <c r="BB322" s="1"/>
      <c r="BD322" s="1"/>
      <c r="BE322" s="1"/>
      <c r="BG322" s="1"/>
      <c r="BH322" s="1"/>
      <c r="BJ322" s="1"/>
      <c r="BL322" s="1"/>
      <c r="BN322" s="1"/>
      <c r="BO322">
        <v>599</v>
      </c>
      <c r="BP322">
        <v>4654734.66</v>
      </c>
      <c r="BQ322">
        <v>4654734.66</v>
      </c>
    </row>
    <row r="323" spans="1:69" x14ac:dyDescent="0.35">
      <c r="A323" s="1" t="s">
        <v>68</v>
      </c>
      <c r="B323" s="1" t="s">
        <v>69</v>
      </c>
      <c r="C323" s="1" t="s">
        <v>70</v>
      </c>
      <c r="D323">
        <v>1</v>
      </c>
      <c r="E323">
        <v>1</v>
      </c>
      <c r="F323" s="2">
        <v>43585.43</v>
      </c>
      <c r="G323" s="3">
        <v>41275</v>
      </c>
      <c r="H323" s="3">
        <v>41639</v>
      </c>
      <c r="I323" s="1" t="s">
        <v>71</v>
      </c>
      <c r="J323">
        <v>4521</v>
      </c>
      <c r="K323">
        <v>0</v>
      </c>
      <c r="L323" s="1" t="s">
        <v>384</v>
      </c>
      <c r="M323" s="1" t="s">
        <v>72</v>
      </c>
      <c r="N323" s="1" t="s">
        <v>134</v>
      </c>
      <c r="O323" s="1" t="s">
        <v>385</v>
      </c>
      <c r="P323" s="1" t="s">
        <v>386</v>
      </c>
      <c r="Q323" s="1" t="s">
        <v>387</v>
      </c>
      <c r="R323">
        <v>103</v>
      </c>
      <c r="S323" s="1" t="s">
        <v>135</v>
      </c>
      <c r="T323" s="1" t="s">
        <v>388</v>
      </c>
      <c r="U323" s="1" t="s">
        <v>135</v>
      </c>
      <c r="V323" s="1"/>
      <c r="W323" s="1"/>
      <c r="X323" s="1"/>
      <c r="Y323" s="1"/>
      <c r="AA323" s="1"/>
      <c r="AC323" s="1"/>
      <c r="AD323" s="1"/>
      <c r="AE323" s="1"/>
      <c r="AN323" s="1" t="s">
        <v>74</v>
      </c>
      <c r="AO323">
        <v>204</v>
      </c>
      <c r="AP323" s="1" t="s">
        <v>939</v>
      </c>
      <c r="AQ323" s="1" t="s">
        <v>1058</v>
      </c>
      <c r="AR323" s="1" t="s">
        <v>1187</v>
      </c>
      <c r="AS323" s="1" t="s">
        <v>1213</v>
      </c>
      <c r="AT323" s="3">
        <v>41544</v>
      </c>
      <c r="AU323" s="3">
        <v>41544</v>
      </c>
      <c r="AV323" s="3">
        <v>41547</v>
      </c>
      <c r="AW323" s="1" t="s">
        <v>1221</v>
      </c>
      <c r="AX323" s="1" t="s">
        <v>1245</v>
      </c>
      <c r="AY323">
        <v>44</v>
      </c>
      <c r="AZ323">
        <v>253</v>
      </c>
      <c r="BA323">
        <v>4654734.66</v>
      </c>
      <c r="BB323" s="1"/>
      <c r="BD323" s="1"/>
      <c r="BE323" s="1"/>
      <c r="BG323" s="1"/>
      <c r="BH323" s="1"/>
      <c r="BJ323" s="1"/>
      <c r="BL323" s="1"/>
      <c r="BN323" s="1"/>
      <c r="BO323">
        <v>599</v>
      </c>
      <c r="BP323">
        <v>4654734.66</v>
      </c>
      <c r="BQ323">
        <v>4654734.66</v>
      </c>
    </row>
    <row r="324" spans="1:69" x14ac:dyDescent="0.35">
      <c r="A324" s="1" t="s">
        <v>68</v>
      </c>
      <c r="B324" s="1" t="s">
        <v>69</v>
      </c>
      <c r="C324" s="1" t="s">
        <v>70</v>
      </c>
      <c r="D324">
        <v>1</v>
      </c>
      <c r="E324">
        <v>1</v>
      </c>
      <c r="F324" s="2">
        <v>43585.43</v>
      </c>
      <c r="G324" s="3">
        <v>41275</v>
      </c>
      <c r="H324" s="3">
        <v>41639</v>
      </c>
      <c r="I324" s="1" t="s">
        <v>71</v>
      </c>
      <c r="J324">
        <v>4521</v>
      </c>
      <c r="K324">
        <v>0</v>
      </c>
      <c r="L324" s="1" t="s">
        <v>384</v>
      </c>
      <c r="M324" s="1" t="s">
        <v>72</v>
      </c>
      <c r="N324" s="1" t="s">
        <v>134</v>
      </c>
      <c r="O324" s="1" t="s">
        <v>385</v>
      </c>
      <c r="P324" s="1" t="s">
        <v>386</v>
      </c>
      <c r="Q324" s="1" t="s">
        <v>387</v>
      </c>
      <c r="R324">
        <v>103</v>
      </c>
      <c r="S324" s="1" t="s">
        <v>135</v>
      </c>
      <c r="T324" s="1" t="s">
        <v>388</v>
      </c>
      <c r="U324" s="1" t="s">
        <v>135</v>
      </c>
      <c r="V324" s="1"/>
      <c r="W324" s="1"/>
      <c r="X324" s="1"/>
      <c r="Y324" s="1"/>
      <c r="AA324" s="1"/>
      <c r="AC324" s="1"/>
      <c r="AD324" s="1"/>
      <c r="AE324" s="1"/>
      <c r="AN324" s="1" t="s">
        <v>74</v>
      </c>
      <c r="AO324">
        <v>205</v>
      </c>
      <c r="AP324" s="1" t="s">
        <v>940</v>
      </c>
      <c r="AQ324" s="1" t="s">
        <v>1058</v>
      </c>
      <c r="AR324" s="1" t="s">
        <v>1187</v>
      </c>
      <c r="AS324" s="1" t="s">
        <v>1213</v>
      </c>
      <c r="AT324" s="3">
        <v>41544</v>
      </c>
      <c r="AU324" s="3">
        <v>41544</v>
      </c>
      <c r="AV324" s="3">
        <v>41547</v>
      </c>
      <c r="AW324" s="1" t="s">
        <v>1221</v>
      </c>
      <c r="AX324" s="1" t="s">
        <v>1258</v>
      </c>
      <c r="AY324">
        <v>6500</v>
      </c>
      <c r="AZ324">
        <v>253</v>
      </c>
      <c r="BA324">
        <v>4654734.66</v>
      </c>
      <c r="BB324" s="1"/>
      <c r="BD324" s="1"/>
      <c r="BE324" s="1"/>
      <c r="BG324" s="1"/>
      <c r="BH324" s="1"/>
      <c r="BJ324" s="1"/>
      <c r="BL324" s="1"/>
      <c r="BN324" s="1"/>
      <c r="BO324">
        <v>599</v>
      </c>
      <c r="BP324">
        <v>4654734.66</v>
      </c>
      <c r="BQ324">
        <v>4654734.66</v>
      </c>
    </row>
    <row r="325" spans="1:69" x14ac:dyDescent="0.35">
      <c r="A325" s="1" t="s">
        <v>68</v>
      </c>
      <c r="B325" s="1" t="s">
        <v>69</v>
      </c>
      <c r="C325" s="1" t="s">
        <v>70</v>
      </c>
      <c r="D325">
        <v>1</v>
      </c>
      <c r="E325">
        <v>1</v>
      </c>
      <c r="F325" s="2">
        <v>43585.43</v>
      </c>
      <c r="G325" s="3">
        <v>41275</v>
      </c>
      <c r="H325" s="3">
        <v>41639</v>
      </c>
      <c r="I325" s="1" t="s">
        <v>71</v>
      </c>
      <c r="J325">
        <v>4521</v>
      </c>
      <c r="K325">
        <v>0</v>
      </c>
      <c r="L325" s="1" t="s">
        <v>384</v>
      </c>
      <c r="M325" s="1" t="s">
        <v>72</v>
      </c>
      <c r="N325" s="1" t="s">
        <v>134</v>
      </c>
      <c r="O325" s="1" t="s">
        <v>385</v>
      </c>
      <c r="P325" s="1" t="s">
        <v>386</v>
      </c>
      <c r="Q325" s="1" t="s">
        <v>387</v>
      </c>
      <c r="R325">
        <v>103</v>
      </c>
      <c r="S325" s="1" t="s">
        <v>135</v>
      </c>
      <c r="T325" s="1" t="s">
        <v>388</v>
      </c>
      <c r="U325" s="1" t="s">
        <v>135</v>
      </c>
      <c r="V325" s="1"/>
      <c r="W325" s="1"/>
      <c r="X325" s="1"/>
      <c r="Y325" s="1"/>
      <c r="AA325" s="1"/>
      <c r="AC325" s="1"/>
      <c r="AD325" s="1"/>
      <c r="AE325" s="1"/>
      <c r="AN325" s="1" t="s">
        <v>74</v>
      </c>
      <c r="AO325">
        <v>206</v>
      </c>
      <c r="AP325" s="1" t="s">
        <v>941</v>
      </c>
      <c r="AQ325" s="1" t="s">
        <v>1058</v>
      </c>
      <c r="AR325" s="1" t="s">
        <v>1187</v>
      </c>
      <c r="AS325" s="1" t="s">
        <v>1213</v>
      </c>
      <c r="AT325" s="3">
        <v>41544</v>
      </c>
      <c r="AU325" s="3">
        <v>41544</v>
      </c>
      <c r="AV325" s="3">
        <v>41547</v>
      </c>
      <c r="AW325" s="1" t="s">
        <v>1221</v>
      </c>
      <c r="AX325" s="1" t="s">
        <v>1245</v>
      </c>
      <c r="AY325">
        <v>412.3</v>
      </c>
      <c r="AZ325">
        <v>253</v>
      </c>
      <c r="BA325">
        <v>4654734.66</v>
      </c>
      <c r="BB325" s="1"/>
      <c r="BD325" s="1"/>
      <c r="BE325" s="1"/>
      <c r="BG325" s="1"/>
      <c r="BH325" s="1"/>
      <c r="BJ325" s="1"/>
      <c r="BL325" s="1"/>
      <c r="BN325" s="1"/>
      <c r="BO325">
        <v>599</v>
      </c>
      <c r="BP325">
        <v>4654734.66</v>
      </c>
      <c r="BQ325">
        <v>4654734.66</v>
      </c>
    </row>
    <row r="326" spans="1:69" x14ac:dyDescent="0.35">
      <c r="A326" s="1" t="s">
        <v>68</v>
      </c>
      <c r="B326" s="1" t="s">
        <v>69</v>
      </c>
      <c r="C326" s="1" t="s">
        <v>70</v>
      </c>
      <c r="D326">
        <v>1</v>
      </c>
      <c r="E326">
        <v>1</v>
      </c>
      <c r="F326" s="2">
        <v>43585.43</v>
      </c>
      <c r="G326" s="3">
        <v>41275</v>
      </c>
      <c r="H326" s="3">
        <v>41639</v>
      </c>
      <c r="I326" s="1" t="s">
        <v>71</v>
      </c>
      <c r="J326">
        <v>4521</v>
      </c>
      <c r="K326">
        <v>0</v>
      </c>
      <c r="L326" s="1" t="s">
        <v>384</v>
      </c>
      <c r="M326" s="1" t="s">
        <v>72</v>
      </c>
      <c r="N326" s="1" t="s">
        <v>134</v>
      </c>
      <c r="O326" s="1" t="s">
        <v>385</v>
      </c>
      <c r="P326" s="1" t="s">
        <v>386</v>
      </c>
      <c r="Q326" s="1" t="s">
        <v>387</v>
      </c>
      <c r="R326">
        <v>103</v>
      </c>
      <c r="S326" s="1" t="s">
        <v>135</v>
      </c>
      <c r="T326" s="1" t="s">
        <v>388</v>
      </c>
      <c r="U326" s="1" t="s">
        <v>135</v>
      </c>
      <c r="V326" s="1"/>
      <c r="W326" s="1"/>
      <c r="X326" s="1"/>
      <c r="Y326" s="1"/>
      <c r="AA326" s="1"/>
      <c r="AC326" s="1"/>
      <c r="AD326" s="1"/>
      <c r="AE326" s="1"/>
      <c r="AN326" s="1" t="s">
        <v>74</v>
      </c>
      <c r="AO326">
        <v>207</v>
      </c>
      <c r="AP326" s="1" t="s">
        <v>942</v>
      </c>
      <c r="AQ326" s="1" t="s">
        <v>1059</v>
      </c>
      <c r="AR326" s="1" t="s">
        <v>1188</v>
      </c>
      <c r="AS326" s="1" t="s">
        <v>96</v>
      </c>
      <c r="AT326" s="3">
        <v>41544</v>
      </c>
      <c r="AU326" s="3">
        <v>41544</v>
      </c>
      <c r="AV326" s="3">
        <v>41547</v>
      </c>
      <c r="AW326" s="1" t="s">
        <v>1221</v>
      </c>
      <c r="AX326" s="1" t="s">
        <v>1251</v>
      </c>
      <c r="AY326">
        <v>25000</v>
      </c>
      <c r="AZ326">
        <v>253</v>
      </c>
      <c r="BA326">
        <v>4654734.66</v>
      </c>
      <c r="BB326" s="1"/>
      <c r="BD326" s="1"/>
      <c r="BE326" s="1"/>
      <c r="BG326" s="1"/>
      <c r="BH326" s="1"/>
      <c r="BJ326" s="1"/>
      <c r="BL326" s="1"/>
      <c r="BN326" s="1"/>
      <c r="BO326">
        <v>599</v>
      </c>
      <c r="BP326">
        <v>4654734.66</v>
      </c>
      <c r="BQ326">
        <v>4654734.66</v>
      </c>
    </row>
    <row r="327" spans="1:69" x14ac:dyDescent="0.35">
      <c r="A327" s="1" t="s">
        <v>68</v>
      </c>
      <c r="B327" s="1" t="s">
        <v>69</v>
      </c>
      <c r="C327" s="1" t="s">
        <v>70</v>
      </c>
      <c r="D327">
        <v>1</v>
      </c>
      <c r="E327">
        <v>1</v>
      </c>
      <c r="F327" s="2">
        <v>43585.43</v>
      </c>
      <c r="G327" s="3">
        <v>41275</v>
      </c>
      <c r="H327" s="3">
        <v>41639</v>
      </c>
      <c r="I327" s="1" t="s">
        <v>71</v>
      </c>
      <c r="J327">
        <v>4521</v>
      </c>
      <c r="K327">
        <v>0</v>
      </c>
      <c r="L327" s="1" t="s">
        <v>384</v>
      </c>
      <c r="M327" s="1" t="s">
        <v>72</v>
      </c>
      <c r="N327" s="1" t="s">
        <v>134</v>
      </c>
      <c r="O327" s="1" t="s">
        <v>385</v>
      </c>
      <c r="P327" s="1" t="s">
        <v>386</v>
      </c>
      <c r="Q327" s="1" t="s">
        <v>387</v>
      </c>
      <c r="R327">
        <v>103</v>
      </c>
      <c r="S327" s="1" t="s">
        <v>135</v>
      </c>
      <c r="T327" s="1" t="s">
        <v>388</v>
      </c>
      <c r="U327" s="1" t="s">
        <v>135</v>
      </c>
      <c r="V327" s="1"/>
      <c r="W327" s="1"/>
      <c r="X327" s="1"/>
      <c r="Y327" s="1"/>
      <c r="AA327" s="1"/>
      <c r="AC327" s="1"/>
      <c r="AD327" s="1"/>
      <c r="AE327" s="1"/>
      <c r="AN327" s="1" t="s">
        <v>74</v>
      </c>
      <c r="AO327">
        <v>208</v>
      </c>
      <c r="AP327" s="1" t="s">
        <v>943</v>
      </c>
      <c r="AQ327" s="1" t="s">
        <v>1059</v>
      </c>
      <c r="AR327" s="1" t="s">
        <v>1188</v>
      </c>
      <c r="AS327" s="1" t="s">
        <v>96</v>
      </c>
      <c r="AT327" s="3">
        <v>41544</v>
      </c>
      <c r="AU327" s="3">
        <v>41544</v>
      </c>
      <c r="AV327" s="3">
        <v>41547</v>
      </c>
      <c r="AW327" s="1" t="s">
        <v>1221</v>
      </c>
      <c r="AX327" s="1" t="s">
        <v>1253</v>
      </c>
      <c r="AY327">
        <v>100000</v>
      </c>
      <c r="AZ327">
        <v>253</v>
      </c>
      <c r="BA327">
        <v>4654734.66</v>
      </c>
      <c r="BB327" s="1"/>
      <c r="BD327" s="1"/>
      <c r="BE327" s="1"/>
      <c r="BG327" s="1"/>
      <c r="BH327" s="1"/>
      <c r="BJ327" s="1"/>
      <c r="BL327" s="1"/>
      <c r="BN327" s="1"/>
      <c r="BO327">
        <v>599</v>
      </c>
      <c r="BP327">
        <v>4654734.66</v>
      </c>
      <c r="BQ327">
        <v>4654734.66</v>
      </c>
    </row>
    <row r="328" spans="1:69" x14ac:dyDescent="0.35">
      <c r="A328" s="1" t="s">
        <v>68</v>
      </c>
      <c r="B328" s="1" t="s">
        <v>69</v>
      </c>
      <c r="C328" s="1" t="s">
        <v>70</v>
      </c>
      <c r="D328">
        <v>1</v>
      </c>
      <c r="E328">
        <v>1</v>
      </c>
      <c r="F328" s="2">
        <v>43585.43</v>
      </c>
      <c r="G328" s="3">
        <v>41275</v>
      </c>
      <c r="H328" s="3">
        <v>41639</v>
      </c>
      <c r="I328" s="1" t="s">
        <v>71</v>
      </c>
      <c r="J328">
        <v>4521</v>
      </c>
      <c r="K328">
        <v>0</v>
      </c>
      <c r="L328" s="1" t="s">
        <v>384</v>
      </c>
      <c r="M328" s="1" t="s">
        <v>72</v>
      </c>
      <c r="N328" s="1" t="s">
        <v>134</v>
      </c>
      <c r="O328" s="1" t="s">
        <v>385</v>
      </c>
      <c r="P328" s="1" t="s">
        <v>386</v>
      </c>
      <c r="Q328" s="1" t="s">
        <v>387</v>
      </c>
      <c r="R328">
        <v>103</v>
      </c>
      <c r="S328" s="1" t="s">
        <v>135</v>
      </c>
      <c r="T328" s="1" t="s">
        <v>388</v>
      </c>
      <c r="U328" s="1" t="s">
        <v>135</v>
      </c>
      <c r="V328" s="1"/>
      <c r="W328" s="1"/>
      <c r="X328" s="1"/>
      <c r="Y328" s="1"/>
      <c r="AA328" s="1"/>
      <c r="AC328" s="1"/>
      <c r="AD328" s="1"/>
      <c r="AE328" s="1"/>
      <c r="AN328" s="1" t="s">
        <v>74</v>
      </c>
      <c r="AO328">
        <v>209</v>
      </c>
      <c r="AP328" s="1" t="s">
        <v>944</v>
      </c>
      <c r="AQ328" s="1" t="s">
        <v>1060</v>
      </c>
      <c r="AR328" s="1" t="s">
        <v>1189</v>
      </c>
      <c r="AS328" s="1" t="s">
        <v>95</v>
      </c>
      <c r="AT328" s="3">
        <v>41547</v>
      </c>
      <c r="AU328" s="3">
        <v>41547</v>
      </c>
      <c r="AV328" s="3">
        <v>41547</v>
      </c>
      <c r="AW328" s="1" t="s">
        <v>1221</v>
      </c>
      <c r="AX328" s="1" t="s">
        <v>1257</v>
      </c>
      <c r="AY328">
        <v>18450</v>
      </c>
      <c r="AZ328">
        <v>253</v>
      </c>
      <c r="BA328">
        <v>4654734.66</v>
      </c>
      <c r="BB328" s="1"/>
      <c r="BD328" s="1"/>
      <c r="BE328" s="1"/>
      <c r="BG328" s="1"/>
      <c r="BH328" s="1"/>
      <c r="BJ328" s="1"/>
      <c r="BL328" s="1"/>
      <c r="BN328" s="1"/>
      <c r="BO328">
        <v>599</v>
      </c>
      <c r="BP328">
        <v>4654734.66</v>
      </c>
      <c r="BQ328">
        <v>4654734.66</v>
      </c>
    </row>
    <row r="329" spans="1:69" x14ac:dyDescent="0.35">
      <c r="A329" s="1" t="s">
        <v>68</v>
      </c>
      <c r="B329" s="1" t="s">
        <v>69</v>
      </c>
      <c r="C329" s="1" t="s">
        <v>70</v>
      </c>
      <c r="D329">
        <v>1</v>
      </c>
      <c r="E329">
        <v>1</v>
      </c>
      <c r="F329" s="2">
        <v>43585.43</v>
      </c>
      <c r="G329" s="3">
        <v>41275</v>
      </c>
      <c r="H329" s="3">
        <v>41639</v>
      </c>
      <c r="I329" s="1" t="s">
        <v>71</v>
      </c>
      <c r="J329">
        <v>4521</v>
      </c>
      <c r="K329">
        <v>0</v>
      </c>
      <c r="L329" s="1" t="s">
        <v>384</v>
      </c>
      <c r="M329" s="1" t="s">
        <v>72</v>
      </c>
      <c r="N329" s="1" t="s">
        <v>134</v>
      </c>
      <c r="O329" s="1" t="s">
        <v>385</v>
      </c>
      <c r="P329" s="1" t="s">
        <v>386</v>
      </c>
      <c r="Q329" s="1" t="s">
        <v>387</v>
      </c>
      <c r="R329">
        <v>103</v>
      </c>
      <c r="S329" s="1" t="s">
        <v>135</v>
      </c>
      <c r="T329" s="1" t="s">
        <v>388</v>
      </c>
      <c r="U329" s="1" t="s">
        <v>135</v>
      </c>
      <c r="V329" s="1"/>
      <c r="W329" s="1"/>
      <c r="X329" s="1"/>
      <c r="Y329" s="1"/>
      <c r="AA329" s="1"/>
      <c r="AC329" s="1"/>
      <c r="AD329" s="1"/>
      <c r="AE329" s="1"/>
      <c r="AN329" s="1" t="s">
        <v>74</v>
      </c>
      <c r="AO329">
        <v>210</v>
      </c>
      <c r="AP329" s="1" t="s">
        <v>945</v>
      </c>
      <c r="AQ329" s="1" t="s">
        <v>1060</v>
      </c>
      <c r="AR329" s="1" t="s">
        <v>1189</v>
      </c>
      <c r="AS329" s="1" t="s">
        <v>95</v>
      </c>
      <c r="AT329" s="3">
        <v>41547</v>
      </c>
      <c r="AU329" s="3">
        <v>41547</v>
      </c>
      <c r="AV329" s="3">
        <v>41547</v>
      </c>
      <c r="AW329" s="1" t="s">
        <v>1221</v>
      </c>
      <c r="AX329" s="1" t="s">
        <v>1257</v>
      </c>
      <c r="AY329">
        <v>15000</v>
      </c>
      <c r="AZ329">
        <v>253</v>
      </c>
      <c r="BA329">
        <v>4654734.66</v>
      </c>
      <c r="BB329" s="1"/>
      <c r="BD329" s="1"/>
      <c r="BE329" s="1"/>
      <c r="BG329" s="1"/>
      <c r="BH329" s="1"/>
      <c r="BJ329" s="1"/>
      <c r="BL329" s="1"/>
      <c r="BN329" s="1"/>
      <c r="BO329">
        <v>599</v>
      </c>
      <c r="BP329">
        <v>4654734.66</v>
      </c>
      <c r="BQ329">
        <v>4654734.66</v>
      </c>
    </row>
    <row r="330" spans="1:69" x14ac:dyDescent="0.35">
      <c r="A330" s="1" t="s">
        <v>68</v>
      </c>
      <c r="B330" s="1" t="s">
        <v>69</v>
      </c>
      <c r="C330" s="1" t="s">
        <v>70</v>
      </c>
      <c r="D330">
        <v>1</v>
      </c>
      <c r="E330">
        <v>1</v>
      </c>
      <c r="F330" s="2">
        <v>43585.43</v>
      </c>
      <c r="G330" s="3">
        <v>41275</v>
      </c>
      <c r="H330" s="3">
        <v>41639</v>
      </c>
      <c r="I330" s="1" t="s">
        <v>71</v>
      </c>
      <c r="J330">
        <v>4521</v>
      </c>
      <c r="K330">
        <v>0</v>
      </c>
      <c r="L330" s="1" t="s">
        <v>384</v>
      </c>
      <c r="M330" s="1" t="s">
        <v>72</v>
      </c>
      <c r="N330" s="1" t="s">
        <v>134</v>
      </c>
      <c r="O330" s="1" t="s">
        <v>385</v>
      </c>
      <c r="P330" s="1" t="s">
        <v>386</v>
      </c>
      <c r="Q330" s="1" t="s">
        <v>387</v>
      </c>
      <c r="R330">
        <v>103</v>
      </c>
      <c r="S330" s="1" t="s">
        <v>135</v>
      </c>
      <c r="T330" s="1" t="s">
        <v>388</v>
      </c>
      <c r="U330" s="1" t="s">
        <v>135</v>
      </c>
      <c r="V330" s="1"/>
      <c r="W330" s="1"/>
      <c r="X330" s="1"/>
      <c r="Y330" s="1"/>
      <c r="AA330" s="1"/>
      <c r="AC330" s="1"/>
      <c r="AD330" s="1"/>
      <c r="AE330" s="1"/>
      <c r="AN330" s="1" t="s">
        <v>74</v>
      </c>
      <c r="AO330">
        <v>211</v>
      </c>
      <c r="AP330" s="1" t="s">
        <v>946</v>
      </c>
      <c r="AQ330" s="1" t="s">
        <v>1061</v>
      </c>
      <c r="AR330" s="1" t="s">
        <v>1190</v>
      </c>
      <c r="AS330" s="1" t="s">
        <v>95</v>
      </c>
      <c r="AT330" s="3">
        <v>41547</v>
      </c>
      <c r="AU330" s="3">
        <v>41547</v>
      </c>
      <c r="AV330" s="3">
        <v>41547</v>
      </c>
      <c r="AW330" s="1" t="s">
        <v>1221</v>
      </c>
      <c r="AX330" s="1" t="s">
        <v>1061</v>
      </c>
      <c r="AY330">
        <v>1747.98</v>
      </c>
      <c r="AZ330">
        <v>253</v>
      </c>
      <c r="BA330">
        <v>4654734.66</v>
      </c>
      <c r="BB330" s="1"/>
      <c r="BD330" s="1"/>
      <c r="BE330" s="1"/>
      <c r="BG330" s="1"/>
      <c r="BH330" s="1"/>
      <c r="BJ330" s="1"/>
      <c r="BL330" s="1"/>
      <c r="BN330" s="1"/>
      <c r="BO330">
        <v>599</v>
      </c>
      <c r="BP330">
        <v>4654734.66</v>
      </c>
      <c r="BQ330">
        <v>4654734.66</v>
      </c>
    </row>
    <row r="331" spans="1:69" x14ac:dyDescent="0.35">
      <c r="A331" s="1" t="s">
        <v>68</v>
      </c>
      <c r="B331" s="1" t="s">
        <v>69</v>
      </c>
      <c r="C331" s="1" t="s">
        <v>70</v>
      </c>
      <c r="D331">
        <v>1</v>
      </c>
      <c r="E331">
        <v>1</v>
      </c>
      <c r="F331" s="2">
        <v>43585.43</v>
      </c>
      <c r="G331" s="3">
        <v>41275</v>
      </c>
      <c r="H331" s="3">
        <v>41639</v>
      </c>
      <c r="I331" s="1" t="s">
        <v>71</v>
      </c>
      <c r="J331">
        <v>4521</v>
      </c>
      <c r="K331">
        <v>0</v>
      </c>
      <c r="L331" s="1" t="s">
        <v>384</v>
      </c>
      <c r="M331" s="1" t="s">
        <v>72</v>
      </c>
      <c r="N331" s="1" t="s">
        <v>134</v>
      </c>
      <c r="O331" s="1" t="s">
        <v>385</v>
      </c>
      <c r="P331" s="1" t="s">
        <v>386</v>
      </c>
      <c r="Q331" s="1" t="s">
        <v>387</v>
      </c>
      <c r="R331">
        <v>103</v>
      </c>
      <c r="S331" s="1" t="s">
        <v>135</v>
      </c>
      <c r="T331" s="1" t="s">
        <v>388</v>
      </c>
      <c r="U331" s="1" t="s">
        <v>135</v>
      </c>
      <c r="V331" s="1"/>
      <c r="W331" s="1"/>
      <c r="X331" s="1"/>
      <c r="Y331" s="1"/>
      <c r="AA331" s="1"/>
      <c r="AC331" s="1"/>
      <c r="AD331" s="1"/>
      <c r="AE331" s="1"/>
      <c r="AN331" s="1" t="s">
        <v>74</v>
      </c>
      <c r="AO331">
        <v>212</v>
      </c>
      <c r="AP331" s="1" t="s">
        <v>947</v>
      </c>
      <c r="AQ331" s="1" t="s">
        <v>1061</v>
      </c>
      <c r="AR331" s="1" t="s">
        <v>1190</v>
      </c>
      <c r="AS331" s="1" t="s">
        <v>95</v>
      </c>
      <c r="AT331" s="3">
        <v>41547</v>
      </c>
      <c r="AU331" s="3">
        <v>41547</v>
      </c>
      <c r="AV331" s="3">
        <v>41547</v>
      </c>
      <c r="AW331" s="1" t="s">
        <v>1221</v>
      </c>
      <c r="AX331" s="1" t="s">
        <v>1061</v>
      </c>
      <c r="AY331">
        <v>584</v>
      </c>
      <c r="AZ331">
        <v>253</v>
      </c>
      <c r="BA331">
        <v>4654734.66</v>
      </c>
      <c r="BB331" s="1"/>
      <c r="BD331" s="1"/>
      <c r="BE331" s="1"/>
      <c r="BG331" s="1"/>
      <c r="BH331" s="1"/>
      <c r="BJ331" s="1"/>
      <c r="BL331" s="1"/>
      <c r="BN331" s="1"/>
      <c r="BO331">
        <v>599</v>
      </c>
      <c r="BP331">
        <v>4654734.66</v>
      </c>
      <c r="BQ331">
        <v>4654734.66</v>
      </c>
    </row>
    <row r="332" spans="1:69" x14ac:dyDescent="0.35">
      <c r="A332" s="1" t="s">
        <v>68</v>
      </c>
      <c r="B332" s="1" t="s">
        <v>69</v>
      </c>
      <c r="C332" s="1" t="s">
        <v>70</v>
      </c>
      <c r="D332">
        <v>1</v>
      </c>
      <c r="E332">
        <v>1</v>
      </c>
      <c r="F332" s="2">
        <v>43585.43</v>
      </c>
      <c r="G332" s="3">
        <v>41275</v>
      </c>
      <c r="H332" s="3">
        <v>41639</v>
      </c>
      <c r="I332" s="1" t="s">
        <v>71</v>
      </c>
      <c r="J332">
        <v>4521</v>
      </c>
      <c r="K332">
        <v>0</v>
      </c>
      <c r="L332" s="1" t="s">
        <v>384</v>
      </c>
      <c r="M332" s="1" t="s">
        <v>72</v>
      </c>
      <c r="N332" s="1" t="s">
        <v>134</v>
      </c>
      <c r="O332" s="1" t="s">
        <v>385</v>
      </c>
      <c r="P332" s="1" t="s">
        <v>386</v>
      </c>
      <c r="Q332" s="1" t="s">
        <v>387</v>
      </c>
      <c r="R332">
        <v>103</v>
      </c>
      <c r="S332" s="1" t="s">
        <v>135</v>
      </c>
      <c r="T332" s="1" t="s">
        <v>388</v>
      </c>
      <c r="U332" s="1" t="s">
        <v>135</v>
      </c>
      <c r="V332" s="1"/>
      <c r="W332" s="1"/>
      <c r="X332" s="1"/>
      <c r="Y332" s="1"/>
      <c r="AA332" s="1"/>
      <c r="AC332" s="1"/>
      <c r="AD332" s="1"/>
      <c r="AE332" s="1"/>
      <c r="AN332" s="1" t="s">
        <v>74</v>
      </c>
      <c r="AO332">
        <v>213</v>
      </c>
      <c r="AP332" s="1" t="s">
        <v>948</v>
      </c>
      <c r="AQ332" s="1" t="s">
        <v>1061</v>
      </c>
      <c r="AR332" s="1" t="s">
        <v>1190</v>
      </c>
      <c r="AS332" s="1" t="s">
        <v>95</v>
      </c>
      <c r="AT332" s="3">
        <v>41547</v>
      </c>
      <c r="AU332" s="3">
        <v>41547</v>
      </c>
      <c r="AV332" s="3">
        <v>41547</v>
      </c>
      <c r="AW332" s="1" t="s">
        <v>1221</v>
      </c>
      <c r="AX332" s="1" t="s">
        <v>1061</v>
      </c>
      <c r="AY332">
        <v>1932.5</v>
      </c>
      <c r="AZ332">
        <v>253</v>
      </c>
      <c r="BA332">
        <v>4654734.66</v>
      </c>
      <c r="BB332" s="1"/>
      <c r="BD332" s="1"/>
      <c r="BE332" s="1"/>
      <c r="BG332" s="1"/>
      <c r="BH332" s="1"/>
      <c r="BJ332" s="1"/>
      <c r="BL332" s="1"/>
      <c r="BN332" s="1"/>
      <c r="BO332">
        <v>599</v>
      </c>
      <c r="BP332">
        <v>4654734.66</v>
      </c>
      <c r="BQ332">
        <v>4654734.66</v>
      </c>
    </row>
    <row r="333" spans="1:69" x14ac:dyDescent="0.35">
      <c r="A333" s="1" t="s">
        <v>68</v>
      </c>
      <c r="B333" s="1" t="s">
        <v>69</v>
      </c>
      <c r="C333" s="1" t="s">
        <v>70</v>
      </c>
      <c r="D333">
        <v>1</v>
      </c>
      <c r="E333">
        <v>1</v>
      </c>
      <c r="F333" s="2">
        <v>43585.43</v>
      </c>
      <c r="G333" s="3">
        <v>41275</v>
      </c>
      <c r="H333" s="3">
        <v>41639</v>
      </c>
      <c r="I333" s="1" t="s">
        <v>71</v>
      </c>
      <c r="J333">
        <v>4521</v>
      </c>
      <c r="K333">
        <v>0</v>
      </c>
      <c r="L333" s="1" t="s">
        <v>384</v>
      </c>
      <c r="M333" s="1" t="s">
        <v>72</v>
      </c>
      <c r="N333" s="1" t="s">
        <v>134</v>
      </c>
      <c r="O333" s="1" t="s">
        <v>385</v>
      </c>
      <c r="P333" s="1" t="s">
        <v>386</v>
      </c>
      <c r="Q333" s="1" t="s">
        <v>387</v>
      </c>
      <c r="R333">
        <v>103</v>
      </c>
      <c r="S333" s="1" t="s">
        <v>135</v>
      </c>
      <c r="T333" s="1" t="s">
        <v>388</v>
      </c>
      <c r="U333" s="1" t="s">
        <v>135</v>
      </c>
      <c r="V333" s="1"/>
      <c r="W333" s="1"/>
      <c r="X333" s="1"/>
      <c r="Y333" s="1"/>
      <c r="AA333" s="1"/>
      <c r="AC333" s="1"/>
      <c r="AD333" s="1"/>
      <c r="AE333" s="1"/>
      <c r="AN333" s="1" t="s">
        <v>74</v>
      </c>
      <c r="AO333">
        <v>214</v>
      </c>
      <c r="AP333" s="1" t="s">
        <v>949</v>
      </c>
      <c r="AQ333" s="1" t="s">
        <v>1061</v>
      </c>
      <c r="AR333" s="1" t="s">
        <v>1190</v>
      </c>
      <c r="AS333" s="1" t="s">
        <v>95</v>
      </c>
      <c r="AT333" s="3">
        <v>41547</v>
      </c>
      <c r="AU333" s="3">
        <v>41547</v>
      </c>
      <c r="AV333" s="3">
        <v>41547</v>
      </c>
      <c r="AW333" s="1" t="s">
        <v>1221</v>
      </c>
      <c r="AX333" s="1" t="s">
        <v>1061</v>
      </c>
      <c r="AY333">
        <v>4264.4799999999996</v>
      </c>
      <c r="AZ333">
        <v>253</v>
      </c>
      <c r="BA333">
        <v>4654734.66</v>
      </c>
      <c r="BB333" s="1"/>
      <c r="BD333" s="1"/>
      <c r="BE333" s="1"/>
      <c r="BG333" s="1"/>
      <c r="BH333" s="1"/>
      <c r="BJ333" s="1"/>
      <c r="BL333" s="1"/>
      <c r="BN333" s="1"/>
      <c r="BO333">
        <v>599</v>
      </c>
      <c r="BP333">
        <v>4654734.66</v>
      </c>
      <c r="BQ333">
        <v>4654734.66</v>
      </c>
    </row>
    <row r="334" spans="1:69" x14ac:dyDescent="0.35">
      <c r="A334" s="1" t="s">
        <v>68</v>
      </c>
      <c r="B334" s="1" t="s">
        <v>69</v>
      </c>
      <c r="C334" s="1" t="s">
        <v>70</v>
      </c>
      <c r="D334">
        <v>1</v>
      </c>
      <c r="E334">
        <v>1</v>
      </c>
      <c r="F334" s="2">
        <v>43585.43</v>
      </c>
      <c r="G334" s="3">
        <v>41275</v>
      </c>
      <c r="H334" s="3">
        <v>41639</v>
      </c>
      <c r="I334" s="1" t="s">
        <v>71</v>
      </c>
      <c r="J334">
        <v>4521</v>
      </c>
      <c r="K334">
        <v>0</v>
      </c>
      <c r="L334" s="1" t="s">
        <v>384</v>
      </c>
      <c r="M334" s="1" t="s">
        <v>72</v>
      </c>
      <c r="N334" s="1" t="s">
        <v>134</v>
      </c>
      <c r="O334" s="1" t="s">
        <v>385</v>
      </c>
      <c r="P334" s="1" t="s">
        <v>386</v>
      </c>
      <c r="Q334" s="1" t="s">
        <v>387</v>
      </c>
      <c r="R334">
        <v>103</v>
      </c>
      <c r="S334" s="1" t="s">
        <v>135</v>
      </c>
      <c r="T334" s="1" t="s">
        <v>388</v>
      </c>
      <c r="U334" s="1" t="s">
        <v>135</v>
      </c>
      <c r="V334" s="1"/>
      <c r="W334" s="1"/>
      <c r="X334" s="1"/>
      <c r="Y334" s="1"/>
      <c r="AA334" s="1"/>
      <c r="AC334" s="1"/>
      <c r="AD334" s="1"/>
      <c r="AE334" s="1"/>
      <c r="AN334" s="1" t="s">
        <v>74</v>
      </c>
      <c r="AO334">
        <v>215</v>
      </c>
      <c r="AP334" s="1" t="s">
        <v>950</v>
      </c>
      <c r="AQ334" s="1" t="s">
        <v>1061</v>
      </c>
      <c r="AR334" s="1" t="s">
        <v>1190</v>
      </c>
      <c r="AS334" s="1" t="s">
        <v>95</v>
      </c>
      <c r="AT334" s="3">
        <v>41547</v>
      </c>
      <c r="AU334" s="3">
        <v>41547</v>
      </c>
      <c r="AV334" s="3">
        <v>41547</v>
      </c>
      <c r="AW334" s="1" t="s">
        <v>1221</v>
      </c>
      <c r="AX334" s="1" t="s">
        <v>1061</v>
      </c>
      <c r="AY334">
        <v>884</v>
      </c>
      <c r="AZ334">
        <v>253</v>
      </c>
      <c r="BA334">
        <v>4654734.66</v>
      </c>
      <c r="BB334" s="1"/>
      <c r="BD334" s="1"/>
      <c r="BE334" s="1"/>
      <c r="BG334" s="1"/>
      <c r="BH334" s="1"/>
      <c r="BJ334" s="1"/>
      <c r="BL334" s="1"/>
      <c r="BN334" s="1"/>
      <c r="BO334">
        <v>599</v>
      </c>
      <c r="BP334">
        <v>4654734.66</v>
      </c>
      <c r="BQ334">
        <v>4654734.66</v>
      </c>
    </row>
    <row r="335" spans="1:69" x14ac:dyDescent="0.35">
      <c r="A335" s="1" t="s">
        <v>68</v>
      </c>
      <c r="B335" s="1" t="s">
        <v>69</v>
      </c>
      <c r="C335" s="1" t="s">
        <v>70</v>
      </c>
      <c r="D335">
        <v>1</v>
      </c>
      <c r="E335">
        <v>1</v>
      </c>
      <c r="F335" s="2">
        <v>43585.43</v>
      </c>
      <c r="G335" s="3">
        <v>41275</v>
      </c>
      <c r="H335" s="3">
        <v>41639</v>
      </c>
      <c r="I335" s="1" t="s">
        <v>71</v>
      </c>
      <c r="J335">
        <v>4521</v>
      </c>
      <c r="K335">
        <v>0</v>
      </c>
      <c r="L335" s="1" t="s">
        <v>384</v>
      </c>
      <c r="M335" s="1" t="s">
        <v>72</v>
      </c>
      <c r="N335" s="1" t="s">
        <v>134</v>
      </c>
      <c r="O335" s="1" t="s">
        <v>385</v>
      </c>
      <c r="P335" s="1" t="s">
        <v>386</v>
      </c>
      <c r="Q335" s="1" t="s">
        <v>387</v>
      </c>
      <c r="R335">
        <v>103</v>
      </c>
      <c r="S335" s="1" t="s">
        <v>135</v>
      </c>
      <c r="T335" s="1" t="s">
        <v>388</v>
      </c>
      <c r="U335" s="1" t="s">
        <v>135</v>
      </c>
      <c r="V335" s="1"/>
      <c r="W335" s="1"/>
      <c r="X335" s="1"/>
      <c r="Y335" s="1"/>
      <c r="AA335" s="1"/>
      <c r="AC335" s="1"/>
      <c r="AD335" s="1"/>
      <c r="AE335" s="1"/>
      <c r="AN335" s="1" t="s">
        <v>74</v>
      </c>
      <c r="AO335">
        <v>216</v>
      </c>
      <c r="AP335" s="1" t="s">
        <v>951</v>
      </c>
      <c r="AQ335" s="1" t="s">
        <v>1061</v>
      </c>
      <c r="AR335" s="1" t="s">
        <v>1190</v>
      </c>
      <c r="AS335" s="1" t="s">
        <v>95</v>
      </c>
      <c r="AT335" s="3">
        <v>41547</v>
      </c>
      <c r="AU335" s="3">
        <v>41547</v>
      </c>
      <c r="AV335" s="3">
        <v>41547</v>
      </c>
      <c r="AW335" s="1" t="s">
        <v>1221</v>
      </c>
      <c r="AX335" s="1" t="s">
        <v>1061</v>
      </c>
      <c r="AY335">
        <v>1232.5</v>
      </c>
      <c r="AZ335">
        <v>253</v>
      </c>
      <c r="BA335">
        <v>4654734.66</v>
      </c>
      <c r="BB335" s="1"/>
      <c r="BD335" s="1"/>
      <c r="BE335" s="1"/>
      <c r="BG335" s="1"/>
      <c r="BH335" s="1"/>
      <c r="BJ335" s="1"/>
      <c r="BL335" s="1"/>
      <c r="BN335" s="1"/>
      <c r="BO335">
        <v>599</v>
      </c>
      <c r="BP335">
        <v>4654734.66</v>
      </c>
      <c r="BQ335">
        <v>4654734.66</v>
      </c>
    </row>
    <row r="336" spans="1:69" x14ac:dyDescent="0.35">
      <c r="A336" s="1" t="s">
        <v>68</v>
      </c>
      <c r="B336" s="1" t="s">
        <v>69</v>
      </c>
      <c r="C336" s="1" t="s">
        <v>70</v>
      </c>
      <c r="D336">
        <v>1</v>
      </c>
      <c r="E336">
        <v>1</v>
      </c>
      <c r="F336" s="2">
        <v>43585.43</v>
      </c>
      <c r="G336" s="3">
        <v>41275</v>
      </c>
      <c r="H336" s="3">
        <v>41639</v>
      </c>
      <c r="I336" s="1" t="s">
        <v>71</v>
      </c>
      <c r="J336">
        <v>4521</v>
      </c>
      <c r="K336">
        <v>0</v>
      </c>
      <c r="L336" s="1" t="s">
        <v>384</v>
      </c>
      <c r="M336" s="1" t="s">
        <v>72</v>
      </c>
      <c r="N336" s="1" t="s">
        <v>134</v>
      </c>
      <c r="O336" s="1" t="s">
        <v>385</v>
      </c>
      <c r="P336" s="1" t="s">
        <v>386</v>
      </c>
      <c r="Q336" s="1" t="s">
        <v>387</v>
      </c>
      <c r="R336">
        <v>103</v>
      </c>
      <c r="S336" s="1" t="s">
        <v>135</v>
      </c>
      <c r="T336" s="1" t="s">
        <v>388</v>
      </c>
      <c r="U336" s="1" t="s">
        <v>135</v>
      </c>
      <c r="V336" s="1"/>
      <c r="W336" s="1"/>
      <c r="X336" s="1"/>
      <c r="Y336" s="1"/>
      <c r="AA336" s="1"/>
      <c r="AC336" s="1"/>
      <c r="AD336" s="1"/>
      <c r="AE336" s="1"/>
      <c r="AN336" s="1" t="s">
        <v>74</v>
      </c>
      <c r="AO336">
        <v>217</v>
      </c>
      <c r="AP336" s="1" t="s">
        <v>952</v>
      </c>
      <c r="AQ336" s="1" t="s">
        <v>1061</v>
      </c>
      <c r="AR336" s="1" t="s">
        <v>1191</v>
      </c>
      <c r="AS336" s="1" t="s">
        <v>95</v>
      </c>
      <c r="AT336" s="3">
        <v>41547</v>
      </c>
      <c r="AU336" s="3">
        <v>41547</v>
      </c>
      <c r="AV336" s="3">
        <v>41547</v>
      </c>
      <c r="AW336" s="1" t="s">
        <v>1221</v>
      </c>
      <c r="AX336" s="1" t="s">
        <v>1061</v>
      </c>
      <c r="AY336">
        <v>747.98</v>
      </c>
      <c r="AZ336">
        <v>253</v>
      </c>
      <c r="BA336">
        <v>4654734.66</v>
      </c>
      <c r="BB336" s="1"/>
      <c r="BD336" s="1"/>
      <c r="BE336" s="1"/>
      <c r="BG336" s="1"/>
      <c r="BH336" s="1"/>
      <c r="BJ336" s="1"/>
      <c r="BL336" s="1"/>
      <c r="BN336" s="1"/>
      <c r="BO336">
        <v>599</v>
      </c>
      <c r="BP336">
        <v>4654734.66</v>
      </c>
      <c r="BQ336">
        <v>4654734.66</v>
      </c>
    </row>
    <row r="337" spans="1:69" x14ac:dyDescent="0.35">
      <c r="A337" s="1" t="s">
        <v>68</v>
      </c>
      <c r="B337" s="1" t="s">
        <v>69</v>
      </c>
      <c r="C337" s="1" t="s">
        <v>70</v>
      </c>
      <c r="D337">
        <v>1</v>
      </c>
      <c r="E337">
        <v>1</v>
      </c>
      <c r="F337" s="2">
        <v>43585.43</v>
      </c>
      <c r="G337" s="3">
        <v>41275</v>
      </c>
      <c r="H337" s="3">
        <v>41639</v>
      </c>
      <c r="I337" s="1" t="s">
        <v>71</v>
      </c>
      <c r="J337">
        <v>4521</v>
      </c>
      <c r="K337">
        <v>0</v>
      </c>
      <c r="L337" s="1" t="s">
        <v>384</v>
      </c>
      <c r="M337" s="1" t="s">
        <v>72</v>
      </c>
      <c r="N337" s="1" t="s">
        <v>134</v>
      </c>
      <c r="O337" s="1" t="s">
        <v>385</v>
      </c>
      <c r="P337" s="1" t="s">
        <v>386</v>
      </c>
      <c r="Q337" s="1" t="s">
        <v>387</v>
      </c>
      <c r="R337">
        <v>103</v>
      </c>
      <c r="S337" s="1" t="s">
        <v>135</v>
      </c>
      <c r="T337" s="1" t="s">
        <v>388</v>
      </c>
      <c r="U337" s="1" t="s">
        <v>135</v>
      </c>
      <c r="V337" s="1"/>
      <c r="W337" s="1"/>
      <c r="X337" s="1"/>
      <c r="Y337" s="1"/>
      <c r="AA337" s="1"/>
      <c r="AC337" s="1"/>
      <c r="AD337" s="1"/>
      <c r="AE337" s="1"/>
      <c r="AN337" s="1" t="s">
        <v>74</v>
      </c>
      <c r="AO337">
        <v>218</v>
      </c>
      <c r="AP337" s="1" t="s">
        <v>953</v>
      </c>
      <c r="AQ337" s="1" t="s">
        <v>1061</v>
      </c>
      <c r="AR337" s="1" t="s">
        <v>1191</v>
      </c>
      <c r="AS337" s="1" t="s">
        <v>95</v>
      </c>
      <c r="AT337" s="3">
        <v>41547</v>
      </c>
      <c r="AU337" s="3">
        <v>41547</v>
      </c>
      <c r="AV337" s="3">
        <v>41547</v>
      </c>
      <c r="AW337" s="1" t="s">
        <v>1221</v>
      </c>
      <c r="AX337" s="1" t="s">
        <v>1061</v>
      </c>
      <c r="AY337">
        <v>884</v>
      </c>
      <c r="AZ337">
        <v>253</v>
      </c>
      <c r="BA337">
        <v>4654734.66</v>
      </c>
      <c r="BB337" s="1"/>
      <c r="BD337" s="1"/>
      <c r="BE337" s="1"/>
      <c r="BG337" s="1"/>
      <c r="BH337" s="1"/>
      <c r="BJ337" s="1"/>
      <c r="BL337" s="1"/>
      <c r="BN337" s="1"/>
      <c r="BO337">
        <v>599</v>
      </c>
      <c r="BP337">
        <v>4654734.66</v>
      </c>
      <c r="BQ337">
        <v>4654734.66</v>
      </c>
    </row>
    <row r="338" spans="1:69" x14ac:dyDescent="0.35">
      <c r="A338" s="1" t="s">
        <v>68</v>
      </c>
      <c r="B338" s="1" t="s">
        <v>69</v>
      </c>
      <c r="C338" s="1" t="s">
        <v>70</v>
      </c>
      <c r="D338">
        <v>1</v>
      </c>
      <c r="E338">
        <v>1</v>
      </c>
      <c r="F338" s="2">
        <v>43585.43</v>
      </c>
      <c r="G338" s="3">
        <v>41275</v>
      </c>
      <c r="H338" s="3">
        <v>41639</v>
      </c>
      <c r="I338" s="1" t="s">
        <v>71</v>
      </c>
      <c r="J338">
        <v>4521</v>
      </c>
      <c r="K338">
        <v>0</v>
      </c>
      <c r="L338" s="1" t="s">
        <v>384</v>
      </c>
      <c r="M338" s="1" t="s">
        <v>72</v>
      </c>
      <c r="N338" s="1" t="s">
        <v>134</v>
      </c>
      <c r="O338" s="1" t="s">
        <v>385</v>
      </c>
      <c r="P338" s="1" t="s">
        <v>386</v>
      </c>
      <c r="Q338" s="1" t="s">
        <v>387</v>
      </c>
      <c r="R338">
        <v>103</v>
      </c>
      <c r="S338" s="1" t="s">
        <v>135</v>
      </c>
      <c r="T338" s="1" t="s">
        <v>388</v>
      </c>
      <c r="U338" s="1" t="s">
        <v>135</v>
      </c>
      <c r="V338" s="1"/>
      <c r="W338" s="1"/>
      <c r="X338" s="1"/>
      <c r="Y338" s="1"/>
      <c r="AA338" s="1"/>
      <c r="AC338" s="1"/>
      <c r="AD338" s="1"/>
      <c r="AE338" s="1"/>
      <c r="AN338" s="1" t="s">
        <v>74</v>
      </c>
      <c r="AO338">
        <v>219</v>
      </c>
      <c r="AP338" s="1" t="s">
        <v>954</v>
      </c>
      <c r="AQ338" s="1" t="s">
        <v>1061</v>
      </c>
      <c r="AR338" s="1" t="s">
        <v>1191</v>
      </c>
      <c r="AS338" s="1" t="s">
        <v>95</v>
      </c>
      <c r="AT338" s="3">
        <v>41547</v>
      </c>
      <c r="AU338" s="3">
        <v>41547</v>
      </c>
      <c r="AV338" s="3">
        <v>41547</v>
      </c>
      <c r="AW338" s="1" t="s">
        <v>1221</v>
      </c>
      <c r="AX338" s="1" t="s">
        <v>1061</v>
      </c>
      <c r="AY338">
        <v>1631.98</v>
      </c>
      <c r="AZ338">
        <v>253</v>
      </c>
      <c r="BA338">
        <v>4654734.66</v>
      </c>
      <c r="BB338" s="1"/>
      <c r="BD338" s="1"/>
      <c r="BE338" s="1"/>
      <c r="BG338" s="1"/>
      <c r="BH338" s="1"/>
      <c r="BJ338" s="1"/>
      <c r="BL338" s="1"/>
      <c r="BN338" s="1"/>
      <c r="BO338">
        <v>599</v>
      </c>
      <c r="BP338">
        <v>4654734.66</v>
      </c>
      <c r="BQ338">
        <v>4654734.66</v>
      </c>
    </row>
    <row r="339" spans="1:69" x14ac:dyDescent="0.35">
      <c r="A339" s="1" t="s">
        <v>68</v>
      </c>
      <c r="B339" s="1" t="s">
        <v>69</v>
      </c>
      <c r="C339" s="1" t="s">
        <v>70</v>
      </c>
      <c r="D339">
        <v>1</v>
      </c>
      <c r="E339">
        <v>1</v>
      </c>
      <c r="F339" s="2">
        <v>43585.43</v>
      </c>
      <c r="G339" s="3">
        <v>41275</v>
      </c>
      <c r="H339" s="3">
        <v>41639</v>
      </c>
      <c r="I339" s="1" t="s">
        <v>71</v>
      </c>
      <c r="J339">
        <v>4521</v>
      </c>
      <c r="K339">
        <v>0</v>
      </c>
      <c r="L339" s="1" t="s">
        <v>384</v>
      </c>
      <c r="M339" s="1" t="s">
        <v>72</v>
      </c>
      <c r="N339" s="1" t="s">
        <v>134</v>
      </c>
      <c r="O339" s="1" t="s">
        <v>385</v>
      </c>
      <c r="P339" s="1" t="s">
        <v>386</v>
      </c>
      <c r="Q339" s="1" t="s">
        <v>387</v>
      </c>
      <c r="R339">
        <v>103</v>
      </c>
      <c r="S339" s="1" t="s">
        <v>135</v>
      </c>
      <c r="T339" s="1" t="s">
        <v>388</v>
      </c>
      <c r="U339" s="1" t="s">
        <v>135</v>
      </c>
      <c r="V339" s="1"/>
      <c r="W339" s="1"/>
      <c r="X339" s="1"/>
      <c r="Y339" s="1"/>
      <c r="AA339" s="1"/>
      <c r="AC339" s="1"/>
      <c r="AD339" s="1"/>
      <c r="AE339" s="1"/>
      <c r="AN339" s="1" t="s">
        <v>74</v>
      </c>
      <c r="AO339">
        <v>220</v>
      </c>
      <c r="AP339" s="1" t="s">
        <v>955</v>
      </c>
      <c r="AQ339" s="1" t="s">
        <v>1061</v>
      </c>
      <c r="AR339" s="1" t="s">
        <v>1191</v>
      </c>
      <c r="AS339" s="1" t="s">
        <v>95</v>
      </c>
      <c r="AT339" s="3">
        <v>41547</v>
      </c>
      <c r="AU339" s="3">
        <v>41547</v>
      </c>
      <c r="AV339" s="3">
        <v>41547</v>
      </c>
      <c r="AW339" s="1" t="s">
        <v>1221</v>
      </c>
      <c r="AX339" s="1" t="s">
        <v>1061</v>
      </c>
      <c r="AY339">
        <v>884</v>
      </c>
      <c r="AZ339">
        <v>253</v>
      </c>
      <c r="BA339">
        <v>4654734.66</v>
      </c>
      <c r="BB339" s="1"/>
      <c r="BD339" s="1"/>
      <c r="BE339" s="1"/>
      <c r="BG339" s="1"/>
      <c r="BH339" s="1"/>
      <c r="BJ339" s="1"/>
      <c r="BL339" s="1"/>
      <c r="BN339" s="1"/>
      <c r="BO339">
        <v>599</v>
      </c>
      <c r="BP339">
        <v>4654734.66</v>
      </c>
      <c r="BQ339">
        <v>4654734.66</v>
      </c>
    </row>
    <row r="340" spans="1:69" x14ac:dyDescent="0.35">
      <c r="A340" s="1" t="s">
        <v>68</v>
      </c>
      <c r="B340" s="1" t="s">
        <v>69</v>
      </c>
      <c r="C340" s="1" t="s">
        <v>70</v>
      </c>
      <c r="D340">
        <v>1</v>
      </c>
      <c r="E340">
        <v>1</v>
      </c>
      <c r="F340" s="2">
        <v>43585.43</v>
      </c>
      <c r="G340" s="3">
        <v>41275</v>
      </c>
      <c r="H340" s="3">
        <v>41639</v>
      </c>
      <c r="I340" s="1" t="s">
        <v>71</v>
      </c>
      <c r="J340">
        <v>4521</v>
      </c>
      <c r="K340">
        <v>0</v>
      </c>
      <c r="L340" s="1" t="s">
        <v>384</v>
      </c>
      <c r="M340" s="1" t="s">
        <v>72</v>
      </c>
      <c r="N340" s="1" t="s">
        <v>134</v>
      </c>
      <c r="O340" s="1" t="s">
        <v>385</v>
      </c>
      <c r="P340" s="1" t="s">
        <v>386</v>
      </c>
      <c r="Q340" s="1" t="s">
        <v>387</v>
      </c>
      <c r="R340">
        <v>103</v>
      </c>
      <c r="S340" s="1" t="s">
        <v>135</v>
      </c>
      <c r="T340" s="1" t="s">
        <v>388</v>
      </c>
      <c r="U340" s="1" t="s">
        <v>135</v>
      </c>
      <c r="V340" s="1"/>
      <c r="W340" s="1"/>
      <c r="X340" s="1"/>
      <c r="Y340" s="1"/>
      <c r="AA340" s="1"/>
      <c r="AC340" s="1"/>
      <c r="AD340" s="1"/>
      <c r="AE340" s="1"/>
      <c r="AN340" s="1" t="s">
        <v>74</v>
      </c>
      <c r="AO340">
        <v>221</v>
      </c>
      <c r="AP340" s="1" t="s">
        <v>956</v>
      </c>
      <c r="AQ340" s="1" t="s">
        <v>1061</v>
      </c>
      <c r="AR340" s="1" t="s">
        <v>1191</v>
      </c>
      <c r="AS340" s="1" t="s">
        <v>95</v>
      </c>
      <c r="AT340" s="3">
        <v>41547</v>
      </c>
      <c r="AU340" s="3">
        <v>41547</v>
      </c>
      <c r="AV340" s="3">
        <v>41547</v>
      </c>
      <c r="AW340" s="1" t="s">
        <v>1221</v>
      </c>
      <c r="AX340" s="1" t="s">
        <v>1061</v>
      </c>
      <c r="AY340">
        <v>1232.5</v>
      </c>
      <c r="AZ340">
        <v>253</v>
      </c>
      <c r="BA340">
        <v>4654734.66</v>
      </c>
      <c r="BB340" s="1"/>
      <c r="BD340" s="1"/>
      <c r="BE340" s="1"/>
      <c r="BG340" s="1"/>
      <c r="BH340" s="1"/>
      <c r="BJ340" s="1"/>
      <c r="BL340" s="1"/>
      <c r="BN340" s="1"/>
      <c r="BO340">
        <v>599</v>
      </c>
      <c r="BP340">
        <v>4654734.66</v>
      </c>
      <c r="BQ340">
        <v>4654734.66</v>
      </c>
    </row>
    <row r="341" spans="1:69" x14ac:dyDescent="0.35">
      <c r="A341" s="1" t="s">
        <v>68</v>
      </c>
      <c r="B341" s="1" t="s">
        <v>69</v>
      </c>
      <c r="C341" s="1" t="s">
        <v>70</v>
      </c>
      <c r="D341">
        <v>1</v>
      </c>
      <c r="E341">
        <v>1</v>
      </c>
      <c r="F341" s="2">
        <v>43585.43</v>
      </c>
      <c r="G341" s="3">
        <v>41275</v>
      </c>
      <c r="H341" s="3">
        <v>41639</v>
      </c>
      <c r="I341" s="1" t="s">
        <v>71</v>
      </c>
      <c r="J341">
        <v>4521</v>
      </c>
      <c r="K341">
        <v>0</v>
      </c>
      <c r="L341" s="1" t="s">
        <v>384</v>
      </c>
      <c r="M341" s="1" t="s">
        <v>72</v>
      </c>
      <c r="N341" s="1" t="s">
        <v>134</v>
      </c>
      <c r="O341" s="1" t="s">
        <v>385</v>
      </c>
      <c r="P341" s="1" t="s">
        <v>386</v>
      </c>
      <c r="Q341" s="1" t="s">
        <v>387</v>
      </c>
      <c r="R341">
        <v>103</v>
      </c>
      <c r="S341" s="1" t="s">
        <v>135</v>
      </c>
      <c r="T341" s="1" t="s">
        <v>388</v>
      </c>
      <c r="U341" s="1" t="s">
        <v>135</v>
      </c>
      <c r="V341" s="1"/>
      <c r="W341" s="1"/>
      <c r="X341" s="1"/>
      <c r="Y341" s="1"/>
      <c r="AA341" s="1"/>
      <c r="AC341" s="1"/>
      <c r="AD341" s="1"/>
      <c r="AE341" s="1"/>
      <c r="AN341" s="1" t="s">
        <v>74</v>
      </c>
      <c r="AO341">
        <v>222</v>
      </c>
      <c r="AP341" s="1" t="s">
        <v>957</v>
      </c>
      <c r="AQ341" s="1" t="s">
        <v>1033</v>
      </c>
      <c r="AR341" s="1" t="s">
        <v>1192</v>
      </c>
      <c r="AS341" s="1" t="s">
        <v>97</v>
      </c>
      <c r="AT341" s="3">
        <v>41578</v>
      </c>
      <c r="AU341" s="3">
        <v>41554</v>
      </c>
      <c r="AV341" s="3">
        <v>41578</v>
      </c>
      <c r="AW341" s="1" t="s">
        <v>1221</v>
      </c>
      <c r="AX341" s="1" t="s">
        <v>1033</v>
      </c>
      <c r="AY341">
        <v>22000</v>
      </c>
      <c r="AZ341">
        <v>253</v>
      </c>
      <c r="BA341">
        <v>4654734.66</v>
      </c>
      <c r="BB341" s="1"/>
      <c r="BD341" s="1"/>
      <c r="BE341" s="1"/>
      <c r="BG341" s="1"/>
      <c r="BH341" s="1"/>
      <c r="BJ341" s="1"/>
      <c r="BL341" s="1"/>
      <c r="BN341" s="1"/>
      <c r="BO341">
        <v>599</v>
      </c>
      <c r="BP341">
        <v>4654734.66</v>
      </c>
      <c r="BQ341">
        <v>4654734.66</v>
      </c>
    </row>
    <row r="342" spans="1:69" x14ac:dyDescent="0.35">
      <c r="A342" s="1" t="s">
        <v>68</v>
      </c>
      <c r="B342" s="1" t="s">
        <v>69</v>
      </c>
      <c r="C342" s="1" t="s">
        <v>70</v>
      </c>
      <c r="D342">
        <v>1</v>
      </c>
      <c r="E342">
        <v>1</v>
      </c>
      <c r="F342" s="2">
        <v>43585.43</v>
      </c>
      <c r="G342" s="3">
        <v>41275</v>
      </c>
      <c r="H342" s="3">
        <v>41639</v>
      </c>
      <c r="I342" s="1" t="s">
        <v>71</v>
      </c>
      <c r="J342">
        <v>4521</v>
      </c>
      <c r="K342">
        <v>0</v>
      </c>
      <c r="L342" s="1" t="s">
        <v>384</v>
      </c>
      <c r="M342" s="1" t="s">
        <v>72</v>
      </c>
      <c r="N342" s="1" t="s">
        <v>134</v>
      </c>
      <c r="O342" s="1" t="s">
        <v>385</v>
      </c>
      <c r="P342" s="1" t="s">
        <v>386</v>
      </c>
      <c r="Q342" s="1" t="s">
        <v>387</v>
      </c>
      <c r="R342">
        <v>103</v>
      </c>
      <c r="S342" s="1" t="s">
        <v>135</v>
      </c>
      <c r="T342" s="1" t="s">
        <v>388</v>
      </c>
      <c r="U342" s="1" t="s">
        <v>135</v>
      </c>
      <c r="V342" s="1"/>
      <c r="W342" s="1"/>
      <c r="X342" s="1"/>
      <c r="Y342" s="1"/>
      <c r="AA342" s="1"/>
      <c r="AC342" s="1"/>
      <c r="AD342" s="1"/>
      <c r="AE342" s="1"/>
      <c r="AN342" s="1" t="s">
        <v>74</v>
      </c>
      <c r="AO342">
        <v>223</v>
      </c>
      <c r="AP342" s="1" t="s">
        <v>958</v>
      </c>
      <c r="AQ342" s="1" t="s">
        <v>619</v>
      </c>
      <c r="AR342" s="1" t="s">
        <v>1193</v>
      </c>
      <c r="AS342" s="1" t="s">
        <v>97</v>
      </c>
      <c r="AT342" s="3">
        <v>41578</v>
      </c>
      <c r="AU342" s="3">
        <v>41557</v>
      </c>
      <c r="AV342" s="3">
        <v>41578</v>
      </c>
      <c r="AW342" s="1" t="s">
        <v>1221</v>
      </c>
      <c r="AX342" s="1" t="s">
        <v>619</v>
      </c>
      <c r="AY342">
        <v>28905</v>
      </c>
      <c r="AZ342">
        <v>253</v>
      </c>
      <c r="BA342">
        <v>4654734.66</v>
      </c>
      <c r="BB342" s="1"/>
      <c r="BD342" s="1"/>
      <c r="BE342" s="1"/>
      <c r="BG342" s="1"/>
      <c r="BH342" s="1"/>
      <c r="BJ342" s="1"/>
      <c r="BL342" s="1"/>
      <c r="BN342" s="1"/>
      <c r="BO342">
        <v>599</v>
      </c>
      <c r="BP342">
        <v>4654734.66</v>
      </c>
      <c r="BQ342">
        <v>4654734.66</v>
      </c>
    </row>
    <row r="343" spans="1:69" x14ac:dyDescent="0.35">
      <c r="A343" s="1" t="s">
        <v>68</v>
      </c>
      <c r="B343" s="1" t="s">
        <v>69</v>
      </c>
      <c r="C343" s="1" t="s">
        <v>70</v>
      </c>
      <c r="D343">
        <v>1</v>
      </c>
      <c r="E343">
        <v>1</v>
      </c>
      <c r="F343" s="2">
        <v>43585.43</v>
      </c>
      <c r="G343" s="3">
        <v>41275</v>
      </c>
      <c r="H343" s="3">
        <v>41639</v>
      </c>
      <c r="I343" s="1" t="s">
        <v>71</v>
      </c>
      <c r="J343">
        <v>4521</v>
      </c>
      <c r="K343">
        <v>0</v>
      </c>
      <c r="L343" s="1" t="s">
        <v>384</v>
      </c>
      <c r="M343" s="1" t="s">
        <v>72</v>
      </c>
      <c r="N343" s="1" t="s">
        <v>134</v>
      </c>
      <c r="O343" s="1" t="s">
        <v>385</v>
      </c>
      <c r="P343" s="1" t="s">
        <v>386</v>
      </c>
      <c r="Q343" s="1" t="s">
        <v>387</v>
      </c>
      <c r="R343">
        <v>103</v>
      </c>
      <c r="S343" s="1" t="s">
        <v>135</v>
      </c>
      <c r="T343" s="1" t="s">
        <v>388</v>
      </c>
      <c r="U343" s="1" t="s">
        <v>135</v>
      </c>
      <c r="V343" s="1"/>
      <c r="W343" s="1"/>
      <c r="X343" s="1"/>
      <c r="Y343" s="1"/>
      <c r="AA343" s="1"/>
      <c r="AC343" s="1"/>
      <c r="AD343" s="1"/>
      <c r="AE343" s="1"/>
      <c r="AN343" s="1" t="s">
        <v>74</v>
      </c>
      <c r="AO343">
        <v>224</v>
      </c>
      <c r="AP343" s="1" t="s">
        <v>959</v>
      </c>
      <c r="AQ343" s="1" t="s">
        <v>1030</v>
      </c>
      <c r="AR343" s="1" t="s">
        <v>1194</v>
      </c>
      <c r="AS343" s="1" t="s">
        <v>98</v>
      </c>
      <c r="AT343" s="3">
        <v>41557</v>
      </c>
      <c r="AU343" s="3">
        <v>41557</v>
      </c>
      <c r="AV343" s="3">
        <v>41578</v>
      </c>
      <c r="AW343" s="1" t="s">
        <v>1221</v>
      </c>
      <c r="AX343" s="1" t="s">
        <v>1030</v>
      </c>
      <c r="AY343">
        <v>9657.9599999999991</v>
      </c>
      <c r="AZ343">
        <v>253</v>
      </c>
      <c r="BA343">
        <v>4654734.66</v>
      </c>
      <c r="BB343" s="1"/>
      <c r="BD343" s="1"/>
      <c r="BE343" s="1"/>
      <c r="BG343" s="1"/>
      <c r="BH343" s="1"/>
      <c r="BJ343" s="1"/>
      <c r="BL343" s="1"/>
      <c r="BN343" s="1"/>
      <c r="BO343">
        <v>599</v>
      </c>
      <c r="BP343">
        <v>4654734.66</v>
      </c>
      <c r="BQ343">
        <v>4654734.66</v>
      </c>
    </row>
    <row r="344" spans="1:69" x14ac:dyDescent="0.35">
      <c r="A344" s="1" t="s">
        <v>68</v>
      </c>
      <c r="B344" s="1" t="s">
        <v>69</v>
      </c>
      <c r="C344" s="1" t="s">
        <v>70</v>
      </c>
      <c r="D344">
        <v>1</v>
      </c>
      <c r="E344">
        <v>1</v>
      </c>
      <c r="F344" s="2">
        <v>43585.43</v>
      </c>
      <c r="G344" s="3">
        <v>41275</v>
      </c>
      <c r="H344" s="3">
        <v>41639</v>
      </c>
      <c r="I344" s="1" t="s">
        <v>71</v>
      </c>
      <c r="J344">
        <v>4521</v>
      </c>
      <c r="K344">
        <v>0</v>
      </c>
      <c r="L344" s="1" t="s">
        <v>384</v>
      </c>
      <c r="M344" s="1" t="s">
        <v>72</v>
      </c>
      <c r="N344" s="1" t="s">
        <v>134</v>
      </c>
      <c r="O344" s="1" t="s">
        <v>385</v>
      </c>
      <c r="P344" s="1" t="s">
        <v>386</v>
      </c>
      <c r="Q344" s="1" t="s">
        <v>387</v>
      </c>
      <c r="R344">
        <v>103</v>
      </c>
      <c r="S344" s="1" t="s">
        <v>135</v>
      </c>
      <c r="T344" s="1" t="s">
        <v>388</v>
      </c>
      <c r="U344" s="1" t="s">
        <v>135</v>
      </c>
      <c r="V344" s="1"/>
      <c r="W344" s="1"/>
      <c r="X344" s="1"/>
      <c r="Y344" s="1"/>
      <c r="AA344" s="1"/>
      <c r="AC344" s="1"/>
      <c r="AD344" s="1"/>
      <c r="AE344" s="1"/>
      <c r="AN344" s="1" t="s">
        <v>74</v>
      </c>
      <c r="AO344">
        <v>225</v>
      </c>
      <c r="AP344" s="1" t="s">
        <v>960</v>
      </c>
      <c r="AQ344" s="1" t="s">
        <v>1040</v>
      </c>
      <c r="AR344" s="1" t="s">
        <v>1195</v>
      </c>
      <c r="AS344" s="1" t="s">
        <v>98</v>
      </c>
      <c r="AT344" s="3">
        <v>41549</v>
      </c>
      <c r="AU344" s="3">
        <v>41560</v>
      </c>
      <c r="AV344" s="3">
        <v>41578</v>
      </c>
      <c r="AW344" s="1" t="s">
        <v>1221</v>
      </c>
      <c r="AX344" s="1" t="s">
        <v>1040</v>
      </c>
      <c r="AY344">
        <v>18450</v>
      </c>
      <c r="AZ344">
        <v>253</v>
      </c>
      <c r="BA344">
        <v>4654734.66</v>
      </c>
      <c r="BB344" s="1"/>
      <c r="BD344" s="1"/>
      <c r="BE344" s="1"/>
      <c r="BG344" s="1"/>
      <c r="BH344" s="1"/>
      <c r="BJ344" s="1"/>
      <c r="BL344" s="1"/>
      <c r="BN344" s="1"/>
      <c r="BO344">
        <v>599</v>
      </c>
      <c r="BP344">
        <v>4654734.66</v>
      </c>
      <c r="BQ344">
        <v>4654734.66</v>
      </c>
    </row>
    <row r="345" spans="1:69" x14ac:dyDescent="0.35">
      <c r="A345" s="1" t="s">
        <v>68</v>
      </c>
      <c r="B345" s="1" t="s">
        <v>69</v>
      </c>
      <c r="C345" s="1" t="s">
        <v>70</v>
      </c>
      <c r="D345">
        <v>1</v>
      </c>
      <c r="E345">
        <v>1</v>
      </c>
      <c r="F345" s="2">
        <v>43585.43</v>
      </c>
      <c r="G345" s="3">
        <v>41275</v>
      </c>
      <c r="H345" s="3">
        <v>41639</v>
      </c>
      <c r="I345" s="1" t="s">
        <v>71</v>
      </c>
      <c r="J345">
        <v>4521</v>
      </c>
      <c r="K345">
        <v>0</v>
      </c>
      <c r="L345" s="1" t="s">
        <v>384</v>
      </c>
      <c r="M345" s="1" t="s">
        <v>72</v>
      </c>
      <c r="N345" s="1" t="s">
        <v>134</v>
      </c>
      <c r="O345" s="1" t="s">
        <v>385</v>
      </c>
      <c r="P345" s="1" t="s">
        <v>386</v>
      </c>
      <c r="Q345" s="1" t="s">
        <v>387</v>
      </c>
      <c r="R345">
        <v>103</v>
      </c>
      <c r="S345" s="1" t="s">
        <v>135</v>
      </c>
      <c r="T345" s="1" t="s">
        <v>388</v>
      </c>
      <c r="U345" s="1" t="s">
        <v>135</v>
      </c>
      <c r="V345" s="1"/>
      <c r="W345" s="1"/>
      <c r="X345" s="1"/>
      <c r="Y345" s="1"/>
      <c r="AA345" s="1"/>
      <c r="AC345" s="1"/>
      <c r="AD345" s="1"/>
      <c r="AE345" s="1"/>
      <c r="AN345" s="1" t="s">
        <v>74</v>
      </c>
      <c r="AO345">
        <v>226</v>
      </c>
      <c r="AP345" s="1" t="s">
        <v>961</v>
      </c>
      <c r="AQ345" s="1" t="s">
        <v>1062</v>
      </c>
      <c r="AR345" s="1" t="s">
        <v>1196</v>
      </c>
      <c r="AS345" s="1" t="s">
        <v>1218</v>
      </c>
      <c r="AT345" s="3">
        <v>41569</v>
      </c>
      <c r="AU345" s="3">
        <v>41569</v>
      </c>
      <c r="AV345" s="3">
        <v>41578</v>
      </c>
      <c r="AW345" s="1" t="s">
        <v>1221</v>
      </c>
      <c r="AX345" s="1" t="s">
        <v>1259</v>
      </c>
      <c r="AY345">
        <v>105685.51</v>
      </c>
      <c r="AZ345">
        <v>253</v>
      </c>
      <c r="BA345">
        <v>4654734.66</v>
      </c>
      <c r="BB345" s="1"/>
      <c r="BD345" s="1"/>
      <c r="BE345" s="1"/>
      <c r="BG345" s="1"/>
      <c r="BH345" s="1"/>
      <c r="BJ345" s="1"/>
      <c r="BL345" s="1"/>
      <c r="BN345" s="1"/>
      <c r="BO345">
        <v>599</v>
      </c>
      <c r="BP345">
        <v>4654734.66</v>
      </c>
      <c r="BQ345">
        <v>4654734.66</v>
      </c>
    </row>
    <row r="346" spans="1:69" x14ac:dyDescent="0.35">
      <c r="A346" s="1" t="s">
        <v>68</v>
      </c>
      <c r="B346" s="1" t="s">
        <v>69</v>
      </c>
      <c r="C346" s="1" t="s">
        <v>70</v>
      </c>
      <c r="D346">
        <v>1</v>
      </c>
      <c r="E346">
        <v>1</v>
      </c>
      <c r="F346" s="2">
        <v>43585.43</v>
      </c>
      <c r="G346" s="3">
        <v>41275</v>
      </c>
      <c r="H346" s="3">
        <v>41639</v>
      </c>
      <c r="I346" s="1" t="s">
        <v>71</v>
      </c>
      <c r="J346">
        <v>4521</v>
      </c>
      <c r="K346">
        <v>0</v>
      </c>
      <c r="L346" s="1" t="s">
        <v>384</v>
      </c>
      <c r="M346" s="1" t="s">
        <v>72</v>
      </c>
      <c r="N346" s="1" t="s">
        <v>134</v>
      </c>
      <c r="O346" s="1" t="s">
        <v>385</v>
      </c>
      <c r="P346" s="1" t="s">
        <v>386</v>
      </c>
      <c r="Q346" s="1" t="s">
        <v>387</v>
      </c>
      <c r="R346">
        <v>103</v>
      </c>
      <c r="S346" s="1" t="s">
        <v>135</v>
      </c>
      <c r="T346" s="1" t="s">
        <v>388</v>
      </c>
      <c r="U346" s="1" t="s">
        <v>135</v>
      </c>
      <c r="V346" s="1"/>
      <c r="W346" s="1"/>
      <c r="X346" s="1"/>
      <c r="Y346" s="1"/>
      <c r="AA346" s="1"/>
      <c r="AC346" s="1"/>
      <c r="AD346" s="1"/>
      <c r="AE346" s="1"/>
      <c r="AN346" s="1" t="s">
        <v>74</v>
      </c>
      <c r="AO346">
        <v>227</v>
      </c>
      <c r="AP346" s="1" t="s">
        <v>962</v>
      </c>
      <c r="AQ346" s="1" t="s">
        <v>1063</v>
      </c>
      <c r="AR346" s="1" t="s">
        <v>1197</v>
      </c>
      <c r="AS346" s="1" t="s">
        <v>1219</v>
      </c>
      <c r="AT346" s="3">
        <v>41569</v>
      </c>
      <c r="AU346" s="3">
        <v>41569</v>
      </c>
      <c r="AV346" s="3">
        <v>41578</v>
      </c>
      <c r="AW346" s="1" t="s">
        <v>1221</v>
      </c>
      <c r="AX346" s="1" t="s">
        <v>1260</v>
      </c>
      <c r="AY346">
        <v>27085.59</v>
      </c>
      <c r="AZ346">
        <v>253</v>
      </c>
      <c r="BA346">
        <v>4654734.66</v>
      </c>
      <c r="BB346" s="1"/>
      <c r="BD346" s="1"/>
      <c r="BE346" s="1"/>
      <c r="BG346" s="1"/>
      <c r="BH346" s="1"/>
      <c r="BJ346" s="1"/>
      <c r="BL346" s="1"/>
      <c r="BN346" s="1"/>
      <c r="BO346">
        <v>599</v>
      </c>
      <c r="BP346">
        <v>4654734.66</v>
      </c>
      <c r="BQ346">
        <v>4654734.66</v>
      </c>
    </row>
    <row r="347" spans="1:69" x14ac:dyDescent="0.35">
      <c r="A347" s="1" t="s">
        <v>68</v>
      </c>
      <c r="B347" s="1" t="s">
        <v>69</v>
      </c>
      <c r="C347" s="1" t="s">
        <v>70</v>
      </c>
      <c r="D347">
        <v>1</v>
      </c>
      <c r="E347">
        <v>1</v>
      </c>
      <c r="F347" s="2">
        <v>43585.43</v>
      </c>
      <c r="G347" s="3">
        <v>41275</v>
      </c>
      <c r="H347" s="3">
        <v>41639</v>
      </c>
      <c r="I347" s="1" t="s">
        <v>71</v>
      </c>
      <c r="J347">
        <v>4521</v>
      </c>
      <c r="K347">
        <v>0</v>
      </c>
      <c r="L347" s="1" t="s">
        <v>384</v>
      </c>
      <c r="M347" s="1" t="s">
        <v>72</v>
      </c>
      <c r="N347" s="1" t="s">
        <v>134</v>
      </c>
      <c r="O347" s="1" t="s">
        <v>385</v>
      </c>
      <c r="P347" s="1" t="s">
        <v>386</v>
      </c>
      <c r="Q347" s="1" t="s">
        <v>387</v>
      </c>
      <c r="R347">
        <v>103</v>
      </c>
      <c r="S347" s="1" t="s">
        <v>135</v>
      </c>
      <c r="T347" s="1" t="s">
        <v>388</v>
      </c>
      <c r="U347" s="1" t="s">
        <v>135</v>
      </c>
      <c r="V347" s="1"/>
      <c r="W347" s="1"/>
      <c r="X347" s="1"/>
      <c r="Y347" s="1"/>
      <c r="AA347" s="1"/>
      <c r="AC347" s="1"/>
      <c r="AD347" s="1"/>
      <c r="AE347" s="1"/>
      <c r="AN347" s="1" t="s">
        <v>74</v>
      </c>
      <c r="AO347">
        <v>228</v>
      </c>
      <c r="AP347" s="1" t="s">
        <v>963</v>
      </c>
      <c r="AQ347" s="1" t="s">
        <v>1064</v>
      </c>
      <c r="AR347" s="1" t="s">
        <v>1198</v>
      </c>
      <c r="AS347" s="1" t="s">
        <v>1220</v>
      </c>
      <c r="AT347" s="3">
        <v>41572</v>
      </c>
      <c r="AU347" s="3">
        <v>41572</v>
      </c>
      <c r="AV347" s="3">
        <v>41578</v>
      </c>
      <c r="AW347" s="1" t="s">
        <v>1221</v>
      </c>
      <c r="AX347" s="1" t="s">
        <v>1064</v>
      </c>
      <c r="AY347">
        <v>553.5</v>
      </c>
      <c r="AZ347">
        <v>253</v>
      </c>
      <c r="BA347">
        <v>4654734.66</v>
      </c>
      <c r="BB347" s="1"/>
      <c r="BD347" s="1"/>
      <c r="BE347" s="1"/>
      <c r="BG347" s="1"/>
      <c r="BH347" s="1"/>
      <c r="BJ347" s="1"/>
      <c r="BL347" s="1"/>
      <c r="BN347" s="1"/>
      <c r="BO347">
        <v>599</v>
      </c>
      <c r="BP347">
        <v>4654734.66</v>
      </c>
      <c r="BQ347">
        <v>4654734.66</v>
      </c>
    </row>
    <row r="348" spans="1:69" x14ac:dyDescent="0.35">
      <c r="A348" s="1" t="s">
        <v>68</v>
      </c>
      <c r="B348" s="1" t="s">
        <v>69</v>
      </c>
      <c r="C348" s="1" t="s">
        <v>70</v>
      </c>
      <c r="D348">
        <v>1</v>
      </c>
      <c r="E348">
        <v>1</v>
      </c>
      <c r="F348" s="2">
        <v>43585.43</v>
      </c>
      <c r="G348" s="3">
        <v>41275</v>
      </c>
      <c r="H348" s="3">
        <v>41639</v>
      </c>
      <c r="I348" s="1" t="s">
        <v>71</v>
      </c>
      <c r="J348">
        <v>4521</v>
      </c>
      <c r="K348">
        <v>0</v>
      </c>
      <c r="L348" s="1" t="s">
        <v>384</v>
      </c>
      <c r="M348" s="1" t="s">
        <v>72</v>
      </c>
      <c r="N348" s="1" t="s">
        <v>134</v>
      </c>
      <c r="O348" s="1" t="s">
        <v>385</v>
      </c>
      <c r="P348" s="1" t="s">
        <v>386</v>
      </c>
      <c r="Q348" s="1" t="s">
        <v>387</v>
      </c>
      <c r="R348">
        <v>103</v>
      </c>
      <c r="S348" s="1" t="s">
        <v>135</v>
      </c>
      <c r="T348" s="1" t="s">
        <v>388</v>
      </c>
      <c r="U348" s="1" t="s">
        <v>135</v>
      </c>
      <c r="V348" s="1"/>
      <c r="W348" s="1"/>
      <c r="X348" s="1"/>
      <c r="Y348" s="1"/>
      <c r="AA348" s="1"/>
      <c r="AC348" s="1"/>
      <c r="AD348" s="1"/>
      <c r="AE348" s="1"/>
      <c r="AN348" s="1" t="s">
        <v>74</v>
      </c>
      <c r="AO348">
        <v>229</v>
      </c>
      <c r="AP348" s="1" t="s">
        <v>964</v>
      </c>
      <c r="AQ348" s="1" t="s">
        <v>619</v>
      </c>
      <c r="AR348" s="1" t="s">
        <v>1199</v>
      </c>
      <c r="AS348" s="1" t="s">
        <v>97</v>
      </c>
      <c r="AT348" s="3">
        <v>41578</v>
      </c>
      <c r="AU348" s="3">
        <v>41578</v>
      </c>
      <c r="AV348" s="3">
        <v>41578</v>
      </c>
      <c r="AW348" s="1" t="s">
        <v>1221</v>
      </c>
      <c r="AX348" s="1" t="s">
        <v>619</v>
      </c>
      <c r="AY348">
        <v>23828.400000000001</v>
      </c>
      <c r="AZ348">
        <v>253</v>
      </c>
      <c r="BA348">
        <v>4654734.66</v>
      </c>
      <c r="BB348" s="1"/>
      <c r="BD348" s="1"/>
      <c r="BE348" s="1"/>
      <c r="BG348" s="1"/>
      <c r="BH348" s="1"/>
      <c r="BJ348" s="1"/>
      <c r="BL348" s="1"/>
      <c r="BN348" s="1"/>
      <c r="BO348">
        <v>599</v>
      </c>
      <c r="BP348">
        <v>4654734.66</v>
      </c>
      <c r="BQ348">
        <v>4654734.66</v>
      </c>
    </row>
    <row r="349" spans="1:69" x14ac:dyDescent="0.35">
      <c r="A349" s="1" t="s">
        <v>68</v>
      </c>
      <c r="B349" s="1" t="s">
        <v>69</v>
      </c>
      <c r="C349" s="1" t="s">
        <v>70</v>
      </c>
      <c r="D349">
        <v>1</v>
      </c>
      <c r="E349">
        <v>1</v>
      </c>
      <c r="F349" s="2">
        <v>43585.43</v>
      </c>
      <c r="G349" s="3">
        <v>41275</v>
      </c>
      <c r="H349" s="3">
        <v>41639</v>
      </c>
      <c r="I349" s="1" t="s">
        <v>71</v>
      </c>
      <c r="J349">
        <v>4521</v>
      </c>
      <c r="K349">
        <v>0</v>
      </c>
      <c r="L349" s="1" t="s">
        <v>384</v>
      </c>
      <c r="M349" s="1" t="s">
        <v>72</v>
      </c>
      <c r="N349" s="1" t="s">
        <v>134</v>
      </c>
      <c r="O349" s="1" t="s">
        <v>385</v>
      </c>
      <c r="P349" s="1" t="s">
        <v>386</v>
      </c>
      <c r="Q349" s="1" t="s">
        <v>387</v>
      </c>
      <c r="R349">
        <v>103</v>
      </c>
      <c r="S349" s="1" t="s">
        <v>135</v>
      </c>
      <c r="T349" s="1" t="s">
        <v>388</v>
      </c>
      <c r="U349" s="1" t="s">
        <v>135</v>
      </c>
      <c r="V349" s="1"/>
      <c r="W349" s="1"/>
      <c r="X349" s="1"/>
      <c r="Y349" s="1"/>
      <c r="AA349" s="1"/>
      <c r="AC349" s="1"/>
      <c r="AD349" s="1"/>
      <c r="AE349" s="1"/>
      <c r="AN349" s="1" t="s">
        <v>74</v>
      </c>
      <c r="AO349">
        <v>230</v>
      </c>
      <c r="AP349" s="1" t="s">
        <v>965</v>
      </c>
      <c r="AQ349" s="1" t="s">
        <v>1065</v>
      </c>
      <c r="AR349" s="1" t="s">
        <v>1200</v>
      </c>
      <c r="AS349" s="1" t="s">
        <v>1213</v>
      </c>
      <c r="AT349" s="3">
        <v>41578</v>
      </c>
      <c r="AU349" s="3">
        <v>41578</v>
      </c>
      <c r="AV349" s="3">
        <v>41578</v>
      </c>
      <c r="AW349" s="1" t="s">
        <v>1221</v>
      </c>
      <c r="AX349" s="1" t="s">
        <v>1234</v>
      </c>
      <c r="AY349">
        <v>356.1</v>
      </c>
      <c r="AZ349">
        <v>253</v>
      </c>
      <c r="BA349">
        <v>4654734.66</v>
      </c>
      <c r="BB349" s="1"/>
      <c r="BD349" s="1"/>
      <c r="BE349" s="1"/>
      <c r="BG349" s="1"/>
      <c r="BH349" s="1"/>
      <c r="BJ349" s="1"/>
      <c r="BL349" s="1"/>
      <c r="BN349" s="1"/>
      <c r="BO349">
        <v>599</v>
      </c>
      <c r="BP349">
        <v>4654734.66</v>
      </c>
      <c r="BQ349">
        <v>4654734.66</v>
      </c>
    </row>
    <row r="350" spans="1:69" x14ac:dyDescent="0.35">
      <c r="A350" s="1" t="s">
        <v>68</v>
      </c>
      <c r="B350" s="1" t="s">
        <v>69</v>
      </c>
      <c r="C350" s="1" t="s">
        <v>70</v>
      </c>
      <c r="D350">
        <v>1</v>
      </c>
      <c r="E350">
        <v>1</v>
      </c>
      <c r="F350" s="2">
        <v>43585.43</v>
      </c>
      <c r="G350" s="3">
        <v>41275</v>
      </c>
      <c r="H350" s="3">
        <v>41639</v>
      </c>
      <c r="I350" s="1" t="s">
        <v>71</v>
      </c>
      <c r="J350">
        <v>4521</v>
      </c>
      <c r="K350">
        <v>0</v>
      </c>
      <c r="L350" s="1" t="s">
        <v>384</v>
      </c>
      <c r="M350" s="1" t="s">
        <v>72</v>
      </c>
      <c r="N350" s="1" t="s">
        <v>134</v>
      </c>
      <c r="O350" s="1" t="s">
        <v>385</v>
      </c>
      <c r="P350" s="1" t="s">
        <v>386</v>
      </c>
      <c r="Q350" s="1" t="s">
        <v>387</v>
      </c>
      <c r="R350">
        <v>103</v>
      </c>
      <c r="S350" s="1" t="s">
        <v>135</v>
      </c>
      <c r="T350" s="1" t="s">
        <v>388</v>
      </c>
      <c r="U350" s="1" t="s">
        <v>135</v>
      </c>
      <c r="V350" s="1"/>
      <c r="W350" s="1"/>
      <c r="X350" s="1"/>
      <c r="Y350" s="1"/>
      <c r="AA350" s="1"/>
      <c r="AC350" s="1"/>
      <c r="AD350" s="1"/>
      <c r="AE350" s="1"/>
      <c r="AN350" s="1" t="s">
        <v>74</v>
      </c>
      <c r="AO350">
        <v>231</v>
      </c>
      <c r="AP350" s="1" t="s">
        <v>966</v>
      </c>
      <c r="AQ350" s="1" t="s">
        <v>1065</v>
      </c>
      <c r="AR350" s="1" t="s">
        <v>1200</v>
      </c>
      <c r="AS350" s="1" t="s">
        <v>1213</v>
      </c>
      <c r="AT350" s="3">
        <v>41578</v>
      </c>
      <c r="AU350" s="3">
        <v>41578</v>
      </c>
      <c r="AV350" s="3">
        <v>41578</v>
      </c>
      <c r="AW350" s="1" t="s">
        <v>1221</v>
      </c>
      <c r="AX350" s="1" t="s">
        <v>1235</v>
      </c>
      <c r="AY350">
        <v>3965</v>
      </c>
      <c r="AZ350">
        <v>253</v>
      </c>
      <c r="BA350">
        <v>4654734.66</v>
      </c>
      <c r="BB350" s="1"/>
      <c r="BD350" s="1"/>
      <c r="BE350" s="1"/>
      <c r="BG350" s="1"/>
      <c r="BH350" s="1"/>
      <c r="BJ350" s="1"/>
      <c r="BL350" s="1"/>
      <c r="BN350" s="1"/>
      <c r="BO350">
        <v>599</v>
      </c>
      <c r="BP350">
        <v>4654734.66</v>
      </c>
      <c r="BQ350">
        <v>4654734.66</v>
      </c>
    </row>
    <row r="351" spans="1:69" x14ac:dyDescent="0.35">
      <c r="A351" s="1" t="s">
        <v>68</v>
      </c>
      <c r="B351" s="1" t="s">
        <v>69</v>
      </c>
      <c r="C351" s="1" t="s">
        <v>70</v>
      </c>
      <c r="D351">
        <v>1</v>
      </c>
      <c r="E351">
        <v>1</v>
      </c>
      <c r="F351" s="2">
        <v>43585.43</v>
      </c>
      <c r="G351" s="3">
        <v>41275</v>
      </c>
      <c r="H351" s="3">
        <v>41639</v>
      </c>
      <c r="I351" s="1" t="s">
        <v>71</v>
      </c>
      <c r="J351">
        <v>4521</v>
      </c>
      <c r="K351">
        <v>0</v>
      </c>
      <c r="L351" s="1" t="s">
        <v>384</v>
      </c>
      <c r="M351" s="1" t="s">
        <v>72</v>
      </c>
      <c r="N351" s="1" t="s">
        <v>134</v>
      </c>
      <c r="O351" s="1" t="s">
        <v>385</v>
      </c>
      <c r="P351" s="1" t="s">
        <v>386</v>
      </c>
      <c r="Q351" s="1" t="s">
        <v>387</v>
      </c>
      <c r="R351">
        <v>103</v>
      </c>
      <c r="S351" s="1" t="s">
        <v>135</v>
      </c>
      <c r="T351" s="1" t="s">
        <v>388</v>
      </c>
      <c r="U351" s="1" t="s">
        <v>135</v>
      </c>
      <c r="V351" s="1"/>
      <c r="W351" s="1"/>
      <c r="X351" s="1"/>
      <c r="Y351" s="1"/>
      <c r="AA351" s="1"/>
      <c r="AC351" s="1"/>
      <c r="AD351" s="1"/>
      <c r="AE351" s="1"/>
      <c r="AN351" s="1" t="s">
        <v>74</v>
      </c>
      <c r="AO351">
        <v>232</v>
      </c>
      <c r="AP351" s="1" t="s">
        <v>967</v>
      </c>
      <c r="AQ351" s="1" t="s">
        <v>1066</v>
      </c>
      <c r="AR351" s="1" t="s">
        <v>1201</v>
      </c>
      <c r="AS351" s="1" t="s">
        <v>96</v>
      </c>
      <c r="AT351" s="3">
        <v>41578</v>
      </c>
      <c r="AU351" s="3">
        <v>41578</v>
      </c>
      <c r="AV351" s="3">
        <v>41578</v>
      </c>
      <c r="AW351" s="1" t="s">
        <v>1221</v>
      </c>
      <c r="AX351" s="1" t="s">
        <v>1261</v>
      </c>
      <c r="AY351">
        <v>250000</v>
      </c>
      <c r="AZ351">
        <v>253</v>
      </c>
      <c r="BA351">
        <v>4654734.66</v>
      </c>
      <c r="BB351" s="1"/>
      <c r="BD351" s="1"/>
      <c r="BE351" s="1"/>
      <c r="BG351" s="1"/>
      <c r="BH351" s="1"/>
      <c r="BJ351" s="1"/>
      <c r="BL351" s="1"/>
      <c r="BN351" s="1"/>
      <c r="BO351">
        <v>599</v>
      </c>
      <c r="BP351">
        <v>4654734.66</v>
      </c>
      <c r="BQ351">
        <v>4654734.66</v>
      </c>
    </row>
    <row r="352" spans="1:69" x14ac:dyDescent="0.35">
      <c r="A352" s="1" t="s">
        <v>68</v>
      </c>
      <c r="B352" s="1" t="s">
        <v>69</v>
      </c>
      <c r="C352" s="1" t="s">
        <v>70</v>
      </c>
      <c r="D352">
        <v>1</v>
      </c>
      <c r="E352">
        <v>1</v>
      </c>
      <c r="F352" s="2">
        <v>43585.43</v>
      </c>
      <c r="G352" s="3">
        <v>41275</v>
      </c>
      <c r="H352" s="3">
        <v>41639</v>
      </c>
      <c r="I352" s="1" t="s">
        <v>71</v>
      </c>
      <c r="J352">
        <v>4521</v>
      </c>
      <c r="K352">
        <v>0</v>
      </c>
      <c r="L352" s="1" t="s">
        <v>384</v>
      </c>
      <c r="M352" s="1" t="s">
        <v>72</v>
      </c>
      <c r="N352" s="1" t="s">
        <v>134</v>
      </c>
      <c r="O352" s="1" t="s">
        <v>385</v>
      </c>
      <c r="P352" s="1" t="s">
        <v>386</v>
      </c>
      <c r="Q352" s="1" t="s">
        <v>387</v>
      </c>
      <c r="R352">
        <v>103</v>
      </c>
      <c r="S352" s="1" t="s">
        <v>135</v>
      </c>
      <c r="T352" s="1" t="s">
        <v>388</v>
      </c>
      <c r="U352" s="1" t="s">
        <v>135</v>
      </c>
      <c r="V352" s="1"/>
      <c r="W352" s="1"/>
      <c r="X352" s="1"/>
      <c r="Y352" s="1"/>
      <c r="AA352" s="1"/>
      <c r="AC352" s="1"/>
      <c r="AD352" s="1"/>
      <c r="AE352" s="1"/>
      <c r="AN352" s="1" t="s">
        <v>74</v>
      </c>
      <c r="AO352">
        <v>233</v>
      </c>
      <c r="AP352" s="1" t="s">
        <v>968</v>
      </c>
      <c r="AQ352" s="1" t="s">
        <v>1066</v>
      </c>
      <c r="AR352" s="1" t="s">
        <v>1201</v>
      </c>
      <c r="AS352" s="1" t="s">
        <v>96</v>
      </c>
      <c r="AT352" s="3">
        <v>41578</v>
      </c>
      <c r="AU352" s="3">
        <v>41578</v>
      </c>
      <c r="AV352" s="3">
        <v>41578</v>
      </c>
      <c r="AW352" s="1" t="s">
        <v>1221</v>
      </c>
      <c r="AX352" s="1" t="s">
        <v>1250</v>
      </c>
      <c r="AY352">
        <v>92250</v>
      </c>
      <c r="AZ352">
        <v>253</v>
      </c>
      <c r="BA352">
        <v>4654734.66</v>
      </c>
      <c r="BB352" s="1"/>
      <c r="BD352" s="1"/>
      <c r="BE352" s="1"/>
      <c r="BG352" s="1"/>
      <c r="BH352" s="1"/>
      <c r="BJ352" s="1"/>
      <c r="BL352" s="1"/>
      <c r="BN352" s="1"/>
      <c r="BO352">
        <v>599</v>
      </c>
      <c r="BP352">
        <v>4654734.66</v>
      </c>
      <c r="BQ352">
        <v>4654734.66</v>
      </c>
    </row>
    <row r="353" spans="1:69" x14ac:dyDescent="0.35">
      <c r="A353" s="1" t="s">
        <v>68</v>
      </c>
      <c r="B353" s="1" t="s">
        <v>69</v>
      </c>
      <c r="C353" s="1" t="s">
        <v>70</v>
      </c>
      <c r="D353">
        <v>1</v>
      </c>
      <c r="E353">
        <v>1</v>
      </c>
      <c r="F353" s="2">
        <v>43585.43</v>
      </c>
      <c r="G353" s="3">
        <v>41275</v>
      </c>
      <c r="H353" s="3">
        <v>41639</v>
      </c>
      <c r="I353" s="1" t="s">
        <v>71</v>
      </c>
      <c r="J353">
        <v>4521</v>
      </c>
      <c r="K353">
        <v>0</v>
      </c>
      <c r="L353" s="1" t="s">
        <v>384</v>
      </c>
      <c r="M353" s="1" t="s">
        <v>72</v>
      </c>
      <c r="N353" s="1" t="s">
        <v>134</v>
      </c>
      <c r="O353" s="1" t="s">
        <v>385</v>
      </c>
      <c r="P353" s="1" t="s">
        <v>386</v>
      </c>
      <c r="Q353" s="1" t="s">
        <v>387</v>
      </c>
      <c r="R353">
        <v>103</v>
      </c>
      <c r="S353" s="1" t="s">
        <v>135</v>
      </c>
      <c r="T353" s="1" t="s">
        <v>388</v>
      </c>
      <c r="U353" s="1" t="s">
        <v>135</v>
      </c>
      <c r="V353" s="1"/>
      <c r="W353" s="1"/>
      <c r="X353" s="1"/>
      <c r="Y353" s="1"/>
      <c r="AA353" s="1"/>
      <c r="AC353" s="1"/>
      <c r="AD353" s="1"/>
      <c r="AE353" s="1"/>
      <c r="AN353" s="1" t="s">
        <v>74</v>
      </c>
      <c r="AO353">
        <v>234</v>
      </c>
      <c r="AP353" s="1" t="s">
        <v>969</v>
      </c>
      <c r="AQ353" s="1" t="s">
        <v>1066</v>
      </c>
      <c r="AR353" s="1" t="s">
        <v>1201</v>
      </c>
      <c r="AS353" s="1" t="s">
        <v>96</v>
      </c>
      <c r="AT353" s="3">
        <v>41578</v>
      </c>
      <c r="AU353" s="3">
        <v>41578</v>
      </c>
      <c r="AV353" s="3">
        <v>41578</v>
      </c>
      <c r="AW353" s="1" t="s">
        <v>1221</v>
      </c>
      <c r="AX353" s="1" t="s">
        <v>1251</v>
      </c>
      <c r="AY353">
        <v>38990</v>
      </c>
      <c r="AZ353">
        <v>253</v>
      </c>
      <c r="BA353">
        <v>4654734.66</v>
      </c>
      <c r="BB353" s="1"/>
      <c r="BD353" s="1"/>
      <c r="BE353" s="1"/>
      <c r="BG353" s="1"/>
      <c r="BH353" s="1"/>
      <c r="BJ353" s="1"/>
      <c r="BL353" s="1"/>
      <c r="BN353" s="1"/>
      <c r="BO353">
        <v>599</v>
      </c>
      <c r="BP353">
        <v>4654734.66</v>
      </c>
      <c r="BQ353">
        <v>4654734.66</v>
      </c>
    </row>
    <row r="354" spans="1:69" x14ac:dyDescent="0.35">
      <c r="A354" s="1" t="s">
        <v>68</v>
      </c>
      <c r="B354" s="1" t="s">
        <v>69</v>
      </c>
      <c r="C354" s="1" t="s">
        <v>70</v>
      </c>
      <c r="D354">
        <v>1</v>
      </c>
      <c r="E354">
        <v>1</v>
      </c>
      <c r="F354" s="2">
        <v>43585.43</v>
      </c>
      <c r="G354" s="3">
        <v>41275</v>
      </c>
      <c r="H354" s="3">
        <v>41639</v>
      </c>
      <c r="I354" s="1" t="s">
        <v>71</v>
      </c>
      <c r="J354">
        <v>4521</v>
      </c>
      <c r="K354">
        <v>0</v>
      </c>
      <c r="L354" s="1" t="s">
        <v>384</v>
      </c>
      <c r="M354" s="1" t="s">
        <v>72</v>
      </c>
      <c r="N354" s="1" t="s">
        <v>134</v>
      </c>
      <c r="O354" s="1" t="s">
        <v>385</v>
      </c>
      <c r="P354" s="1" t="s">
        <v>386</v>
      </c>
      <c r="Q354" s="1" t="s">
        <v>387</v>
      </c>
      <c r="R354">
        <v>103</v>
      </c>
      <c r="S354" s="1" t="s">
        <v>135</v>
      </c>
      <c r="T354" s="1" t="s">
        <v>388</v>
      </c>
      <c r="U354" s="1" t="s">
        <v>135</v>
      </c>
      <c r="V354" s="1"/>
      <c r="W354" s="1"/>
      <c r="X354" s="1"/>
      <c r="Y354" s="1"/>
      <c r="AA354" s="1"/>
      <c r="AC354" s="1"/>
      <c r="AD354" s="1"/>
      <c r="AE354" s="1"/>
      <c r="AN354" s="1" t="s">
        <v>74</v>
      </c>
      <c r="AO354">
        <v>235</v>
      </c>
      <c r="AP354" s="1" t="s">
        <v>970</v>
      </c>
      <c r="AQ354" s="1" t="s">
        <v>1066</v>
      </c>
      <c r="AR354" s="1" t="s">
        <v>1201</v>
      </c>
      <c r="AS354" s="1" t="s">
        <v>96</v>
      </c>
      <c r="AT354" s="3">
        <v>41578</v>
      </c>
      <c r="AU354" s="3">
        <v>41578</v>
      </c>
      <c r="AV354" s="3">
        <v>41578</v>
      </c>
      <c r="AW354" s="1" t="s">
        <v>1221</v>
      </c>
      <c r="AX354" s="1" t="s">
        <v>1252</v>
      </c>
      <c r="AY354">
        <v>25000</v>
      </c>
      <c r="AZ354">
        <v>253</v>
      </c>
      <c r="BA354">
        <v>4654734.66</v>
      </c>
      <c r="BB354" s="1"/>
      <c r="BD354" s="1"/>
      <c r="BE354" s="1"/>
      <c r="BG354" s="1"/>
      <c r="BH354" s="1"/>
      <c r="BJ354" s="1"/>
      <c r="BL354" s="1"/>
      <c r="BN354" s="1"/>
      <c r="BO354">
        <v>599</v>
      </c>
      <c r="BP354">
        <v>4654734.66</v>
      </c>
      <c r="BQ354">
        <v>4654734.66</v>
      </c>
    </row>
    <row r="355" spans="1:69" x14ac:dyDescent="0.35">
      <c r="A355" s="1" t="s">
        <v>68</v>
      </c>
      <c r="B355" s="1" t="s">
        <v>69</v>
      </c>
      <c r="C355" s="1" t="s">
        <v>70</v>
      </c>
      <c r="D355">
        <v>1</v>
      </c>
      <c r="E355">
        <v>1</v>
      </c>
      <c r="F355" s="2">
        <v>43585.43</v>
      </c>
      <c r="G355" s="3">
        <v>41275</v>
      </c>
      <c r="H355" s="3">
        <v>41639</v>
      </c>
      <c r="I355" s="1" t="s">
        <v>71</v>
      </c>
      <c r="J355">
        <v>4521</v>
      </c>
      <c r="K355">
        <v>0</v>
      </c>
      <c r="L355" s="1" t="s">
        <v>384</v>
      </c>
      <c r="M355" s="1" t="s">
        <v>72</v>
      </c>
      <c r="N355" s="1" t="s">
        <v>134</v>
      </c>
      <c r="O355" s="1" t="s">
        <v>385</v>
      </c>
      <c r="P355" s="1" t="s">
        <v>386</v>
      </c>
      <c r="Q355" s="1" t="s">
        <v>387</v>
      </c>
      <c r="R355">
        <v>103</v>
      </c>
      <c r="S355" s="1" t="s">
        <v>135</v>
      </c>
      <c r="T355" s="1" t="s">
        <v>388</v>
      </c>
      <c r="U355" s="1" t="s">
        <v>135</v>
      </c>
      <c r="V355" s="1"/>
      <c r="W355" s="1"/>
      <c r="X355" s="1"/>
      <c r="Y355" s="1"/>
      <c r="AA355" s="1"/>
      <c r="AC355" s="1"/>
      <c r="AD355" s="1"/>
      <c r="AE355" s="1"/>
      <c r="AN355" s="1" t="s">
        <v>74</v>
      </c>
      <c r="AO355">
        <v>236</v>
      </c>
      <c r="AP355" s="1" t="s">
        <v>971</v>
      </c>
      <c r="AQ355" s="1" t="s">
        <v>1066</v>
      </c>
      <c r="AR355" s="1" t="s">
        <v>1201</v>
      </c>
      <c r="AS355" s="1" t="s">
        <v>96</v>
      </c>
      <c r="AT355" s="3">
        <v>41578</v>
      </c>
      <c r="AU355" s="3">
        <v>41578</v>
      </c>
      <c r="AV355" s="3">
        <v>41578</v>
      </c>
      <c r="AW355" s="1" t="s">
        <v>1221</v>
      </c>
      <c r="AX355" s="1" t="s">
        <v>1253</v>
      </c>
      <c r="AY355">
        <v>100000</v>
      </c>
      <c r="AZ355">
        <v>253</v>
      </c>
      <c r="BA355">
        <v>4654734.66</v>
      </c>
      <c r="BB355" s="1"/>
      <c r="BD355" s="1"/>
      <c r="BE355" s="1"/>
      <c r="BG355" s="1"/>
      <c r="BH355" s="1"/>
      <c r="BJ355" s="1"/>
      <c r="BL355" s="1"/>
      <c r="BN355" s="1"/>
      <c r="BO355">
        <v>599</v>
      </c>
      <c r="BP355">
        <v>4654734.66</v>
      </c>
      <c r="BQ355">
        <v>4654734.66</v>
      </c>
    </row>
    <row r="356" spans="1:69" x14ac:dyDescent="0.35">
      <c r="A356" s="1" t="s">
        <v>68</v>
      </c>
      <c r="B356" s="1" t="s">
        <v>69</v>
      </c>
      <c r="C356" s="1" t="s">
        <v>70</v>
      </c>
      <c r="D356">
        <v>1</v>
      </c>
      <c r="E356">
        <v>1</v>
      </c>
      <c r="F356" s="2">
        <v>43585.43</v>
      </c>
      <c r="G356" s="3">
        <v>41275</v>
      </c>
      <c r="H356" s="3">
        <v>41639</v>
      </c>
      <c r="I356" s="1" t="s">
        <v>71</v>
      </c>
      <c r="J356">
        <v>4521</v>
      </c>
      <c r="K356">
        <v>0</v>
      </c>
      <c r="L356" s="1" t="s">
        <v>384</v>
      </c>
      <c r="M356" s="1" t="s">
        <v>72</v>
      </c>
      <c r="N356" s="1" t="s">
        <v>134</v>
      </c>
      <c r="O356" s="1" t="s">
        <v>385</v>
      </c>
      <c r="P356" s="1" t="s">
        <v>386</v>
      </c>
      <c r="Q356" s="1" t="s">
        <v>387</v>
      </c>
      <c r="R356">
        <v>103</v>
      </c>
      <c r="S356" s="1" t="s">
        <v>135</v>
      </c>
      <c r="T356" s="1" t="s">
        <v>388</v>
      </c>
      <c r="U356" s="1" t="s">
        <v>135</v>
      </c>
      <c r="V356" s="1"/>
      <c r="W356" s="1"/>
      <c r="X356" s="1"/>
      <c r="Y356" s="1"/>
      <c r="AA356" s="1"/>
      <c r="AC356" s="1"/>
      <c r="AD356" s="1"/>
      <c r="AE356" s="1"/>
      <c r="AN356" s="1" t="s">
        <v>74</v>
      </c>
      <c r="AO356">
        <v>237</v>
      </c>
      <c r="AP356" s="1" t="s">
        <v>1592</v>
      </c>
      <c r="AQ356" s="1" t="s">
        <v>1594</v>
      </c>
      <c r="AR356" s="1" t="s">
        <v>1596</v>
      </c>
      <c r="AS356" s="1" t="s">
        <v>95</v>
      </c>
      <c r="AT356" s="3">
        <v>41639</v>
      </c>
      <c r="AU356" s="3">
        <v>41639</v>
      </c>
      <c r="AV356" s="3">
        <v>41639</v>
      </c>
      <c r="AW356" s="1" t="s">
        <v>1221</v>
      </c>
      <c r="AX356" s="1" t="s">
        <v>1594</v>
      </c>
      <c r="AY356">
        <v>600000</v>
      </c>
      <c r="AZ356">
        <v>253</v>
      </c>
      <c r="BA356">
        <v>4654734.66</v>
      </c>
      <c r="BB356" s="1"/>
      <c r="BD356" s="1"/>
      <c r="BE356" s="1"/>
      <c r="BG356" s="1"/>
      <c r="BH356" s="1"/>
      <c r="BJ356" s="1"/>
      <c r="BL356" s="1"/>
      <c r="BN356" s="1"/>
      <c r="BO356">
        <v>599</v>
      </c>
      <c r="BP356">
        <v>4654734.66</v>
      </c>
      <c r="BQ356">
        <v>4654734.66</v>
      </c>
    </row>
    <row r="357" spans="1:69" x14ac:dyDescent="0.35">
      <c r="A357" s="1" t="s">
        <v>68</v>
      </c>
      <c r="B357" s="1" t="s">
        <v>69</v>
      </c>
      <c r="C357" s="1" t="s">
        <v>70</v>
      </c>
      <c r="D357">
        <v>1</v>
      </c>
      <c r="E357">
        <v>1</v>
      </c>
      <c r="F357" s="2">
        <v>43585.43</v>
      </c>
      <c r="G357" s="3">
        <v>41275</v>
      </c>
      <c r="H357" s="3">
        <v>41639</v>
      </c>
      <c r="I357" s="1" t="s">
        <v>71</v>
      </c>
      <c r="J357">
        <v>4521</v>
      </c>
      <c r="K357">
        <v>0</v>
      </c>
      <c r="L357" s="1" t="s">
        <v>384</v>
      </c>
      <c r="M357" s="1" t="s">
        <v>72</v>
      </c>
      <c r="N357" s="1" t="s">
        <v>134</v>
      </c>
      <c r="O357" s="1" t="s">
        <v>385</v>
      </c>
      <c r="P357" s="1" t="s">
        <v>386</v>
      </c>
      <c r="Q357" s="1" t="s">
        <v>387</v>
      </c>
      <c r="R357">
        <v>103</v>
      </c>
      <c r="S357" s="1" t="s">
        <v>135</v>
      </c>
      <c r="T357" s="1" t="s">
        <v>388</v>
      </c>
      <c r="U357" s="1" t="s">
        <v>135</v>
      </c>
      <c r="V357" s="1"/>
      <c r="W357" s="1"/>
      <c r="X357" s="1"/>
      <c r="Y357" s="1"/>
      <c r="AA357" s="1"/>
      <c r="AC357" s="1"/>
      <c r="AD357" s="1"/>
      <c r="AE357" s="1"/>
      <c r="AN357" s="1" t="s">
        <v>74</v>
      </c>
      <c r="AO357">
        <v>238</v>
      </c>
      <c r="AP357" s="1" t="s">
        <v>1593</v>
      </c>
      <c r="AQ357" s="1" t="s">
        <v>1595</v>
      </c>
      <c r="AR357" s="1" t="s">
        <v>1597</v>
      </c>
      <c r="AS357" s="1" t="s">
        <v>95</v>
      </c>
      <c r="AT357" s="3">
        <v>41639</v>
      </c>
      <c r="AU357" s="3">
        <v>41639</v>
      </c>
      <c r="AV357" s="3">
        <v>41639</v>
      </c>
      <c r="AW357" s="1" t="s">
        <v>1221</v>
      </c>
      <c r="AX357" s="1" t="s">
        <v>1595</v>
      </c>
      <c r="AY357">
        <v>25567.14</v>
      </c>
      <c r="AZ357">
        <v>253</v>
      </c>
      <c r="BA357">
        <v>4654734.66</v>
      </c>
      <c r="BB357" s="1"/>
      <c r="BD357" s="1"/>
      <c r="BE357" s="1"/>
      <c r="BG357" s="1"/>
      <c r="BH357" s="1"/>
      <c r="BJ357" s="1"/>
      <c r="BL357" s="1"/>
      <c r="BN357" s="1"/>
      <c r="BO357">
        <v>599</v>
      </c>
      <c r="BP357">
        <v>4654734.66</v>
      </c>
      <c r="BQ357">
        <v>4654734.66</v>
      </c>
    </row>
    <row r="358" spans="1:69" x14ac:dyDescent="0.35">
      <c r="A358" s="1" t="s">
        <v>68</v>
      </c>
      <c r="B358" s="1" t="s">
        <v>69</v>
      </c>
      <c r="C358" s="1" t="s">
        <v>70</v>
      </c>
      <c r="D358">
        <v>1</v>
      </c>
      <c r="E358">
        <v>1</v>
      </c>
      <c r="F358" s="2">
        <v>43585.43</v>
      </c>
      <c r="G358" s="3">
        <v>41275</v>
      </c>
      <c r="H358" s="3">
        <v>41639</v>
      </c>
      <c r="I358" s="1" t="s">
        <v>71</v>
      </c>
      <c r="J358">
        <v>4521</v>
      </c>
      <c r="K358">
        <v>0</v>
      </c>
      <c r="L358" s="1" t="s">
        <v>384</v>
      </c>
      <c r="M358" s="1" t="s">
        <v>72</v>
      </c>
      <c r="N358" s="1" t="s">
        <v>134</v>
      </c>
      <c r="O358" s="1" t="s">
        <v>385</v>
      </c>
      <c r="P358" s="1" t="s">
        <v>386</v>
      </c>
      <c r="Q358" s="1" t="s">
        <v>387</v>
      </c>
      <c r="R358">
        <v>103</v>
      </c>
      <c r="S358" s="1" t="s">
        <v>135</v>
      </c>
      <c r="T358" s="1" t="s">
        <v>388</v>
      </c>
      <c r="U358" s="1" t="s">
        <v>135</v>
      </c>
      <c r="V358" s="1"/>
      <c r="W358" s="1"/>
      <c r="X358" s="1"/>
      <c r="Y358" s="1"/>
      <c r="AA358" s="1"/>
      <c r="AC358" s="1"/>
      <c r="AD358" s="1"/>
      <c r="AE358" s="1"/>
      <c r="AN358" s="1" t="s">
        <v>74</v>
      </c>
      <c r="AO358">
        <v>239</v>
      </c>
      <c r="AP358" s="1" t="s">
        <v>1646</v>
      </c>
      <c r="AQ358" s="1" t="s">
        <v>1649</v>
      </c>
      <c r="AR358" s="1" t="s">
        <v>1650</v>
      </c>
      <c r="AS358" s="1" t="s">
        <v>95</v>
      </c>
      <c r="AT358" s="3">
        <v>41639</v>
      </c>
      <c r="AU358" s="3">
        <v>41639</v>
      </c>
      <c r="AV358" s="3">
        <v>41639</v>
      </c>
      <c r="AW358" s="1" t="s">
        <v>1221</v>
      </c>
      <c r="AX358" s="1" t="s">
        <v>1649</v>
      </c>
      <c r="AY358">
        <v>75900</v>
      </c>
      <c r="AZ358">
        <v>253</v>
      </c>
      <c r="BA358">
        <v>4654734.66</v>
      </c>
      <c r="BB358" s="1"/>
      <c r="BD358" s="1"/>
      <c r="BE358" s="1"/>
      <c r="BG358" s="1"/>
      <c r="BH358" s="1"/>
      <c r="BJ358" s="1"/>
      <c r="BL358" s="1"/>
      <c r="BN358" s="1"/>
      <c r="BO358">
        <v>599</v>
      </c>
      <c r="BP358">
        <v>4654734.66</v>
      </c>
      <c r="BQ358">
        <v>4654734.66</v>
      </c>
    </row>
    <row r="359" spans="1:69" x14ac:dyDescent="0.35">
      <c r="A359" s="1" t="s">
        <v>68</v>
      </c>
      <c r="B359" s="1" t="s">
        <v>69</v>
      </c>
      <c r="C359" s="1" t="s">
        <v>70</v>
      </c>
      <c r="D359">
        <v>1</v>
      </c>
      <c r="E359">
        <v>1</v>
      </c>
      <c r="F359" s="2">
        <v>43585.43</v>
      </c>
      <c r="G359" s="3">
        <v>41275</v>
      </c>
      <c r="H359" s="3">
        <v>41639</v>
      </c>
      <c r="I359" s="1" t="s">
        <v>71</v>
      </c>
      <c r="J359">
        <v>4521</v>
      </c>
      <c r="K359">
        <v>0</v>
      </c>
      <c r="L359" s="1" t="s">
        <v>384</v>
      </c>
      <c r="M359" s="1" t="s">
        <v>72</v>
      </c>
      <c r="N359" s="1" t="s">
        <v>134</v>
      </c>
      <c r="O359" s="1" t="s">
        <v>385</v>
      </c>
      <c r="P359" s="1" t="s">
        <v>386</v>
      </c>
      <c r="Q359" s="1" t="s">
        <v>387</v>
      </c>
      <c r="R359">
        <v>103</v>
      </c>
      <c r="S359" s="1" t="s">
        <v>135</v>
      </c>
      <c r="T359" s="1" t="s">
        <v>388</v>
      </c>
      <c r="U359" s="1" t="s">
        <v>135</v>
      </c>
      <c r="V359" s="1"/>
      <c r="W359" s="1"/>
      <c r="X359" s="1"/>
      <c r="Y359" s="1"/>
      <c r="AA359" s="1"/>
      <c r="AC359" s="1"/>
      <c r="AD359" s="1"/>
      <c r="AE359" s="1"/>
      <c r="AN359" s="1" t="s">
        <v>74</v>
      </c>
      <c r="AO359">
        <v>240</v>
      </c>
      <c r="AP359" s="1" t="s">
        <v>1647</v>
      </c>
      <c r="AQ359" s="1" t="s">
        <v>1649</v>
      </c>
      <c r="AR359" s="1" t="s">
        <v>1650</v>
      </c>
      <c r="AS359" s="1" t="s">
        <v>95</v>
      </c>
      <c r="AT359" s="3">
        <v>41639</v>
      </c>
      <c r="AU359" s="3">
        <v>41639</v>
      </c>
      <c r="AV359" s="3">
        <v>41639</v>
      </c>
      <c r="AW359" s="1" t="s">
        <v>1221</v>
      </c>
      <c r="AX359" s="1" t="s">
        <v>1649</v>
      </c>
      <c r="AY359">
        <v>120560</v>
      </c>
      <c r="AZ359">
        <v>253</v>
      </c>
      <c r="BA359">
        <v>4654734.66</v>
      </c>
      <c r="BB359" s="1"/>
      <c r="BD359" s="1"/>
      <c r="BE359" s="1"/>
      <c r="BG359" s="1"/>
      <c r="BH359" s="1"/>
      <c r="BJ359" s="1"/>
      <c r="BL359" s="1"/>
      <c r="BN359" s="1"/>
      <c r="BO359">
        <v>599</v>
      </c>
      <c r="BP359">
        <v>4654734.66</v>
      </c>
      <c r="BQ359">
        <v>4654734.66</v>
      </c>
    </row>
    <row r="360" spans="1:69" x14ac:dyDescent="0.35">
      <c r="A360" s="1" t="s">
        <v>68</v>
      </c>
      <c r="B360" s="1" t="s">
        <v>69</v>
      </c>
      <c r="C360" s="1" t="s">
        <v>70</v>
      </c>
      <c r="D360">
        <v>1</v>
      </c>
      <c r="E360">
        <v>1</v>
      </c>
      <c r="F360" s="2">
        <v>43585.43</v>
      </c>
      <c r="G360" s="3">
        <v>41275</v>
      </c>
      <c r="H360" s="3">
        <v>41639</v>
      </c>
      <c r="I360" s="1" t="s">
        <v>71</v>
      </c>
      <c r="J360">
        <v>4521</v>
      </c>
      <c r="K360">
        <v>0</v>
      </c>
      <c r="L360" s="1" t="s">
        <v>384</v>
      </c>
      <c r="M360" s="1" t="s">
        <v>72</v>
      </c>
      <c r="N360" s="1" t="s">
        <v>134</v>
      </c>
      <c r="O360" s="1" t="s">
        <v>385</v>
      </c>
      <c r="P360" s="1" t="s">
        <v>386</v>
      </c>
      <c r="Q360" s="1" t="s">
        <v>387</v>
      </c>
      <c r="R360">
        <v>103</v>
      </c>
      <c r="S360" s="1" t="s">
        <v>135</v>
      </c>
      <c r="T360" s="1" t="s">
        <v>388</v>
      </c>
      <c r="U360" s="1" t="s">
        <v>135</v>
      </c>
      <c r="V360" s="1"/>
      <c r="W360" s="1"/>
      <c r="X360" s="1"/>
      <c r="Y360" s="1"/>
      <c r="AA360" s="1"/>
      <c r="AC360" s="1"/>
      <c r="AD360" s="1"/>
      <c r="AE360" s="1"/>
      <c r="AN360" s="1" t="s">
        <v>74</v>
      </c>
      <c r="AO360">
        <v>241</v>
      </c>
      <c r="AP360" s="1" t="s">
        <v>1648</v>
      </c>
      <c r="AQ360" s="1" t="s">
        <v>1649</v>
      </c>
      <c r="AR360" s="1" t="s">
        <v>1650</v>
      </c>
      <c r="AS360" s="1" t="s">
        <v>95</v>
      </c>
      <c r="AT360" s="3">
        <v>41639</v>
      </c>
      <c r="AU360" s="3">
        <v>41639</v>
      </c>
      <c r="AV360" s="3">
        <v>41639</v>
      </c>
      <c r="AW360" s="1" t="s">
        <v>1221</v>
      </c>
      <c r="AX360" s="1" t="s">
        <v>1649</v>
      </c>
      <c r="AY360">
        <v>39236</v>
      </c>
      <c r="AZ360">
        <v>253</v>
      </c>
      <c r="BA360">
        <v>4654734.66</v>
      </c>
      <c r="BB360" s="1"/>
      <c r="BD360" s="1"/>
      <c r="BE360" s="1"/>
      <c r="BG360" s="1"/>
      <c r="BH360" s="1"/>
      <c r="BJ360" s="1"/>
      <c r="BL360" s="1"/>
      <c r="BN360" s="1"/>
      <c r="BO360">
        <v>599</v>
      </c>
      <c r="BP360">
        <v>4654734.66</v>
      </c>
      <c r="BQ360">
        <v>4654734.66</v>
      </c>
    </row>
    <row r="361" spans="1:69" x14ac:dyDescent="0.35">
      <c r="A361" s="1" t="s">
        <v>68</v>
      </c>
      <c r="B361" s="1" t="s">
        <v>69</v>
      </c>
      <c r="C361" s="1" t="s">
        <v>70</v>
      </c>
      <c r="D361">
        <v>1</v>
      </c>
      <c r="E361">
        <v>1</v>
      </c>
      <c r="F361" s="2">
        <v>43585.43</v>
      </c>
      <c r="G361" s="3">
        <v>41275</v>
      </c>
      <c r="H361" s="3">
        <v>41639</v>
      </c>
      <c r="I361" s="1" t="s">
        <v>71</v>
      </c>
      <c r="J361">
        <v>4521</v>
      </c>
      <c r="K361">
        <v>0</v>
      </c>
      <c r="L361" s="1" t="s">
        <v>384</v>
      </c>
      <c r="M361" s="1" t="s">
        <v>72</v>
      </c>
      <c r="N361" s="1" t="s">
        <v>134</v>
      </c>
      <c r="O361" s="1" t="s">
        <v>385</v>
      </c>
      <c r="P361" s="1" t="s">
        <v>386</v>
      </c>
      <c r="Q361" s="1" t="s">
        <v>387</v>
      </c>
      <c r="R361">
        <v>103</v>
      </c>
      <c r="S361" s="1" t="s">
        <v>135</v>
      </c>
      <c r="T361" s="1" t="s">
        <v>388</v>
      </c>
      <c r="U361" s="1" t="s">
        <v>135</v>
      </c>
      <c r="V361" s="1"/>
      <c r="W361" s="1"/>
      <c r="X361" s="1"/>
      <c r="Y361" s="1"/>
      <c r="AA361" s="1"/>
      <c r="AC361" s="1"/>
      <c r="AD361" s="1"/>
      <c r="AE361" s="1"/>
      <c r="AN361" s="1" t="s">
        <v>74</v>
      </c>
      <c r="AO361">
        <v>242</v>
      </c>
      <c r="AP361" s="1" t="s">
        <v>814</v>
      </c>
      <c r="AQ361" s="1" t="s">
        <v>1026</v>
      </c>
      <c r="AR361" s="1" t="s">
        <v>1127</v>
      </c>
      <c r="AS361" s="1" t="s">
        <v>1213</v>
      </c>
      <c r="AT361" s="3">
        <v>41373</v>
      </c>
      <c r="AU361" s="3">
        <v>41373</v>
      </c>
      <c r="AV361" s="3">
        <v>41394</v>
      </c>
      <c r="AW361" s="1" t="s">
        <v>1221</v>
      </c>
      <c r="AX361" s="1" t="s">
        <v>1262</v>
      </c>
      <c r="AY361">
        <v>385.1</v>
      </c>
      <c r="AZ361">
        <v>253</v>
      </c>
      <c r="BA361">
        <v>4654734.66</v>
      </c>
      <c r="BB361" s="1"/>
      <c r="BD361" s="1"/>
      <c r="BE361" s="1"/>
      <c r="BG361" s="1"/>
      <c r="BH361" s="1"/>
      <c r="BJ361" s="1"/>
      <c r="BL361" s="1"/>
      <c r="BN361" s="1"/>
      <c r="BO361">
        <v>599</v>
      </c>
      <c r="BP361">
        <v>4654734.66</v>
      </c>
      <c r="BQ361">
        <v>4654734.66</v>
      </c>
    </row>
    <row r="362" spans="1:69" x14ac:dyDescent="0.35">
      <c r="A362" s="1" t="s">
        <v>68</v>
      </c>
      <c r="B362" s="1" t="s">
        <v>69</v>
      </c>
      <c r="C362" s="1" t="s">
        <v>70</v>
      </c>
      <c r="D362">
        <v>1</v>
      </c>
      <c r="E362">
        <v>1</v>
      </c>
      <c r="F362" s="2">
        <v>43585.43</v>
      </c>
      <c r="G362" s="3">
        <v>41275</v>
      </c>
      <c r="H362" s="3">
        <v>41639</v>
      </c>
      <c r="I362" s="1" t="s">
        <v>71</v>
      </c>
      <c r="J362">
        <v>4521</v>
      </c>
      <c r="K362">
        <v>0</v>
      </c>
      <c r="L362" s="1" t="s">
        <v>384</v>
      </c>
      <c r="M362" s="1" t="s">
        <v>72</v>
      </c>
      <c r="N362" s="1" t="s">
        <v>134</v>
      </c>
      <c r="O362" s="1" t="s">
        <v>385</v>
      </c>
      <c r="P362" s="1" t="s">
        <v>386</v>
      </c>
      <c r="Q362" s="1" t="s">
        <v>387</v>
      </c>
      <c r="R362">
        <v>103</v>
      </c>
      <c r="S362" s="1" t="s">
        <v>135</v>
      </c>
      <c r="T362" s="1" t="s">
        <v>388</v>
      </c>
      <c r="U362" s="1" t="s">
        <v>135</v>
      </c>
      <c r="V362" s="1"/>
      <c r="W362" s="1"/>
      <c r="X362" s="1"/>
      <c r="Y362" s="1"/>
      <c r="AA362" s="1"/>
      <c r="AC362" s="1"/>
      <c r="AD362" s="1"/>
      <c r="AE362" s="1"/>
      <c r="AN362" s="1" t="s">
        <v>74</v>
      </c>
      <c r="AO362">
        <v>243</v>
      </c>
      <c r="AP362" s="1" t="s">
        <v>823</v>
      </c>
      <c r="AQ362" s="1" t="s">
        <v>982</v>
      </c>
      <c r="AR362" s="1" t="s">
        <v>1132</v>
      </c>
      <c r="AS362" s="1" t="s">
        <v>98</v>
      </c>
      <c r="AT362" s="3">
        <v>41374</v>
      </c>
      <c r="AU362" s="3">
        <v>41374</v>
      </c>
      <c r="AV362" s="3">
        <v>41394</v>
      </c>
      <c r="AW362" s="1" t="s">
        <v>1221</v>
      </c>
      <c r="AX362" s="1" t="s">
        <v>1263</v>
      </c>
      <c r="AY362">
        <v>273.91000000000003</v>
      </c>
      <c r="AZ362">
        <v>253</v>
      </c>
      <c r="BA362">
        <v>4654734.66</v>
      </c>
      <c r="BB362" s="1"/>
      <c r="BD362" s="1"/>
      <c r="BE362" s="1"/>
      <c r="BG362" s="1"/>
      <c r="BH362" s="1"/>
      <c r="BJ362" s="1"/>
      <c r="BL362" s="1"/>
      <c r="BN362" s="1"/>
      <c r="BO362">
        <v>599</v>
      </c>
      <c r="BP362">
        <v>4654734.66</v>
      </c>
      <c r="BQ362">
        <v>4654734.66</v>
      </c>
    </row>
    <row r="363" spans="1:69" x14ac:dyDescent="0.35">
      <c r="A363" s="1" t="s">
        <v>68</v>
      </c>
      <c r="B363" s="1" t="s">
        <v>69</v>
      </c>
      <c r="C363" s="1" t="s">
        <v>70</v>
      </c>
      <c r="D363">
        <v>1</v>
      </c>
      <c r="E363">
        <v>1</v>
      </c>
      <c r="F363" s="2">
        <v>43585.43</v>
      </c>
      <c r="G363" s="3">
        <v>41275</v>
      </c>
      <c r="H363" s="3">
        <v>41639</v>
      </c>
      <c r="I363" s="1" t="s">
        <v>71</v>
      </c>
      <c r="J363">
        <v>4521</v>
      </c>
      <c r="K363">
        <v>0</v>
      </c>
      <c r="L363" s="1" t="s">
        <v>384</v>
      </c>
      <c r="M363" s="1" t="s">
        <v>72</v>
      </c>
      <c r="N363" s="1" t="s">
        <v>134</v>
      </c>
      <c r="O363" s="1" t="s">
        <v>385</v>
      </c>
      <c r="P363" s="1" t="s">
        <v>386</v>
      </c>
      <c r="Q363" s="1" t="s">
        <v>387</v>
      </c>
      <c r="R363">
        <v>103</v>
      </c>
      <c r="S363" s="1" t="s">
        <v>135</v>
      </c>
      <c r="T363" s="1" t="s">
        <v>388</v>
      </c>
      <c r="U363" s="1" t="s">
        <v>135</v>
      </c>
      <c r="V363" s="1"/>
      <c r="W363" s="1"/>
      <c r="X363" s="1"/>
      <c r="Y363" s="1"/>
      <c r="AA363" s="1"/>
      <c r="AC363" s="1"/>
      <c r="AD363" s="1"/>
      <c r="AE363" s="1"/>
      <c r="AN363" s="1" t="s">
        <v>74</v>
      </c>
      <c r="AO363">
        <v>244</v>
      </c>
      <c r="AP363" s="1" t="s">
        <v>824</v>
      </c>
      <c r="AQ363" s="1" t="s">
        <v>982</v>
      </c>
      <c r="AR363" s="1" t="s">
        <v>1133</v>
      </c>
      <c r="AS363" s="1" t="s">
        <v>98</v>
      </c>
      <c r="AT363" s="3">
        <v>41374</v>
      </c>
      <c r="AU363" s="3">
        <v>41374</v>
      </c>
      <c r="AV363" s="3">
        <v>41394</v>
      </c>
      <c r="AW363" s="1" t="s">
        <v>1221</v>
      </c>
      <c r="AX363" s="1" t="s">
        <v>1263</v>
      </c>
      <c r="AY363">
        <v>3505.93</v>
      </c>
      <c r="AZ363">
        <v>253</v>
      </c>
      <c r="BA363">
        <v>4654734.66</v>
      </c>
      <c r="BB363" s="1"/>
      <c r="BD363" s="1"/>
      <c r="BE363" s="1"/>
      <c r="BG363" s="1"/>
      <c r="BH363" s="1"/>
      <c r="BJ363" s="1"/>
      <c r="BL363" s="1"/>
      <c r="BN363" s="1"/>
      <c r="BO363">
        <v>599</v>
      </c>
      <c r="BP363">
        <v>4654734.66</v>
      </c>
      <c r="BQ363">
        <v>4654734.66</v>
      </c>
    </row>
    <row r="364" spans="1:69" x14ac:dyDescent="0.35">
      <c r="A364" s="1" t="s">
        <v>68</v>
      </c>
      <c r="B364" s="1" t="s">
        <v>69</v>
      </c>
      <c r="C364" s="1" t="s">
        <v>70</v>
      </c>
      <c r="D364">
        <v>1</v>
      </c>
      <c r="E364">
        <v>1</v>
      </c>
      <c r="F364" s="2">
        <v>43585.43</v>
      </c>
      <c r="G364" s="3">
        <v>41275</v>
      </c>
      <c r="H364" s="3">
        <v>41639</v>
      </c>
      <c r="I364" s="1" t="s">
        <v>71</v>
      </c>
      <c r="J364">
        <v>4521</v>
      </c>
      <c r="K364">
        <v>0</v>
      </c>
      <c r="L364" s="1" t="s">
        <v>384</v>
      </c>
      <c r="M364" s="1" t="s">
        <v>72</v>
      </c>
      <c r="N364" s="1" t="s">
        <v>134</v>
      </c>
      <c r="O364" s="1" t="s">
        <v>385</v>
      </c>
      <c r="P364" s="1" t="s">
        <v>386</v>
      </c>
      <c r="Q364" s="1" t="s">
        <v>387</v>
      </c>
      <c r="R364">
        <v>103</v>
      </c>
      <c r="S364" s="1" t="s">
        <v>135</v>
      </c>
      <c r="T364" s="1" t="s">
        <v>388</v>
      </c>
      <c r="U364" s="1" t="s">
        <v>135</v>
      </c>
      <c r="V364" s="1"/>
      <c r="W364" s="1"/>
      <c r="X364" s="1"/>
      <c r="Y364" s="1"/>
      <c r="AA364" s="1"/>
      <c r="AC364" s="1"/>
      <c r="AD364" s="1"/>
      <c r="AE364" s="1"/>
      <c r="AN364" s="1" t="s">
        <v>74</v>
      </c>
      <c r="AO364">
        <v>245</v>
      </c>
      <c r="AP364" s="1" t="s">
        <v>825</v>
      </c>
      <c r="AQ364" s="1" t="s">
        <v>1028</v>
      </c>
      <c r="AR364" s="1" t="s">
        <v>1134</v>
      </c>
      <c r="AS364" s="1" t="s">
        <v>98</v>
      </c>
      <c r="AT364" s="3">
        <v>41374</v>
      </c>
      <c r="AU364" s="3">
        <v>41374</v>
      </c>
      <c r="AV364" s="3">
        <v>41394</v>
      </c>
      <c r="AW364" s="1" t="s">
        <v>1221</v>
      </c>
      <c r="AX364" s="1" t="s">
        <v>1262</v>
      </c>
      <c r="AY364">
        <v>301.24</v>
      </c>
      <c r="AZ364">
        <v>253</v>
      </c>
      <c r="BA364">
        <v>4654734.66</v>
      </c>
      <c r="BB364" s="1"/>
      <c r="BD364" s="1"/>
      <c r="BE364" s="1"/>
      <c r="BG364" s="1"/>
      <c r="BH364" s="1"/>
      <c r="BJ364" s="1"/>
      <c r="BL364" s="1"/>
      <c r="BN364" s="1"/>
      <c r="BO364">
        <v>599</v>
      </c>
      <c r="BP364">
        <v>4654734.66</v>
      </c>
      <c r="BQ364">
        <v>4654734.66</v>
      </c>
    </row>
    <row r="365" spans="1:69" x14ac:dyDescent="0.35">
      <c r="A365" s="1" t="s">
        <v>68</v>
      </c>
      <c r="B365" s="1" t="s">
        <v>69</v>
      </c>
      <c r="C365" s="1" t="s">
        <v>70</v>
      </c>
      <c r="D365">
        <v>1</v>
      </c>
      <c r="E365">
        <v>1</v>
      </c>
      <c r="F365" s="2">
        <v>43585.43</v>
      </c>
      <c r="G365" s="3">
        <v>41275</v>
      </c>
      <c r="H365" s="3">
        <v>41639</v>
      </c>
      <c r="I365" s="1" t="s">
        <v>71</v>
      </c>
      <c r="J365">
        <v>4521</v>
      </c>
      <c r="K365">
        <v>0</v>
      </c>
      <c r="L365" s="1" t="s">
        <v>384</v>
      </c>
      <c r="M365" s="1" t="s">
        <v>72</v>
      </c>
      <c r="N365" s="1" t="s">
        <v>134</v>
      </c>
      <c r="O365" s="1" t="s">
        <v>385</v>
      </c>
      <c r="P365" s="1" t="s">
        <v>386</v>
      </c>
      <c r="Q365" s="1" t="s">
        <v>387</v>
      </c>
      <c r="R365">
        <v>103</v>
      </c>
      <c r="S365" s="1" t="s">
        <v>135</v>
      </c>
      <c r="T365" s="1" t="s">
        <v>388</v>
      </c>
      <c r="U365" s="1" t="s">
        <v>135</v>
      </c>
      <c r="V365" s="1"/>
      <c r="W365" s="1"/>
      <c r="X365" s="1"/>
      <c r="Y365" s="1"/>
      <c r="AA365" s="1"/>
      <c r="AC365" s="1"/>
      <c r="AD365" s="1"/>
      <c r="AE365" s="1"/>
      <c r="AN365" s="1" t="s">
        <v>74</v>
      </c>
      <c r="AO365">
        <v>246</v>
      </c>
      <c r="AP365" s="1" t="s">
        <v>831</v>
      </c>
      <c r="AQ365" s="1" t="s">
        <v>1033</v>
      </c>
      <c r="AR365" s="1" t="s">
        <v>1140</v>
      </c>
      <c r="AS365" s="1" t="s">
        <v>97</v>
      </c>
      <c r="AT365" s="3">
        <v>41378</v>
      </c>
      <c r="AU365" s="3">
        <v>41378</v>
      </c>
      <c r="AV365" s="3">
        <v>41394</v>
      </c>
      <c r="AW365" s="1" t="s">
        <v>1221</v>
      </c>
      <c r="AX365" s="1" t="s">
        <v>1264</v>
      </c>
      <c r="AY365">
        <v>1106.6300000000001</v>
      </c>
      <c r="AZ365">
        <v>253</v>
      </c>
      <c r="BA365">
        <v>4654734.66</v>
      </c>
      <c r="BB365" s="1"/>
      <c r="BD365" s="1"/>
      <c r="BE365" s="1"/>
      <c r="BG365" s="1"/>
      <c r="BH365" s="1"/>
      <c r="BJ365" s="1"/>
      <c r="BL365" s="1"/>
      <c r="BN365" s="1"/>
      <c r="BO365">
        <v>599</v>
      </c>
      <c r="BP365">
        <v>4654734.66</v>
      </c>
      <c r="BQ365">
        <v>4654734.66</v>
      </c>
    </row>
    <row r="366" spans="1:69" x14ac:dyDescent="0.35">
      <c r="A366" s="1" t="s">
        <v>68</v>
      </c>
      <c r="B366" s="1" t="s">
        <v>69</v>
      </c>
      <c r="C366" s="1" t="s">
        <v>70</v>
      </c>
      <c r="D366">
        <v>1</v>
      </c>
      <c r="E366">
        <v>1</v>
      </c>
      <c r="F366" s="2">
        <v>43585.43</v>
      </c>
      <c r="G366" s="3">
        <v>41275</v>
      </c>
      <c r="H366" s="3">
        <v>41639</v>
      </c>
      <c r="I366" s="1" t="s">
        <v>71</v>
      </c>
      <c r="J366">
        <v>4521</v>
      </c>
      <c r="K366">
        <v>0</v>
      </c>
      <c r="L366" s="1" t="s">
        <v>384</v>
      </c>
      <c r="M366" s="1" t="s">
        <v>72</v>
      </c>
      <c r="N366" s="1" t="s">
        <v>134</v>
      </c>
      <c r="O366" s="1" t="s">
        <v>385</v>
      </c>
      <c r="P366" s="1" t="s">
        <v>386</v>
      </c>
      <c r="Q366" s="1" t="s">
        <v>387</v>
      </c>
      <c r="R366">
        <v>103</v>
      </c>
      <c r="S366" s="1" t="s">
        <v>135</v>
      </c>
      <c r="T366" s="1" t="s">
        <v>388</v>
      </c>
      <c r="U366" s="1" t="s">
        <v>135</v>
      </c>
      <c r="V366" s="1"/>
      <c r="W366" s="1"/>
      <c r="X366" s="1"/>
      <c r="Y366" s="1"/>
      <c r="AA366" s="1"/>
      <c r="AC366" s="1"/>
      <c r="AD366" s="1"/>
      <c r="AE366" s="1"/>
      <c r="AN366" s="1" t="s">
        <v>74</v>
      </c>
      <c r="AO366">
        <v>247</v>
      </c>
      <c r="AP366" s="1" t="s">
        <v>832</v>
      </c>
      <c r="AQ366" s="1" t="s">
        <v>1033</v>
      </c>
      <c r="AR366" s="1" t="s">
        <v>1140</v>
      </c>
      <c r="AS366" s="1" t="s">
        <v>97</v>
      </c>
      <c r="AT366" s="3">
        <v>41378</v>
      </c>
      <c r="AU366" s="3">
        <v>41378</v>
      </c>
      <c r="AV366" s="3">
        <v>41394</v>
      </c>
      <c r="AW366" s="1" t="s">
        <v>1221</v>
      </c>
      <c r="AX366" s="1" t="s">
        <v>1265</v>
      </c>
      <c r="AY366">
        <v>1158.9000000000001</v>
      </c>
      <c r="AZ366">
        <v>253</v>
      </c>
      <c r="BA366">
        <v>4654734.66</v>
      </c>
      <c r="BB366" s="1"/>
      <c r="BD366" s="1"/>
      <c r="BE366" s="1"/>
      <c r="BG366" s="1"/>
      <c r="BH366" s="1"/>
      <c r="BJ366" s="1"/>
      <c r="BL366" s="1"/>
      <c r="BN366" s="1"/>
      <c r="BO366">
        <v>599</v>
      </c>
      <c r="BP366">
        <v>4654734.66</v>
      </c>
      <c r="BQ366">
        <v>4654734.66</v>
      </c>
    </row>
    <row r="367" spans="1:69" x14ac:dyDescent="0.35">
      <c r="A367" s="1" t="s">
        <v>68</v>
      </c>
      <c r="B367" s="1" t="s">
        <v>69</v>
      </c>
      <c r="C367" s="1" t="s">
        <v>70</v>
      </c>
      <c r="D367">
        <v>1</v>
      </c>
      <c r="E367">
        <v>1</v>
      </c>
      <c r="F367" s="2">
        <v>43585.43</v>
      </c>
      <c r="G367" s="3">
        <v>41275</v>
      </c>
      <c r="H367" s="3">
        <v>41639</v>
      </c>
      <c r="I367" s="1" t="s">
        <v>71</v>
      </c>
      <c r="J367">
        <v>4521</v>
      </c>
      <c r="K367">
        <v>0</v>
      </c>
      <c r="L367" s="1" t="s">
        <v>384</v>
      </c>
      <c r="M367" s="1" t="s">
        <v>72</v>
      </c>
      <c r="N367" s="1" t="s">
        <v>134</v>
      </c>
      <c r="O367" s="1" t="s">
        <v>385</v>
      </c>
      <c r="P367" s="1" t="s">
        <v>386</v>
      </c>
      <c r="Q367" s="1" t="s">
        <v>387</v>
      </c>
      <c r="R367">
        <v>103</v>
      </c>
      <c r="S367" s="1" t="s">
        <v>135</v>
      </c>
      <c r="T367" s="1" t="s">
        <v>388</v>
      </c>
      <c r="U367" s="1" t="s">
        <v>135</v>
      </c>
      <c r="V367" s="1"/>
      <c r="W367" s="1"/>
      <c r="X367" s="1"/>
      <c r="Y367" s="1"/>
      <c r="AA367" s="1"/>
      <c r="AC367" s="1"/>
      <c r="AD367" s="1"/>
      <c r="AE367" s="1"/>
      <c r="AN367" s="1" t="s">
        <v>74</v>
      </c>
      <c r="AO367">
        <v>248</v>
      </c>
      <c r="AP367" s="1" t="s">
        <v>972</v>
      </c>
      <c r="AQ367" s="1" t="s">
        <v>1033</v>
      </c>
      <c r="AR367" s="1" t="s">
        <v>1140</v>
      </c>
      <c r="AS367" s="1" t="s">
        <v>97</v>
      </c>
      <c r="AT367" s="3">
        <v>41378</v>
      </c>
      <c r="AU367" s="3">
        <v>41378</v>
      </c>
      <c r="AV367" s="3">
        <v>41394</v>
      </c>
      <c r="AW367" s="1" t="s">
        <v>1221</v>
      </c>
      <c r="AX367" s="1" t="s">
        <v>1266</v>
      </c>
      <c r="AY367">
        <v>10111.969999999999</v>
      </c>
      <c r="AZ367">
        <v>253</v>
      </c>
      <c r="BA367">
        <v>4654734.66</v>
      </c>
      <c r="BB367" s="1"/>
      <c r="BD367" s="1"/>
      <c r="BE367" s="1"/>
      <c r="BG367" s="1"/>
      <c r="BH367" s="1"/>
      <c r="BJ367" s="1"/>
      <c r="BL367" s="1"/>
      <c r="BN367" s="1"/>
      <c r="BO367">
        <v>599</v>
      </c>
      <c r="BP367">
        <v>4654734.66</v>
      </c>
      <c r="BQ367">
        <v>4654734.66</v>
      </c>
    </row>
    <row r="368" spans="1:69" x14ac:dyDescent="0.35">
      <c r="A368" s="1" t="s">
        <v>68</v>
      </c>
      <c r="B368" s="1" t="s">
        <v>69</v>
      </c>
      <c r="C368" s="1" t="s">
        <v>70</v>
      </c>
      <c r="D368">
        <v>1</v>
      </c>
      <c r="E368">
        <v>1</v>
      </c>
      <c r="F368" s="2">
        <v>43585.43</v>
      </c>
      <c r="G368" s="3">
        <v>41275</v>
      </c>
      <c r="H368" s="3">
        <v>41639</v>
      </c>
      <c r="I368" s="1" t="s">
        <v>71</v>
      </c>
      <c r="J368">
        <v>4521</v>
      </c>
      <c r="K368">
        <v>0</v>
      </c>
      <c r="L368" s="1" t="s">
        <v>384</v>
      </c>
      <c r="M368" s="1" t="s">
        <v>72</v>
      </c>
      <c r="N368" s="1" t="s">
        <v>134</v>
      </c>
      <c r="O368" s="1" t="s">
        <v>385</v>
      </c>
      <c r="P368" s="1" t="s">
        <v>386</v>
      </c>
      <c r="Q368" s="1" t="s">
        <v>387</v>
      </c>
      <c r="R368">
        <v>103</v>
      </c>
      <c r="S368" s="1" t="s">
        <v>135</v>
      </c>
      <c r="T368" s="1" t="s">
        <v>388</v>
      </c>
      <c r="U368" s="1" t="s">
        <v>135</v>
      </c>
      <c r="V368" s="1"/>
      <c r="W368" s="1"/>
      <c r="X368" s="1"/>
      <c r="Y368" s="1"/>
      <c r="AA368" s="1"/>
      <c r="AC368" s="1"/>
      <c r="AD368" s="1"/>
      <c r="AE368" s="1"/>
      <c r="AN368" s="1" t="s">
        <v>74</v>
      </c>
      <c r="AO368">
        <v>249</v>
      </c>
      <c r="AP368" s="1" t="s">
        <v>973</v>
      </c>
      <c r="AQ368" s="1" t="s">
        <v>1033</v>
      </c>
      <c r="AR368" s="1" t="s">
        <v>1140</v>
      </c>
      <c r="AS368" s="1" t="s">
        <v>97</v>
      </c>
      <c r="AT368" s="3">
        <v>41378</v>
      </c>
      <c r="AU368" s="3">
        <v>41378</v>
      </c>
      <c r="AV368" s="3">
        <v>41394</v>
      </c>
      <c r="AW368" s="1" t="s">
        <v>1221</v>
      </c>
      <c r="AX368" s="1" t="s">
        <v>1267</v>
      </c>
      <c r="AY368">
        <v>753.94</v>
      </c>
      <c r="AZ368">
        <v>253</v>
      </c>
      <c r="BA368">
        <v>4654734.66</v>
      </c>
      <c r="BB368" s="1"/>
      <c r="BD368" s="1"/>
      <c r="BE368" s="1"/>
      <c r="BG368" s="1"/>
      <c r="BH368" s="1"/>
      <c r="BJ368" s="1"/>
      <c r="BL368" s="1"/>
      <c r="BN368" s="1"/>
      <c r="BO368">
        <v>599</v>
      </c>
      <c r="BP368">
        <v>4654734.66</v>
      </c>
      <c r="BQ368">
        <v>4654734.66</v>
      </c>
    </row>
    <row r="369" spans="1:69" x14ac:dyDescent="0.35">
      <c r="A369" s="1" t="s">
        <v>68</v>
      </c>
      <c r="B369" s="1" t="s">
        <v>69</v>
      </c>
      <c r="C369" s="1" t="s">
        <v>70</v>
      </c>
      <c r="D369">
        <v>1</v>
      </c>
      <c r="E369">
        <v>1</v>
      </c>
      <c r="F369" s="2">
        <v>43585.43</v>
      </c>
      <c r="G369" s="3">
        <v>41275</v>
      </c>
      <c r="H369" s="3">
        <v>41639</v>
      </c>
      <c r="I369" s="1" t="s">
        <v>71</v>
      </c>
      <c r="J369">
        <v>4521</v>
      </c>
      <c r="K369">
        <v>0</v>
      </c>
      <c r="L369" s="1" t="s">
        <v>384</v>
      </c>
      <c r="M369" s="1" t="s">
        <v>72</v>
      </c>
      <c r="N369" s="1" t="s">
        <v>134</v>
      </c>
      <c r="O369" s="1" t="s">
        <v>385</v>
      </c>
      <c r="P369" s="1" t="s">
        <v>386</v>
      </c>
      <c r="Q369" s="1" t="s">
        <v>387</v>
      </c>
      <c r="R369">
        <v>103</v>
      </c>
      <c r="S369" s="1" t="s">
        <v>135</v>
      </c>
      <c r="T369" s="1" t="s">
        <v>388</v>
      </c>
      <c r="U369" s="1" t="s">
        <v>135</v>
      </c>
      <c r="V369" s="1"/>
      <c r="W369" s="1"/>
      <c r="X369" s="1"/>
      <c r="Y369" s="1"/>
      <c r="AA369" s="1"/>
      <c r="AC369" s="1"/>
      <c r="AD369" s="1"/>
      <c r="AE369" s="1"/>
      <c r="AN369" s="1" t="s">
        <v>74</v>
      </c>
      <c r="AO369">
        <v>250</v>
      </c>
      <c r="AP369" s="1" t="s">
        <v>974</v>
      </c>
      <c r="AQ369" s="1" t="s">
        <v>1033</v>
      </c>
      <c r="AR369" s="1" t="s">
        <v>1140</v>
      </c>
      <c r="AS369" s="1" t="s">
        <v>97</v>
      </c>
      <c r="AT369" s="3">
        <v>41378</v>
      </c>
      <c r="AU369" s="3">
        <v>41378</v>
      </c>
      <c r="AV369" s="3">
        <v>41394</v>
      </c>
      <c r="AW369" s="1" t="s">
        <v>1221</v>
      </c>
      <c r="AX369" s="1" t="s">
        <v>1267</v>
      </c>
      <c r="AY369">
        <v>2190.15</v>
      </c>
      <c r="AZ369">
        <v>253</v>
      </c>
      <c r="BA369">
        <v>4654734.66</v>
      </c>
      <c r="BB369" s="1"/>
      <c r="BD369" s="1"/>
      <c r="BE369" s="1"/>
      <c r="BG369" s="1"/>
      <c r="BH369" s="1"/>
      <c r="BJ369" s="1"/>
      <c r="BL369" s="1"/>
      <c r="BN369" s="1"/>
      <c r="BO369">
        <v>599</v>
      </c>
      <c r="BP369">
        <v>4654734.66</v>
      </c>
      <c r="BQ369">
        <v>4654734.66</v>
      </c>
    </row>
    <row r="370" spans="1:69" x14ac:dyDescent="0.35">
      <c r="A370" s="1" t="s">
        <v>68</v>
      </c>
      <c r="B370" s="1" t="s">
        <v>69</v>
      </c>
      <c r="C370" s="1" t="s">
        <v>70</v>
      </c>
      <c r="D370">
        <v>1</v>
      </c>
      <c r="E370">
        <v>1</v>
      </c>
      <c r="F370" s="2">
        <v>43585.43</v>
      </c>
      <c r="G370" s="3">
        <v>41275</v>
      </c>
      <c r="H370" s="3">
        <v>41639</v>
      </c>
      <c r="I370" s="1" t="s">
        <v>71</v>
      </c>
      <c r="J370">
        <v>4521</v>
      </c>
      <c r="K370">
        <v>0</v>
      </c>
      <c r="L370" s="1" t="s">
        <v>384</v>
      </c>
      <c r="M370" s="1" t="s">
        <v>72</v>
      </c>
      <c r="N370" s="1" t="s">
        <v>134</v>
      </c>
      <c r="O370" s="1" t="s">
        <v>385</v>
      </c>
      <c r="P370" s="1" t="s">
        <v>386</v>
      </c>
      <c r="Q370" s="1" t="s">
        <v>387</v>
      </c>
      <c r="R370">
        <v>103</v>
      </c>
      <c r="S370" s="1" t="s">
        <v>135</v>
      </c>
      <c r="T370" s="1" t="s">
        <v>388</v>
      </c>
      <c r="U370" s="1" t="s">
        <v>135</v>
      </c>
      <c r="V370" s="1"/>
      <c r="W370" s="1"/>
      <c r="X370" s="1"/>
      <c r="Y370" s="1"/>
      <c r="AA370" s="1"/>
      <c r="AC370" s="1"/>
      <c r="AD370" s="1"/>
      <c r="AE370" s="1"/>
      <c r="AN370" s="1" t="s">
        <v>74</v>
      </c>
      <c r="AO370">
        <v>251</v>
      </c>
      <c r="AP370" s="1" t="s">
        <v>975</v>
      </c>
      <c r="AQ370" s="1" t="s">
        <v>1033</v>
      </c>
      <c r="AR370" s="1" t="s">
        <v>1140</v>
      </c>
      <c r="AS370" s="1" t="s">
        <v>97</v>
      </c>
      <c r="AT370" s="3">
        <v>41378</v>
      </c>
      <c r="AU370" s="3">
        <v>41378</v>
      </c>
      <c r="AV370" s="3">
        <v>41394</v>
      </c>
      <c r="AW370" s="1" t="s">
        <v>1221</v>
      </c>
      <c r="AX370" s="1" t="s">
        <v>1267</v>
      </c>
      <c r="AY370">
        <v>2550.6</v>
      </c>
      <c r="AZ370">
        <v>253</v>
      </c>
      <c r="BA370">
        <v>4654734.66</v>
      </c>
      <c r="BB370" s="1"/>
      <c r="BD370" s="1"/>
      <c r="BE370" s="1"/>
      <c r="BG370" s="1"/>
      <c r="BH370" s="1"/>
      <c r="BJ370" s="1"/>
      <c r="BL370" s="1"/>
      <c r="BN370" s="1"/>
      <c r="BO370">
        <v>599</v>
      </c>
      <c r="BP370">
        <v>4654734.66</v>
      </c>
      <c r="BQ370">
        <v>4654734.66</v>
      </c>
    </row>
    <row r="371" spans="1:69" x14ac:dyDescent="0.35">
      <c r="A371" s="1" t="s">
        <v>68</v>
      </c>
      <c r="B371" s="1" t="s">
        <v>69</v>
      </c>
      <c r="C371" s="1" t="s">
        <v>70</v>
      </c>
      <c r="D371">
        <v>1</v>
      </c>
      <c r="E371">
        <v>1</v>
      </c>
      <c r="F371" s="2">
        <v>43585.43</v>
      </c>
      <c r="G371" s="3">
        <v>41275</v>
      </c>
      <c r="H371" s="3">
        <v>41639</v>
      </c>
      <c r="I371" s="1" t="s">
        <v>71</v>
      </c>
      <c r="J371">
        <v>4521</v>
      </c>
      <c r="K371">
        <v>0</v>
      </c>
      <c r="L371" s="1" t="s">
        <v>384</v>
      </c>
      <c r="M371" s="1" t="s">
        <v>72</v>
      </c>
      <c r="N371" s="1" t="s">
        <v>134</v>
      </c>
      <c r="O371" s="1" t="s">
        <v>385</v>
      </c>
      <c r="P371" s="1" t="s">
        <v>386</v>
      </c>
      <c r="Q371" s="1" t="s">
        <v>387</v>
      </c>
      <c r="R371">
        <v>103</v>
      </c>
      <c r="S371" s="1" t="s">
        <v>135</v>
      </c>
      <c r="T371" s="1" t="s">
        <v>388</v>
      </c>
      <c r="U371" s="1" t="s">
        <v>135</v>
      </c>
      <c r="V371" s="1"/>
      <c r="W371" s="1"/>
      <c r="X371" s="1"/>
      <c r="Y371" s="1"/>
      <c r="AA371" s="1"/>
      <c r="AC371" s="1"/>
      <c r="AD371" s="1"/>
      <c r="AE371" s="1"/>
      <c r="AN371" s="1" t="s">
        <v>74</v>
      </c>
      <c r="AO371">
        <v>252</v>
      </c>
      <c r="AP371" s="1" t="s">
        <v>833</v>
      </c>
      <c r="AQ371" s="1" t="s">
        <v>1034</v>
      </c>
      <c r="AR371" s="1" t="s">
        <v>1141</v>
      </c>
      <c r="AS371" s="1" t="s">
        <v>97</v>
      </c>
      <c r="AT371" s="3">
        <v>41379</v>
      </c>
      <c r="AU371" s="3">
        <v>41379</v>
      </c>
      <c r="AV371" s="3">
        <v>41394</v>
      </c>
      <c r="AW371" s="1" t="s">
        <v>1221</v>
      </c>
      <c r="AX371" s="1" t="s">
        <v>1263</v>
      </c>
      <c r="AY371">
        <v>21.02</v>
      </c>
      <c r="AZ371">
        <v>253</v>
      </c>
      <c r="BA371">
        <v>4654734.66</v>
      </c>
      <c r="BB371" s="1"/>
      <c r="BD371" s="1"/>
      <c r="BE371" s="1"/>
      <c r="BG371" s="1"/>
      <c r="BH371" s="1"/>
      <c r="BJ371" s="1"/>
      <c r="BL371" s="1"/>
      <c r="BN371" s="1"/>
      <c r="BO371">
        <v>599</v>
      </c>
      <c r="BP371">
        <v>4654734.66</v>
      </c>
      <c r="BQ371">
        <v>4654734.66</v>
      </c>
    </row>
    <row r="372" spans="1:69" x14ac:dyDescent="0.35">
      <c r="A372" s="1" t="s">
        <v>68</v>
      </c>
      <c r="B372" s="1" t="s">
        <v>69</v>
      </c>
      <c r="C372" s="1" t="s">
        <v>70</v>
      </c>
      <c r="D372">
        <v>1</v>
      </c>
      <c r="E372">
        <v>1</v>
      </c>
      <c r="F372" s="2">
        <v>43585.43</v>
      </c>
      <c r="G372" s="3">
        <v>41275</v>
      </c>
      <c r="H372" s="3">
        <v>41639</v>
      </c>
      <c r="I372" s="1" t="s">
        <v>71</v>
      </c>
      <c r="J372">
        <v>4521</v>
      </c>
      <c r="K372">
        <v>0</v>
      </c>
      <c r="L372" s="1" t="s">
        <v>384</v>
      </c>
      <c r="M372" s="1" t="s">
        <v>72</v>
      </c>
      <c r="N372" s="1" t="s">
        <v>134</v>
      </c>
      <c r="O372" s="1" t="s">
        <v>385</v>
      </c>
      <c r="P372" s="1" t="s">
        <v>386</v>
      </c>
      <c r="Q372" s="1" t="s">
        <v>387</v>
      </c>
      <c r="R372">
        <v>103</v>
      </c>
      <c r="S372" s="1" t="s">
        <v>135</v>
      </c>
      <c r="T372" s="1" t="s">
        <v>388</v>
      </c>
      <c r="U372" s="1" t="s">
        <v>135</v>
      </c>
      <c r="V372" s="1"/>
      <c r="W372" s="1"/>
      <c r="X372" s="1"/>
      <c r="Y372" s="1"/>
      <c r="AA372" s="1"/>
      <c r="AC372" s="1"/>
      <c r="AD372" s="1"/>
      <c r="AE372" s="1"/>
      <c r="AN372" s="1" t="s">
        <v>74</v>
      </c>
      <c r="AO372">
        <v>253</v>
      </c>
      <c r="AP372" s="1" t="s">
        <v>834</v>
      </c>
      <c r="AQ372" s="1" t="s">
        <v>1035</v>
      </c>
      <c r="AR372" s="1" t="s">
        <v>1142</v>
      </c>
      <c r="AS372" s="1" t="s">
        <v>1213</v>
      </c>
      <c r="AT372" s="3">
        <v>41380</v>
      </c>
      <c r="AU372" s="3">
        <v>41380</v>
      </c>
      <c r="AV372" s="3">
        <v>41394</v>
      </c>
      <c r="AW372" s="1" t="s">
        <v>1221</v>
      </c>
      <c r="AX372" s="1" t="s">
        <v>1262</v>
      </c>
      <c r="AY372">
        <v>24.66</v>
      </c>
      <c r="AZ372">
        <v>253</v>
      </c>
      <c r="BA372">
        <v>4654734.66</v>
      </c>
      <c r="BB372" s="1"/>
      <c r="BD372" s="1"/>
      <c r="BE372" s="1"/>
      <c r="BG372" s="1"/>
      <c r="BH372" s="1"/>
      <c r="BJ372" s="1"/>
      <c r="BL372" s="1"/>
      <c r="BN372" s="1"/>
      <c r="BO372">
        <v>599</v>
      </c>
      <c r="BP372">
        <v>4654734.66</v>
      </c>
      <c r="BQ372">
        <v>4654734.66</v>
      </c>
    </row>
    <row r="373" spans="1:69" x14ac:dyDescent="0.35">
      <c r="A373" s="1" t="s">
        <v>68</v>
      </c>
      <c r="B373" s="1" t="s">
        <v>69</v>
      </c>
      <c r="C373" s="1" t="s">
        <v>70</v>
      </c>
      <c r="D373">
        <v>1</v>
      </c>
      <c r="E373">
        <v>1</v>
      </c>
      <c r="F373" s="2">
        <v>43585.43</v>
      </c>
      <c r="G373" s="3">
        <v>41275</v>
      </c>
      <c r="H373" s="3">
        <v>41639</v>
      </c>
      <c r="I373" s="1" t="s">
        <v>71</v>
      </c>
      <c r="J373">
        <v>4521</v>
      </c>
      <c r="K373">
        <v>0</v>
      </c>
      <c r="L373" s="1" t="s">
        <v>384</v>
      </c>
      <c r="M373" s="1" t="s">
        <v>72</v>
      </c>
      <c r="N373" s="1" t="s">
        <v>134</v>
      </c>
      <c r="O373" s="1" t="s">
        <v>385</v>
      </c>
      <c r="P373" s="1" t="s">
        <v>386</v>
      </c>
      <c r="Q373" s="1" t="s">
        <v>387</v>
      </c>
      <c r="R373">
        <v>103</v>
      </c>
      <c r="S373" s="1" t="s">
        <v>135</v>
      </c>
      <c r="T373" s="1" t="s">
        <v>388</v>
      </c>
      <c r="U373" s="1" t="s">
        <v>135</v>
      </c>
      <c r="V373" s="1"/>
      <c r="W373" s="1"/>
      <c r="X373" s="1"/>
      <c r="Y373" s="1"/>
      <c r="AA373" s="1"/>
      <c r="AC373" s="1"/>
      <c r="AD373" s="1"/>
      <c r="AE373" s="1"/>
      <c r="AN373" s="1"/>
      <c r="AP373" s="1"/>
      <c r="AQ373" s="1"/>
      <c r="AR373" s="1"/>
      <c r="AS373" s="1"/>
      <c r="AT373" s="3"/>
      <c r="AU373" s="3"/>
      <c r="AV373" s="3"/>
      <c r="AW373" s="1"/>
      <c r="AX373" s="1"/>
      <c r="AZ373">
        <v>253</v>
      </c>
      <c r="BA373">
        <v>4654734.66</v>
      </c>
      <c r="BB373" s="1" t="s">
        <v>74</v>
      </c>
      <c r="BC373">
        <v>1</v>
      </c>
      <c r="BD373" s="1" t="s">
        <v>736</v>
      </c>
      <c r="BE373" s="1" t="s">
        <v>403</v>
      </c>
      <c r="BF373">
        <v>2836.76</v>
      </c>
      <c r="BG373" s="1" t="s">
        <v>976</v>
      </c>
      <c r="BH373" s="1" t="s">
        <v>99</v>
      </c>
      <c r="BI373">
        <v>0</v>
      </c>
      <c r="BJ373" s="1"/>
      <c r="BL373" s="1"/>
      <c r="BN373" s="1"/>
      <c r="BO373">
        <v>599</v>
      </c>
      <c r="BP373">
        <v>4654734.66</v>
      </c>
      <c r="BQ373">
        <v>4654734.66</v>
      </c>
    </row>
    <row r="374" spans="1:69" x14ac:dyDescent="0.35">
      <c r="A374" s="1" t="s">
        <v>68</v>
      </c>
      <c r="B374" s="1" t="s">
        <v>69</v>
      </c>
      <c r="C374" s="1" t="s">
        <v>70</v>
      </c>
      <c r="D374">
        <v>1</v>
      </c>
      <c r="E374">
        <v>1</v>
      </c>
      <c r="F374" s="2">
        <v>43585.43</v>
      </c>
      <c r="G374" s="3">
        <v>41275</v>
      </c>
      <c r="H374" s="3">
        <v>41639</v>
      </c>
      <c r="I374" s="1" t="s">
        <v>71</v>
      </c>
      <c r="J374">
        <v>4521</v>
      </c>
      <c r="K374">
        <v>0</v>
      </c>
      <c r="L374" s="1" t="s">
        <v>384</v>
      </c>
      <c r="M374" s="1" t="s">
        <v>72</v>
      </c>
      <c r="N374" s="1" t="s">
        <v>134</v>
      </c>
      <c r="O374" s="1" t="s">
        <v>385</v>
      </c>
      <c r="P374" s="1" t="s">
        <v>386</v>
      </c>
      <c r="Q374" s="1" t="s">
        <v>387</v>
      </c>
      <c r="R374">
        <v>103</v>
      </c>
      <c r="S374" s="1" t="s">
        <v>135</v>
      </c>
      <c r="T374" s="1" t="s">
        <v>388</v>
      </c>
      <c r="U374" s="1" t="s">
        <v>135</v>
      </c>
      <c r="V374" s="1"/>
      <c r="W374" s="1"/>
      <c r="X374" s="1"/>
      <c r="Y374" s="1"/>
      <c r="AA374" s="1"/>
      <c r="AC374" s="1"/>
      <c r="AD374" s="1"/>
      <c r="AE374" s="1"/>
      <c r="AN374" s="1"/>
      <c r="AP374" s="1"/>
      <c r="AQ374" s="1"/>
      <c r="AR374" s="1"/>
      <c r="AS374" s="1"/>
      <c r="AT374" s="3"/>
      <c r="AU374" s="3"/>
      <c r="AV374" s="3"/>
      <c r="AW374" s="1"/>
      <c r="AX374" s="1"/>
      <c r="AZ374">
        <v>253</v>
      </c>
      <c r="BA374">
        <v>4654734.66</v>
      </c>
      <c r="BB374" s="1" t="s">
        <v>74</v>
      </c>
      <c r="BC374">
        <v>2</v>
      </c>
      <c r="BD374" s="1" t="s">
        <v>736</v>
      </c>
      <c r="BE374" s="1" t="s">
        <v>99</v>
      </c>
      <c r="BF374">
        <v>0</v>
      </c>
      <c r="BG374" s="1"/>
      <c r="BH374" s="1" t="s">
        <v>489</v>
      </c>
      <c r="BI374">
        <v>2306.31</v>
      </c>
      <c r="BJ374" s="1" t="s">
        <v>976</v>
      </c>
      <c r="BL374" s="1"/>
      <c r="BN374" s="1"/>
      <c r="BO374">
        <v>599</v>
      </c>
      <c r="BP374">
        <v>4654734.66</v>
      </c>
      <c r="BQ374">
        <v>4654734.66</v>
      </c>
    </row>
    <row r="375" spans="1:69" x14ac:dyDescent="0.35">
      <c r="A375" s="1" t="s">
        <v>68</v>
      </c>
      <c r="B375" s="1" t="s">
        <v>69</v>
      </c>
      <c r="C375" s="1" t="s">
        <v>70</v>
      </c>
      <c r="D375">
        <v>1</v>
      </c>
      <c r="E375">
        <v>1</v>
      </c>
      <c r="F375" s="2">
        <v>43585.43</v>
      </c>
      <c r="G375" s="3">
        <v>41275</v>
      </c>
      <c r="H375" s="3">
        <v>41639</v>
      </c>
      <c r="I375" s="1" t="s">
        <v>71</v>
      </c>
      <c r="J375">
        <v>4521</v>
      </c>
      <c r="K375">
        <v>0</v>
      </c>
      <c r="L375" s="1" t="s">
        <v>384</v>
      </c>
      <c r="M375" s="1" t="s">
        <v>72</v>
      </c>
      <c r="N375" s="1" t="s">
        <v>134</v>
      </c>
      <c r="O375" s="1" t="s">
        <v>385</v>
      </c>
      <c r="P375" s="1" t="s">
        <v>386</v>
      </c>
      <c r="Q375" s="1" t="s">
        <v>387</v>
      </c>
      <c r="R375">
        <v>103</v>
      </c>
      <c r="S375" s="1" t="s">
        <v>135</v>
      </c>
      <c r="T375" s="1" t="s">
        <v>388</v>
      </c>
      <c r="U375" s="1" t="s">
        <v>135</v>
      </c>
      <c r="V375" s="1"/>
      <c r="W375" s="1"/>
      <c r="X375" s="1"/>
      <c r="Y375" s="1"/>
      <c r="AA375" s="1"/>
      <c r="AC375" s="1"/>
      <c r="AD375" s="1"/>
      <c r="AE375" s="1"/>
      <c r="AN375" s="1"/>
      <c r="AP375" s="1"/>
      <c r="AQ375" s="1"/>
      <c r="AR375" s="1"/>
      <c r="AS375" s="1"/>
      <c r="AT375" s="3"/>
      <c r="AU375" s="3"/>
      <c r="AV375" s="3"/>
      <c r="AW375" s="1"/>
      <c r="AX375" s="1"/>
      <c r="AZ375">
        <v>253</v>
      </c>
      <c r="BA375">
        <v>4654734.66</v>
      </c>
      <c r="BB375" s="1" t="s">
        <v>74</v>
      </c>
      <c r="BC375">
        <v>3</v>
      </c>
      <c r="BD375" s="1" t="s">
        <v>736</v>
      </c>
      <c r="BE375" s="1" t="s">
        <v>99</v>
      </c>
      <c r="BF375">
        <v>0</v>
      </c>
      <c r="BG375" s="1"/>
      <c r="BH375" s="1" t="s">
        <v>451</v>
      </c>
      <c r="BI375">
        <v>530.45000000000005</v>
      </c>
      <c r="BJ375" s="1" t="s">
        <v>976</v>
      </c>
      <c r="BL375" s="1"/>
      <c r="BN375" s="1"/>
      <c r="BO375">
        <v>599</v>
      </c>
      <c r="BP375">
        <v>4654734.66</v>
      </c>
      <c r="BQ375">
        <v>4654734.66</v>
      </c>
    </row>
    <row r="376" spans="1:69" x14ac:dyDescent="0.35">
      <c r="A376" s="1" t="s">
        <v>68</v>
      </c>
      <c r="B376" s="1" t="s">
        <v>69</v>
      </c>
      <c r="C376" s="1" t="s">
        <v>70</v>
      </c>
      <c r="D376">
        <v>1</v>
      </c>
      <c r="E376">
        <v>1</v>
      </c>
      <c r="F376" s="2">
        <v>43585.43</v>
      </c>
      <c r="G376" s="3">
        <v>41275</v>
      </c>
      <c r="H376" s="3">
        <v>41639</v>
      </c>
      <c r="I376" s="1" t="s">
        <v>71</v>
      </c>
      <c r="J376">
        <v>4521</v>
      </c>
      <c r="K376">
        <v>0</v>
      </c>
      <c r="L376" s="1" t="s">
        <v>384</v>
      </c>
      <c r="M376" s="1" t="s">
        <v>72</v>
      </c>
      <c r="N376" s="1" t="s">
        <v>134</v>
      </c>
      <c r="O376" s="1" t="s">
        <v>385</v>
      </c>
      <c r="P376" s="1" t="s">
        <v>386</v>
      </c>
      <c r="Q376" s="1" t="s">
        <v>387</v>
      </c>
      <c r="R376">
        <v>103</v>
      </c>
      <c r="S376" s="1" t="s">
        <v>135</v>
      </c>
      <c r="T376" s="1" t="s">
        <v>388</v>
      </c>
      <c r="U376" s="1" t="s">
        <v>135</v>
      </c>
      <c r="V376" s="1"/>
      <c r="W376" s="1"/>
      <c r="X376" s="1"/>
      <c r="Y376" s="1"/>
      <c r="AA376" s="1"/>
      <c r="AC376" s="1"/>
      <c r="AD376" s="1"/>
      <c r="AE376" s="1"/>
      <c r="AN376" s="1"/>
      <c r="AP376" s="1"/>
      <c r="AQ376" s="1"/>
      <c r="AR376" s="1"/>
      <c r="AS376" s="1"/>
      <c r="AT376" s="3"/>
      <c r="AU376" s="3"/>
      <c r="AV376" s="3"/>
      <c r="AW376" s="1"/>
      <c r="AX376" s="1"/>
      <c r="AZ376">
        <v>253</v>
      </c>
      <c r="BA376">
        <v>4654734.66</v>
      </c>
      <c r="BB376" s="1" t="s">
        <v>74</v>
      </c>
      <c r="BC376">
        <v>4</v>
      </c>
      <c r="BD376" s="1" t="s">
        <v>737</v>
      </c>
      <c r="BE376" s="1" t="s">
        <v>402</v>
      </c>
      <c r="BF376">
        <v>317.33999999999997</v>
      </c>
      <c r="BG376" s="1" t="s">
        <v>977</v>
      </c>
      <c r="BH376" s="1" t="s">
        <v>99</v>
      </c>
      <c r="BI376">
        <v>0</v>
      </c>
      <c r="BJ376" s="1"/>
      <c r="BL376" s="1"/>
      <c r="BN376" s="1"/>
      <c r="BO376">
        <v>599</v>
      </c>
      <c r="BP376">
        <v>4654734.66</v>
      </c>
      <c r="BQ376">
        <v>4654734.66</v>
      </c>
    </row>
    <row r="377" spans="1:69" x14ac:dyDescent="0.35">
      <c r="A377" s="1" t="s">
        <v>68</v>
      </c>
      <c r="B377" s="1" t="s">
        <v>69</v>
      </c>
      <c r="C377" s="1" t="s">
        <v>70</v>
      </c>
      <c r="D377">
        <v>1</v>
      </c>
      <c r="E377">
        <v>1</v>
      </c>
      <c r="F377" s="2">
        <v>43585.43</v>
      </c>
      <c r="G377" s="3">
        <v>41275</v>
      </c>
      <c r="H377" s="3">
        <v>41639</v>
      </c>
      <c r="I377" s="1" t="s">
        <v>71</v>
      </c>
      <c r="J377">
        <v>4521</v>
      </c>
      <c r="K377">
        <v>0</v>
      </c>
      <c r="L377" s="1" t="s">
        <v>384</v>
      </c>
      <c r="M377" s="1" t="s">
        <v>72</v>
      </c>
      <c r="N377" s="1" t="s">
        <v>134</v>
      </c>
      <c r="O377" s="1" t="s">
        <v>385</v>
      </c>
      <c r="P377" s="1" t="s">
        <v>386</v>
      </c>
      <c r="Q377" s="1" t="s">
        <v>387</v>
      </c>
      <c r="R377">
        <v>103</v>
      </c>
      <c r="S377" s="1" t="s">
        <v>135</v>
      </c>
      <c r="T377" s="1" t="s">
        <v>388</v>
      </c>
      <c r="U377" s="1" t="s">
        <v>135</v>
      </c>
      <c r="V377" s="1"/>
      <c r="W377" s="1"/>
      <c r="X377" s="1"/>
      <c r="Y377" s="1"/>
      <c r="AA377" s="1"/>
      <c r="AC377" s="1"/>
      <c r="AD377" s="1"/>
      <c r="AE377" s="1"/>
      <c r="AN377" s="1"/>
      <c r="AP377" s="1"/>
      <c r="AQ377" s="1"/>
      <c r="AR377" s="1"/>
      <c r="AS377" s="1"/>
      <c r="AT377" s="3"/>
      <c r="AU377" s="3"/>
      <c r="AV377" s="3"/>
      <c r="AW377" s="1"/>
      <c r="AX377" s="1"/>
      <c r="AZ377">
        <v>253</v>
      </c>
      <c r="BA377">
        <v>4654734.66</v>
      </c>
      <c r="BB377" s="1" t="s">
        <v>74</v>
      </c>
      <c r="BC377">
        <v>5</v>
      </c>
      <c r="BD377" s="1" t="s">
        <v>737</v>
      </c>
      <c r="BE377" s="1" t="s">
        <v>99</v>
      </c>
      <c r="BF377">
        <v>0</v>
      </c>
      <c r="BG377" s="1"/>
      <c r="BH377" s="1" t="s">
        <v>489</v>
      </c>
      <c r="BI377">
        <v>258</v>
      </c>
      <c r="BJ377" s="1" t="s">
        <v>977</v>
      </c>
      <c r="BL377" s="1"/>
      <c r="BN377" s="1"/>
      <c r="BO377">
        <v>599</v>
      </c>
      <c r="BP377">
        <v>4654734.66</v>
      </c>
      <c r="BQ377">
        <v>4654734.66</v>
      </c>
    </row>
    <row r="378" spans="1:69" x14ac:dyDescent="0.35">
      <c r="A378" s="1" t="s">
        <v>68</v>
      </c>
      <c r="B378" s="1" t="s">
        <v>69</v>
      </c>
      <c r="C378" s="1" t="s">
        <v>70</v>
      </c>
      <c r="D378">
        <v>1</v>
      </c>
      <c r="E378">
        <v>1</v>
      </c>
      <c r="F378" s="2">
        <v>43585.43</v>
      </c>
      <c r="G378" s="3">
        <v>41275</v>
      </c>
      <c r="H378" s="3">
        <v>41639</v>
      </c>
      <c r="I378" s="1" t="s">
        <v>71</v>
      </c>
      <c r="J378">
        <v>4521</v>
      </c>
      <c r="K378">
        <v>0</v>
      </c>
      <c r="L378" s="1" t="s">
        <v>384</v>
      </c>
      <c r="M378" s="1" t="s">
        <v>72</v>
      </c>
      <c r="N378" s="1" t="s">
        <v>134</v>
      </c>
      <c r="O378" s="1" t="s">
        <v>385</v>
      </c>
      <c r="P378" s="1" t="s">
        <v>386</v>
      </c>
      <c r="Q378" s="1" t="s">
        <v>387</v>
      </c>
      <c r="R378">
        <v>103</v>
      </c>
      <c r="S378" s="1" t="s">
        <v>135</v>
      </c>
      <c r="T378" s="1" t="s">
        <v>388</v>
      </c>
      <c r="U378" s="1" t="s">
        <v>135</v>
      </c>
      <c r="V378" s="1"/>
      <c r="W378" s="1"/>
      <c r="X378" s="1"/>
      <c r="Y378" s="1"/>
      <c r="AA378" s="1"/>
      <c r="AC378" s="1"/>
      <c r="AD378" s="1"/>
      <c r="AE378" s="1"/>
      <c r="AN378" s="1"/>
      <c r="AP378" s="1"/>
      <c r="AQ378" s="1"/>
      <c r="AR378" s="1"/>
      <c r="AS378" s="1"/>
      <c r="AT378" s="3"/>
      <c r="AU378" s="3"/>
      <c r="AV378" s="3"/>
      <c r="AW378" s="1"/>
      <c r="AX378" s="1"/>
      <c r="AZ378">
        <v>253</v>
      </c>
      <c r="BA378">
        <v>4654734.66</v>
      </c>
      <c r="BB378" s="1" t="s">
        <v>74</v>
      </c>
      <c r="BC378">
        <v>6</v>
      </c>
      <c r="BD378" s="1" t="s">
        <v>737</v>
      </c>
      <c r="BE378" s="1" t="s">
        <v>99</v>
      </c>
      <c r="BF378">
        <v>0</v>
      </c>
      <c r="BG378" s="1"/>
      <c r="BH378" s="1" t="s">
        <v>451</v>
      </c>
      <c r="BI378">
        <v>59.34</v>
      </c>
      <c r="BJ378" s="1" t="s">
        <v>977</v>
      </c>
      <c r="BL378" s="1"/>
      <c r="BN378" s="1"/>
      <c r="BO378">
        <v>599</v>
      </c>
      <c r="BP378">
        <v>4654734.66</v>
      </c>
      <c r="BQ378">
        <v>4654734.66</v>
      </c>
    </row>
    <row r="379" spans="1:69" x14ac:dyDescent="0.35">
      <c r="A379" s="1" t="s">
        <v>68</v>
      </c>
      <c r="B379" s="1" t="s">
        <v>69</v>
      </c>
      <c r="C379" s="1" t="s">
        <v>70</v>
      </c>
      <c r="D379">
        <v>1</v>
      </c>
      <c r="E379">
        <v>1</v>
      </c>
      <c r="F379" s="2">
        <v>43585.43</v>
      </c>
      <c r="G379" s="3">
        <v>41275</v>
      </c>
      <c r="H379" s="3">
        <v>41639</v>
      </c>
      <c r="I379" s="1" t="s">
        <v>71</v>
      </c>
      <c r="J379">
        <v>4521</v>
      </c>
      <c r="K379">
        <v>0</v>
      </c>
      <c r="L379" s="1" t="s">
        <v>384</v>
      </c>
      <c r="M379" s="1" t="s">
        <v>72</v>
      </c>
      <c r="N379" s="1" t="s">
        <v>134</v>
      </c>
      <c r="O379" s="1" t="s">
        <v>385</v>
      </c>
      <c r="P379" s="1" t="s">
        <v>386</v>
      </c>
      <c r="Q379" s="1" t="s">
        <v>387</v>
      </c>
      <c r="R379">
        <v>103</v>
      </c>
      <c r="S379" s="1" t="s">
        <v>135</v>
      </c>
      <c r="T379" s="1" t="s">
        <v>388</v>
      </c>
      <c r="U379" s="1" t="s">
        <v>135</v>
      </c>
      <c r="V379" s="1"/>
      <c r="W379" s="1"/>
      <c r="X379" s="1"/>
      <c r="Y379" s="1"/>
      <c r="AA379" s="1"/>
      <c r="AC379" s="1"/>
      <c r="AD379" s="1"/>
      <c r="AE379" s="1"/>
      <c r="AN379" s="1"/>
      <c r="AP379" s="1"/>
      <c r="AQ379" s="1"/>
      <c r="AR379" s="1"/>
      <c r="AS379" s="1"/>
      <c r="AT379" s="3"/>
      <c r="AU379" s="3"/>
      <c r="AV379" s="3"/>
      <c r="AW379" s="1"/>
      <c r="AX379" s="1"/>
      <c r="AZ379">
        <v>253</v>
      </c>
      <c r="BA379">
        <v>4654734.66</v>
      </c>
      <c r="BB379" s="1" t="s">
        <v>74</v>
      </c>
      <c r="BC379">
        <v>7</v>
      </c>
      <c r="BD379" s="1" t="s">
        <v>738</v>
      </c>
      <c r="BE379" s="1" t="s">
        <v>404</v>
      </c>
      <c r="BF379">
        <v>10505.43</v>
      </c>
      <c r="BG379" s="1" t="s">
        <v>978</v>
      </c>
      <c r="BH379" s="1" t="s">
        <v>99</v>
      </c>
      <c r="BI379">
        <v>0</v>
      </c>
      <c r="BJ379" s="1"/>
      <c r="BL379" s="1"/>
      <c r="BN379" s="1"/>
      <c r="BO379">
        <v>599</v>
      </c>
      <c r="BP379">
        <v>4654734.66</v>
      </c>
      <c r="BQ379">
        <v>4654734.66</v>
      </c>
    </row>
    <row r="380" spans="1:69" x14ac:dyDescent="0.35">
      <c r="A380" s="1" t="s">
        <v>68</v>
      </c>
      <c r="B380" s="1" t="s">
        <v>69</v>
      </c>
      <c r="C380" s="1" t="s">
        <v>70</v>
      </c>
      <c r="D380">
        <v>1</v>
      </c>
      <c r="E380">
        <v>1</v>
      </c>
      <c r="F380" s="2">
        <v>43585.43</v>
      </c>
      <c r="G380" s="3">
        <v>41275</v>
      </c>
      <c r="H380" s="3">
        <v>41639</v>
      </c>
      <c r="I380" s="1" t="s">
        <v>71</v>
      </c>
      <c r="J380">
        <v>4521</v>
      </c>
      <c r="K380">
        <v>0</v>
      </c>
      <c r="L380" s="1" t="s">
        <v>384</v>
      </c>
      <c r="M380" s="1" t="s">
        <v>72</v>
      </c>
      <c r="N380" s="1" t="s">
        <v>134</v>
      </c>
      <c r="O380" s="1" t="s">
        <v>385</v>
      </c>
      <c r="P380" s="1" t="s">
        <v>386</v>
      </c>
      <c r="Q380" s="1" t="s">
        <v>387</v>
      </c>
      <c r="R380">
        <v>103</v>
      </c>
      <c r="S380" s="1" t="s">
        <v>135</v>
      </c>
      <c r="T380" s="1" t="s">
        <v>388</v>
      </c>
      <c r="U380" s="1" t="s">
        <v>135</v>
      </c>
      <c r="V380" s="1"/>
      <c r="W380" s="1"/>
      <c r="X380" s="1"/>
      <c r="Y380" s="1"/>
      <c r="AA380" s="1"/>
      <c r="AC380" s="1"/>
      <c r="AD380" s="1"/>
      <c r="AE380" s="1"/>
      <c r="AN380" s="1"/>
      <c r="AP380" s="1"/>
      <c r="AQ380" s="1"/>
      <c r="AR380" s="1"/>
      <c r="AS380" s="1"/>
      <c r="AT380" s="3"/>
      <c r="AU380" s="3"/>
      <c r="AV380" s="3"/>
      <c r="AW380" s="1"/>
      <c r="AX380" s="1"/>
      <c r="AZ380">
        <v>253</v>
      </c>
      <c r="BA380">
        <v>4654734.66</v>
      </c>
      <c r="BB380" s="1" t="s">
        <v>74</v>
      </c>
      <c r="BC380">
        <v>8</v>
      </c>
      <c r="BD380" s="1" t="s">
        <v>738</v>
      </c>
      <c r="BE380" s="1" t="s">
        <v>99</v>
      </c>
      <c r="BF380">
        <v>0</v>
      </c>
      <c r="BG380" s="1"/>
      <c r="BH380" s="1" t="s">
        <v>489</v>
      </c>
      <c r="BI380">
        <v>8541</v>
      </c>
      <c r="BJ380" s="1" t="s">
        <v>978</v>
      </c>
      <c r="BL380" s="1"/>
      <c r="BN380" s="1"/>
      <c r="BO380">
        <v>599</v>
      </c>
      <c r="BP380">
        <v>4654734.66</v>
      </c>
      <c r="BQ380">
        <v>4654734.66</v>
      </c>
    </row>
    <row r="381" spans="1:69" x14ac:dyDescent="0.35">
      <c r="A381" s="1" t="s">
        <v>68</v>
      </c>
      <c r="B381" s="1" t="s">
        <v>69</v>
      </c>
      <c r="C381" s="1" t="s">
        <v>70</v>
      </c>
      <c r="D381">
        <v>1</v>
      </c>
      <c r="E381">
        <v>1</v>
      </c>
      <c r="F381" s="2">
        <v>43585.43</v>
      </c>
      <c r="G381" s="3">
        <v>41275</v>
      </c>
      <c r="H381" s="3">
        <v>41639</v>
      </c>
      <c r="I381" s="1" t="s">
        <v>71</v>
      </c>
      <c r="J381">
        <v>4521</v>
      </c>
      <c r="K381">
        <v>0</v>
      </c>
      <c r="L381" s="1" t="s">
        <v>384</v>
      </c>
      <c r="M381" s="1" t="s">
        <v>72</v>
      </c>
      <c r="N381" s="1" t="s">
        <v>134</v>
      </c>
      <c r="O381" s="1" t="s">
        <v>385</v>
      </c>
      <c r="P381" s="1" t="s">
        <v>386</v>
      </c>
      <c r="Q381" s="1" t="s">
        <v>387</v>
      </c>
      <c r="R381">
        <v>103</v>
      </c>
      <c r="S381" s="1" t="s">
        <v>135</v>
      </c>
      <c r="T381" s="1" t="s">
        <v>388</v>
      </c>
      <c r="U381" s="1" t="s">
        <v>135</v>
      </c>
      <c r="V381" s="1"/>
      <c r="W381" s="1"/>
      <c r="X381" s="1"/>
      <c r="Y381" s="1"/>
      <c r="AA381" s="1"/>
      <c r="AC381" s="1"/>
      <c r="AD381" s="1"/>
      <c r="AE381" s="1"/>
      <c r="AN381" s="1"/>
      <c r="AP381" s="1"/>
      <c r="AQ381" s="1"/>
      <c r="AR381" s="1"/>
      <c r="AS381" s="1"/>
      <c r="AT381" s="3"/>
      <c r="AU381" s="3"/>
      <c r="AV381" s="3"/>
      <c r="AW381" s="1"/>
      <c r="AX381" s="1"/>
      <c r="AZ381">
        <v>253</v>
      </c>
      <c r="BA381">
        <v>4654734.66</v>
      </c>
      <c r="BB381" s="1" t="s">
        <v>74</v>
      </c>
      <c r="BC381">
        <v>9</v>
      </c>
      <c r="BD381" s="1" t="s">
        <v>738</v>
      </c>
      <c r="BE381" s="1" t="s">
        <v>99</v>
      </c>
      <c r="BF381">
        <v>0</v>
      </c>
      <c r="BG381" s="1"/>
      <c r="BH381" s="1" t="s">
        <v>451</v>
      </c>
      <c r="BI381">
        <v>1964.43</v>
      </c>
      <c r="BJ381" s="1" t="s">
        <v>978</v>
      </c>
      <c r="BL381" s="1"/>
      <c r="BN381" s="1"/>
      <c r="BO381">
        <v>599</v>
      </c>
      <c r="BP381">
        <v>4654734.66</v>
      </c>
      <c r="BQ381">
        <v>4654734.66</v>
      </c>
    </row>
    <row r="382" spans="1:69" x14ac:dyDescent="0.35">
      <c r="A382" s="1" t="s">
        <v>68</v>
      </c>
      <c r="B382" s="1" t="s">
        <v>69</v>
      </c>
      <c r="C382" s="1" t="s">
        <v>70</v>
      </c>
      <c r="D382">
        <v>1</v>
      </c>
      <c r="E382">
        <v>1</v>
      </c>
      <c r="F382" s="2">
        <v>43585.43</v>
      </c>
      <c r="G382" s="3">
        <v>41275</v>
      </c>
      <c r="H382" s="3">
        <v>41639</v>
      </c>
      <c r="I382" s="1" t="s">
        <v>71</v>
      </c>
      <c r="J382">
        <v>4521</v>
      </c>
      <c r="K382">
        <v>0</v>
      </c>
      <c r="L382" s="1" t="s">
        <v>384</v>
      </c>
      <c r="M382" s="1" t="s">
        <v>72</v>
      </c>
      <c r="N382" s="1" t="s">
        <v>134</v>
      </c>
      <c r="O382" s="1" t="s">
        <v>385</v>
      </c>
      <c r="P382" s="1" t="s">
        <v>386</v>
      </c>
      <c r="Q382" s="1" t="s">
        <v>387</v>
      </c>
      <c r="R382">
        <v>103</v>
      </c>
      <c r="S382" s="1" t="s">
        <v>135</v>
      </c>
      <c r="T382" s="1" t="s">
        <v>388</v>
      </c>
      <c r="U382" s="1" t="s">
        <v>135</v>
      </c>
      <c r="V382" s="1"/>
      <c r="W382" s="1"/>
      <c r="X382" s="1"/>
      <c r="Y382" s="1"/>
      <c r="AA382" s="1"/>
      <c r="AC382" s="1"/>
      <c r="AD382" s="1"/>
      <c r="AE382" s="1"/>
      <c r="AN382" s="1"/>
      <c r="AP382" s="1"/>
      <c r="AQ382" s="1"/>
      <c r="AR382" s="1"/>
      <c r="AS382" s="1"/>
      <c r="AT382" s="3"/>
      <c r="AU382" s="3"/>
      <c r="AV382" s="3"/>
      <c r="AW382" s="1"/>
      <c r="AX382" s="1"/>
      <c r="AZ382">
        <v>253</v>
      </c>
      <c r="BA382">
        <v>4654734.66</v>
      </c>
      <c r="BB382" s="1" t="s">
        <v>74</v>
      </c>
      <c r="BC382">
        <v>10</v>
      </c>
      <c r="BD382" s="1" t="s">
        <v>739</v>
      </c>
      <c r="BE382" s="1" t="s">
        <v>406</v>
      </c>
      <c r="BF382">
        <v>14821.5</v>
      </c>
      <c r="BG382" s="1" t="s">
        <v>979</v>
      </c>
      <c r="BH382" s="1" t="s">
        <v>99</v>
      </c>
      <c r="BI382">
        <v>0</v>
      </c>
      <c r="BJ382" s="1"/>
      <c r="BL382" s="1"/>
      <c r="BN382" s="1"/>
      <c r="BO382">
        <v>599</v>
      </c>
      <c r="BP382">
        <v>4654734.66</v>
      </c>
      <c r="BQ382">
        <v>4654734.66</v>
      </c>
    </row>
    <row r="383" spans="1:69" x14ac:dyDescent="0.35">
      <c r="A383" s="1" t="s">
        <v>68</v>
      </c>
      <c r="B383" s="1" t="s">
        <v>69</v>
      </c>
      <c r="C383" s="1" t="s">
        <v>70</v>
      </c>
      <c r="D383">
        <v>1</v>
      </c>
      <c r="E383">
        <v>1</v>
      </c>
      <c r="F383" s="2">
        <v>43585.43</v>
      </c>
      <c r="G383" s="3">
        <v>41275</v>
      </c>
      <c r="H383" s="3">
        <v>41639</v>
      </c>
      <c r="I383" s="1" t="s">
        <v>71</v>
      </c>
      <c r="J383">
        <v>4521</v>
      </c>
      <c r="K383">
        <v>0</v>
      </c>
      <c r="L383" s="1" t="s">
        <v>384</v>
      </c>
      <c r="M383" s="1" t="s">
        <v>72</v>
      </c>
      <c r="N383" s="1" t="s">
        <v>134</v>
      </c>
      <c r="O383" s="1" t="s">
        <v>385</v>
      </c>
      <c r="P383" s="1" t="s">
        <v>386</v>
      </c>
      <c r="Q383" s="1" t="s">
        <v>387</v>
      </c>
      <c r="R383">
        <v>103</v>
      </c>
      <c r="S383" s="1" t="s">
        <v>135</v>
      </c>
      <c r="T383" s="1" t="s">
        <v>388</v>
      </c>
      <c r="U383" s="1" t="s">
        <v>135</v>
      </c>
      <c r="V383" s="1"/>
      <c r="W383" s="1"/>
      <c r="X383" s="1"/>
      <c r="Y383" s="1"/>
      <c r="AA383" s="1"/>
      <c r="AC383" s="1"/>
      <c r="AD383" s="1"/>
      <c r="AE383" s="1"/>
      <c r="AN383" s="1"/>
      <c r="AP383" s="1"/>
      <c r="AQ383" s="1"/>
      <c r="AR383" s="1"/>
      <c r="AS383" s="1"/>
      <c r="AT383" s="3"/>
      <c r="AU383" s="3"/>
      <c r="AV383" s="3"/>
      <c r="AW383" s="1"/>
      <c r="AX383" s="1"/>
      <c r="AZ383">
        <v>253</v>
      </c>
      <c r="BA383">
        <v>4654734.66</v>
      </c>
      <c r="BB383" s="1" t="s">
        <v>74</v>
      </c>
      <c r="BC383">
        <v>11</v>
      </c>
      <c r="BD383" s="1" t="s">
        <v>739</v>
      </c>
      <c r="BE383" s="1" t="s">
        <v>99</v>
      </c>
      <c r="BF383">
        <v>0</v>
      </c>
      <c r="BG383" s="1"/>
      <c r="BH383" s="1" t="s">
        <v>489</v>
      </c>
      <c r="BI383">
        <v>12050</v>
      </c>
      <c r="BJ383" s="1" t="s">
        <v>979</v>
      </c>
      <c r="BL383" s="1"/>
      <c r="BN383" s="1"/>
      <c r="BO383">
        <v>599</v>
      </c>
      <c r="BP383">
        <v>4654734.66</v>
      </c>
      <c r="BQ383">
        <v>4654734.66</v>
      </c>
    </row>
    <row r="384" spans="1:69" x14ac:dyDescent="0.35">
      <c r="A384" s="1" t="s">
        <v>68</v>
      </c>
      <c r="B384" s="1" t="s">
        <v>69</v>
      </c>
      <c r="C384" s="1" t="s">
        <v>70</v>
      </c>
      <c r="D384">
        <v>1</v>
      </c>
      <c r="E384">
        <v>1</v>
      </c>
      <c r="F384" s="2">
        <v>43585.43</v>
      </c>
      <c r="G384" s="3">
        <v>41275</v>
      </c>
      <c r="H384" s="3">
        <v>41639</v>
      </c>
      <c r="I384" s="1" t="s">
        <v>71</v>
      </c>
      <c r="J384">
        <v>4521</v>
      </c>
      <c r="K384">
        <v>0</v>
      </c>
      <c r="L384" s="1" t="s">
        <v>384</v>
      </c>
      <c r="M384" s="1" t="s">
        <v>72</v>
      </c>
      <c r="N384" s="1" t="s">
        <v>134</v>
      </c>
      <c r="O384" s="1" t="s">
        <v>385</v>
      </c>
      <c r="P384" s="1" t="s">
        <v>386</v>
      </c>
      <c r="Q384" s="1" t="s">
        <v>387</v>
      </c>
      <c r="R384">
        <v>103</v>
      </c>
      <c r="S384" s="1" t="s">
        <v>135</v>
      </c>
      <c r="T384" s="1" t="s">
        <v>388</v>
      </c>
      <c r="U384" s="1" t="s">
        <v>135</v>
      </c>
      <c r="V384" s="1"/>
      <c r="W384" s="1"/>
      <c r="X384" s="1"/>
      <c r="Y384" s="1"/>
      <c r="AA384" s="1"/>
      <c r="AC384" s="1"/>
      <c r="AD384" s="1"/>
      <c r="AE384" s="1"/>
      <c r="AN384" s="1"/>
      <c r="AP384" s="1"/>
      <c r="AQ384" s="1"/>
      <c r="AR384" s="1"/>
      <c r="AS384" s="1"/>
      <c r="AT384" s="3"/>
      <c r="AU384" s="3"/>
      <c r="AV384" s="3"/>
      <c r="AW384" s="1"/>
      <c r="AX384" s="1"/>
      <c r="AZ384">
        <v>253</v>
      </c>
      <c r="BA384">
        <v>4654734.66</v>
      </c>
      <c r="BB384" s="1" t="s">
        <v>74</v>
      </c>
      <c r="BC384">
        <v>12</v>
      </c>
      <c r="BD384" s="1" t="s">
        <v>739</v>
      </c>
      <c r="BE384" s="1" t="s">
        <v>99</v>
      </c>
      <c r="BF384">
        <v>0</v>
      </c>
      <c r="BG384" s="1"/>
      <c r="BH384" s="1" t="s">
        <v>451</v>
      </c>
      <c r="BI384">
        <v>2771.5</v>
      </c>
      <c r="BJ384" s="1" t="s">
        <v>979</v>
      </c>
      <c r="BL384" s="1"/>
      <c r="BN384" s="1"/>
      <c r="BO384">
        <v>599</v>
      </c>
      <c r="BP384">
        <v>4654734.66</v>
      </c>
      <c r="BQ384">
        <v>4654734.66</v>
      </c>
    </row>
    <row r="385" spans="1:69" x14ac:dyDescent="0.35">
      <c r="A385" s="1" t="s">
        <v>68</v>
      </c>
      <c r="B385" s="1" t="s">
        <v>69</v>
      </c>
      <c r="C385" s="1" t="s">
        <v>70</v>
      </c>
      <c r="D385">
        <v>1</v>
      </c>
      <c r="E385">
        <v>1</v>
      </c>
      <c r="F385" s="2">
        <v>43585.43</v>
      </c>
      <c r="G385" s="3">
        <v>41275</v>
      </c>
      <c r="H385" s="3">
        <v>41639</v>
      </c>
      <c r="I385" s="1" t="s">
        <v>71</v>
      </c>
      <c r="J385">
        <v>4521</v>
      </c>
      <c r="K385">
        <v>0</v>
      </c>
      <c r="L385" s="1" t="s">
        <v>384</v>
      </c>
      <c r="M385" s="1" t="s">
        <v>72</v>
      </c>
      <c r="N385" s="1" t="s">
        <v>134</v>
      </c>
      <c r="O385" s="1" t="s">
        <v>385</v>
      </c>
      <c r="P385" s="1" t="s">
        <v>386</v>
      </c>
      <c r="Q385" s="1" t="s">
        <v>387</v>
      </c>
      <c r="R385">
        <v>103</v>
      </c>
      <c r="S385" s="1" t="s">
        <v>135</v>
      </c>
      <c r="T385" s="1" t="s">
        <v>388</v>
      </c>
      <c r="U385" s="1" t="s">
        <v>135</v>
      </c>
      <c r="V385" s="1"/>
      <c r="W385" s="1"/>
      <c r="X385" s="1"/>
      <c r="Y385" s="1"/>
      <c r="AA385" s="1"/>
      <c r="AC385" s="1"/>
      <c r="AD385" s="1"/>
      <c r="AE385" s="1"/>
      <c r="AN385" s="1"/>
      <c r="AP385" s="1"/>
      <c r="AQ385" s="1"/>
      <c r="AR385" s="1"/>
      <c r="AS385" s="1"/>
      <c r="AT385" s="3"/>
      <c r="AU385" s="3"/>
      <c r="AV385" s="3"/>
      <c r="AW385" s="1"/>
      <c r="AX385" s="1"/>
      <c r="AZ385">
        <v>253</v>
      </c>
      <c r="BA385">
        <v>4654734.66</v>
      </c>
      <c r="BB385" s="1" t="s">
        <v>74</v>
      </c>
      <c r="BC385">
        <v>13</v>
      </c>
      <c r="BD385" s="1" t="s">
        <v>740</v>
      </c>
      <c r="BE385" s="1" t="s">
        <v>465</v>
      </c>
      <c r="BF385">
        <v>580</v>
      </c>
      <c r="BG385" s="1" t="s">
        <v>980</v>
      </c>
      <c r="BH385" s="1" t="s">
        <v>99</v>
      </c>
      <c r="BI385">
        <v>0</v>
      </c>
      <c r="BJ385" s="1"/>
      <c r="BL385" s="1"/>
      <c r="BN385" s="1"/>
      <c r="BO385">
        <v>599</v>
      </c>
      <c r="BP385">
        <v>4654734.66</v>
      </c>
      <c r="BQ385">
        <v>4654734.66</v>
      </c>
    </row>
    <row r="386" spans="1:69" x14ac:dyDescent="0.35">
      <c r="A386" s="1" t="s">
        <v>68</v>
      </c>
      <c r="B386" s="1" t="s">
        <v>69</v>
      </c>
      <c r="C386" s="1" t="s">
        <v>70</v>
      </c>
      <c r="D386">
        <v>1</v>
      </c>
      <c r="E386">
        <v>1</v>
      </c>
      <c r="F386" s="2">
        <v>43585.43</v>
      </c>
      <c r="G386" s="3">
        <v>41275</v>
      </c>
      <c r="H386" s="3">
        <v>41639</v>
      </c>
      <c r="I386" s="1" t="s">
        <v>71</v>
      </c>
      <c r="J386">
        <v>4521</v>
      </c>
      <c r="K386">
        <v>0</v>
      </c>
      <c r="L386" s="1" t="s">
        <v>384</v>
      </c>
      <c r="M386" s="1" t="s">
        <v>72</v>
      </c>
      <c r="N386" s="1" t="s">
        <v>134</v>
      </c>
      <c r="O386" s="1" t="s">
        <v>385</v>
      </c>
      <c r="P386" s="1" t="s">
        <v>386</v>
      </c>
      <c r="Q386" s="1" t="s">
        <v>387</v>
      </c>
      <c r="R386">
        <v>103</v>
      </c>
      <c r="S386" s="1" t="s">
        <v>135</v>
      </c>
      <c r="T386" s="1" t="s">
        <v>388</v>
      </c>
      <c r="U386" s="1" t="s">
        <v>135</v>
      </c>
      <c r="V386" s="1"/>
      <c r="W386" s="1"/>
      <c r="X386" s="1"/>
      <c r="Y386" s="1"/>
      <c r="AA386" s="1"/>
      <c r="AC386" s="1"/>
      <c r="AD386" s="1"/>
      <c r="AE386" s="1"/>
      <c r="AN386" s="1"/>
      <c r="AP386" s="1"/>
      <c r="AQ386" s="1"/>
      <c r="AR386" s="1"/>
      <c r="AS386" s="1"/>
      <c r="AT386" s="3"/>
      <c r="AU386" s="3"/>
      <c r="AV386" s="3"/>
      <c r="AW386" s="1"/>
      <c r="AX386" s="1"/>
      <c r="AZ386">
        <v>253</v>
      </c>
      <c r="BA386">
        <v>4654734.66</v>
      </c>
      <c r="BB386" s="1" t="s">
        <v>74</v>
      </c>
      <c r="BC386">
        <v>14</v>
      </c>
      <c r="BD386" s="1" t="s">
        <v>740</v>
      </c>
      <c r="BE386" s="1" t="s">
        <v>99</v>
      </c>
      <c r="BF386">
        <v>0</v>
      </c>
      <c r="BG386" s="1"/>
      <c r="BH386" s="1" t="s">
        <v>425</v>
      </c>
      <c r="BI386">
        <v>713.4</v>
      </c>
      <c r="BJ386" s="1" t="s">
        <v>980</v>
      </c>
      <c r="BL386" s="1"/>
      <c r="BN386" s="1"/>
      <c r="BO386">
        <v>599</v>
      </c>
      <c r="BP386">
        <v>4654734.66</v>
      </c>
      <c r="BQ386">
        <v>4654734.66</v>
      </c>
    </row>
    <row r="387" spans="1:69" x14ac:dyDescent="0.35">
      <c r="A387" s="1" t="s">
        <v>68</v>
      </c>
      <c r="B387" s="1" t="s">
        <v>69</v>
      </c>
      <c r="C387" s="1" t="s">
        <v>70</v>
      </c>
      <c r="D387">
        <v>1</v>
      </c>
      <c r="E387">
        <v>1</v>
      </c>
      <c r="F387" s="2">
        <v>43585.43</v>
      </c>
      <c r="G387" s="3">
        <v>41275</v>
      </c>
      <c r="H387" s="3">
        <v>41639</v>
      </c>
      <c r="I387" s="1" t="s">
        <v>71</v>
      </c>
      <c r="J387">
        <v>4521</v>
      </c>
      <c r="K387">
        <v>0</v>
      </c>
      <c r="L387" s="1" t="s">
        <v>384</v>
      </c>
      <c r="M387" s="1" t="s">
        <v>72</v>
      </c>
      <c r="N387" s="1" t="s">
        <v>134</v>
      </c>
      <c r="O387" s="1" t="s">
        <v>385</v>
      </c>
      <c r="P387" s="1" t="s">
        <v>386</v>
      </c>
      <c r="Q387" s="1" t="s">
        <v>387</v>
      </c>
      <c r="R387">
        <v>103</v>
      </c>
      <c r="S387" s="1" t="s">
        <v>135</v>
      </c>
      <c r="T387" s="1" t="s">
        <v>388</v>
      </c>
      <c r="U387" s="1" t="s">
        <v>135</v>
      </c>
      <c r="V387" s="1"/>
      <c r="W387" s="1"/>
      <c r="X387" s="1"/>
      <c r="Y387" s="1"/>
      <c r="AA387" s="1"/>
      <c r="AC387" s="1"/>
      <c r="AD387" s="1"/>
      <c r="AE387" s="1"/>
      <c r="AN387" s="1"/>
      <c r="AP387" s="1"/>
      <c r="AQ387" s="1"/>
      <c r="AR387" s="1"/>
      <c r="AS387" s="1"/>
      <c r="AT387" s="3"/>
      <c r="AU387" s="3"/>
      <c r="AV387" s="3"/>
      <c r="AW387" s="1"/>
      <c r="AX387" s="1"/>
      <c r="AZ387">
        <v>253</v>
      </c>
      <c r="BA387">
        <v>4654734.66</v>
      </c>
      <c r="BB387" s="1" t="s">
        <v>74</v>
      </c>
      <c r="BC387">
        <v>15</v>
      </c>
      <c r="BD387" s="1" t="s">
        <v>740</v>
      </c>
      <c r="BE387" s="1" t="s">
        <v>452</v>
      </c>
      <c r="BF387">
        <v>133.4</v>
      </c>
      <c r="BG387" s="1" t="s">
        <v>980</v>
      </c>
      <c r="BH387" s="1" t="s">
        <v>99</v>
      </c>
      <c r="BI387">
        <v>0</v>
      </c>
      <c r="BJ387" s="1"/>
      <c r="BL387" s="1"/>
      <c r="BN387" s="1"/>
      <c r="BO387">
        <v>599</v>
      </c>
      <c r="BP387">
        <v>4654734.66</v>
      </c>
      <c r="BQ387">
        <v>4654734.66</v>
      </c>
    </row>
    <row r="388" spans="1:69" x14ac:dyDescent="0.35">
      <c r="A388" s="1" t="s">
        <v>68</v>
      </c>
      <c r="B388" s="1" t="s">
        <v>69</v>
      </c>
      <c r="C388" s="1" t="s">
        <v>70</v>
      </c>
      <c r="D388">
        <v>1</v>
      </c>
      <c r="E388">
        <v>1</v>
      </c>
      <c r="F388" s="2">
        <v>43585.43</v>
      </c>
      <c r="G388" s="3">
        <v>41275</v>
      </c>
      <c r="H388" s="3">
        <v>41639</v>
      </c>
      <c r="I388" s="1" t="s">
        <v>71</v>
      </c>
      <c r="J388">
        <v>4521</v>
      </c>
      <c r="K388">
        <v>0</v>
      </c>
      <c r="L388" s="1" t="s">
        <v>384</v>
      </c>
      <c r="M388" s="1" t="s">
        <v>72</v>
      </c>
      <c r="N388" s="1" t="s">
        <v>134</v>
      </c>
      <c r="O388" s="1" t="s">
        <v>385</v>
      </c>
      <c r="P388" s="1" t="s">
        <v>386</v>
      </c>
      <c r="Q388" s="1" t="s">
        <v>387</v>
      </c>
      <c r="R388">
        <v>103</v>
      </c>
      <c r="S388" s="1" t="s">
        <v>135</v>
      </c>
      <c r="T388" s="1" t="s">
        <v>388</v>
      </c>
      <c r="U388" s="1" t="s">
        <v>135</v>
      </c>
      <c r="V388" s="1"/>
      <c r="W388" s="1"/>
      <c r="X388" s="1"/>
      <c r="Y388" s="1"/>
      <c r="AA388" s="1"/>
      <c r="AC388" s="1"/>
      <c r="AD388" s="1"/>
      <c r="AE388" s="1"/>
      <c r="AN388" s="1"/>
      <c r="AP388" s="1"/>
      <c r="AQ388" s="1"/>
      <c r="AR388" s="1"/>
      <c r="AS388" s="1"/>
      <c r="AT388" s="3"/>
      <c r="AU388" s="3"/>
      <c r="AV388" s="3"/>
      <c r="AW388" s="1"/>
      <c r="AX388" s="1"/>
      <c r="AZ388">
        <v>253</v>
      </c>
      <c r="BA388">
        <v>4654734.66</v>
      </c>
      <c r="BB388" s="1" t="s">
        <v>74</v>
      </c>
      <c r="BC388">
        <v>16</v>
      </c>
      <c r="BD388" s="1" t="s">
        <v>741</v>
      </c>
      <c r="BE388" s="1" t="s">
        <v>405</v>
      </c>
      <c r="BF388">
        <v>28905</v>
      </c>
      <c r="BG388" s="1" t="s">
        <v>981</v>
      </c>
      <c r="BH388" s="1" t="s">
        <v>99</v>
      </c>
      <c r="BI388">
        <v>0</v>
      </c>
      <c r="BJ388" s="1"/>
      <c r="BL388" s="1"/>
      <c r="BN388" s="1"/>
      <c r="BO388">
        <v>599</v>
      </c>
      <c r="BP388">
        <v>4654734.66</v>
      </c>
      <c r="BQ388">
        <v>4654734.66</v>
      </c>
    </row>
    <row r="389" spans="1:69" x14ac:dyDescent="0.35">
      <c r="A389" s="1" t="s">
        <v>68</v>
      </c>
      <c r="B389" s="1" t="s">
        <v>69</v>
      </c>
      <c r="C389" s="1" t="s">
        <v>70</v>
      </c>
      <c r="D389">
        <v>1</v>
      </c>
      <c r="E389">
        <v>1</v>
      </c>
      <c r="F389" s="2">
        <v>43585.43</v>
      </c>
      <c r="G389" s="3">
        <v>41275</v>
      </c>
      <c r="H389" s="3">
        <v>41639</v>
      </c>
      <c r="I389" s="1" t="s">
        <v>71</v>
      </c>
      <c r="J389">
        <v>4521</v>
      </c>
      <c r="K389">
        <v>0</v>
      </c>
      <c r="L389" s="1" t="s">
        <v>384</v>
      </c>
      <c r="M389" s="1" t="s">
        <v>72</v>
      </c>
      <c r="N389" s="1" t="s">
        <v>134</v>
      </c>
      <c r="O389" s="1" t="s">
        <v>385</v>
      </c>
      <c r="P389" s="1" t="s">
        <v>386</v>
      </c>
      <c r="Q389" s="1" t="s">
        <v>387</v>
      </c>
      <c r="R389">
        <v>103</v>
      </c>
      <c r="S389" s="1" t="s">
        <v>135</v>
      </c>
      <c r="T389" s="1" t="s">
        <v>388</v>
      </c>
      <c r="U389" s="1" t="s">
        <v>135</v>
      </c>
      <c r="V389" s="1"/>
      <c r="W389" s="1"/>
      <c r="X389" s="1"/>
      <c r="Y389" s="1"/>
      <c r="AA389" s="1"/>
      <c r="AC389" s="1"/>
      <c r="AD389" s="1"/>
      <c r="AE389" s="1"/>
      <c r="AN389" s="1"/>
      <c r="AP389" s="1"/>
      <c r="AQ389" s="1"/>
      <c r="AR389" s="1"/>
      <c r="AS389" s="1"/>
      <c r="AT389" s="3"/>
      <c r="AU389" s="3"/>
      <c r="AV389" s="3"/>
      <c r="AW389" s="1"/>
      <c r="AX389" s="1"/>
      <c r="AZ389">
        <v>253</v>
      </c>
      <c r="BA389">
        <v>4654734.66</v>
      </c>
      <c r="BB389" s="1" t="s">
        <v>74</v>
      </c>
      <c r="BC389">
        <v>17</v>
      </c>
      <c r="BD389" s="1" t="s">
        <v>741</v>
      </c>
      <c r="BE389" s="1" t="s">
        <v>99</v>
      </c>
      <c r="BF389">
        <v>0</v>
      </c>
      <c r="BG389" s="1"/>
      <c r="BH389" s="1" t="s">
        <v>489</v>
      </c>
      <c r="BI389">
        <v>23500</v>
      </c>
      <c r="BJ389" s="1" t="s">
        <v>981</v>
      </c>
      <c r="BL389" s="1"/>
      <c r="BN389" s="1"/>
      <c r="BO389">
        <v>599</v>
      </c>
      <c r="BP389">
        <v>4654734.66</v>
      </c>
      <c r="BQ389">
        <v>4654734.66</v>
      </c>
    </row>
    <row r="390" spans="1:69" x14ac:dyDescent="0.35">
      <c r="A390" s="1" t="s">
        <v>68</v>
      </c>
      <c r="B390" s="1" t="s">
        <v>69</v>
      </c>
      <c r="C390" s="1" t="s">
        <v>70</v>
      </c>
      <c r="D390">
        <v>1</v>
      </c>
      <c r="E390">
        <v>1</v>
      </c>
      <c r="F390" s="2">
        <v>43585.43</v>
      </c>
      <c r="G390" s="3">
        <v>41275</v>
      </c>
      <c r="H390" s="3">
        <v>41639</v>
      </c>
      <c r="I390" s="1" t="s">
        <v>71</v>
      </c>
      <c r="J390">
        <v>4521</v>
      </c>
      <c r="K390">
        <v>0</v>
      </c>
      <c r="L390" s="1" t="s">
        <v>384</v>
      </c>
      <c r="M390" s="1" t="s">
        <v>72</v>
      </c>
      <c r="N390" s="1" t="s">
        <v>134</v>
      </c>
      <c r="O390" s="1" t="s">
        <v>385</v>
      </c>
      <c r="P390" s="1" t="s">
        <v>386</v>
      </c>
      <c r="Q390" s="1" t="s">
        <v>387</v>
      </c>
      <c r="R390">
        <v>103</v>
      </c>
      <c r="S390" s="1" t="s">
        <v>135</v>
      </c>
      <c r="T390" s="1" t="s">
        <v>388</v>
      </c>
      <c r="U390" s="1" t="s">
        <v>135</v>
      </c>
      <c r="V390" s="1"/>
      <c r="W390" s="1"/>
      <c r="X390" s="1"/>
      <c r="Y390" s="1"/>
      <c r="AA390" s="1"/>
      <c r="AC390" s="1"/>
      <c r="AD390" s="1"/>
      <c r="AE390" s="1"/>
      <c r="AN390" s="1"/>
      <c r="AP390" s="1"/>
      <c r="AQ390" s="1"/>
      <c r="AR390" s="1"/>
      <c r="AS390" s="1"/>
      <c r="AT390" s="3"/>
      <c r="AU390" s="3"/>
      <c r="AV390" s="3"/>
      <c r="AW390" s="1"/>
      <c r="AX390" s="1"/>
      <c r="AZ390">
        <v>253</v>
      </c>
      <c r="BA390">
        <v>4654734.66</v>
      </c>
      <c r="BB390" s="1" t="s">
        <v>74</v>
      </c>
      <c r="BC390">
        <v>18</v>
      </c>
      <c r="BD390" s="1" t="s">
        <v>741</v>
      </c>
      <c r="BE390" s="1" t="s">
        <v>99</v>
      </c>
      <c r="BF390">
        <v>0</v>
      </c>
      <c r="BG390" s="1"/>
      <c r="BH390" s="1" t="s">
        <v>451</v>
      </c>
      <c r="BI390">
        <v>5405</v>
      </c>
      <c r="BJ390" s="1" t="s">
        <v>981</v>
      </c>
      <c r="BL390" s="1"/>
      <c r="BN390" s="1"/>
      <c r="BO390">
        <v>599</v>
      </c>
      <c r="BP390">
        <v>4654734.66</v>
      </c>
      <c r="BQ390">
        <v>4654734.66</v>
      </c>
    </row>
    <row r="391" spans="1:69" x14ac:dyDescent="0.35">
      <c r="A391" s="1" t="s">
        <v>68</v>
      </c>
      <c r="B391" s="1" t="s">
        <v>69</v>
      </c>
      <c r="C391" s="1" t="s">
        <v>70</v>
      </c>
      <c r="D391">
        <v>1</v>
      </c>
      <c r="E391">
        <v>1</v>
      </c>
      <c r="F391" s="2">
        <v>43585.43</v>
      </c>
      <c r="G391" s="3">
        <v>41275</v>
      </c>
      <c r="H391" s="3">
        <v>41639</v>
      </c>
      <c r="I391" s="1" t="s">
        <v>71</v>
      </c>
      <c r="J391">
        <v>4521</v>
      </c>
      <c r="K391">
        <v>0</v>
      </c>
      <c r="L391" s="1" t="s">
        <v>384</v>
      </c>
      <c r="M391" s="1" t="s">
        <v>72</v>
      </c>
      <c r="N391" s="1" t="s">
        <v>134</v>
      </c>
      <c r="O391" s="1" t="s">
        <v>385</v>
      </c>
      <c r="P391" s="1" t="s">
        <v>386</v>
      </c>
      <c r="Q391" s="1" t="s">
        <v>387</v>
      </c>
      <c r="R391">
        <v>103</v>
      </c>
      <c r="S391" s="1" t="s">
        <v>135</v>
      </c>
      <c r="T391" s="1" t="s">
        <v>388</v>
      </c>
      <c r="U391" s="1" t="s">
        <v>135</v>
      </c>
      <c r="V391" s="1"/>
      <c r="W391" s="1"/>
      <c r="X391" s="1"/>
      <c r="Y391" s="1"/>
      <c r="AA391" s="1"/>
      <c r="AC391" s="1"/>
      <c r="AD391" s="1"/>
      <c r="AE391" s="1"/>
      <c r="AN391" s="1"/>
      <c r="AP391" s="1"/>
      <c r="AQ391" s="1"/>
      <c r="AR391" s="1"/>
      <c r="AS391" s="1"/>
      <c r="AT391" s="3"/>
      <c r="AU391" s="3"/>
      <c r="AV391" s="3"/>
      <c r="AW391" s="1"/>
      <c r="AX391" s="1"/>
      <c r="AZ391">
        <v>253</v>
      </c>
      <c r="BA391">
        <v>4654734.66</v>
      </c>
      <c r="BB391" s="1" t="s">
        <v>74</v>
      </c>
      <c r="BC391">
        <v>19</v>
      </c>
      <c r="BD391" s="1" t="s">
        <v>742</v>
      </c>
      <c r="BE391" s="1" t="s">
        <v>466</v>
      </c>
      <c r="BF391">
        <v>11023.36</v>
      </c>
      <c r="BG391" s="1" t="s">
        <v>982</v>
      </c>
      <c r="BH391" s="1" t="s">
        <v>99</v>
      </c>
      <c r="BI391">
        <v>0</v>
      </c>
      <c r="BJ391" s="1"/>
      <c r="BL391" s="1"/>
      <c r="BN391" s="1"/>
      <c r="BO391">
        <v>599</v>
      </c>
      <c r="BP391">
        <v>4654734.66</v>
      </c>
      <c r="BQ391">
        <v>4654734.66</v>
      </c>
    </row>
    <row r="392" spans="1:69" x14ac:dyDescent="0.35">
      <c r="A392" s="1" t="s">
        <v>68</v>
      </c>
      <c r="B392" s="1" t="s">
        <v>69</v>
      </c>
      <c r="C392" s="1" t="s">
        <v>70</v>
      </c>
      <c r="D392">
        <v>1</v>
      </c>
      <c r="E392">
        <v>1</v>
      </c>
      <c r="F392" s="2">
        <v>43585.43</v>
      </c>
      <c r="G392" s="3">
        <v>41275</v>
      </c>
      <c r="H392" s="3">
        <v>41639</v>
      </c>
      <c r="I392" s="1" t="s">
        <v>71</v>
      </c>
      <c r="J392">
        <v>4521</v>
      </c>
      <c r="K392">
        <v>0</v>
      </c>
      <c r="L392" s="1" t="s">
        <v>384</v>
      </c>
      <c r="M392" s="1" t="s">
        <v>72</v>
      </c>
      <c r="N392" s="1" t="s">
        <v>134</v>
      </c>
      <c r="O392" s="1" t="s">
        <v>385</v>
      </c>
      <c r="P392" s="1" t="s">
        <v>386</v>
      </c>
      <c r="Q392" s="1" t="s">
        <v>387</v>
      </c>
      <c r="R392">
        <v>103</v>
      </c>
      <c r="S392" s="1" t="s">
        <v>135</v>
      </c>
      <c r="T392" s="1" t="s">
        <v>388</v>
      </c>
      <c r="U392" s="1" t="s">
        <v>135</v>
      </c>
      <c r="V392" s="1"/>
      <c r="W392" s="1"/>
      <c r="X392" s="1"/>
      <c r="Y392" s="1"/>
      <c r="AA392" s="1"/>
      <c r="AC392" s="1"/>
      <c r="AD392" s="1"/>
      <c r="AE392" s="1"/>
      <c r="AN392" s="1"/>
      <c r="AP392" s="1"/>
      <c r="AQ392" s="1"/>
      <c r="AR392" s="1"/>
      <c r="AS392" s="1"/>
      <c r="AT392" s="3"/>
      <c r="AU392" s="3"/>
      <c r="AV392" s="3"/>
      <c r="AW392" s="1"/>
      <c r="AX392" s="1"/>
      <c r="AZ392">
        <v>253</v>
      </c>
      <c r="BA392">
        <v>4654734.66</v>
      </c>
      <c r="BB392" s="1" t="s">
        <v>74</v>
      </c>
      <c r="BC392">
        <v>20</v>
      </c>
      <c r="BD392" s="1" t="s">
        <v>742</v>
      </c>
      <c r="BE392" s="1" t="s">
        <v>99</v>
      </c>
      <c r="BF392">
        <v>0</v>
      </c>
      <c r="BG392" s="1"/>
      <c r="BH392" s="1" t="s">
        <v>429</v>
      </c>
      <c r="BI392">
        <v>13558.73</v>
      </c>
      <c r="BJ392" s="1" t="s">
        <v>982</v>
      </c>
      <c r="BL392" s="1"/>
      <c r="BN392" s="1"/>
      <c r="BO392">
        <v>599</v>
      </c>
      <c r="BP392">
        <v>4654734.66</v>
      </c>
      <c r="BQ392">
        <v>4654734.66</v>
      </c>
    </row>
    <row r="393" spans="1:69" x14ac:dyDescent="0.35">
      <c r="A393" s="1" t="s">
        <v>68</v>
      </c>
      <c r="B393" s="1" t="s">
        <v>69</v>
      </c>
      <c r="C393" s="1" t="s">
        <v>70</v>
      </c>
      <c r="D393">
        <v>1</v>
      </c>
      <c r="E393">
        <v>1</v>
      </c>
      <c r="F393" s="2">
        <v>43585.43</v>
      </c>
      <c r="G393" s="3">
        <v>41275</v>
      </c>
      <c r="H393" s="3">
        <v>41639</v>
      </c>
      <c r="I393" s="1" t="s">
        <v>71</v>
      </c>
      <c r="J393">
        <v>4521</v>
      </c>
      <c r="K393">
        <v>0</v>
      </c>
      <c r="L393" s="1" t="s">
        <v>384</v>
      </c>
      <c r="M393" s="1" t="s">
        <v>72</v>
      </c>
      <c r="N393" s="1" t="s">
        <v>134</v>
      </c>
      <c r="O393" s="1" t="s">
        <v>385</v>
      </c>
      <c r="P393" s="1" t="s">
        <v>386</v>
      </c>
      <c r="Q393" s="1" t="s">
        <v>387</v>
      </c>
      <c r="R393">
        <v>103</v>
      </c>
      <c r="S393" s="1" t="s">
        <v>135</v>
      </c>
      <c r="T393" s="1" t="s">
        <v>388</v>
      </c>
      <c r="U393" s="1" t="s">
        <v>135</v>
      </c>
      <c r="V393" s="1"/>
      <c r="W393" s="1"/>
      <c r="X393" s="1"/>
      <c r="Y393" s="1"/>
      <c r="AA393" s="1"/>
      <c r="AC393" s="1"/>
      <c r="AD393" s="1"/>
      <c r="AE393" s="1"/>
      <c r="AN393" s="1"/>
      <c r="AP393" s="1"/>
      <c r="AQ393" s="1"/>
      <c r="AR393" s="1"/>
      <c r="AS393" s="1"/>
      <c r="AT393" s="3"/>
      <c r="AU393" s="3"/>
      <c r="AV393" s="3"/>
      <c r="AW393" s="1"/>
      <c r="AX393" s="1"/>
      <c r="AZ393">
        <v>253</v>
      </c>
      <c r="BA393">
        <v>4654734.66</v>
      </c>
      <c r="BB393" s="1" t="s">
        <v>74</v>
      </c>
      <c r="BC393">
        <v>21</v>
      </c>
      <c r="BD393" s="1" t="s">
        <v>742</v>
      </c>
      <c r="BE393" s="1" t="s">
        <v>452</v>
      </c>
      <c r="BF393">
        <v>2535.37</v>
      </c>
      <c r="BG393" s="1" t="s">
        <v>982</v>
      </c>
      <c r="BH393" s="1" t="s">
        <v>99</v>
      </c>
      <c r="BI393">
        <v>0</v>
      </c>
      <c r="BJ393" s="1"/>
      <c r="BL393" s="1"/>
      <c r="BN393" s="1"/>
      <c r="BO393">
        <v>599</v>
      </c>
      <c r="BP393">
        <v>4654734.66</v>
      </c>
      <c r="BQ393">
        <v>4654734.66</v>
      </c>
    </row>
    <row r="394" spans="1:69" x14ac:dyDescent="0.35">
      <c r="A394" s="1" t="s">
        <v>68</v>
      </c>
      <c r="B394" s="1" t="s">
        <v>69</v>
      </c>
      <c r="C394" s="1" t="s">
        <v>70</v>
      </c>
      <c r="D394">
        <v>1</v>
      </c>
      <c r="E394">
        <v>1</v>
      </c>
      <c r="F394" s="2">
        <v>43585.43</v>
      </c>
      <c r="G394" s="3">
        <v>41275</v>
      </c>
      <c r="H394" s="3">
        <v>41639</v>
      </c>
      <c r="I394" s="1" t="s">
        <v>71</v>
      </c>
      <c r="J394">
        <v>4521</v>
      </c>
      <c r="K394">
        <v>0</v>
      </c>
      <c r="L394" s="1" t="s">
        <v>384</v>
      </c>
      <c r="M394" s="1" t="s">
        <v>72</v>
      </c>
      <c r="N394" s="1" t="s">
        <v>134</v>
      </c>
      <c r="O394" s="1" t="s">
        <v>385</v>
      </c>
      <c r="P394" s="1" t="s">
        <v>386</v>
      </c>
      <c r="Q394" s="1" t="s">
        <v>387</v>
      </c>
      <c r="R394">
        <v>103</v>
      </c>
      <c r="S394" s="1" t="s">
        <v>135</v>
      </c>
      <c r="T394" s="1" t="s">
        <v>388</v>
      </c>
      <c r="U394" s="1" t="s">
        <v>135</v>
      </c>
      <c r="V394" s="1"/>
      <c r="W394" s="1"/>
      <c r="X394" s="1"/>
      <c r="Y394" s="1"/>
      <c r="AA394" s="1"/>
      <c r="AC394" s="1"/>
      <c r="AD394" s="1"/>
      <c r="AE394" s="1"/>
      <c r="AN394" s="1"/>
      <c r="AP394" s="1"/>
      <c r="AQ394" s="1"/>
      <c r="AR394" s="1"/>
      <c r="AS394" s="1"/>
      <c r="AT394" s="3"/>
      <c r="AU394" s="3"/>
      <c r="AV394" s="3"/>
      <c r="AW394" s="1"/>
      <c r="AX394" s="1"/>
      <c r="AZ394">
        <v>253</v>
      </c>
      <c r="BA394">
        <v>4654734.66</v>
      </c>
      <c r="BB394" s="1" t="s">
        <v>74</v>
      </c>
      <c r="BC394">
        <v>22</v>
      </c>
      <c r="BD394" s="1" t="s">
        <v>743</v>
      </c>
      <c r="BE394" s="1" t="s">
        <v>402</v>
      </c>
      <c r="BF394">
        <v>846.24</v>
      </c>
      <c r="BG394" s="1" t="s">
        <v>983</v>
      </c>
      <c r="BH394" s="1" t="s">
        <v>99</v>
      </c>
      <c r="BI394">
        <v>0</v>
      </c>
      <c r="BJ394" s="1"/>
      <c r="BL394" s="1"/>
      <c r="BN394" s="1"/>
      <c r="BO394">
        <v>599</v>
      </c>
      <c r="BP394">
        <v>4654734.66</v>
      </c>
      <c r="BQ394">
        <v>4654734.66</v>
      </c>
    </row>
    <row r="395" spans="1:69" x14ac:dyDescent="0.35">
      <c r="A395" s="1" t="s">
        <v>68</v>
      </c>
      <c r="B395" s="1" t="s">
        <v>69</v>
      </c>
      <c r="C395" s="1" t="s">
        <v>70</v>
      </c>
      <c r="D395">
        <v>1</v>
      </c>
      <c r="E395">
        <v>1</v>
      </c>
      <c r="F395" s="2">
        <v>43585.43</v>
      </c>
      <c r="G395" s="3">
        <v>41275</v>
      </c>
      <c r="H395" s="3">
        <v>41639</v>
      </c>
      <c r="I395" s="1" t="s">
        <v>71</v>
      </c>
      <c r="J395">
        <v>4521</v>
      </c>
      <c r="K395">
        <v>0</v>
      </c>
      <c r="L395" s="1" t="s">
        <v>384</v>
      </c>
      <c r="M395" s="1" t="s">
        <v>72</v>
      </c>
      <c r="N395" s="1" t="s">
        <v>134</v>
      </c>
      <c r="O395" s="1" t="s">
        <v>385</v>
      </c>
      <c r="P395" s="1" t="s">
        <v>386</v>
      </c>
      <c r="Q395" s="1" t="s">
        <v>387</v>
      </c>
      <c r="R395">
        <v>103</v>
      </c>
      <c r="S395" s="1" t="s">
        <v>135</v>
      </c>
      <c r="T395" s="1" t="s">
        <v>388</v>
      </c>
      <c r="U395" s="1" t="s">
        <v>135</v>
      </c>
      <c r="V395" s="1"/>
      <c r="W395" s="1"/>
      <c r="X395" s="1"/>
      <c r="Y395" s="1"/>
      <c r="AA395" s="1"/>
      <c r="AC395" s="1"/>
      <c r="AD395" s="1"/>
      <c r="AE395" s="1"/>
      <c r="AN395" s="1"/>
      <c r="AP395" s="1"/>
      <c r="AQ395" s="1"/>
      <c r="AR395" s="1"/>
      <c r="AS395" s="1"/>
      <c r="AT395" s="3"/>
      <c r="AU395" s="3"/>
      <c r="AV395" s="3"/>
      <c r="AW395" s="1"/>
      <c r="AX395" s="1"/>
      <c r="AZ395">
        <v>253</v>
      </c>
      <c r="BA395">
        <v>4654734.66</v>
      </c>
      <c r="BB395" s="1" t="s">
        <v>74</v>
      </c>
      <c r="BC395">
        <v>23</v>
      </c>
      <c r="BD395" s="1" t="s">
        <v>743</v>
      </c>
      <c r="BE395" s="1" t="s">
        <v>99</v>
      </c>
      <c r="BF395">
        <v>0</v>
      </c>
      <c r="BG395" s="1"/>
      <c r="BH395" s="1" t="s">
        <v>489</v>
      </c>
      <c r="BI395">
        <v>688</v>
      </c>
      <c r="BJ395" s="1" t="s">
        <v>983</v>
      </c>
      <c r="BL395" s="1"/>
      <c r="BN395" s="1"/>
      <c r="BO395">
        <v>599</v>
      </c>
      <c r="BP395">
        <v>4654734.66</v>
      </c>
      <c r="BQ395">
        <v>4654734.66</v>
      </c>
    </row>
    <row r="396" spans="1:69" x14ac:dyDescent="0.35">
      <c r="A396" s="1" t="s">
        <v>68</v>
      </c>
      <c r="B396" s="1" t="s">
        <v>69</v>
      </c>
      <c r="C396" s="1" t="s">
        <v>70</v>
      </c>
      <c r="D396">
        <v>1</v>
      </c>
      <c r="E396">
        <v>1</v>
      </c>
      <c r="F396" s="2">
        <v>43585.43</v>
      </c>
      <c r="G396" s="3">
        <v>41275</v>
      </c>
      <c r="H396" s="3">
        <v>41639</v>
      </c>
      <c r="I396" s="1" t="s">
        <v>71</v>
      </c>
      <c r="J396">
        <v>4521</v>
      </c>
      <c r="K396">
        <v>0</v>
      </c>
      <c r="L396" s="1" t="s">
        <v>384</v>
      </c>
      <c r="M396" s="1" t="s">
        <v>72</v>
      </c>
      <c r="N396" s="1" t="s">
        <v>134</v>
      </c>
      <c r="O396" s="1" t="s">
        <v>385</v>
      </c>
      <c r="P396" s="1" t="s">
        <v>386</v>
      </c>
      <c r="Q396" s="1" t="s">
        <v>387</v>
      </c>
      <c r="R396">
        <v>103</v>
      </c>
      <c r="S396" s="1" t="s">
        <v>135</v>
      </c>
      <c r="T396" s="1" t="s">
        <v>388</v>
      </c>
      <c r="U396" s="1" t="s">
        <v>135</v>
      </c>
      <c r="V396" s="1"/>
      <c r="W396" s="1"/>
      <c r="X396" s="1"/>
      <c r="Y396" s="1"/>
      <c r="AA396" s="1"/>
      <c r="AC396" s="1"/>
      <c r="AD396" s="1"/>
      <c r="AE396" s="1"/>
      <c r="AN396" s="1"/>
      <c r="AP396" s="1"/>
      <c r="AQ396" s="1"/>
      <c r="AR396" s="1"/>
      <c r="AS396" s="1"/>
      <c r="AT396" s="3"/>
      <c r="AU396" s="3"/>
      <c r="AV396" s="3"/>
      <c r="AW396" s="1"/>
      <c r="AX396" s="1"/>
      <c r="AZ396">
        <v>253</v>
      </c>
      <c r="BA396">
        <v>4654734.66</v>
      </c>
      <c r="BB396" s="1" t="s">
        <v>74</v>
      </c>
      <c r="BC396">
        <v>24</v>
      </c>
      <c r="BD396" s="1" t="s">
        <v>743</v>
      </c>
      <c r="BE396" s="1" t="s">
        <v>99</v>
      </c>
      <c r="BF396">
        <v>0</v>
      </c>
      <c r="BG396" s="1"/>
      <c r="BH396" s="1" t="s">
        <v>451</v>
      </c>
      <c r="BI396">
        <v>158.24</v>
      </c>
      <c r="BJ396" s="1" t="s">
        <v>983</v>
      </c>
      <c r="BL396" s="1"/>
      <c r="BN396" s="1"/>
      <c r="BO396">
        <v>599</v>
      </c>
      <c r="BP396">
        <v>4654734.66</v>
      </c>
      <c r="BQ396">
        <v>4654734.66</v>
      </c>
    </row>
    <row r="397" spans="1:69" x14ac:dyDescent="0.35">
      <c r="A397" s="1" t="s">
        <v>68</v>
      </c>
      <c r="B397" s="1" t="s">
        <v>69</v>
      </c>
      <c r="C397" s="1" t="s">
        <v>70</v>
      </c>
      <c r="D397">
        <v>1</v>
      </c>
      <c r="E397">
        <v>1</v>
      </c>
      <c r="F397" s="2">
        <v>43585.43</v>
      </c>
      <c r="G397" s="3">
        <v>41275</v>
      </c>
      <c r="H397" s="3">
        <v>41639</v>
      </c>
      <c r="I397" s="1" t="s">
        <v>71</v>
      </c>
      <c r="J397">
        <v>4521</v>
      </c>
      <c r="K397">
        <v>0</v>
      </c>
      <c r="L397" s="1" t="s">
        <v>384</v>
      </c>
      <c r="M397" s="1" t="s">
        <v>72</v>
      </c>
      <c r="N397" s="1" t="s">
        <v>134</v>
      </c>
      <c r="O397" s="1" t="s">
        <v>385</v>
      </c>
      <c r="P397" s="1" t="s">
        <v>386</v>
      </c>
      <c r="Q397" s="1" t="s">
        <v>387</v>
      </c>
      <c r="R397">
        <v>103</v>
      </c>
      <c r="S397" s="1" t="s">
        <v>135</v>
      </c>
      <c r="T397" s="1" t="s">
        <v>388</v>
      </c>
      <c r="U397" s="1" t="s">
        <v>135</v>
      </c>
      <c r="V397" s="1"/>
      <c r="W397" s="1"/>
      <c r="X397" s="1"/>
      <c r="Y397" s="1"/>
      <c r="AA397" s="1"/>
      <c r="AC397" s="1"/>
      <c r="AD397" s="1"/>
      <c r="AE397" s="1"/>
      <c r="AN397" s="1"/>
      <c r="AP397" s="1"/>
      <c r="AQ397" s="1"/>
      <c r="AR397" s="1"/>
      <c r="AS397" s="1"/>
      <c r="AT397" s="3"/>
      <c r="AU397" s="3"/>
      <c r="AV397" s="3"/>
      <c r="AW397" s="1"/>
      <c r="AX397" s="1"/>
      <c r="AZ397">
        <v>253</v>
      </c>
      <c r="BA397">
        <v>4654734.66</v>
      </c>
      <c r="BB397" s="1" t="s">
        <v>74</v>
      </c>
      <c r="BC397">
        <v>25</v>
      </c>
      <c r="BD397" s="1" t="s">
        <v>744</v>
      </c>
      <c r="BE397" s="1" t="s">
        <v>410</v>
      </c>
      <c r="BF397">
        <v>1074.8399999999999</v>
      </c>
      <c r="BG397" s="1" t="s">
        <v>619</v>
      </c>
      <c r="BH397" s="1" t="s">
        <v>99</v>
      </c>
      <c r="BI397">
        <v>0</v>
      </c>
      <c r="BJ397" s="1"/>
      <c r="BL397" s="1"/>
      <c r="BN397" s="1"/>
      <c r="BO397">
        <v>599</v>
      </c>
      <c r="BP397">
        <v>4654734.66</v>
      </c>
      <c r="BQ397">
        <v>4654734.66</v>
      </c>
    </row>
    <row r="398" spans="1:69" x14ac:dyDescent="0.35">
      <c r="A398" s="1" t="s">
        <v>68</v>
      </c>
      <c r="B398" s="1" t="s">
        <v>69</v>
      </c>
      <c r="C398" s="1" t="s">
        <v>70</v>
      </c>
      <c r="D398">
        <v>1</v>
      </c>
      <c r="E398">
        <v>1</v>
      </c>
      <c r="F398" s="2">
        <v>43585.43</v>
      </c>
      <c r="G398" s="3">
        <v>41275</v>
      </c>
      <c r="H398" s="3">
        <v>41639</v>
      </c>
      <c r="I398" s="1" t="s">
        <v>71</v>
      </c>
      <c r="J398">
        <v>4521</v>
      </c>
      <c r="K398">
        <v>0</v>
      </c>
      <c r="L398" s="1" t="s">
        <v>384</v>
      </c>
      <c r="M398" s="1" t="s">
        <v>72</v>
      </c>
      <c r="N398" s="1" t="s">
        <v>134</v>
      </c>
      <c r="O398" s="1" t="s">
        <v>385</v>
      </c>
      <c r="P398" s="1" t="s">
        <v>386</v>
      </c>
      <c r="Q398" s="1" t="s">
        <v>387</v>
      </c>
      <c r="R398">
        <v>103</v>
      </c>
      <c r="S398" s="1" t="s">
        <v>135</v>
      </c>
      <c r="T398" s="1" t="s">
        <v>388</v>
      </c>
      <c r="U398" s="1" t="s">
        <v>135</v>
      </c>
      <c r="V398" s="1"/>
      <c r="W398" s="1"/>
      <c r="X398" s="1"/>
      <c r="Y398" s="1"/>
      <c r="AA398" s="1"/>
      <c r="AC398" s="1"/>
      <c r="AD398" s="1"/>
      <c r="AE398" s="1"/>
      <c r="AN398" s="1"/>
      <c r="AP398" s="1"/>
      <c r="AQ398" s="1"/>
      <c r="AR398" s="1"/>
      <c r="AS398" s="1"/>
      <c r="AT398" s="3"/>
      <c r="AU398" s="3"/>
      <c r="AV398" s="3"/>
      <c r="AW398" s="1"/>
      <c r="AX398" s="1"/>
      <c r="AZ398">
        <v>253</v>
      </c>
      <c r="BA398">
        <v>4654734.66</v>
      </c>
      <c r="BB398" s="1" t="s">
        <v>74</v>
      </c>
      <c r="BC398">
        <v>26</v>
      </c>
      <c r="BD398" s="1" t="s">
        <v>744</v>
      </c>
      <c r="BE398" s="1" t="s">
        <v>99</v>
      </c>
      <c r="BF398">
        <v>0</v>
      </c>
      <c r="BG398" s="1"/>
      <c r="BH398" s="1" t="s">
        <v>490</v>
      </c>
      <c r="BI398">
        <v>873.85</v>
      </c>
      <c r="BJ398" s="1" t="s">
        <v>619</v>
      </c>
      <c r="BL398" s="1"/>
      <c r="BN398" s="1"/>
      <c r="BO398">
        <v>599</v>
      </c>
      <c r="BP398">
        <v>4654734.66</v>
      </c>
      <c r="BQ398">
        <v>4654734.66</v>
      </c>
    </row>
    <row r="399" spans="1:69" x14ac:dyDescent="0.35">
      <c r="A399" s="1" t="s">
        <v>68</v>
      </c>
      <c r="B399" s="1" t="s">
        <v>69</v>
      </c>
      <c r="C399" s="1" t="s">
        <v>70</v>
      </c>
      <c r="D399">
        <v>1</v>
      </c>
      <c r="E399">
        <v>1</v>
      </c>
      <c r="F399" s="2">
        <v>43585.43</v>
      </c>
      <c r="G399" s="3">
        <v>41275</v>
      </c>
      <c r="H399" s="3">
        <v>41639</v>
      </c>
      <c r="I399" s="1" t="s">
        <v>71</v>
      </c>
      <c r="J399">
        <v>4521</v>
      </c>
      <c r="K399">
        <v>0</v>
      </c>
      <c r="L399" s="1" t="s">
        <v>384</v>
      </c>
      <c r="M399" s="1" t="s">
        <v>72</v>
      </c>
      <c r="N399" s="1" t="s">
        <v>134</v>
      </c>
      <c r="O399" s="1" t="s">
        <v>385</v>
      </c>
      <c r="P399" s="1" t="s">
        <v>386</v>
      </c>
      <c r="Q399" s="1" t="s">
        <v>387</v>
      </c>
      <c r="R399">
        <v>103</v>
      </c>
      <c r="S399" s="1" t="s">
        <v>135</v>
      </c>
      <c r="T399" s="1" t="s">
        <v>388</v>
      </c>
      <c r="U399" s="1" t="s">
        <v>135</v>
      </c>
      <c r="V399" s="1"/>
      <c r="W399" s="1"/>
      <c r="X399" s="1"/>
      <c r="Y399" s="1"/>
      <c r="AA399" s="1"/>
      <c r="AC399" s="1"/>
      <c r="AD399" s="1"/>
      <c r="AE399" s="1"/>
      <c r="AN399" s="1"/>
      <c r="AP399" s="1"/>
      <c r="AQ399" s="1"/>
      <c r="AR399" s="1"/>
      <c r="AS399" s="1"/>
      <c r="AT399" s="3"/>
      <c r="AU399" s="3"/>
      <c r="AV399" s="3"/>
      <c r="AW399" s="1"/>
      <c r="AX399" s="1"/>
      <c r="AZ399">
        <v>253</v>
      </c>
      <c r="BA399">
        <v>4654734.66</v>
      </c>
      <c r="BB399" s="1" t="s">
        <v>74</v>
      </c>
      <c r="BC399">
        <v>27</v>
      </c>
      <c r="BD399" s="1" t="s">
        <v>744</v>
      </c>
      <c r="BE399" s="1" t="s">
        <v>99</v>
      </c>
      <c r="BF399">
        <v>0</v>
      </c>
      <c r="BG399" s="1"/>
      <c r="BH399" s="1" t="s">
        <v>451</v>
      </c>
      <c r="BI399">
        <v>200.99</v>
      </c>
      <c r="BJ399" s="1" t="s">
        <v>619</v>
      </c>
      <c r="BL399" s="1"/>
      <c r="BN399" s="1"/>
      <c r="BO399">
        <v>599</v>
      </c>
      <c r="BP399">
        <v>4654734.66</v>
      </c>
      <c r="BQ399">
        <v>4654734.66</v>
      </c>
    </row>
    <row r="400" spans="1:69" x14ac:dyDescent="0.35">
      <c r="A400" s="1" t="s">
        <v>68</v>
      </c>
      <c r="B400" s="1" t="s">
        <v>69</v>
      </c>
      <c r="C400" s="1" t="s">
        <v>70</v>
      </c>
      <c r="D400">
        <v>1</v>
      </c>
      <c r="E400">
        <v>1</v>
      </c>
      <c r="F400" s="2">
        <v>43585.43</v>
      </c>
      <c r="G400" s="3">
        <v>41275</v>
      </c>
      <c r="H400" s="3">
        <v>41639</v>
      </c>
      <c r="I400" s="1" t="s">
        <v>71</v>
      </c>
      <c r="J400">
        <v>4521</v>
      </c>
      <c r="K400">
        <v>0</v>
      </c>
      <c r="L400" s="1" t="s">
        <v>384</v>
      </c>
      <c r="M400" s="1" t="s">
        <v>72</v>
      </c>
      <c r="N400" s="1" t="s">
        <v>134</v>
      </c>
      <c r="O400" s="1" t="s">
        <v>385</v>
      </c>
      <c r="P400" s="1" t="s">
        <v>386</v>
      </c>
      <c r="Q400" s="1" t="s">
        <v>387</v>
      </c>
      <c r="R400">
        <v>103</v>
      </c>
      <c r="S400" s="1" t="s">
        <v>135</v>
      </c>
      <c r="T400" s="1" t="s">
        <v>388</v>
      </c>
      <c r="U400" s="1" t="s">
        <v>135</v>
      </c>
      <c r="V400" s="1"/>
      <c r="W400" s="1"/>
      <c r="X400" s="1"/>
      <c r="Y400" s="1"/>
      <c r="AA400" s="1"/>
      <c r="AC400" s="1"/>
      <c r="AD400" s="1"/>
      <c r="AE400" s="1"/>
      <c r="AN400" s="1"/>
      <c r="AP400" s="1"/>
      <c r="AQ400" s="1"/>
      <c r="AR400" s="1"/>
      <c r="AS400" s="1"/>
      <c r="AT400" s="3"/>
      <c r="AU400" s="3"/>
      <c r="AV400" s="3"/>
      <c r="AW400" s="1"/>
      <c r="AX400" s="1"/>
      <c r="AZ400">
        <v>253</v>
      </c>
      <c r="BA400">
        <v>4654734.66</v>
      </c>
      <c r="BB400" s="1" t="s">
        <v>74</v>
      </c>
      <c r="BC400">
        <v>28</v>
      </c>
      <c r="BD400" s="1" t="s">
        <v>745</v>
      </c>
      <c r="BE400" s="1" t="s">
        <v>410</v>
      </c>
      <c r="BF400">
        <v>556.45000000000005</v>
      </c>
      <c r="BG400" s="1" t="s">
        <v>984</v>
      </c>
      <c r="BH400" s="1" t="s">
        <v>99</v>
      </c>
      <c r="BI400">
        <v>0</v>
      </c>
      <c r="BJ400" s="1"/>
      <c r="BL400" s="1"/>
      <c r="BN400" s="1"/>
      <c r="BO400">
        <v>599</v>
      </c>
      <c r="BP400">
        <v>4654734.66</v>
      </c>
      <c r="BQ400">
        <v>4654734.66</v>
      </c>
    </row>
    <row r="401" spans="1:69" x14ac:dyDescent="0.35">
      <c r="A401" s="1" t="s">
        <v>68</v>
      </c>
      <c r="B401" s="1" t="s">
        <v>69</v>
      </c>
      <c r="C401" s="1" t="s">
        <v>70</v>
      </c>
      <c r="D401">
        <v>1</v>
      </c>
      <c r="E401">
        <v>1</v>
      </c>
      <c r="F401" s="2">
        <v>43585.43</v>
      </c>
      <c r="G401" s="3">
        <v>41275</v>
      </c>
      <c r="H401" s="3">
        <v>41639</v>
      </c>
      <c r="I401" s="1" t="s">
        <v>71</v>
      </c>
      <c r="J401">
        <v>4521</v>
      </c>
      <c r="K401">
        <v>0</v>
      </c>
      <c r="L401" s="1" t="s">
        <v>384</v>
      </c>
      <c r="M401" s="1" t="s">
        <v>72</v>
      </c>
      <c r="N401" s="1" t="s">
        <v>134</v>
      </c>
      <c r="O401" s="1" t="s">
        <v>385</v>
      </c>
      <c r="P401" s="1" t="s">
        <v>386</v>
      </c>
      <c r="Q401" s="1" t="s">
        <v>387</v>
      </c>
      <c r="R401">
        <v>103</v>
      </c>
      <c r="S401" s="1" t="s">
        <v>135</v>
      </c>
      <c r="T401" s="1" t="s">
        <v>388</v>
      </c>
      <c r="U401" s="1" t="s">
        <v>135</v>
      </c>
      <c r="V401" s="1"/>
      <c r="W401" s="1"/>
      <c r="X401" s="1"/>
      <c r="Y401" s="1"/>
      <c r="AA401" s="1"/>
      <c r="AC401" s="1"/>
      <c r="AD401" s="1"/>
      <c r="AE401" s="1"/>
      <c r="AN401" s="1"/>
      <c r="AP401" s="1"/>
      <c r="AQ401" s="1"/>
      <c r="AR401" s="1"/>
      <c r="AS401" s="1"/>
      <c r="AT401" s="3"/>
      <c r="AU401" s="3"/>
      <c r="AV401" s="3"/>
      <c r="AW401" s="1"/>
      <c r="AX401" s="1"/>
      <c r="AZ401">
        <v>253</v>
      </c>
      <c r="BA401">
        <v>4654734.66</v>
      </c>
      <c r="BB401" s="1" t="s">
        <v>74</v>
      </c>
      <c r="BC401">
        <v>29</v>
      </c>
      <c r="BD401" s="1" t="s">
        <v>745</v>
      </c>
      <c r="BE401" s="1" t="s">
        <v>99</v>
      </c>
      <c r="BF401">
        <v>0</v>
      </c>
      <c r="BG401" s="1"/>
      <c r="BH401" s="1" t="s">
        <v>489</v>
      </c>
      <c r="BI401">
        <v>452.4</v>
      </c>
      <c r="BJ401" s="1" t="s">
        <v>984</v>
      </c>
      <c r="BL401" s="1"/>
      <c r="BN401" s="1"/>
      <c r="BO401">
        <v>599</v>
      </c>
      <c r="BP401">
        <v>4654734.66</v>
      </c>
      <c r="BQ401">
        <v>4654734.66</v>
      </c>
    </row>
    <row r="402" spans="1:69" x14ac:dyDescent="0.35">
      <c r="A402" s="1" t="s">
        <v>68</v>
      </c>
      <c r="B402" s="1" t="s">
        <v>69</v>
      </c>
      <c r="C402" s="1" t="s">
        <v>70</v>
      </c>
      <c r="D402">
        <v>1</v>
      </c>
      <c r="E402">
        <v>1</v>
      </c>
      <c r="F402" s="2">
        <v>43585.43</v>
      </c>
      <c r="G402" s="3">
        <v>41275</v>
      </c>
      <c r="H402" s="3">
        <v>41639</v>
      </c>
      <c r="I402" s="1" t="s">
        <v>71</v>
      </c>
      <c r="J402">
        <v>4521</v>
      </c>
      <c r="K402">
        <v>0</v>
      </c>
      <c r="L402" s="1" t="s">
        <v>384</v>
      </c>
      <c r="M402" s="1" t="s">
        <v>72</v>
      </c>
      <c r="N402" s="1" t="s">
        <v>134</v>
      </c>
      <c r="O402" s="1" t="s">
        <v>385</v>
      </c>
      <c r="P402" s="1" t="s">
        <v>386</v>
      </c>
      <c r="Q402" s="1" t="s">
        <v>387</v>
      </c>
      <c r="R402">
        <v>103</v>
      </c>
      <c r="S402" s="1" t="s">
        <v>135</v>
      </c>
      <c r="T402" s="1" t="s">
        <v>388</v>
      </c>
      <c r="U402" s="1" t="s">
        <v>135</v>
      </c>
      <c r="V402" s="1"/>
      <c r="W402" s="1"/>
      <c r="X402" s="1"/>
      <c r="Y402" s="1"/>
      <c r="AA402" s="1"/>
      <c r="AC402" s="1"/>
      <c r="AD402" s="1"/>
      <c r="AE402" s="1"/>
      <c r="AN402" s="1"/>
      <c r="AP402" s="1"/>
      <c r="AQ402" s="1"/>
      <c r="AR402" s="1"/>
      <c r="AS402" s="1"/>
      <c r="AT402" s="3"/>
      <c r="AU402" s="3"/>
      <c r="AV402" s="3"/>
      <c r="AW402" s="1"/>
      <c r="AX402" s="1"/>
      <c r="AZ402">
        <v>253</v>
      </c>
      <c r="BA402">
        <v>4654734.66</v>
      </c>
      <c r="BB402" s="1" t="s">
        <v>74</v>
      </c>
      <c r="BC402">
        <v>30</v>
      </c>
      <c r="BD402" s="1" t="s">
        <v>745</v>
      </c>
      <c r="BE402" s="1" t="s">
        <v>99</v>
      </c>
      <c r="BF402">
        <v>0</v>
      </c>
      <c r="BG402" s="1"/>
      <c r="BH402" s="1" t="s">
        <v>451</v>
      </c>
      <c r="BI402">
        <v>104.05</v>
      </c>
      <c r="BJ402" s="1" t="s">
        <v>984</v>
      </c>
      <c r="BL402" s="1"/>
      <c r="BN402" s="1"/>
      <c r="BO402">
        <v>599</v>
      </c>
      <c r="BP402">
        <v>4654734.66</v>
      </c>
      <c r="BQ402">
        <v>4654734.66</v>
      </c>
    </row>
    <row r="403" spans="1:69" x14ac:dyDescent="0.35">
      <c r="A403" s="1" t="s">
        <v>68</v>
      </c>
      <c r="B403" s="1" t="s">
        <v>69</v>
      </c>
      <c r="C403" s="1" t="s">
        <v>70</v>
      </c>
      <c r="D403">
        <v>1</v>
      </c>
      <c r="E403">
        <v>1</v>
      </c>
      <c r="F403" s="2">
        <v>43585.43</v>
      </c>
      <c r="G403" s="3">
        <v>41275</v>
      </c>
      <c r="H403" s="3">
        <v>41639</v>
      </c>
      <c r="I403" s="1" t="s">
        <v>71</v>
      </c>
      <c r="J403">
        <v>4521</v>
      </c>
      <c r="K403">
        <v>0</v>
      </c>
      <c r="L403" s="1" t="s">
        <v>384</v>
      </c>
      <c r="M403" s="1" t="s">
        <v>72</v>
      </c>
      <c r="N403" s="1" t="s">
        <v>134</v>
      </c>
      <c r="O403" s="1" t="s">
        <v>385</v>
      </c>
      <c r="P403" s="1" t="s">
        <v>386</v>
      </c>
      <c r="Q403" s="1" t="s">
        <v>387</v>
      </c>
      <c r="R403">
        <v>103</v>
      </c>
      <c r="S403" s="1" t="s">
        <v>135</v>
      </c>
      <c r="T403" s="1" t="s">
        <v>388</v>
      </c>
      <c r="U403" s="1" t="s">
        <v>135</v>
      </c>
      <c r="V403" s="1"/>
      <c r="W403" s="1"/>
      <c r="X403" s="1"/>
      <c r="Y403" s="1"/>
      <c r="AA403" s="1"/>
      <c r="AC403" s="1"/>
      <c r="AD403" s="1"/>
      <c r="AE403" s="1"/>
      <c r="AN403" s="1"/>
      <c r="AP403" s="1"/>
      <c r="AQ403" s="1"/>
      <c r="AR403" s="1"/>
      <c r="AS403" s="1"/>
      <c r="AT403" s="3"/>
      <c r="AU403" s="3"/>
      <c r="AV403" s="3"/>
      <c r="AW403" s="1"/>
      <c r="AX403" s="1"/>
      <c r="AZ403">
        <v>253</v>
      </c>
      <c r="BA403">
        <v>4654734.66</v>
      </c>
      <c r="BB403" s="1" t="s">
        <v>74</v>
      </c>
      <c r="BC403">
        <v>31</v>
      </c>
      <c r="BD403" s="1" t="s">
        <v>746</v>
      </c>
      <c r="BE403" s="1" t="s">
        <v>466</v>
      </c>
      <c r="BF403">
        <v>1250</v>
      </c>
      <c r="BG403" s="1" t="s">
        <v>982</v>
      </c>
      <c r="BH403" s="1" t="s">
        <v>99</v>
      </c>
      <c r="BI403">
        <v>0</v>
      </c>
      <c r="BJ403" s="1"/>
      <c r="BL403" s="1"/>
      <c r="BN403" s="1"/>
      <c r="BO403">
        <v>599</v>
      </c>
      <c r="BP403">
        <v>4654734.66</v>
      </c>
      <c r="BQ403">
        <v>4654734.66</v>
      </c>
    </row>
    <row r="404" spans="1:69" x14ac:dyDescent="0.35">
      <c r="A404" s="1" t="s">
        <v>68</v>
      </c>
      <c r="B404" s="1" t="s">
        <v>69</v>
      </c>
      <c r="C404" s="1" t="s">
        <v>70</v>
      </c>
      <c r="D404">
        <v>1</v>
      </c>
      <c r="E404">
        <v>1</v>
      </c>
      <c r="F404" s="2">
        <v>43585.43</v>
      </c>
      <c r="G404" s="3">
        <v>41275</v>
      </c>
      <c r="H404" s="3">
        <v>41639</v>
      </c>
      <c r="I404" s="1" t="s">
        <v>71</v>
      </c>
      <c r="J404">
        <v>4521</v>
      </c>
      <c r="K404">
        <v>0</v>
      </c>
      <c r="L404" s="1" t="s">
        <v>384</v>
      </c>
      <c r="M404" s="1" t="s">
        <v>72</v>
      </c>
      <c r="N404" s="1" t="s">
        <v>134</v>
      </c>
      <c r="O404" s="1" t="s">
        <v>385</v>
      </c>
      <c r="P404" s="1" t="s">
        <v>386</v>
      </c>
      <c r="Q404" s="1" t="s">
        <v>387</v>
      </c>
      <c r="R404">
        <v>103</v>
      </c>
      <c r="S404" s="1" t="s">
        <v>135</v>
      </c>
      <c r="T404" s="1" t="s">
        <v>388</v>
      </c>
      <c r="U404" s="1" t="s">
        <v>135</v>
      </c>
      <c r="V404" s="1"/>
      <c r="W404" s="1"/>
      <c r="X404" s="1"/>
      <c r="Y404" s="1"/>
      <c r="AA404" s="1"/>
      <c r="AC404" s="1"/>
      <c r="AD404" s="1"/>
      <c r="AE404" s="1"/>
      <c r="AN404" s="1"/>
      <c r="AP404" s="1"/>
      <c r="AQ404" s="1"/>
      <c r="AR404" s="1"/>
      <c r="AS404" s="1"/>
      <c r="AT404" s="3"/>
      <c r="AU404" s="3"/>
      <c r="AV404" s="3"/>
      <c r="AW404" s="1"/>
      <c r="AX404" s="1"/>
      <c r="AZ404">
        <v>253</v>
      </c>
      <c r="BA404">
        <v>4654734.66</v>
      </c>
      <c r="BB404" s="1" t="s">
        <v>74</v>
      </c>
      <c r="BC404">
        <v>32</v>
      </c>
      <c r="BD404" s="1" t="s">
        <v>746</v>
      </c>
      <c r="BE404" s="1" t="s">
        <v>99</v>
      </c>
      <c r="BF404">
        <v>0</v>
      </c>
      <c r="BG404" s="1"/>
      <c r="BH404" s="1" t="s">
        <v>434</v>
      </c>
      <c r="BI404">
        <v>1537.5</v>
      </c>
      <c r="BJ404" s="1" t="s">
        <v>982</v>
      </c>
      <c r="BL404" s="1"/>
      <c r="BN404" s="1"/>
      <c r="BO404">
        <v>599</v>
      </c>
      <c r="BP404">
        <v>4654734.66</v>
      </c>
      <c r="BQ404">
        <v>4654734.66</v>
      </c>
    </row>
    <row r="405" spans="1:69" x14ac:dyDescent="0.35">
      <c r="A405" s="1" t="s">
        <v>68</v>
      </c>
      <c r="B405" s="1" t="s">
        <v>69</v>
      </c>
      <c r="C405" s="1" t="s">
        <v>70</v>
      </c>
      <c r="D405">
        <v>1</v>
      </c>
      <c r="E405">
        <v>1</v>
      </c>
      <c r="F405" s="2">
        <v>43585.43</v>
      </c>
      <c r="G405" s="3">
        <v>41275</v>
      </c>
      <c r="H405" s="3">
        <v>41639</v>
      </c>
      <c r="I405" s="1" t="s">
        <v>71</v>
      </c>
      <c r="J405">
        <v>4521</v>
      </c>
      <c r="K405">
        <v>0</v>
      </c>
      <c r="L405" s="1" t="s">
        <v>384</v>
      </c>
      <c r="M405" s="1" t="s">
        <v>72</v>
      </c>
      <c r="N405" s="1" t="s">
        <v>134</v>
      </c>
      <c r="O405" s="1" t="s">
        <v>385</v>
      </c>
      <c r="P405" s="1" t="s">
        <v>386</v>
      </c>
      <c r="Q405" s="1" t="s">
        <v>387</v>
      </c>
      <c r="R405">
        <v>103</v>
      </c>
      <c r="S405" s="1" t="s">
        <v>135</v>
      </c>
      <c r="T405" s="1" t="s">
        <v>388</v>
      </c>
      <c r="U405" s="1" t="s">
        <v>135</v>
      </c>
      <c r="V405" s="1"/>
      <c r="W405" s="1"/>
      <c r="X405" s="1"/>
      <c r="Y405" s="1"/>
      <c r="AA405" s="1"/>
      <c r="AC405" s="1"/>
      <c r="AD405" s="1"/>
      <c r="AE405" s="1"/>
      <c r="AN405" s="1"/>
      <c r="AP405" s="1"/>
      <c r="AQ405" s="1"/>
      <c r="AR405" s="1"/>
      <c r="AS405" s="1"/>
      <c r="AT405" s="3"/>
      <c r="AU405" s="3"/>
      <c r="AV405" s="3"/>
      <c r="AW405" s="1"/>
      <c r="AX405" s="1"/>
      <c r="AZ405">
        <v>253</v>
      </c>
      <c r="BA405">
        <v>4654734.66</v>
      </c>
      <c r="BB405" s="1" t="s">
        <v>74</v>
      </c>
      <c r="BC405">
        <v>33</v>
      </c>
      <c r="BD405" s="1" t="s">
        <v>746</v>
      </c>
      <c r="BE405" s="1" t="s">
        <v>452</v>
      </c>
      <c r="BF405">
        <v>287.5</v>
      </c>
      <c r="BG405" s="1" t="s">
        <v>982</v>
      </c>
      <c r="BH405" s="1" t="s">
        <v>99</v>
      </c>
      <c r="BI405">
        <v>0</v>
      </c>
      <c r="BJ405" s="1"/>
      <c r="BL405" s="1"/>
      <c r="BN405" s="1"/>
      <c r="BO405">
        <v>599</v>
      </c>
      <c r="BP405">
        <v>4654734.66</v>
      </c>
      <c r="BQ405">
        <v>4654734.66</v>
      </c>
    </row>
    <row r="406" spans="1:69" x14ac:dyDescent="0.35">
      <c r="A406" s="1" t="s">
        <v>68</v>
      </c>
      <c r="B406" s="1" t="s">
        <v>69</v>
      </c>
      <c r="C406" s="1" t="s">
        <v>70</v>
      </c>
      <c r="D406">
        <v>1</v>
      </c>
      <c r="E406">
        <v>1</v>
      </c>
      <c r="F406" s="2">
        <v>43585.43</v>
      </c>
      <c r="G406" s="3">
        <v>41275</v>
      </c>
      <c r="H406" s="3">
        <v>41639</v>
      </c>
      <c r="I406" s="1" t="s">
        <v>71</v>
      </c>
      <c r="J406">
        <v>4521</v>
      </c>
      <c r="K406">
        <v>0</v>
      </c>
      <c r="L406" s="1" t="s">
        <v>384</v>
      </c>
      <c r="M406" s="1" t="s">
        <v>72</v>
      </c>
      <c r="N406" s="1" t="s">
        <v>134</v>
      </c>
      <c r="O406" s="1" t="s">
        <v>385</v>
      </c>
      <c r="P406" s="1" t="s">
        <v>386</v>
      </c>
      <c r="Q406" s="1" t="s">
        <v>387</v>
      </c>
      <c r="R406">
        <v>103</v>
      </c>
      <c r="S406" s="1" t="s">
        <v>135</v>
      </c>
      <c r="T406" s="1" t="s">
        <v>388</v>
      </c>
      <c r="U406" s="1" t="s">
        <v>135</v>
      </c>
      <c r="V406" s="1"/>
      <c r="W406" s="1"/>
      <c r="X406" s="1"/>
      <c r="Y406" s="1"/>
      <c r="AA406" s="1"/>
      <c r="AC406" s="1"/>
      <c r="AD406" s="1"/>
      <c r="AE406" s="1"/>
      <c r="AN406" s="1"/>
      <c r="AP406" s="1"/>
      <c r="AQ406" s="1"/>
      <c r="AR406" s="1"/>
      <c r="AS406" s="1"/>
      <c r="AT406" s="3"/>
      <c r="AU406" s="3"/>
      <c r="AV406" s="3"/>
      <c r="AW406" s="1"/>
      <c r="AX406" s="1"/>
      <c r="AZ406">
        <v>253</v>
      </c>
      <c r="BA406">
        <v>4654734.66</v>
      </c>
      <c r="BB406" s="1" t="s">
        <v>74</v>
      </c>
      <c r="BC406">
        <v>34</v>
      </c>
      <c r="BD406" s="1" t="s">
        <v>747</v>
      </c>
      <c r="BE406" s="1" t="s">
        <v>466</v>
      </c>
      <c r="BF406">
        <v>526</v>
      </c>
      <c r="BG406" s="1" t="s">
        <v>985</v>
      </c>
      <c r="BH406" s="1" t="s">
        <v>99</v>
      </c>
      <c r="BI406">
        <v>0</v>
      </c>
      <c r="BJ406" s="1"/>
      <c r="BL406" s="1"/>
      <c r="BN406" s="1"/>
      <c r="BO406">
        <v>599</v>
      </c>
      <c r="BP406">
        <v>4654734.66</v>
      </c>
      <c r="BQ406">
        <v>4654734.66</v>
      </c>
    </row>
    <row r="407" spans="1:69" x14ac:dyDescent="0.35">
      <c r="A407" s="1" t="s">
        <v>68</v>
      </c>
      <c r="B407" s="1" t="s">
        <v>69</v>
      </c>
      <c r="C407" s="1" t="s">
        <v>70</v>
      </c>
      <c r="D407">
        <v>1</v>
      </c>
      <c r="E407">
        <v>1</v>
      </c>
      <c r="F407" s="2">
        <v>43585.43</v>
      </c>
      <c r="G407" s="3">
        <v>41275</v>
      </c>
      <c r="H407" s="3">
        <v>41639</v>
      </c>
      <c r="I407" s="1" t="s">
        <v>71</v>
      </c>
      <c r="J407">
        <v>4521</v>
      </c>
      <c r="K407">
        <v>0</v>
      </c>
      <c r="L407" s="1" t="s">
        <v>384</v>
      </c>
      <c r="M407" s="1" t="s">
        <v>72</v>
      </c>
      <c r="N407" s="1" t="s">
        <v>134</v>
      </c>
      <c r="O407" s="1" t="s">
        <v>385</v>
      </c>
      <c r="P407" s="1" t="s">
        <v>386</v>
      </c>
      <c r="Q407" s="1" t="s">
        <v>387</v>
      </c>
      <c r="R407">
        <v>103</v>
      </c>
      <c r="S407" s="1" t="s">
        <v>135</v>
      </c>
      <c r="T407" s="1" t="s">
        <v>388</v>
      </c>
      <c r="U407" s="1" t="s">
        <v>135</v>
      </c>
      <c r="V407" s="1"/>
      <c r="W407" s="1"/>
      <c r="X407" s="1"/>
      <c r="Y407" s="1"/>
      <c r="AA407" s="1"/>
      <c r="AC407" s="1"/>
      <c r="AD407" s="1"/>
      <c r="AE407" s="1"/>
      <c r="AN407" s="1"/>
      <c r="AP407" s="1"/>
      <c r="AQ407" s="1"/>
      <c r="AR407" s="1"/>
      <c r="AS407" s="1"/>
      <c r="AT407" s="3"/>
      <c r="AU407" s="3"/>
      <c r="AV407" s="3"/>
      <c r="AW407" s="1"/>
      <c r="AX407" s="1"/>
      <c r="AZ407">
        <v>253</v>
      </c>
      <c r="BA407">
        <v>4654734.66</v>
      </c>
      <c r="BB407" s="1" t="s">
        <v>74</v>
      </c>
      <c r="BC407">
        <v>35</v>
      </c>
      <c r="BD407" s="1" t="s">
        <v>747</v>
      </c>
      <c r="BE407" s="1" t="s">
        <v>99</v>
      </c>
      <c r="BF407">
        <v>0</v>
      </c>
      <c r="BG407" s="1"/>
      <c r="BH407" s="1" t="s">
        <v>430</v>
      </c>
      <c r="BI407">
        <v>646.98</v>
      </c>
      <c r="BJ407" s="1" t="s">
        <v>985</v>
      </c>
      <c r="BL407" s="1"/>
      <c r="BN407" s="1"/>
      <c r="BO407">
        <v>599</v>
      </c>
      <c r="BP407">
        <v>4654734.66</v>
      </c>
      <c r="BQ407">
        <v>4654734.66</v>
      </c>
    </row>
    <row r="408" spans="1:69" x14ac:dyDescent="0.35">
      <c r="A408" s="1" t="s">
        <v>68</v>
      </c>
      <c r="B408" s="1" t="s">
        <v>69</v>
      </c>
      <c r="C408" s="1" t="s">
        <v>70</v>
      </c>
      <c r="D408">
        <v>1</v>
      </c>
      <c r="E408">
        <v>1</v>
      </c>
      <c r="F408" s="2">
        <v>43585.43</v>
      </c>
      <c r="G408" s="3">
        <v>41275</v>
      </c>
      <c r="H408" s="3">
        <v>41639</v>
      </c>
      <c r="I408" s="1" t="s">
        <v>71</v>
      </c>
      <c r="J408">
        <v>4521</v>
      </c>
      <c r="K408">
        <v>0</v>
      </c>
      <c r="L408" s="1" t="s">
        <v>384</v>
      </c>
      <c r="M408" s="1" t="s">
        <v>72</v>
      </c>
      <c r="N408" s="1" t="s">
        <v>134</v>
      </c>
      <c r="O408" s="1" t="s">
        <v>385</v>
      </c>
      <c r="P408" s="1" t="s">
        <v>386</v>
      </c>
      <c r="Q408" s="1" t="s">
        <v>387</v>
      </c>
      <c r="R408">
        <v>103</v>
      </c>
      <c r="S408" s="1" t="s">
        <v>135</v>
      </c>
      <c r="T408" s="1" t="s">
        <v>388</v>
      </c>
      <c r="U408" s="1" t="s">
        <v>135</v>
      </c>
      <c r="V408" s="1"/>
      <c r="W408" s="1"/>
      <c r="X408" s="1"/>
      <c r="Y408" s="1"/>
      <c r="AA408" s="1"/>
      <c r="AC408" s="1"/>
      <c r="AD408" s="1"/>
      <c r="AE408" s="1"/>
      <c r="AN408" s="1"/>
      <c r="AP408" s="1"/>
      <c r="AQ408" s="1"/>
      <c r="AR408" s="1"/>
      <c r="AS408" s="1"/>
      <c r="AT408" s="3"/>
      <c r="AU408" s="3"/>
      <c r="AV408" s="3"/>
      <c r="AW408" s="1"/>
      <c r="AX408" s="1"/>
      <c r="AZ408">
        <v>253</v>
      </c>
      <c r="BA408">
        <v>4654734.66</v>
      </c>
      <c r="BB408" s="1" t="s">
        <v>74</v>
      </c>
      <c r="BC408">
        <v>36</v>
      </c>
      <c r="BD408" s="1" t="s">
        <v>747</v>
      </c>
      <c r="BE408" s="1" t="s">
        <v>452</v>
      </c>
      <c r="BF408">
        <v>120.98</v>
      </c>
      <c r="BG408" s="1" t="s">
        <v>985</v>
      </c>
      <c r="BH408" s="1" t="s">
        <v>99</v>
      </c>
      <c r="BI408">
        <v>0</v>
      </c>
      <c r="BJ408" s="1"/>
      <c r="BL408" s="1"/>
      <c r="BN408" s="1"/>
      <c r="BO408">
        <v>599</v>
      </c>
      <c r="BP408">
        <v>4654734.66</v>
      </c>
      <c r="BQ408">
        <v>4654734.66</v>
      </c>
    </row>
    <row r="409" spans="1:69" x14ac:dyDescent="0.35">
      <c r="A409" s="1" t="s">
        <v>68</v>
      </c>
      <c r="B409" s="1" t="s">
        <v>69</v>
      </c>
      <c r="C409" s="1" t="s">
        <v>70</v>
      </c>
      <c r="D409">
        <v>1</v>
      </c>
      <c r="E409">
        <v>1</v>
      </c>
      <c r="F409" s="2">
        <v>43585.43</v>
      </c>
      <c r="G409" s="3">
        <v>41275</v>
      </c>
      <c r="H409" s="3">
        <v>41639</v>
      </c>
      <c r="I409" s="1" t="s">
        <v>71</v>
      </c>
      <c r="J409">
        <v>4521</v>
      </c>
      <c r="K409">
        <v>0</v>
      </c>
      <c r="L409" s="1" t="s">
        <v>384</v>
      </c>
      <c r="M409" s="1" t="s">
        <v>72</v>
      </c>
      <c r="N409" s="1" t="s">
        <v>134</v>
      </c>
      <c r="O409" s="1" t="s">
        <v>385</v>
      </c>
      <c r="P409" s="1" t="s">
        <v>386</v>
      </c>
      <c r="Q409" s="1" t="s">
        <v>387</v>
      </c>
      <c r="R409">
        <v>103</v>
      </c>
      <c r="S409" s="1" t="s">
        <v>135</v>
      </c>
      <c r="T409" s="1" t="s">
        <v>388</v>
      </c>
      <c r="U409" s="1" t="s">
        <v>135</v>
      </c>
      <c r="V409" s="1"/>
      <c r="W409" s="1"/>
      <c r="X409" s="1"/>
      <c r="Y409" s="1"/>
      <c r="AA409" s="1"/>
      <c r="AC409" s="1"/>
      <c r="AD409" s="1"/>
      <c r="AE409" s="1"/>
      <c r="AN409" s="1"/>
      <c r="AP409" s="1"/>
      <c r="AQ409" s="1"/>
      <c r="AR409" s="1"/>
      <c r="AS409" s="1"/>
      <c r="AT409" s="3"/>
      <c r="AU409" s="3"/>
      <c r="AV409" s="3"/>
      <c r="AW409" s="1"/>
      <c r="AX409" s="1"/>
      <c r="AZ409">
        <v>253</v>
      </c>
      <c r="BA409">
        <v>4654734.66</v>
      </c>
      <c r="BB409" s="1" t="s">
        <v>74</v>
      </c>
      <c r="BC409">
        <v>37</v>
      </c>
      <c r="BD409" s="1" t="s">
        <v>748</v>
      </c>
      <c r="BE409" s="1" t="s">
        <v>393</v>
      </c>
      <c r="BF409">
        <v>1786.45</v>
      </c>
      <c r="BG409" s="1" t="s">
        <v>986</v>
      </c>
      <c r="BH409" s="1" t="s">
        <v>99</v>
      </c>
      <c r="BI409">
        <v>0</v>
      </c>
      <c r="BJ409" s="1"/>
      <c r="BK409">
        <v>425</v>
      </c>
      <c r="BL409" s="1" t="s">
        <v>1295</v>
      </c>
      <c r="BN409" s="1"/>
      <c r="BO409">
        <v>599</v>
      </c>
      <c r="BP409">
        <v>4654734.66</v>
      </c>
      <c r="BQ409">
        <v>4654734.66</v>
      </c>
    </row>
    <row r="410" spans="1:69" x14ac:dyDescent="0.35">
      <c r="A410" s="1" t="s">
        <v>68</v>
      </c>
      <c r="B410" s="1" t="s">
        <v>69</v>
      </c>
      <c r="C410" s="1" t="s">
        <v>70</v>
      </c>
      <c r="D410">
        <v>1</v>
      </c>
      <c r="E410">
        <v>1</v>
      </c>
      <c r="F410" s="2">
        <v>43585.43</v>
      </c>
      <c r="G410" s="3">
        <v>41275</v>
      </c>
      <c r="H410" s="3">
        <v>41639</v>
      </c>
      <c r="I410" s="1" t="s">
        <v>71</v>
      </c>
      <c r="J410">
        <v>4521</v>
      </c>
      <c r="K410">
        <v>0</v>
      </c>
      <c r="L410" s="1" t="s">
        <v>384</v>
      </c>
      <c r="M410" s="1" t="s">
        <v>72</v>
      </c>
      <c r="N410" s="1" t="s">
        <v>134</v>
      </c>
      <c r="O410" s="1" t="s">
        <v>385</v>
      </c>
      <c r="P410" s="1" t="s">
        <v>386</v>
      </c>
      <c r="Q410" s="1" t="s">
        <v>387</v>
      </c>
      <c r="R410">
        <v>103</v>
      </c>
      <c r="S410" s="1" t="s">
        <v>135</v>
      </c>
      <c r="T410" s="1" t="s">
        <v>388</v>
      </c>
      <c r="U410" s="1" t="s">
        <v>135</v>
      </c>
      <c r="V410" s="1"/>
      <c r="W410" s="1"/>
      <c r="X410" s="1"/>
      <c r="Y410" s="1"/>
      <c r="AA410" s="1"/>
      <c r="AC410" s="1"/>
      <c r="AD410" s="1"/>
      <c r="AE410" s="1"/>
      <c r="AN410" s="1"/>
      <c r="AP410" s="1"/>
      <c r="AQ410" s="1"/>
      <c r="AR410" s="1"/>
      <c r="AS410" s="1"/>
      <c r="AT410" s="3"/>
      <c r="AU410" s="3"/>
      <c r="AV410" s="3"/>
      <c r="AW410" s="1"/>
      <c r="AX410" s="1"/>
      <c r="AZ410">
        <v>253</v>
      </c>
      <c r="BA410">
        <v>4654734.66</v>
      </c>
      <c r="BB410" s="1" t="s">
        <v>74</v>
      </c>
      <c r="BC410">
        <v>38</v>
      </c>
      <c r="BD410" s="1" t="s">
        <v>748</v>
      </c>
      <c r="BE410" s="1" t="s">
        <v>99</v>
      </c>
      <c r="BF410">
        <v>0</v>
      </c>
      <c r="BG410" s="1"/>
      <c r="BH410" s="1" t="s">
        <v>399</v>
      </c>
      <c r="BI410">
        <v>1786.45</v>
      </c>
      <c r="BJ410" s="1" t="s">
        <v>986</v>
      </c>
      <c r="BL410" s="1"/>
      <c r="BM410">
        <v>425</v>
      </c>
      <c r="BN410" s="1" t="s">
        <v>1295</v>
      </c>
      <c r="BO410">
        <v>599</v>
      </c>
      <c r="BP410">
        <v>4654734.66</v>
      </c>
      <c r="BQ410">
        <v>4654734.66</v>
      </c>
    </row>
    <row r="411" spans="1:69" x14ac:dyDescent="0.35">
      <c r="A411" s="1" t="s">
        <v>68</v>
      </c>
      <c r="B411" s="1" t="s">
        <v>69</v>
      </c>
      <c r="C411" s="1" t="s">
        <v>70</v>
      </c>
      <c r="D411">
        <v>1</v>
      </c>
      <c r="E411">
        <v>1</v>
      </c>
      <c r="F411" s="2">
        <v>43585.43</v>
      </c>
      <c r="G411" s="3">
        <v>41275</v>
      </c>
      <c r="H411" s="3">
        <v>41639</v>
      </c>
      <c r="I411" s="1" t="s">
        <v>71</v>
      </c>
      <c r="J411">
        <v>4521</v>
      </c>
      <c r="K411">
        <v>0</v>
      </c>
      <c r="L411" s="1" t="s">
        <v>384</v>
      </c>
      <c r="M411" s="1" t="s">
        <v>72</v>
      </c>
      <c r="N411" s="1" t="s">
        <v>134</v>
      </c>
      <c r="O411" s="1" t="s">
        <v>385</v>
      </c>
      <c r="P411" s="1" t="s">
        <v>386</v>
      </c>
      <c r="Q411" s="1" t="s">
        <v>387</v>
      </c>
      <c r="R411">
        <v>103</v>
      </c>
      <c r="S411" s="1" t="s">
        <v>135</v>
      </c>
      <c r="T411" s="1" t="s">
        <v>388</v>
      </c>
      <c r="U411" s="1" t="s">
        <v>135</v>
      </c>
      <c r="V411" s="1"/>
      <c r="W411" s="1"/>
      <c r="X411" s="1"/>
      <c r="Y411" s="1"/>
      <c r="AA411" s="1"/>
      <c r="AC411" s="1"/>
      <c r="AD411" s="1"/>
      <c r="AE411" s="1"/>
      <c r="AN411" s="1"/>
      <c r="AP411" s="1"/>
      <c r="AQ411" s="1"/>
      <c r="AR411" s="1"/>
      <c r="AS411" s="1"/>
      <c r="AT411" s="3"/>
      <c r="AU411" s="3"/>
      <c r="AV411" s="3"/>
      <c r="AW411" s="1"/>
      <c r="AX411" s="1"/>
      <c r="AZ411">
        <v>253</v>
      </c>
      <c r="BA411">
        <v>4654734.66</v>
      </c>
      <c r="BB411" s="1" t="s">
        <v>74</v>
      </c>
      <c r="BC411">
        <v>39</v>
      </c>
      <c r="BD411" s="1" t="s">
        <v>749</v>
      </c>
      <c r="BE411" s="1" t="s">
        <v>465</v>
      </c>
      <c r="BF411">
        <v>245</v>
      </c>
      <c r="BG411" s="1" t="s">
        <v>987</v>
      </c>
      <c r="BH411" s="1" t="s">
        <v>99</v>
      </c>
      <c r="BI411">
        <v>0</v>
      </c>
      <c r="BJ411" s="1"/>
      <c r="BL411" s="1"/>
      <c r="BN411" s="1"/>
      <c r="BO411">
        <v>599</v>
      </c>
      <c r="BP411">
        <v>4654734.66</v>
      </c>
      <c r="BQ411">
        <v>4654734.66</v>
      </c>
    </row>
    <row r="412" spans="1:69" x14ac:dyDescent="0.35">
      <c r="A412" s="1" t="s">
        <v>68</v>
      </c>
      <c r="B412" s="1" t="s">
        <v>69</v>
      </c>
      <c r="C412" s="1" t="s">
        <v>70</v>
      </c>
      <c r="D412">
        <v>1</v>
      </c>
      <c r="E412">
        <v>1</v>
      </c>
      <c r="F412" s="2">
        <v>43585.43</v>
      </c>
      <c r="G412" s="3">
        <v>41275</v>
      </c>
      <c r="H412" s="3">
        <v>41639</v>
      </c>
      <c r="I412" s="1" t="s">
        <v>71</v>
      </c>
      <c r="J412">
        <v>4521</v>
      </c>
      <c r="K412">
        <v>0</v>
      </c>
      <c r="L412" s="1" t="s">
        <v>384</v>
      </c>
      <c r="M412" s="1" t="s">
        <v>72</v>
      </c>
      <c r="N412" s="1" t="s">
        <v>134</v>
      </c>
      <c r="O412" s="1" t="s">
        <v>385</v>
      </c>
      <c r="P412" s="1" t="s">
        <v>386</v>
      </c>
      <c r="Q412" s="1" t="s">
        <v>387</v>
      </c>
      <c r="R412">
        <v>103</v>
      </c>
      <c r="S412" s="1" t="s">
        <v>135</v>
      </c>
      <c r="T412" s="1" t="s">
        <v>388</v>
      </c>
      <c r="U412" s="1" t="s">
        <v>135</v>
      </c>
      <c r="V412" s="1"/>
      <c r="W412" s="1"/>
      <c r="X412" s="1"/>
      <c r="Y412" s="1"/>
      <c r="AA412" s="1"/>
      <c r="AC412" s="1"/>
      <c r="AD412" s="1"/>
      <c r="AE412" s="1"/>
      <c r="AN412" s="1"/>
      <c r="AP412" s="1"/>
      <c r="AQ412" s="1"/>
      <c r="AR412" s="1"/>
      <c r="AS412" s="1"/>
      <c r="AT412" s="3"/>
      <c r="AU412" s="3"/>
      <c r="AV412" s="3"/>
      <c r="AW412" s="1"/>
      <c r="AX412" s="1"/>
      <c r="AZ412">
        <v>253</v>
      </c>
      <c r="BA412">
        <v>4654734.66</v>
      </c>
      <c r="BB412" s="1" t="s">
        <v>74</v>
      </c>
      <c r="BC412">
        <v>40</v>
      </c>
      <c r="BD412" s="1" t="s">
        <v>749</v>
      </c>
      <c r="BE412" s="1" t="s">
        <v>99</v>
      </c>
      <c r="BF412">
        <v>0</v>
      </c>
      <c r="BG412" s="1"/>
      <c r="BH412" s="1" t="s">
        <v>436</v>
      </c>
      <c r="BI412">
        <v>257.25</v>
      </c>
      <c r="BJ412" s="1" t="s">
        <v>987</v>
      </c>
      <c r="BL412" s="1"/>
      <c r="BN412" s="1"/>
      <c r="BO412">
        <v>599</v>
      </c>
      <c r="BP412">
        <v>4654734.66</v>
      </c>
      <c r="BQ412">
        <v>4654734.66</v>
      </c>
    </row>
    <row r="413" spans="1:69" x14ac:dyDescent="0.35">
      <c r="A413" s="1" t="s">
        <v>68</v>
      </c>
      <c r="B413" s="1" t="s">
        <v>69</v>
      </c>
      <c r="C413" s="1" t="s">
        <v>70</v>
      </c>
      <c r="D413">
        <v>1</v>
      </c>
      <c r="E413">
        <v>1</v>
      </c>
      <c r="F413" s="2">
        <v>43585.43</v>
      </c>
      <c r="G413" s="3">
        <v>41275</v>
      </c>
      <c r="H413" s="3">
        <v>41639</v>
      </c>
      <c r="I413" s="1" t="s">
        <v>71</v>
      </c>
      <c r="J413">
        <v>4521</v>
      </c>
      <c r="K413">
        <v>0</v>
      </c>
      <c r="L413" s="1" t="s">
        <v>384</v>
      </c>
      <c r="M413" s="1" t="s">
        <v>72</v>
      </c>
      <c r="N413" s="1" t="s">
        <v>134</v>
      </c>
      <c r="O413" s="1" t="s">
        <v>385</v>
      </c>
      <c r="P413" s="1" t="s">
        <v>386</v>
      </c>
      <c r="Q413" s="1" t="s">
        <v>387</v>
      </c>
      <c r="R413">
        <v>103</v>
      </c>
      <c r="S413" s="1" t="s">
        <v>135</v>
      </c>
      <c r="T413" s="1" t="s">
        <v>388</v>
      </c>
      <c r="U413" s="1" t="s">
        <v>135</v>
      </c>
      <c r="V413" s="1"/>
      <c r="W413" s="1"/>
      <c r="X413" s="1"/>
      <c r="Y413" s="1"/>
      <c r="AA413" s="1"/>
      <c r="AC413" s="1"/>
      <c r="AD413" s="1"/>
      <c r="AE413" s="1"/>
      <c r="AN413" s="1"/>
      <c r="AP413" s="1"/>
      <c r="AQ413" s="1"/>
      <c r="AR413" s="1"/>
      <c r="AS413" s="1"/>
      <c r="AT413" s="3"/>
      <c r="AU413" s="3"/>
      <c r="AV413" s="3"/>
      <c r="AW413" s="1"/>
      <c r="AX413" s="1"/>
      <c r="AZ413">
        <v>253</v>
      </c>
      <c r="BA413">
        <v>4654734.66</v>
      </c>
      <c r="BB413" s="1" t="s">
        <v>74</v>
      </c>
      <c r="BC413">
        <v>41</v>
      </c>
      <c r="BD413" s="1" t="s">
        <v>749</v>
      </c>
      <c r="BE413" s="1" t="s">
        <v>452</v>
      </c>
      <c r="BF413">
        <v>12.25</v>
      </c>
      <c r="BG413" s="1" t="s">
        <v>987</v>
      </c>
      <c r="BH413" s="1" t="s">
        <v>99</v>
      </c>
      <c r="BI413">
        <v>0</v>
      </c>
      <c r="BJ413" s="1"/>
      <c r="BL413" s="1"/>
      <c r="BN413" s="1"/>
      <c r="BO413">
        <v>599</v>
      </c>
      <c r="BP413">
        <v>4654734.66</v>
      </c>
      <c r="BQ413">
        <v>4654734.66</v>
      </c>
    </row>
    <row r="414" spans="1:69" x14ac:dyDescent="0.35">
      <c r="A414" s="1" t="s">
        <v>68</v>
      </c>
      <c r="B414" s="1" t="s">
        <v>69</v>
      </c>
      <c r="C414" s="1" t="s">
        <v>70</v>
      </c>
      <c r="D414">
        <v>1</v>
      </c>
      <c r="E414">
        <v>1</v>
      </c>
      <c r="F414" s="2">
        <v>43585.43</v>
      </c>
      <c r="G414" s="3">
        <v>41275</v>
      </c>
      <c r="H414" s="3">
        <v>41639</v>
      </c>
      <c r="I414" s="1" t="s">
        <v>71</v>
      </c>
      <c r="J414">
        <v>4521</v>
      </c>
      <c r="K414">
        <v>0</v>
      </c>
      <c r="L414" s="1" t="s">
        <v>384</v>
      </c>
      <c r="M414" s="1" t="s">
        <v>72</v>
      </c>
      <c r="N414" s="1" t="s">
        <v>134</v>
      </c>
      <c r="O414" s="1" t="s">
        <v>385</v>
      </c>
      <c r="P414" s="1" t="s">
        <v>386</v>
      </c>
      <c r="Q414" s="1" t="s">
        <v>387</v>
      </c>
      <c r="R414">
        <v>103</v>
      </c>
      <c r="S414" s="1" t="s">
        <v>135</v>
      </c>
      <c r="T414" s="1" t="s">
        <v>388</v>
      </c>
      <c r="U414" s="1" t="s">
        <v>135</v>
      </c>
      <c r="V414" s="1"/>
      <c r="W414" s="1"/>
      <c r="X414" s="1"/>
      <c r="Y414" s="1"/>
      <c r="AA414" s="1"/>
      <c r="AC414" s="1"/>
      <c r="AD414" s="1"/>
      <c r="AE414" s="1"/>
      <c r="AN414" s="1"/>
      <c r="AP414" s="1"/>
      <c r="AQ414" s="1"/>
      <c r="AR414" s="1"/>
      <c r="AS414" s="1"/>
      <c r="AT414" s="3"/>
      <c r="AU414" s="3"/>
      <c r="AV414" s="3"/>
      <c r="AW414" s="1"/>
      <c r="AX414" s="1"/>
      <c r="AZ414">
        <v>253</v>
      </c>
      <c r="BA414">
        <v>4654734.66</v>
      </c>
      <c r="BB414" s="1" t="s">
        <v>74</v>
      </c>
      <c r="BC414">
        <v>42</v>
      </c>
      <c r="BD414" s="1" t="s">
        <v>750</v>
      </c>
      <c r="BE414" s="1" t="s">
        <v>467</v>
      </c>
      <c r="BF414">
        <v>980</v>
      </c>
      <c r="BG414" s="1" t="s">
        <v>982</v>
      </c>
      <c r="BH414" s="1" t="s">
        <v>99</v>
      </c>
      <c r="BI414">
        <v>0</v>
      </c>
      <c r="BJ414" s="1"/>
      <c r="BL414" s="1"/>
      <c r="BN414" s="1"/>
      <c r="BO414">
        <v>599</v>
      </c>
      <c r="BP414">
        <v>4654734.66</v>
      </c>
      <c r="BQ414">
        <v>4654734.66</v>
      </c>
    </row>
    <row r="415" spans="1:69" x14ac:dyDescent="0.35">
      <c r="A415" s="1" t="s">
        <v>68</v>
      </c>
      <c r="B415" s="1" t="s">
        <v>69</v>
      </c>
      <c r="C415" s="1" t="s">
        <v>70</v>
      </c>
      <c r="D415">
        <v>1</v>
      </c>
      <c r="E415">
        <v>1</v>
      </c>
      <c r="F415" s="2">
        <v>43585.43</v>
      </c>
      <c r="G415" s="3">
        <v>41275</v>
      </c>
      <c r="H415" s="3">
        <v>41639</v>
      </c>
      <c r="I415" s="1" t="s">
        <v>71</v>
      </c>
      <c r="J415">
        <v>4521</v>
      </c>
      <c r="K415">
        <v>0</v>
      </c>
      <c r="L415" s="1" t="s">
        <v>384</v>
      </c>
      <c r="M415" s="1" t="s">
        <v>72</v>
      </c>
      <c r="N415" s="1" t="s">
        <v>134</v>
      </c>
      <c r="O415" s="1" t="s">
        <v>385</v>
      </c>
      <c r="P415" s="1" t="s">
        <v>386</v>
      </c>
      <c r="Q415" s="1" t="s">
        <v>387</v>
      </c>
      <c r="R415">
        <v>103</v>
      </c>
      <c r="S415" s="1" t="s">
        <v>135</v>
      </c>
      <c r="T415" s="1" t="s">
        <v>388</v>
      </c>
      <c r="U415" s="1" t="s">
        <v>135</v>
      </c>
      <c r="V415" s="1"/>
      <c r="W415" s="1"/>
      <c r="X415" s="1"/>
      <c r="Y415" s="1"/>
      <c r="AA415" s="1"/>
      <c r="AC415" s="1"/>
      <c r="AD415" s="1"/>
      <c r="AE415" s="1"/>
      <c r="AN415" s="1"/>
      <c r="AP415" s="1"/>
      <c r="AQ415" s="1"/>
      <c r="AR415" s="1"/>
      <c r="AS415" s="1"/>
      <c r="AT415" s="3"/>
      <c r="AU415" s="3"/>
      <c r="AV415" s="3"/>
      <c r="AW415" s="1"/>
      <c r="AX415" s="1"/>
      <c r="AZ415">
        <v>253</v>
      </c>
      <c r="BA415">
        <v>4654734.66</v>
      </c>
      <c r="BB415" s="1" t="s">
        <v>74</v>
      </c>
      <c r="BC415">
        <v>43</v>
      </c>
      <c r="BD415" s="1" t="s">
        <v>750</v>
      </c>
      <c r="BE415" s="1" t="s">
        <v>99</v>
      </c>
      <c r="BF415">
        <v>0</v>
      </c>
      <c r="BG415" s="1"/>
      <c r="BH415" s="1" t="s">
        <v>433</v>
      </c>
      <c r="BI415">
        <v>1205.4000000000001</v>
      </c>
      <c r="BJ415" s="1" t="s">
        <v>982</v>
      </c>
      <c r="BL415" s="1"/>
      <c r="BN415" s="1"/>
      <c r="BO415">
        <v>599</v>
      </c>
      <c r="BP415">
        <v>4654734.66</v>
      </c>
      <c r="BQ415">
        <v>4654734.66</v>
      </c>
    </row>
    <row r="416" spans="1:69" x14ac:dyDescent="0.35">
      <c r="A416" s="1" t="s">
        <v>68</v>
      </c>
      <c r="B416" s="1" t="s">
        <v>69</v>
      </c>
      <c r="C416" s="1" t="s">
        <v>70</v>
      </c>
      <c r="D416">
        <v>1</v>
      </c>
      <c r="E416">
        <v>1</v>
      </c>
      <c r="F416" s="2">
        <v>43585.43</v>
      </c>
      <c r="G416" s="3">
        <v>41275</v>
      </c>
      <c r="H416" s="3">
        <v>41639</v>
      </c>
      <c r="I416" s="1" t="s">
        <v>71</v>
      </c>
      <c r="J416">
        <v>4521</v>
      </c>
      <c r="K416">
        <v>0</v>
      </c>
      <c r="L416" s="1" t="s">
        <v>384</v>
      </c>
      <c r="M416" s="1" t="s">
        <v>72</v>
      </c>
      <c r="N416" s="1" t="s">
        <v>134</v>
      </c>
      <c r="O416" s="1" t="s">
        <v>385</v>
      </c>
      <c r="P416" s="1" t="s">
        <v>386</v>
      </c>
      <c r="Q416" s="1" t="s">
        <v>387</v>
      </c>
      <c r="R416">
        <v>103</v>
      </c>
      <c r="S416" s="1" t="s">
        <v>135</v>
      </c>
      <c r="T416" s="1" t="s">
        <v>388</v>
      </c>
      <c r="U416" s="1" t="s">
        <v>135</v>
      </c>
      <c r="V416" s="1"/>
      <c r="W416" s="1"/>
      <c r="X416" s="1"/>
      <c r="Y416" s="1"/>
      <c r="AA416" s="1"/>
      <c r="AC416" s="1"/>
      <c r="AD416" s="1"/>
      <c r="AE416" s="1"/>
      <c r="AN416" s="1"/>
      <c r="AP416" s="1"/>
      <c r="AQ416" s="1"/>
      <c r="AR416" s="1"/>
      <c r="AS416" s="1"/>
      <c r="AT416" s="3"/>
      <c r="AU416" s="3"/>
      <c r="AV416" s="3"/>
      <c r="AW416" s="1"/>
      <c r="AX416" s="1"/>
      <c r="AZ416">
        <v>253</v>
      </c>
      <c r="BA416">
        <v>4654734.66</v>
      </c>
      <c r="BB416" s="1" t="s">
        <v>74</v>
      </c>
      <c r="BC416">
        <v>44</v>
      </c>
      <c r="BD416" s="1" t="s">
        <v>750</v>
      </c>
      <c r="BE416" s="1" t="s">
        <v>452</v>
      </c>
      <c r="BF416">
        <v>225.4</v>
      </c>
      <c r="BG416" s="1" t="s">
        <v>982</v>
      </c>
      <c r="BH416" s="1" t="s">
        <v>99</v>
      </c>
      <c r="BI416">
        <v>0</v>
      </c>
      <c r="BJ416" s="1"/>
      <c r="BL416" s="1"/>
      <c r="BN416" s="1"/>
      <c r="BO416">
        <v>599</v>
      </c>
      <c r="BP416">
        <v>4654734.66</v>
      </c>
      <c r="BQ416">
        <v>4654734.66</v>
      </c>
    </row>
    <row r="417" spans="1:69" x14ac:dyDescent="0.35">
      <c r="A417" s="1" t="s">
        <v>68</v>
      </c>
      <c r="B417" s="1" t="s">
        <v>69</v>
      </c>
      <c r="C417" s="1" t="s">
        <v>70</v>
      </c>
      <c r="D417">
        <v>1</v>
      </c>
      <c r="E417">
        <v>1</v>
      </c>
      <c r="F417" s="2">
        <v>43585.43</v>
      </c>
      <c r="G417" s="3">
        <v>41275</v>
      </c>
      <c r="H417" s="3">
        <v>41639</v>
      </c>
      <c r="I417" s="1" t="s">
        <v>71</v>
      </c>
      <c r="J417">
        <v>4521</v>
      </c>
      <c r="K417">
        <v>0</v>
      </c>
      <c r="L417" s="1" t="s">
        <v>384</v>
      </c>
      <c r="M417" s="1" t="s">
        <v>72</v>
      </c>
      <c r="N417" s="1" t="s">
        <v>134</v>
      </c>
      <c r="O417" s="1" t="s">
        <v>385</v>
      </c>
      <c r="P417" s="1" t="s">
        <v>386</v>
      </c>
      <c r="Q417" s="1" t="s">
        <v>387</v>
      </c>
      <c r="R417">
        <v>103</v>
      </c>
      <c r="S417" s="1" t="s">
        <v>135</v>
      </c>
      <c r="T417" s="1" t="s">
        <v>388</v>
      </c>
      <c r="U417" s="1" t="s">
        <v>135</v>
      </c>
      <c r="V417" s="1"/>
      <c r="W417" s="1"/>
      <c r="X417" s="1"/>
      <c r="Y417" s="1"/>
      <c r="AA417" s="1"/>
      <c r="AC417" s="1"/>
      <c r="AD417" s="1"/>
      <c r="AE417" s="1"/>
      <c r="AN417" s="1"/>
      <c r="AP417" s="1"/>
      <c r="AQ417" s="1"/>
      <c r="AR417" s="1"/>
      <c r="AS417" s="1"/>
      <c r="AT417" s="3"/>
      <c r="AU417" s="3"/>
      <c r="AV417" s="3"/>
      <c r="AW417" s="1"/>
      <c r="AX417" s="1"/>
      <c r="AZ417">
        <v>253</v>
      </c>
      <c r="BA417">
        <v>4654734.66</v>
      </c>
      <c r="BB417" s="1" t="s">
        <v>74</v>
      </c>
      <c r="BC417">
        <v>45</v>
      </c>
      <c r="BD417" s="1" t="s">
        <v>751</v>
      </c>
      <c r="BE417" s="1" t="s">
        <v>401</v>
      </c>
      <c r="BF417">
        <v>282.89999999999998</v>
      </c>
      <c r="BG417" s="1" t="s">
        <v>988</v>
      </c>
      <c r="BH417" s="1" t="s">
        <v>99</v>
      </c>
      <c r="BI417">
        <v>0</v>
      </c>
      <c r="BJ417" s="1"/>
      <c r="BL417" s="1"/>
      <c r="BN417" s="1"/>
      <c r="BO417">
        <v>599</v>
      </c>
      <c r="BP417">
        <v>4654734.66</v>
      </c>
      <c r="BQ417">
        <v>4654734.66</v>
      </c>
    </row>
    <row r="418" spans="1:69" x14ac:dyDescent="0.35">
      <c r="A418" s="1" t="s">
        <v>68</v>
      </c>
      <c r="B418" s="1" t="s">
        <v>69</v>
      </c>
      <c r="C418" s="1" t="s">
        <v>70</v>
      </c>
      <c r="D418">
        <v>1</v>
      </c>
      <c r="E418">
        <v>1</v>
      </c>
      <c r="F418" s="2">
        <v>43585.43</v>
      </c>
      <c r="G418" s="3">
        <v>41275</v>
      </c>
      <c r="H418" s="3">
        <v>41639</v>
      </c>
      <c r="I418" s="1" t="s">
        <v>71</v>
      </c>
      <c r="J418">
        <v>4521</v>
      </c>
      <c r="K418">
        <v>0</v>
      </c>
      <c r="L418" s="1" t="s">
        <v>384</v>
      </c>
      <c r="M418" s="1" t="s">
        <v>72</v>
      </c>
      <c r="N418" s="1" t="s">
        <v>134</v>
      </c>
      <c r="O418" s="1" t="s">
        <v>385</v>
      </c>
      <c r="P418" s="1" t="s">
        <v>386</v>
      </c>
      <c r="Q418" s="1" t="s">
        <v>387</v>
      </c>
      <c r="R418">
        <v>103</v>
      </c>
      <c r="S418" s="1" t="s">
        <v>135</v>
      </c>
      <c r="T418" s="1" t="s">
        <v>388</v>
      </c>
      <c r="U418" s="1" t="s">
        <v>135</v>
      </c>
      <c r="V418" s="1"/>
      <c r="W418" s="1"/>
      <c r="X418" s="1"/>
      <c r="Y418" s="1"/>
      <c r="AA418" s="1"/>
      <c r="AC418" s="1"/>
      <c r="AD418" s="1"/>
      <c r="AE418" s="1"/>
      <c r="AN418" s="1"/>
      <c r="AP418" s="1"/>
      <c r="AQ418" s="1"/>
      <c r="AR418" s="1"/>
      <c r="AS418" s="1"/>
      <c r="AT418" s="3"/>
      <c r="AU418" s="3"/>
      <c r="AV418" s="3"/>
      <c r="AW418" s="1"/>
      <c r="AX418" s="1"/>
      <c r="AZ418">
        <v>253</v>
      </c>
      <c r="BA418">
        <v>4654734.66</v>
      </c>
      <c r="BB418" s="1" t="s">
        <v>74</v>
      </c>
      <c r="BC418">
        <v>46</v>
      </c>
      <c r="BD418" s="1" t="s">
        <v>751</v>
      </c>
      <c r="BE418" s="1" t="s">
        <v>99</v>
      </c>
      <c r="BF418">
        <v>0</v>
      </c>
      <c r="BG418" s="1"/>
      <c r="BH418" s="1" t="s">
        <v>489</v>
      </c>
      <c r="BI418">
        <v>230</v>
      </c>
      <c r="BJ418" s="1" t="s">
        <v>988</v>
      </c>
      <c r="BL418" s="1"/>
      <c r="BN418" s="1"/>
      <c r="BO418">
        <v>599</v>
      </c>
      <c r="BP418">
        <v>4654734.66</v>
      </c>
      <c r="BQ418">
        <v>4654734.66</v>
      </c>
    </row>
    <row r="419" spans="1:69" x14ac:dyDescent="0.35">
      <c r="A419" s="1" t="s">
        <v>68</v>
      </c>
      <c r="B419" s="1" t="s">
        <v>69</v>
      </c>
      <c r="C419" s="1" t="s">
        <v>70</v>
      </c>
      <c r="D419">
        <v>1</v>
      </c>
      <c r="E419">
        <v>1</v>
      </c>
      <c r="F419" s="2">
        <v>43585.43</v>
      </c>
      <c r="G419" s="3">
        <v>41275</v>
      </c>
      <c r="H419" s="3">
        <v>41639</v>
      </c>
      <c r="I419" s="1" t="s">
        <v>71</v>
      </c>
      <c r="J419">
        <v>4521</v>
      </c>
      <c r="K419">
        <v>0</v>
      </c>
      <c r="L419" s="1" t="s">
        <v>384</v>
      </c>
      <c r="M419" s="1" t="s">
        <v>72</v>
      </c>
      <c r="N419" s="1" t="s">
        <v>134</v>
      </c>
      <c r="O419" s="1" t="s">
        <v>385</v>
      </c>
      <c r="P419" s="1" t="s">
        <v>386</v>
      </c>
      <c r="Q419" s="1" t="s">
        <v>387</v>
      </c>
      <c r="R419">
        <v>103</v>
      </c>
      <c r="S419" s="1" t="s">
        <v>135</v>
      </c>
      <c r="T419" s="1" t="s">
        <v>388</v>
      </c>
      <c r="U419" s="1" t="s">
        <v>135</v>
      </c>
      <c r="V419" s="1"/>
      <c r="W419" s="1"/>
      <c r="X419" s="1"/>
      <c r="Y419" s="1"/>
      <c r="AA419" s="1"/>
      <c r="AC419" s="1"/>
      <c r="AD419" s="1"/>
      <c r="AE419" s="1"/>
      <c r="AN419" s="1"/>
      <c r="AP419" s="1"/>
      <c r="AQ419" s="1"/>
      <c r="AR419" s="1"/>
      <c r="AS419" s="1"/>
      <c r="AT419" s="3"/>
      <c r="AU419" s="3"/>
      <c r="AV419" s="3"/>
      <c r="AW419" s="1"/>
      <c r="AX419" s="1"/>
      <c r="AZ419">
        <v>253</v>
      </c>
      <c r="BA419">
        <v>4654734.66</v>
      </c>
      <c r="BB419" s="1" t="s">
        <v>74</v>
      </c>
      <c r="BC419">
        <v>47</v>
      </c>
      <c r="BD419" s="1" t="s">
        <v>751</v>
      </c>
      <c r="BE419" s="1" t="s">
        <v>99</v>
      </c>
      <c r="BF419">
        <v>0</v>
      </c>
      <c r="BG419" s="1"/>
      <c r="BH419" s="1" t="s">
        <v>451</v>
      </c>
      <c r="BI419">
        <v>52.9</v>
      </c>
      <c r="BJ419" s="1" t="s">
        <v>988</v>
      </c>
      <c r="BL419" s="1"/>
      <c r="BN419" s="1"/>
      <c r="BO419">
        <v>599</v>
      </c>
      <c r="BP419">
        <v>4654734.66</v>
      </c>
      <c r="BQ419">
        <v>4654734.66</v>
      </c>
    </row>
    <row r="420" spans="1:69" x14ac:dyDescent="0.35">
      <c r="A420" s="1" t="s">
        <v>68</v>
      </c>
      <c r="B420" s="1" t="s">
        <v>69</v>
      </c>
      <c r="C420" s="1" t="s">
        <v>70</v>
      </c>
      <c r="D420">
        <v>1</v>
      </c>
      <c r="E420">
        <v>1</v>
      </c>
      <c r="F420" s="2">
        <v>43585.43</v>
      </c>
      <c r="G420" s="3">
        <v>41275</v>
      </c>
      <c r="H420" s="3">
        <v>41639</v>
      </c>
      <c r="I420" s="1" t="s">
        <v>71</v>
      </c>
      <c r="J420">
        <v>4521</v>
      </c>
      <c r="K420">
        <v>0</v>
      </c>
      <c r="L420" s="1" t="s">
        <v>384</v>
      </c>
      <c r="M420" s="1" t="s">
        <v>72</v>
      </c>
      <c r="N420" s="1" t="s">
        <v>134</v>
      </c>
      <c r="O420" s="1" t="s">
        <v>385</v>
      </c>
      <c r="P420" s="1" t="s">
        <v>386</v>
      </c>
      <c r="Q420" s="1" t="s">
        <v>387</v>
      </c>
      <c r="R420">
        <v>103</v>
      </c>
      <c r="S420" s="1" t="s">
        <v>135</v>
      </c>
      <c r="T420" s="1" t="s">
        <v>388</v>
      </c>
      <c r="U420" s="1" t="s">
        <v>135</v>
      </c>
      <c r="V420" s="1"/>
      <c r="W420" s="1"/>
      <c r="X420" s="1"/>
      <c r="Y420" s="1"/>
      <c r="AA420" s="1"/>
      <c r="AC420" s="1"/>
      <c r="AD420" s="1"/>
      <c r="AE420" s="1"/>
      <c r="AN420" s="1"/>
      <c r="AP420" s="1"/>
      <c r="AQ420" s="1"/>
      <c r="AR420" s="1"/>
      <c r="AS420" s="1"/>
      <c r="AT420" s="3"/>
      <c r="AU420" s="3"/>
      <c r="AV420" s="3"/>
      <c r="AW420" s="1"/>
      <c r="AX420" s="1"/>
      <c r="AZ420">
        <v>253</v>
      </c>
      <c r="BA420">
        <v>4654734.66</v>
      </c>
      <c r="BB420" s="1" t="s">
        <v>74</v>
      </c>
      <c r="BC420">
        <v>48</v>
      </c>
      <c r="BD420" s="1" t="s">
        <v>752</v>
      </c>
      <c r="BE420" s="1" t="s">
        <v>75</v>
      </c>
      <c r="BF420">
        <v>120</v>
      </c>
      <c r="BG420" s="1" t="s">
        <v>989</v>
      </c>
      <c r="BH420" s="1" t="s">
        <v>99</v>
      </c>
      <c r="BI420">
        <v>0</v>
      </c>
      <c r="BJ420" s="1"/>
      <c r="BL420" s="1"/>
      <c r="BN420" s="1"/>
      <c r="BO420">
        <v>599</v>
      </c>
      <c r="BP420">
        <v>4654734.66</v>
      </c>
      <c r="BQ420">
        <v>4654734.66</v>
      </c>
    </row>
    <row r="421" spans="1:69" x14ac:dyDescent="0.35">
      <c r="A421" s="1" t="s">
        <v>68</v>
      </c>
      <c r="B421" s="1" t="s">
        <v>69</v>
      </c>
      <c r="C421" s="1" t="s">
        <v>70</v>
      </c>
      <c r="D421">
        <v>1</v>
      </c>
      <c r="E421">
        <v>1</v>
      </c>
      <c r="F421" s="2">
        <v>43585.43</v>
      </c>
      <c r="G421" s="3">
        <v>41275</v>
      </c>
      <c r="H421" s="3">
        <v>41639</v>
      </c>
      <c r="I421" s="1" t="s">
        <v>71</v>
      </c>
      <c r="J421">
        <v>4521</v>
      </c>
      <c r="K421">
        <v>0</v>
      </c>
      <c r="L421" s="1" t="s">
        <v>384</v>
      </c>
      <c r="M421" s="1" t="s">
        <v>72</v>
      </c>
      <c r="N421" s="1" t="s">
        <v>134</v>
      </c>
      <c r="O421" s="1" t="s">
        <v>385</v>
      </c>
      <c r="P421" s="1" t="s">
        <v>386</v>
      </c>
      <c r="Q421" s="1" t="s">
        <v>387</v>
      </c>
      <c r="R421">
        <v>103</v>
      </c>
      <c r="S421" s="1" t="s">
        <v>135</v>
      </c>
      <c r="T421" s="1" t="s">
        <v>388</v>
      </c>
      <c r="U421" s="1" t="s">
        <v>135</v>
      </c>
      <c r="V421" s="1"/>
      <c r="W421" s="1"/>
      <c r="X421" s="1"/>
      <c r="Y421" s="1"/>
      <c r="AA421" s="1"/>
      <c r="AC421" s="1"/>
      <c r="AD421" s="1"/>
      <c r="AE421" s="1"/>
      <c r="AN421" s="1"/>
      <c r="AP421" s="1"/>
      <c r="AQ421" s="1"/>
      <c r="AR421" s="1"/>
      <c r="AS421" s="1"/>
      <c r="AT421" s="3"/>
      <c r="AU421" s="3"/>
      <c r="AV421" s="3"/>
      <c r="AW421" s="1"/>
      <c r="AX421" s="1"/>
      <c r="AZ421">
        <v>253</v>
      </c>
      <c r="BA421">
        <v>4654734.66</v>
      </c>
      <c r="BB421" s="1" t="s">
        <v>74</v>
      </c>
      <c r="BC421">
        <v>49</v>
      </c>
      <c r="BD421" s="1" t="s">
        <v>752</v>
      </c>
      <c r="BE421" s="1" t="s">
        <v>99</v>
      </c>
      <c r="BF421">
        <v>0</v>
      </c>
      <c r="BG421" s="1"/>
      <c r="BH421" s="1" t="s">
        <v>489</v>
      </c>
      <c r="BI421">
        <v>120</v>
      </c>
      <c r="BJ421" s="1" t="s">
        <v>989</v>
      </c>
      <c r="BL421" s="1"/>
      <c r="BN421" s="1"/>
      <c r="BO421">
        <v>599</v>
      </c>
      <c r="BP421">
        <v>4654734.66</v>
      </c>
      <c r="BQ421">
        <v>4654734.66</v>
      </c>
    </row>
    <row r="422" spans="1:69" x14ac:dyDescent="0.35">
      <c r="A422" s="1" t="s">
        <v>68</v>
      </c>
      <c r="B422" s="1" t="s">
        <v>69</v>
      </c>
      <c r="C422" s="1" t="s">
        <v>70</v>
      </c>
      <c r="D422">
        <v>1</v>
      </c>
      <c r="E422">
        <v>1</v>
      </c>
      <c r="F422" s="2">
        <v>43585.43</v>
      </c>
      <c r="G422" s="3">
        <v>41275</v>
      </c>
      <c r="H422" s="3">
        <v>41639</v>
      </c>
      <c r="I422" s="1" t="s">
        <v>71</v>
      </c>
      <c r="J422">
        <v>4521</v>
      </c>
      <c r="K422">
        <v>0</v>
      </c>
      <c r="L422" s="1" t="s">
        <v>384</v>
      </c>
      <c r="M422" s="1" t="s">
        <v>72</v>
      </c>
      <c r="N422" s="1" t="s">
        <v>134</v>
      </c>
      <c r="O422" s="1" t="s">
        <v>385</v>
      </c>
      <c r="P422" s="1" t="s">
        <v>386</v>
      </c>
      <c r="Q422" s="1" t="s">
        <v>387</v>
      </c>
      <c r="R422">
        <v>103</v>
      </c>
      <c r="S422" s="1" t="s">
        <v>135</v>
      </c>
      <c r="T422" s="1" t="s">
        <v>388</v>
      </c>
      <c r="U422" s="1" t="s">
        <v>135</v>
      </c>
      <c r="V422" s="1"/>
      <c r="W422" s="1"/>
      <c r="X422" s="1"/>
      <c r="Y422" s="1"/>
      <c r="AA422" s="1"/>
      <c r="AC422" s="1"/>
      <c r="AD422" s="1"/>
      <c r="AE422" s="1"/>
      <c r="AN422" s="1"/>
      <c r="AP422" s="1"/>
      <c r="AQ422" s="1"/>
      <c r="AR422" s="1"/>
      <c r="AS422" s="1"/>
      <c r="AT422" s="3"/>
      <c r="AU422" s="3"/>
      <c r="AV422" s="3"/>
      <c r="AW422" s="1"/>
      <c r="AX422" s="1"/>
      <c r="AZ422">
        <v>253</v>
      </c>
      <c r="BA422">
        <v>4654734.66</v>
      </c>
      <c r="BB422" s="1" t="s">
        <v>74</v>
      </c>
      <c r="BC422">
        <v>50</v>
      </c>
      <c r="BD422" s="1" t="s">
        <v>753</v>
      </c>
      <c r="BE422" s="1" t="s">
        <v>418</v>
      </c>
      <c r="BF422">
        <v>3570</v>
      </c>
      <c r="BG422" s="1" t="s">
        <v>1222</v>
      </c>
      <c r="BH422" s="1" t="s">
        <v>99</v>
      </c>
      <c r="BI422">
        <v>0</v>
      </c>
      <c r="BJ422" s="1"/>
      <c r="BL422" s="1"/>
      <c r="BN422" s="1"/>
      <c r="BO422">
        <v>599</v>
      </c>
      <c r="BP422">
        <v>4654734.66</v>
      </c>
      <c r="BQ422">
        <v>4654734.66</v>
      </c>
    </row>
    <row r="423" spans="1:69" x14ac:dyDescent="0.35">
      <c r="A423" s="1" t="s">
        <v>68</v>
      </c>
      <c r="B423" s="1" t="s">
        <v>69</v>
      </c>
      <c r="C423" s="1" t="s">
        <v>70</v>
      </c>
      <c r="D423">
        <v>1</v>
      </c>
      <c r="E423">
        <v>1</v>
      </c>
      <c r="F423" s="2">
        <v>43585.43</v>
      </c>
      <c r="G423" s="3">
        <v>41275</v>
      </c>
      <c r="H423" s="3">
        <v>41639</v>
      </c>
      <c r="I423" s="1" t="s">
        <v>71</v>
      </c>
      <c r="J423">
        <v>4521</v>
      </c>
      <c r="K423">
        <v>0</v>
      </c>
      <c r="L423" s="1" t="s">
        <v>384</v>
      </c>
      <c r="M423" s="1" t="s">
        <v>72</v>
      </c>
      <c r="N423" s="1" t="s">
        <v>134</v>
      </c>
      <c r="O423" s="1" t="s">
        <v>385</v>
      </c>
      <c r="P423" s="1" t="s">
        <v>386</v>
      </c>
      <c r="Q423" s="1" t="s">
        <v>387</v>
      </c>
      <c r="R423">
        <v>103</v>
      </c>
      <c r="S423" s="1" t="s">
        <v>135</v>
      </c>
      <c r="T423" s="1" t="s">
        <v>388</v>
      </c>
      <c r="U423" s="1" t="s">
        <v>135</v>
      </c>
      <c r="V423" s="1"/>
      <c r="W423" s="1"/>
      <c r="X423" s="1"/>
      <c r="Y423" s="1"/>
      <c r="AA423" s="1"/>
      <c r="AC423" s="1"/>
      <c r="AD423" s="1"/>
      <c r="AE423" s="1"/>
      <c r="AN423" s="1"/>
      <c r="AP423" s="1"/>
      <c r="AQ423" s="1"/>
      <c r="AR423" s="1"/>
      <c r="AS423" s="1"/>
      <c r="AT423" s="3"/>
      <c r="AU423" s="3"/>
      <c r="AV423" s="3"/>
      <c r="AW423" s="1"/>
      <c r="AX423" s="1"/>
      <c r="AZ423">
        <v>253</v>
      </c>
      <c r="BA423">
        <v>4654734.66</v>
      </c>
      <c r="BB423" s="1" t="s">
        <v>74</v>
      </c>
      <c r="BC423">
        <v>51</v>
      </c>
      <c r="BD423" s="1" t="s">
        <v>753</v>
      </c>
      <c r="BE423" s="1" t="s">
        <v>99</v>
      </c>
      <c r="BF423">
        <v>0</v>
      </c>
      <c r="BG423" s="1"/>
      <c r="BH423" s="1" t="s">
        <v>394</v>
      </c>
      <c r="BI423">
        <v>3570</v>
      </c>
      <c r="BJ423" s="1" t="s">
        <v>1222</v>
      </c>
      <c r="BL423" s="1"/>
      <c r="BN423" s="1"/>
      <c r="BO423">
        <v>599</v>
      </c>
      <c r="BP423">
        <v>4654734.66</v>
      </c>
      <c r="BQ423">
        <v>4654734.66</v>
      </c>
    </row>
    <row r="424" spans="1:69" x14ac:dyDescent="0.35">
      <c r="A424" s="1" t="s">
        <v>68</v>
      </c>
      <c r="B424" s="1" t="s">
        <v>69</v>
      </c>
      <c r="C424" s="1" t="s">
        <v>70</v>
      </c>
      <c r="D424">
        <v>1</v>
      </c>
      <c r="E424">
        <v>1</v>
      </c>
      <c r="F424" s="2">
        <v>43585.43</v>
      </c>
      <c r="G424" s="3">
        <v>41275</v>
      </c>
      <c r="H424" s="3">
        <v>41639</v>
      </c>
      <c r="I424" s="1" t="s">
        <v>71</v>
      </c>
      <c r="J424">
        <v>4521</v>
      </c>
      <c r="K424">
        <v>0</v>
      </c>
      <c r="L424" s="1" t="s">
        <v>384</v>
      </c>
      <c r="M424" s="1" t="s">
        <v>72</v>
      </c>
      <c r="N424" s="1" t="s">
        <v>134</v>
      </c>
      <c r="O424" s="1" t="s">
        <v>385</v>
      </c>
      <c r="P424" s="1" t="s">
        <v>386</v>
      </c>
      <c r="Q424" s="1" t="s">
        <v>387</v>
      </c>
      <c r="R424">
        <v>103</v>
      </c>
      <c r="S424" s="1" t="s">
        <v>135</v>
      </c>
      <c r="T424" s="1" t="s">
        <v>388</v>
      </c>
      <c r="U424" s="1" t="s">
        <v>135</v>
      </c>
      <c r="V424" s="1"/>
      <c r="W424" s="1"/>
      <c r="X424" s="1"/>
      <c r="Y424" s="1"/>
      <c r="AA424" s="1"/>
      <c r="AC424" s="1"/>
      <c r="AD424" s="1"/>
      <c r="AE424" s="1"/>
      <c r="AN424" s="1"/>
      <c r="AP424" s="1"/>
      <c r="AQ424" s="1"/>
      <c r="AR424" s="1"/>
      <c r="AS424" s="1"/>
      <c r="AT424" s="3"/>
      <c r="AU424" s="3"/>
      <c r="AV424" s="3"/>
      <c r="AW424" s="1"/>
      <c r="AX424" s="1"/>
      <c r="AZ424">
        <v>253</v>
      </c>
      <c r="BA424">
        <v>4654734.66</v>
      </c>
      <c r="BB424" s="1" t="s">
        <v>74</v>
      </c>
      <c r="BC424">
        <v>52</v>
      </c>
      <c r="BD424" s="1" t="s">
        <v>754</v>
      </c>
      <c r="BE424" s="1" t="s">
        <v>428</v>
      </c>
      <c r="BF424">
        <v>5700</v>
      </c>
      <c r="BG424" s="1" t="s">
        <v>1223</v>
      </c>
      <c r="BH424" s="1" t="s">
        <v>99</v>
      </c>
      <c r="BI424">
        <v>0</v>
      </c>
      <c r="BJ424" s="1"/>
      <c r="BL424" s="1"/>
      <c r="BN424" s="1"/>
      <c r="BO424">
        <v>599</v>
      </c>
      <c r="BP424">
        <v>4654734.66</v>
      </c>
      <c r="BQ424">
        <v>4654734.66</v>
      </c>
    </row>
    <row r="425" spans="1:69" x14ac:dyDescent="0.35">
      <c r="A425" s="1" t="s">
        <v>68</v>
      </c>
      <c r="B425" s="1" t="s">
        <v>69</v>
      </c>
      <c r="C425" s="1" t="s">
        <v>70</v>
      </c>
      <c r="D425">
        <v>1</v>
      </c>
      <c r="E425">
        <v>1</v>
      </c>
      <c r="F425" s="2">
        <v>43585.43</v>
      </c>
      <c r="G425" s="3">
        <v>41275</v>
      </c>
      <c r="H425" s="3">
        <v>41639</v>
      </c>
      <c r="I425" s="1" t="s">
        <v>71</v>
      </c>
      <c r="J425">
        <v>4521</v>
      </c>
      <c r="K425">
        <v>0</v>
      </c>
      <c r="L425" s="1" t="s">
        <v>384</v>
      </c>
      <c r="M425" s="1" t="s">
        <v>72</v>
      </c>
      <c r="N425" s="1" t="s">
        <v>134</v>
      </c>
      <c r="O425" s="1" t="s">
        <v>385</v>
      </c>
      <c r="P425" s="1" t="s">
        <v>386</v>
      </c>
      <c r="Q425" s="1" t="s">
        <v>387</v>
      </c>
      <c r="R425">
        <v>103</v>
      </c>
      <c r="S425" s="1" t="s">
        <v>135</v>
      </c>
      <c r="T425" s="1" t="s">
        <v>388</v>
      </c>
      <c r="U425" s="1" t="s">
        <v>135</v>
      </c>
      <c r="V425" s="1"/>
      <c r="W425" s="1"/>
      <c r="X425" s="1"/>
      <c r="Y425" s="1"/>
      <c r="AA425" s="1"/>
      <c r="AC425" s="1"/>
      <c r="AD425" s="1"/>
      <c r="AE425" s="1"/>
      <c r="AN425" s="1"/>
      <c r="AP425" s="1"/>
      <c r="AQ425" s="1"/>
      <c r="AR425" s="1"/>
      <c r="AS425" s="1"/>
      <c r="AT425" s="3"/>
      <c r="AU425" s="3"/>
      <c r="AV425" s="3"/>
      <c r="AW425" s="1"/>
      <c r="AX425" s="1"/>
      <c r="AZ425">
        <v>253</v>
      </c>
      <c r="BA425">
        <v>4654734.66</v>
      </c>
      <c r="BB425" s="1" t="s">
        <v>74</v>
      </c>
      <c r="BC425">
        <v>53</v>
      </c>
      <c r="BD425" s="1" t="s">
        <v>754</v>
      </c>
      <c r="BE425" s="1" t="s">
        <v>99</v>
      </c>
      <c r="BF425">
        <v>0</v>
      </c>
      <c r="BG425" s="1"/>
      <c r="BH425" s="1" t="s">
        <v>394</v>
      </c>
      <c r="BI425">
        <v>5700</v>
      </c>
      <c r="BJ425" s="1" t="s">
        <v>1223</v>
      </c>
      <c r="BL425" s="1"/>
      <c r="BN425" s="1"/>
      <c r="BO425">
        <v>599</v>
      </c>
      <c r="BP425">
        <v>4654734.66</v>
      </c>
      <c r="BQ425">
        <v>4654734.66</v>
      </c>
    </row>
    <row r="426" spans="1:69" x14ac:dyDescent="0.35">
      <c r="A426" s="1" t="s">
        <v>68</v>
      </c>
      <c r="B426" s="1" t="s">
        <v>69</v>
      </c>
      <c r="C426" s="1" t="s">
        <v>70</v>
      </c>
      <c r="D426">
        <v>1</v>
      </c>
      <c r="E426">
        <v>1</v>
      </c>
      <c r="F426" s="2">
        <v>43585.43</v>
      </c>
      <c r="G426" s="3">
        <v>41275</v>
      </c>
      <c r="H426" s="3">
        <v>41639</v>
      </c>
      <c r="I426" s="1" t="s">
        <v>71</v>
      </c>
      <c r="J426">
        <v>4521</v>
      </c>
      <c r="K426">
        <v>0</v>
      </c>
      <c r="L426" s="1" t="s">
        <v>384</v>
      </c>
      <c r="M426" s="1" t="s">
        <v>72</v>
      </c>
      <c r="N426" s="1" t="s">
        <v>134</v>
      </c>
      <c r="O426" s="1" t="s">
        <v>385</v>
      </c>
      <c r="P426" s="1" t="s">
        <v>386</v>
      </c>
      <c r="Q426" s="1" t="s">
        <v>387</v>
      </c>
      <c r="R426">
        <v>103</v>
      </c>
      <c r="S426" s="1" t="s">
        <v>135</v>
      </c>
      <c r="T426" s="1" t="s">
        <v>388</v>
      </c>
      <c r="U426" s="1" t="s">
        <v>135</v>
      </c>
      <c r="V426" s="1"/>
      <c r="W426" s="1"/>
      <c r="X426" s="1"/>
      <c r="Y426" s="1"/>
      <c r="AA426" s="1"/>
      <c r="AC426" s="1"/>
      <c r="AD426" s="1"/>
      <c r="AE426" s="1"/>
      <c r="AN426" s="1"/>
      <c r="AP426" s="1"/>
      <c r="AQ426" s="1"/>
      <c r="AR426" s="1"/>
      <c r="AS426" s="1"/>
      <c r="AT426" s="3"/>
      <c r="AU426" s="3"/>
      <c r="AV426" s="3"/>
      <c r="AW426" s="1"/>
      <c r="AX426" s="1"/>
      <c r="AZ426">
        <v>253</v>
      </c>
      <c r="BA426">
        <v>4654734.66</v>
      </c>
      <c r="BB426" s="1" t="s">
        <v>74</v>
      </c>
      <c r="BC426">
        <v>54</v>
      </c>
      <c r="BD426" s="1" t="s">
        <v>755</v>
      </c>
      <c r="BE426" s="1" t="s">
        <v>419</v>
      </c>
      <c r="BF426">
        <v>660</v>
      </c>
      <c r="BG426" s="1" t="s">
        <v>1224</v>
      </c>
      <c r="BH426" s="1" t="s">
        <v>99</v>
      </c>
      <c r="BI426">
        <v>0</v>
      </c>
      <c r="BJ426" s="1"/>
      <c r="BL426" s="1"/>
      <c r="BN426" s="1"/>
      <c r="BO426">
        <v>599</v>
      </c>
      <c r="BP426">
        <v>4654734.66</v>
      </c>
      <c r="BQ426">
        <v>4654734.66</v>
      </c>
    </row>
    <row r="427" spans="1:69" x14ac:dyDescent="0.35">
      <c r="A427" s="1" t="s">
        <v>68</v>
      </c>
      <c r="B427" s="1" t="s">
        <v>69</v>
      </c>
      <c r="C427" s="1" t="s">
        <v>70</v>
      </c>
      <c r="D427">
        <v>1</v>
      </c>
      <c r="E427">
        <v>1</v>
      </c>
      <c r="F427" s="2">
        <v>43585.43</v>
      </c>
      <c r="G427" s="3">
        <v>41275</v>
      </c>
      <c r="H427" s="3">
        <v>41639</v>
      </c>
      <c r="I427" s="1" t="s">
        <v>71</v>
      </c>
      <c r="J427">
        <v>4521</v>
      </c>
      <c r="K427">
        <v>0</v>
      </c>
      <c r="L427" s="1" t="s">
        <v>384</v>
      </c>
      <c r="M427" s="1" t="s">
        <v>72</v>
      </c>
      <c r="N427" s="1" t="s">
        <v>134</v>
      </c>
      <c r="O427" s="1" t="s">
        <v>385</v>
      </c>
      <c r="P427" s="1" t="s">
        <v>386</v>
      </c>
      <c r="Q427" s="1" t="s">
        <v>387</v>
      </c>
      <c r="R427">
        <v>103</v>
      </c>
      <c r="S427" s="1" t="s">
        <v>135</v>
      </c>
      <c r="T427" s="1" t="s">
        <v>388</v>
      </c>
      <c r="U427" s="1" t="s">
        <v>135</v>
      </c>
      <c r="V427" s="1"/>
      <c r="W427" s="1"/>
      <c r="X427" s="1"/>
      <c r="Y427" s="1"/>
      <c r="AA427" s="1"/>
      <c r="AC427" s="1"/>
      <c r="AD427" s="1"/>
      <c r="AE427" s="1"/>
      <c r="AN427" s="1"/>
      <c r="AP427" s="1"/>
      <c r="AQ427" s="1"/>
      <c r="AR427" s="1"/>
      <c r="AS427" s="1"/>
      <c r="AT427" s="3"/>
      <c r="AU427" s="3"/>
      <c r="AV427" s="3"/>
      <c r="AW427" s="1"/>
      <c r="AX427" s="1"/>
      <c r="AZ427">
        <v>253</v>
      </c>
      <c r="BA427">
        <v>4654734.66</v>
      </c>
      <c r="BB427" s="1" t="s">
        <v>74</v>
      </c>
      <c r="BC427">
        <v>55</v>
      </c>
      <c r="BD427" s="1" t="s">
        <v>755</v>
      </c>
      <c r="BE427" s="1" t="s">
        <v>99</v>
      </c>
      <c r="BF427">
        <v>0</v>
      </c>
      <c r="BG427" s="1"/>
      <c r="BH427" s="1" t="s">
        <v>394</v>
      </c>
      <c r="BI427">
        <v>660</v>
      </c>
      <c r="BJ427" s="1" t="s">
        <v>1224</v>
      </c>
      <c r="BL427" s="1"/>
      <c r="BN427" s="1"/>
      <c r="BO427">
        <v>599</v>
      </c>
      <c r="BP427">
        <v>4654734.66</v>
      </c>
      <c r="BQ427">
        <v>4654734.66</v>
      </c>
    </row>
    <row r="428" spans="1:69" x14ac:dyDescent="0.35">
      <c r="A428" s="1" t="s">
        <v>68</v>
      </c>
      <c r="B428" s="1" t="s">
        <v>69</v>
      </c>
      <c r="C428" s="1" t="s">
        <v>70</v>
      </c>
      <c r="D428">
        <v>1</v>
      </c>
      <c r="E428">
        <v>1</v>
      </c>
      <c r="F428" s="2">
        <v>43585.43</v>
      </c>
      <c r="G428" s="3">
        <v>41275</v>
      </c>
      <c r="H428" s="3">
        <v>41639</v>
      </c>
      <c r="I428" s="1" t="s">
        <v>71</v>
      </c>
      <c r="J428">
        <v>4521</v>
      </c>
      <c r="K428">
        <v>0</v>
      </c>
      <c r="L428" s="1" t="s">
        <v>384</v>
      </c>
      <c r="M428" s="1" t="s">
        <v>72</v>
      </c>
      <c r="N428" s="1" t="s">
        <v>134</v>
      </c>
      <c r="O428" s="1" t="s">
        <v>385</v>
      </c>
      <c r="P428" s="1" t="s">
        <v>386</v>
      </c>
      <c r="Q428" s="1" t="s">
        <v>387</v>
      </c>
      <c r="R428">
        <v>103</v>
      </c>
      <c r="S428" s="1" t="s">
        <v>135</v>
      </c>
      <c r="T428" s="1" t="s">
        <v>388</v>
      </c>
      <c r="U428" s="1" t="s">
        <v>135</v>
      </c>
      <c r="V428" s="1"/>
      <c r="W428" s="1"/>
      <c r="X428" s="1"/>
      <c r="Y428" s="1"/>
      <c r="AA428" s="1"/>
      <c r="AC428" s="1"/>
      <c r="AD428" s="1"/>
      <c r="AE428" s="1"/>
      <c r="AN428" s="1"/>
      <c r="AP428" s="1"/>
      <c r="AQ428" s="1"/>
      <c r="AR428" s="1"/>
      <c r="AS428" s="1"/>
      <c r="AT428" s="3"/>
      <c r="AU428" s="3"/>
      <c r="AV428" s="3"/>
      <c r="AW428" s="1"/>
      <c r="AX428" s="1"/>
      <c r="AZ428">
        <v>253</v>
      </c>
      <c r="BA428">
        <v>4654734.66</v>
      </c>
      <c r="BB428" s="1" t="s">
        <v>74</v>
      </c>
      <c r="BC428">
        <v>56</v>
      </c>
      <c r="BD428" s="1" t="s">
        <v>756</v>
      </c>
      <c r="BE428" s="1" t="s">
        <v>420</v>
      </c>
      <c r="BF428">
        <v>5890</v>
      </c>
      <c r="BG428" s="1" t="s">
        <v>1225</v>
      </c>
      <c r="BH428" s="1" t="s">
        <v>99</v>
      </c>
      <c r="BI428">
        <v>0</v>
      </c>
      <c r="BJ428" s="1"/>
      <c r="BL428" s="1"/>
      <c r="BN428" s="1"/>
      <c r="BO428">
        <v>599</v>
      </c>
      <c r="BP428">
        <v>4654734.66</v>
      </c>
      <c r="BQ428">
        <v>4654734.66</v>
      </c>
    </row>
    <row r="429" spans="1:69" x14ac:dyDescent="0.35">
      <c r="A429" s="1" t="s">
        <v>68</v>
      </c>
      <c r="B429" s="1" t="s">
        <v>69</v>
      </c>
      <c r="C429" s="1" t="s">
        <v>70</v>
      </c>
      <c r="D429">
        <v>1</v>
      </c>
      <c r="E429">
        <v>1</v>
      </c>
      <c r="F429" s="2">
        <v>43585.43</v>
      </c>
      <c r="G429" s="3">
        <v>41275</v>
      </c>
      <c r="H429" s="3">
        <v>41639</v>
      </c>
      <c r="I429" s="1" t="s">
        <v>71</v>
      </c>
      <c r="J429">
        <v>4521</v>
      </c>
      <c r="K429">
        <v>0</v>
      </c>
      <c r="L429" s="1" t="s">
        <v>384</v>
      </c>
      <c r="M429" s="1" t="s">
        <v>72</v>
      </c>
      <c r="N429" s="1" t="s">
        <v>134</v>
      </c>
      <c r="O429" s="1" t="s">
        <v>385</v>
      </c>
      <c r="P429" s="1" t="s">
        <v>386</v>
      </c>
      <c r="Q429" s="1" t="s">
        <v>387</v>
      </c>
      <c r="R429">
        <v>103</v>
      </c>
      <c r="S429" s="1" t="s">
        <v>135</v>
      </c>
      <c r="T429" s="1" t="s">
        <v>388</v>
      </c>
      <c r="U429" s="1" t="s">
        <v>135</v>
      </c>
      <c r="V429" s="1"/>
      <c r="W429" s="1"/>
      <c r="X429" s="1"/>
      <c r="Y429" s="1"/>
      <c r="AA429" s="1"/>
      <c r="AC429" s="1"/>
      <c r="AD429" s="1"/>
      <c r="AE429" s="1"/>
      <c r="AN429" s="1"/>
      <c r="AP429" s="1"/>
      <c r="AQ429" s="1"/>
      <c r="AR429" s="1"/>
      <c r="AS429" s="1"/>
      <c r="AT429" s="3"/>
      <c r="AU429" s="3"/>
      <c r="AV429" s="3"/>
      <c r="AW429" s="1"/>
      <c r="AX429" s="1"/>
      <c r="AZ429">
        <v>253</v>
      </c>
      <c r="BA429">
        <v>4654734.66</v>
      </c>
      <c r="BB429" s="1" t="s">
        <v>74</v>
      </c>
      <c r="BC429">
        <v>57</v>
      </c>
      <c r="BD429" s="1" t="s">
        <v>756</v>
      </c>
      <c r="BE429" s="1" t="s">
        <v>99</v>
      </c>
      <c r="BF429">
        <v>0</v>
      </c>
      <c r="BG429" s="1"/>
      <c r="BH429" s="1" t="s">
        <v>394</v>
      </c>
      <c r="BI429">
        <v>5890</v>
      </c>
      <c r="BJ429" s="1" t="s">
        <v>1225</v>
      </c>
      <c r="BL429" s="1"/>
      <c r="BN429" s="1"/>
      <c r="BO429">
        <v>599</v>
      </c>
      <c r="BP429">
        <v>4654734.66</v>
      </c>
      <c r="BQ429">
        <v>4654734.66</v>
      </c>
    </row>
    <row r="430" spans="1:69" x14ac:dyDescent="0.35">
      <c r="A430" s="1" t="s">
        <v>68</v>
      </c>
      <c r="B430" s="1" t="s">
        <v>69</v>
      </c>
      <c r="C430" s="1" t="s">
        <v>70</v>
      </c>
      <c r="D430">
        <v>1</v>
      </c>
      <c r="E430">
        <v>1</v>
      </c>
      <c r="F430" s="2">
        <v>43585.43</v>
      </c>
      <c r="G430" s="3">
        <v>41275</v>
      </c>
      <c r="H430" s="3">
        <v>41639</v>
      </c>
      <c r="I430" s="1" t="s">
        <v>71</v>
      </c>
      <c r="J430">
        <v>4521</v>
      </c>
      <c r="K430">
        <v>0</v>
      </c>
      <c r="L430" s="1" t="s">
        <v>384</v>
      </c>
      <c r="M430" s="1" t="s">
        <v>72</v>
      </c>
      <c r="N430" s="1" t="s">
        <v>134</v>
      </c>
      <c r="O430" s="1" t="s">
        <v>385</v>
      </c>
      <c r="P430" s="1" t="s">
        <v>386</v>
      </c>
      <c r="Q430" s="1" t="s">
        <v>387</v>
      </c>
      <c r="R430">
        <v>103</v>
      </c>
      <c r="S430" s="1" t="s">
        <v>135</v>
      </c>
      <c r="T430" s="1" t="s">
        <v>388</v>
      </c>
      <c r="U430" s="1" t="s">
        <v>135</v>
      </c>
      <c r="V430" s="1"/>
      <c r="W430" s="1"/>
      <c r="X430" s="1"/>
      <c r="Y430" s="1"/>
      <c r="AA430" s="1"/>
      <c r="AC430" s="1"/>
      <c r="AD430" s="1"/>
      <c r="AE430" s="1"/>
      <c r="AN430" s="1"/>
      <c r="AP430" s="1"/>
      <c r="AQ430" s="1"/>
      <c r="AR430" s="1"/>
      <c r="AS430" s="1"/>
      <c r="AT430" s="3"/>
      <c r="AU430" s="3"/>
      <c r="AV430" s="3"/>
      <c r="AW430" s="1"/>
      <c r="AX430" s="1"/>
      <c r="AZ430">
        <v>253</v>
      </c>
      <c r="BA430">
        <v>4654734.66</v>
      </c>
      <c r="BB430" s="1" t="s">
        <v>74</v>
      </c>
      <c r="BC430">
        <v>58</v>
      </c>
      <c r="BD430" s="1" t="s">
        <v>757</v>
      </c>
      <c r="BE430" s="1" t="s">
        <v>474</v>
      </c>
      <c r="BF430">
        <v>50</v>
      </c>
      <c r="BG430" s="1" t="s">
        <v>1226</v>
      </c>
      <c r="BH430" s="1" t="s">
        <v>99</v>
      </c>
      <c r="BI430">
        <v>0</v>
      </c>
      <c r="BJ430" s="1"/>
      <c r="BL430" s="1"/>
      <c r="BN430" s="1"/>
      <c r="BO430">
        <v>599</v>
      </c>
      <c r="BP430">
        <v>4654734.66</v>
      </c>
      <c r="BQ430">
        <v>4654734.66</v>
      </c>
    </row>
    <row r="431" spans="1:69" x14ac:dyDescent="0.35">
      <c r="A431" s="1" t="s">
        <v>68</v>
      </c>
      <c r="B431" s="1" t="s">
        <v>69</v>
      </c>
      <c r="C431" s="1" t="s">
        <v>70</v>
      </c>
      <c r="D431">
        <v>1</v>
      </c>
      <c r="E431">
        <v>1</v>
      </c>
      <c r="F431" s="2">
        <v>43585.43</v>
      </c>
      <c r="G431" s="3">
        <v>41275</v>
      </c>
      <c r="H431" s="3">
        <v>41639</v>
      </c>
      <c r="I431" s="1" t="s">
        <v>71</v>
      </c>
      <c r="J431">
        <v>4521</v>
      </c>
      <c r="K431">
        <v>0</v>
      </c>
      <c r="L431" s="1" t="s">
        <v>384</v>
      </c>
      <c r="M431" s="1" t="s">
        <v>72</v>
      </c>
      <c r="N431" s="1" t="s">
        <v>134</v>
      </c>
      <c r="O431" s="1" t="s">
        <v>385</v>
      </c>
      <c r="P431" s="1" t="s">
        <v>386</v>
      </c>
      <c r="Q431" s="1" t="s">
        <v>387</v>
      </c>
      <c r="R431">
        <v>103</v>
      </c>
      <c r="S431" s="1" t="s">
        <v>135</v>
      </c>
      <c r="T431" s="1" t="s">
        <v>388</v>
      </c>
      <c r="U431" s="1" t="s">
        <v>135</v>
      </c>
      <c r="V431" s="1"/>
      <c r="W431" s="1"/>
      <c r="X431" s="1"/>
      <c r="Y431" s="1"/>
      <c r="AA431" s="1"/>
      <c r="AC431" s="1"/>
      <c r="AD431" s="1"/>
      <c r="AE431" s="1"/>
      <c r="AN431" s="1"/>
      <c r="AP431" s="1"/>
      <c r="AQ431" s="1"/>
      <c r="AR431" s="1"/>
      <c r="AS431" s="1"/>
      <c r="AT431" s="3"/>
      <c r="AU431" s="3"/>
      <c r="AV431" s="3"/>
      <c r="AW431" s="1"/>
      <c r="AX431" s="1"/>
      <c r="AZ431">
        <v>253</v>
      </c>
      <c r="BA431">
        <v>4654734.66</v>
      </c>
      <c r="BB431" s="1" t="s">
        <v>74</v>
      </c>
      <c r="BC431">
        <v>59</v>
      </c>
      <c r="BD431" s="1" t="s">
        <v>757</v>
      </c>
      <c r="BE431" s="1" t="s">
        <v>99</v>
      </c>
      <c r="BF431">
        <v>0</v>
      </c>
      <c r="BG431" s="1"/>
      <c r="BH431" s="1" t="s">
        <v>396</v>
      </c>
      <c r="BI431">
        <v>50</v>
      </c>
      <c r="BJ431" s="1" t="s">
        <v>1226</v>
      </c>
      <c r="BL431" s="1"/>
      <c r="BN431" s="1"/>
      <c r="BO431">
        <v>599</v>
      </c>
      <c r="BP431">
        <v>4654734.66</v>
      </c>
      <c r="BQ431">
        <v>4654734.66</v>
      </c>
    </row>
    <row r="432" spans="1:69" x14ac:dyDescent="0.35">
      <c r="A432" s="1" t="s">
        <v>68</v>
      </c>
      <c r="B432" s="1" t="s">
        <v>69</v>
      </c>
      <c r="C432" s="1" t="s">
        <v>70</v>
      </c>
      <c r="D432">
        <v>1</v>
      </c>
      <c r="E432">
        <v>1</v>
      </c>
      <c r="F432" s="2">
        <v>43585.43</v>
      </c>
      <c r="G432" s="3">
        <v>41275</v>
      </c>
      <c r="H432" s="3">
        <v>41639</v>
      </c>
      <c r="I432" s="1" t="s">
        <v>71</v>
      </c>
      <c r="J432">
        <v>4521</v>
      </c>
      <c r="K432">
        <v>0</v>
      </c>
      <c r="L432" s="1" t="s">
        <v>384</v>
      </c>
      <c r="M432" s="1" t="s">
        <v>72</v>
      </c>
      <c r="N432" s="1" t="s">
        <v>134</v>
      </c>
      <c r="O432" s="1" t="s">
        <v>385</v>
      </c>
      <c r="P432" s="1" t="s">
        <v>386</v>
      </c>
      <c r="Q432" s="1" t="s">
        <v>387</v>
      </c>
      <c r="R432">
        <v>103</v>
      </c>
      <c r="S432" s="1" t="s">
        <v>135</v>
      </c>
      <c r="T432" s="1" t="s">
        <v>388</v>
      </c>
      <c r="U432" s="1" t="s">
        <v>135</v>
      </c>
      <c r="V432" s="1"/>
      <c r="W432" s="1"/>
      <c r="X432" s="1"/>
      <c r="Y432" s="1"/>
      <c r="AA432" s="1"/>
      <c r="AC432" s="1"/>
      <c r="AD432" s="1"/>
      <c r="AE432" s="1"/>
      <c r="AN432" s="1"/>
      <c r="AP432" s="1"/>
      <c r="AQ432" s="1"/>
      <c r="AR432" s="1"/>
      <c r="AS432" s="1"/>
      <c r="AT432" s="3"/>
      <c r="AU432" s="3"/>
      <c r="AV432" s="3"/>
      <c r="AW432" s="1"/>
      <c r="AX432" s="1"/>
      <c r="AZ432">
        <v>253</v>
      </c>
      <c r="BA432">
        <v>4654734.66</v>
      </c>
      <c r="BB432" s="1" t="s">
        <v>74</v>
      </c>
      <c r="BC432">
        <v>60</v>
      </c>
      <c r="BD432" s="1" t="s">
        <v>758</v>
      </c>
      <c r="BE432" s="1" t="s">
        <v>482</v>
      </c>
      <c r="BF432">
        <v>50</v>
      </c>
      <c r="BG432" s="1" t="s">
        <v>1226</v>
      </c>
      <c r="BH432" s="1" t="s">
        <v>99</v>
      </c>
      <c r="BI432">
        <v>0</v>
      </c>
      <c r="BJ432" s="1"/>
      <c r="BL432" s="1"/>
      <c r="BN432" s="1"/>
      <c r="BO432">
        <v>599</v>
      </c>
      <c r="BP432">
        <v>4654734.66</v>
      </c>
      <c r="BQ432">
        <v>4654734.66</v>
      </c>
    </row>
    <row r="433" spans="1:69" x14ac:dyDescent="0.35">
      <c r="A433" s="1" t="s">
        <v>68</v>
      </c>
      <c r="B433" s="1" t="s">
        <v>69</v>
      </c>
      <c r="C433" s="1" t="s">
        <v>70</v>
      </c>
      <c r="D433">
        <v>1</v>
      </c>
      <c r="E433">
        <v>1</v>
      </c>
      <c r="F433" s="2">
        <v>43585.43</v>
      </c>
      <c r="G433" s="3">
        <v>41275</v>
      </c>
      <c r="H433" s="3">
        <v>41639</v>
      </c>
      <c r="I433" s="1" t="s">
        <v>71</v>
      </c>
      <c r="J433">
        <v>4521</v>
      </c>
      <c r="K433">
        <v>0</v>
      </c>
      <c r="L433" s="1" t="s">
        <v>384</v>
      </c>
      <c r="M433" s="1" t="s">
        <v>72</v>
      </c>
      <c r="N433" s="1" t="s">
        <v>134</v>
      </c>
      <c r="O433" s="1" t="s">
        <v>385</v>
      </c>
      <c r="P433" s="1" t="s">
        <v>386</v>
      </c>
      <c r="Q433" s="1" t="s">
        <v>387</v>
      </c>
      <c r="R433">
        <v>103</v>
      </c>
      <c r="S433" s="1" t="s">
        <v>135</v>
      </c>
      <c r="T433" s="1" t="s">
        <v>388</v>
      </c>
      <c r="U433" s="1" t="s">
        <v>135</v>
      </c>
      <c r="V433" s="1"/>
      <c r="W433" s="1"/>
      <c r="X433" s="1"/>
      <c r="Y433" s="1"/>
      <c r="AA433" s="1"/>
      <c r="AC433" s="1"/>
      <c r="AD433" s="1"/>
      <c r="AE433" s="1"/>
      <c r="AN433" s="1"/>
      <c r="AP433" s="1"/>
      <c r="AQ433" s="1"/>
      <c r="AR433" s="1"/>
      <c r="AS433" s="1"/>
      <c r="AT433" s="3"/>
      <c r="AU433" s="3"/>
      <c r="AV433" s="3"/>
      <c r="AW433" s="1"/>
      <c r="AX433" s="1"/>
      <c r="AZ433">
        <v>253</v>
      </c>
      <c r="BA433">
        <v>4654734.66</v>
      </c>
      <c r="BB433" s="1" t="s">
        <v>74</v>
      </c>
      <c r="BC433">
        <v>61</v>
      </c>
      <c r="BD433" s="1" t="s">
        <v>758</v>
      </c>
      <c r="BE433" s="1" t="s">
        <v>99</v>
      </c>
      <c r="BF433">
        <v>0</v>
      </c>
      <c r="BG433" s="1"/>
      <c r="BH433" s="1" t="s">
        <v>136</v>
      </c>
      <c r="BI433">
        <v>50</v>
      </c>
      <c r="BJ433" s="1" t="s">
        <v>1226</v>
      </c>
      <c r="BL433" s="1"/>
      <c r="BN433" s="1"/>
      <c r="BO433">
        <v>599</v>
      </c>
      <c r="BP433">
        <v>4654734.66</v>
      </c>
      <c r="BQ433">
        <v>4654734.66</v>
      </c>
    </row>
    <row r="434" spans="1:69" x14ac:dyDescent="0.35">
      <c r="A434" s="1" t="s">
        <v>68</v>
      </c>
      <c r="B434" s="1" t="s">
        <v>69</v>
      </c>
      <c r="C434" s="1" t="s">
        <v>70</v>
      </c>
      <c r="D434">
        <v>1</v>
      </c>
      <c r="E434">
        <v>1</v>
      </c>
      <c r="F434" s="2">
        <v>43585.43</v>
      </c>
      <c r="G434" s="3">
        <v>41275</v>
      </c>
      <c r="H434" s="3">
        <v>41639</v>
      </c>
      <c r="I434" s="1" t="s">
        <v>71</v>
      </c>
      <c r="J434">
        <v>4521</v>
      </c>
      <c r="K434">
        <v>0</v>
      </c>
      <c r="L434" s="1" t="s">
        <v>384</v>
      </c>
      <c r="M434" s="1" t="s">
        <v>72</v>
      </c>
      <c r="N434" s="1" t="s">
        <v>134</v>
      </c>
      <c r="O434" s="1" t="s">
        <v>385</v>
      </c>
      <c r="P434" s="1" t="s">
        <v>386</v>
      </c>
      <c r="Q434" s="1" t="s">
        <v>387</v>
      </c>
      <c r="R434">
        <v>103</v>
      </c>
      <c r="S434" s="1" t="s">
        <v>135</v>
      </c>
      <c r="T434" s="1" t="s">
        <v>388</v>
      </c>
      <c r="U434" s="1" t="s">
        <v>135</v>
      </c>
      <c r="V434" s="1"/>
      <c r="W434" s="1"/>
      <c r="X434" s="1"/>
      <c r="Y434" s="1"/>
      <c r="AA434" s="1"/>
      <c r="AC434" s="1"/>
      <c r="AD434" s="1"/>
      <c r="AE434" s="1"/>
      <c r="AN434" s="1"/>
      <c r="AP434" s="1"/>
      <c r="AQ434" s="1"/>
      <c r="AR434" s="1"/>
      <c r="AS434" s="1"/>
      <c r="AT434" s="3"/>
      <c r="AU434" s="3"/>
      <c r="AV434" s="3"/>
      <c r="AW434" s="1"/>
      <c r="AX434" s="1"/>
      <c r="AZ434">
        <v>253</v>
      </c>
      <c r="BA434">
        <v>4654734.66</v>
      </c>
      <c r="BB434" s="1" t="s">
        <v>74</v>
      </c>
      <c r="BC434">
        <v>62</v>
      </c>
      <c r="BD434" s="1" t="s">
        <v>759</v>
      </c>
      <c r="BE434" s="1" t="s">
        <v>409</v>
      </c>
      <c r="BF434">
        <v>12</v>
      </c>
      <c r="BG434" s="1" t="s">
        <v>989</v>
      </c>
      <c r="BH434" s="1" t="s">
        <v>99</v>
      </c>
      <c r="BI434">
        <v>0</v>
      </c>
      <c r="BJ434" s="1"/>
      <c r="BL434" s="1"/>
      <c r="BN434" s="1"/>
      <c r="BO434">
        <v>599</v>
      </c>
      <c r="BP434">
        <v>4654734.66</v>
      </c>
      <c r="BQ434">
        <v>4654734.66</v>
      </c>
    </row>
    <row r="435" spans="1:69" x14ac:dyDescent="0.35">
      <c r="A435" s="1" t="s">
        <v>68</v>
      </c>
      <c r="B435" s="1" t="s">
        <v>69</v>
      </c>
      <c r="C435" s="1" t="s">
        <v>70</v>
      </c>
      <c r="D435">
        <v>1</v>
      </c>
      <c r="E435">
        <v>1</v>
      </c>
      <c r="F435" s="2">
        <v>43585.43</v>
      </c>
      <c r="G435" s="3">
        <v>41275</v>
      </c>
      <c r="H435" s="3">
        <v>41639</v>
      </c>
      <c r="I435" s="1" t="s">
        <v>71</v>
      </c>
      <c r="J435">
        <v>4521</v>
      </c>
      <c r="K435">
        <v>0</v>
      </c>
      <c r="L435" s="1" t="s">
        <v>384</v>
      </c>
      <c r="M435" s="1" t="s">
        <v>72</v>
      </c>
      <c r="N435" s="1" t="s">
        <v>134</v>
      </c>
      <c r="O435" s="1" t="s">
        <v>385</v>
      </c>
      <c r="P435" s="1" t="s">
        <v>386</v>
      </c>
      <c r="Q435" s="1" t="s">
        <v>387</v>
      </c>
      <c r="R435">
        <v>103</v>
      </c>
      <c r="S435" s="1" t="s">
        <v>135</v>
      </c>
      <c r="T435" s="1" t="s">
        <v>388</v>
      </c>
      <c r="U435" s="1" t="s">
        <v>135</v>
      </c>
      <c r="V435" s="1"/>
      <c r="W435" s="1"/>
      <c r="X435" s="1"/>
      <c r="Y435" s="1"/>
      <c r="AA435" s="1"/>
      <c r="AC435" s="1"/>
      <c r="AD435" s="1"/>
      <c r="AE435" s="1"/>
      <c r="AN435" s="1"/>
      <c r="AP435" s="1"/>
      <c r="AQ435" s="1"/>
      <c r="AR435" s="1"/>
      <c r="AS435" s="1"/>
      <c r="AT435" s="3"/>
      <c r="AU435" s="3"/>
      <c r="AV435" s="3"/>
      <c r="AW435" s="1"/>
      <c r="AX435" s="1"/>
      <c r="AZ435">
        <v>253</v>
      </c>
      <c r="BA435">
        <v>4654734.66</v>
      </c>
      <c r="BB435" s="1" t="s">
        <v>74</v>
      </c>
      <c r="BC435">
        <v>63</v>
      </c>
      <c r="BD435" s="1" t="s">
        <v>759</v>
      </c>
      <c r="BE435" s="1" t="s">
        <v>99</v>
      </c>
      <c r="BF435">
        <v>0</v>
      </c>
      <c r="BG435" s="1"/>
      <c r="BH435" s="1" t="s">
        <v>489</v>
      </c>
      <c r="BI435">
        <v>12</v>
      </c>
      <c r="BJ435" s="1" t="s">
        <v>989</v>
      </c>
      <c r="BL435" s="1"/>
      <c r="BN435" s="1"/>
      <c r="BO435">
        <v>599</v>
      </c>
      <c r="BP435">
        <v>4654734.66</v>
      </c>
      <c r="BQ435">
        <v>4654734.66</v>
      </c>
    </row>
    <row r="436" spans="1:69" x14ac:dyDescent="0.35">
      <c r="A436" s="1" t="s">
        <v>68</v>
      </c>
      <c r="B436" s="1" t="s">
        <v>69</v>
      </c>
      <c r="C436" s="1" t="s">
        <v>70</v>
      </c>
      <c r="D436">
        <v>1</v>
      </c>
      <c r="E436">
        <v>1</v>
      </c>
      <c r="F436" s="2">
        <v>43585.43</v>
      </c>
      <c r="G436" s="3">
        <v>41275</v>
      </c>
      <c r="H436" s="3">
        <v>41639</v>
      </c>
      <c r="I436" s="1" t="s">
        <v>71</v>
      </c>
      <c r="J436">
        <v>4521</v>
      </c>
      <c r="K436">
        <v>0</v>
      </c>
      <c r="L436" s="1" t="s">
        <v>384</v>
      </c>
      <c r="M436" s="1" t="s">
        <v>72</v>
      </c>
      <c r="N436" s="1" t="s">
        <v>134</v>
      </c>
      <c r="O436" s="1" t="s">
        <v>385</v>
      </c>
      <c r="P436" s="1" t="s">
        <v>386</v>
      </c>
      <c r="Q436" s="1" t="s">
        <v>387</v>
      </c>
      <c r="R436">
        <v>103</v>
      </c>
      <c r="S436" s="1" t="s">
        <v>135</v>
      </c>
      <c r="T436" s="1" t="s">
        <v>388</v>
      </c>
      <c r="U436" s="1" t="s">
        <v>135</v>
      </c>
      <c r="V436" s="1"/>
      <c r="W436" s="1"/>
      <c r="X436" s="1"/>
      <c r="Y436" s="1"/>
      <c r="AA436" s="1"/>
      <c r="AC436" s="1"/>
      <c r="AD436" s="1"/>
      <c r="AE436" s="1"/>
      <c r="AN436" s="1"/>
      <c r="AP436" s="1"/>
      <c r="AQ436" s="1"/>
      <c r="AR436" s="1"/>
      <c r="AS436" s="1"/>
      <c r="AT436" s="3"/>
      <c r="AU436" s="3"/>
      <c r="AV436" s="3"/>
      <c r="AW436" s="1"/>
      <c r="AX436" s="1"/>
      <c r="AZ436">
        <v>253</v>
      </c>
      <c r="BA436">
        <v>4654734.66</v>
      </c>
      <c r="BB436" s="1" t="s">
        <v>74</v>
      </c>
      <c r="BC436">
        <v>64</v>
      </c>
      <c r="BD436" s="1" t="s">
        <v>760</v>
      </c>
      <c r="BE436" s="1" t="s">
        <v>445</v>
      </c>
      <c r="BF436">
        <v>5836.91</v>
      </c>
      <c r="BG436" s="1" t="s">
        <v>991</v>
      </c>
      <c r="BH436" s="1" t="s">
        <v>99</v>
      </c>
      <c r="BI436">
        <v>0</v>
      </c>
      <c r="BJ436" s="1"/>
      <c r="BL436" s="1"/>
      <c r="BN436" s="1"/>
      <c r="BO436">
        <v>599</v>
      </c>
      <c r="BP436">
        <v>4654734.66</v>
      </c>
      <c r="BQ436">
        <v>4654734.66</v>
      </c>
    </row>
    <row r="437" spans="1:69" x14ac:dyDescent="0.35">
      <c r="A437" s="1" t="s">
        <v>68</v>
      </c>
      <c r="B437" s="1" t="s">
        <v>69</v>
      </c>
      <c r="C437" s="1" t="s">
        <v>70</v>
      </c>
      <c r="D437">
        <v>1</v>
      </c>
      <c r="E437">
        <v>1</v>
      </c>
      <c r="F437" s="2">
        <v>43585.43</v>
      </c>
      <c r="G437" s="3">
        <v>41275</v>
      </c>
      <c r="H437" s="3">
        <v>41639</v>
      </c>
      <c r="I437" s="1" t="s">
        <v>71</v>
      </c>
      <c r="J437">
        <v>4521</v>
      </c>
      <c r="K437">
        <v>0</v>
      </c>
      <c r="L437" s="1" t="s">
        <v>384</v>
      </c>
      <c r="M437" s="1" t="s">
        <v>72</v>
      </c>
      <c r="N437" s="1" t="s">
        <v>134</v>
      </c>
      <c r="O437" s="1" t="s">
        <v>385</v>
      </c>
      <c r="P437" s="1" t="s">
        <v>386</v>
      </c>
      <c r="Q437" s="1" t="s">
        <v>387</v>
      </c>
      <c r="R437">
        <v>103</v>
      </c>
      <c r="S437" s="1" t="s">
        <v>135</v>
      </c>
      <c r="T437" s="1" t="s">
        <v>388</v>
      </c>
      <c r="U437" s="1" t="s">
        <v>135</v>
      </c>
      <c r="V437" s="1"/>
      <c r="W437" s="1"/>
      <c r="X437" s="1"/>
      <c r="Y437" s="1"/>
      <c r="AA437" s="1"/>
      <c r="AC437" s="1"/>
      <c r="AD437" s="1"/>
      <c r="AE437" s="1"/>
      <c r="AN437" s="1"/>
      <c r="AP437" s="1"/>
      <c r="AQ437" s="1"/>
      <c r="AR437" s="1"/>
      <c r="AS437" s="1"/>
      <c r="AT437" s="3"/>
      <c r="AU437" s="3"/>
      <c r="AV437" s="3"/>
      <c r="AW437" s="1"/>
      <c r="AX437" s="1"/>
      <c r="AZ437">
        <v>253</v>
      </c>
      <c r="BA437">
        <v>4654734.66</v>
      </c>
      <c r="BB437" s="1" t="s">
        <v>74</v>
      </c>
      <c r="BC437">
        <v>65</v>
      </c>
      <c r="BD437" s="1" t="s">
        <v>760</v>
      </c>
      <c r="BE437" s="1" t="s">
        <v>99</v>
      </c>
      <c r="BF437">
        <v>0</v>
      </c>
      <c r="BG437" s="1"/>
      <c r="BH437" s="1" t="s">
        <v>489</v>
      </c>
      <c r="BI437">
        <v>5836.91</v>
      </c>
      <c r="BJ437" s="1" t="s">
        <v>991</v>
      </c>
      <c r="BL437" s="1"/>
      <c r="BN437" s="1"/>
      <c r="BO437">
        <v>599</v>
      </c>
      <c r="BP437">
        <v>4654734.66</v>
      </c>
      <c r="BQ437">
        <v>4654734.66</v>
      </c>
    </row>
    <row r="438" spans="1:69" x14ac:dyDescent="0.35">
      <c r="A438" s="1" t="s">
        <v>68</v>
      </c>
      <c r="B438" s="1" t="s">
        <v>69</v>
      </c>
      <c r="C438" s="1" t="s">
        <v>70</v>
      </c>
      <c r="D438">
        <v>1</v>
      </c>
      <c r="E438">
        <v>1</v>
      </c>
      <c r="F438" s="2">
        <v>43585.43</v>
      </c>
      <c r="G438" s="3">
        <v>41275</v>
      </c>
      <c r="H438" s="3">
        <v>41639</v>
      </c>
      <c r="I438" s="1" t="s">
        <v>71</v>
      </c>
      <c r="J438">
        <v>4521</v>
      </c>
      <c r="K438">
        <v>0</v>
      </c>
      <c r="L438" s="1" t="s">
        <v>384</v>
      </c>
      <c r="M438" s="1" t="s">
        <v>72</v>
      </c>
      <c r="N438" s="1" t="s">
        <v>134</v>
      </c>
      <c r="O438" s="1" t="s">
        <v>385</v>
      </c>
      <c r="P438" s="1" t="s">
        <v>386</v>
      </c>
      <c r="Q438" s="1" t="s">
        <v>387</v>
      </c>
      <c r="R438">
        <v>103</v>
      </c>
      <c r="S438" s="1" t="s">
        <v>135</v>
      </c>
      <c r="T438" s="1" t="s">
        <v>388</v>
      </c>
      <c r="U438" s="1" t="s">
        <v>135</v>
      </c>
      <c r="V438" s="1"/>
      <c r="W438" s="1"/>
      <c r="X438" s="1"/>
      <c r="Y438" s="1"/>
      <c r="AA438" s="1"/>
      <c r="AC438" s="1"/>
      <c r="AD438" s="1"/>
      <c r="AE438" s="1"/>
      <c r="AN438" s="1"/>
      <c r="AP438" s="1"/>
      <c r="AQ438" s="1"/>
      <c r="AR438" s="1"/>
      <c r="AS438" s="1"/>
      <c r="AT438" s="3"/>
      <c r="AU438" s="3"/>
      <c r="AV438" s="3"/>
      <c r="AW438" s="1"/>
      <c r="AX438" s="1"/>
      <c r="AZ438">
        <v>253</v>
      </c>
      <c r="BA438">
        <v>4654734.66</v>
      </c>
      <c r="BB438" s="1" t="s">
        <v>74</v>
      </c>
      <c r="BC438">
        <v>66</v>
      </c>
      <c r="BD438" s="1" t="s">
        <v>761</v>
      </c>
      <c r="BE438" s="1" t="s">
        <v>403</v>
      </c>
      <c r="BF438">
        <v>20.95</v>
      </c>
      <c r="BG438" s="1" t="s">
        <v>992</v>
      </c>
      <c r="BH438" s="1" t="s">
        <v>99</v>
      </c>
      <c r="BI438">
        <v>0</v>
      </c>
      <c r="BJ438" s="1"/>
      <c r="BL438" s="1"/>
      <c r="BN438" s="1"/>
      <c r="BO438">
        <v>599</v>
      </c>
      <c r="BP438">
        <v>4654734.66</v>
      </c>
      <c r="BQ438">
        <v>4654734.66</v>
      </c>
    </row>
    <row r="439" spans="1:69" x14ac:dyDescent="0.35">
      <c r="A439" s="1" t="s">
        <v>68</v>
      </c>
      <c r="B439" s="1" t="s">
        <v>69</v>
      </c>
      <c r="C439" s="1" t="s">
        <v>70</v>
      </c>
      <c r="D439">
        <v>1</v>
      </c>
      <c r="E439">
        <v>1</v>
      </c>
      <c r="F439" s="2">
        <v>43585.43</v>
      </c>
      <c r="G439" s="3">
        <v>41275</v>
      </c>
      <c r="H439" s="3">
        <v>41639</v>
      </c>
      <c r="I439" s="1" t="s">
        <v>71</v>
      </c>
      <c r="J439">
        <v>4521</v>
      </c>
      <c r="K439">
        <v>0</v>
      </c>
      <c r="L439" s="1" t="s">
        <v>384</v>
      </c>
      <c r="M439" s="1" t="s">
        <v>72</v>
      </c>
      <c r="N439" s="1" t="s">
        <v>134</v>
      </c>
      <c r="O439" s="1" t="s">
        <v>385</v>
      </c>
      <c r="P439" s="1" t="s">
        <v>386</v>
      </c>
      <c r="Q439" s="1" t="s">
        <v>387</v>
      </c>
      <c r="R439">
        <v>103</v>
      </c>
      <c r="S439" s="1" t="s">
        <v>135</v>
      </c>
      <c r="T439" s="1" t="s">
        <v>388</v>
      </c>
      <c r="U439" s="1" t="s">
        <v>135</v>
      </c>
      <c r="V439" s="1"/>
      <c r="W439" s="1"/>
      <c r="X439" s="1"/>
      <c r="Y439" s="1"/>
      <c r="AA439" s="1"/>
      <c r="AC439" s="1"/>
      <c r="AD439" s="1"/>
      <c r="AE439" s="1"/>
      <c r="AN439" s="1"/>
      <c r="AP439" s="1"/>
      <c r="AQ439" s="1"/>
      <c r="AR439" s="1"/>
      <c r="AS439" s="1"/>
      <c r="AT439" s="3"/>
      <c r="AU439" s="3"/>
      <c r="AV439" s="3"/>
      <c r="AW439" s="1"/>
      <c r="AX439" s="1"/>
      <c r="AZ439">
        <v>253</v>
      </c>
      <c r="BA439">
        <v>4654734.66</v>
      </c>
      <c r="BB439" s="1" t="s">
        <v>74</v>
      </c>
      <c r="BC439">
        <v>67</v>
      </c>
      <c r="BD439" s="1" t="s">
        <v>761</v>
      </c>
      <c r="BE439" s="1" t="s">
        <v>99</v>
      </c>
      <c r="BF439">
        <v>0</v>
      </c>
      <c r="BG439" s="1"/>
      <c r="BH439" s="1" t="s">
        <v>392</v>
      </c>
      <c r="BI439">
        <v>20.95</v>
      </c>
      <c r="BJ439" s="1" t="s">
        <v>992</v>
      </c>
      <c r="BL439" s="1"/>
      <c r="BN439" s="1"/>
      <c r="BO439">
        <v>599</v>
      </c>
      <c r="BP439">
        <v>4654734.66</v>
      </c>
      <c r="BQ439">
        <v>4654734.66</v>
      </c>
    </row>
    <row r="440" spans="1:69" x14ac:dyDescent="0.35">
      <c r="A440" s="1" t="s">
        <v>68</v>
      </c>
      <c r="B440" s="1" t="s">
        <v>69</v>
      </c>
      <c r="C440" s="1" t="s">
        <v>70</v>
      </c>
      <c r="D440">
        <v>1</v>
      </c>
      <c r="E440">
        <v>1</v>
      </c>
      <c r="F440" s="2">
        <v>43585.43</v>
      </c>
      <c r="G440" s="3">
        <v>41275</v>
      </c>
      <c r="H440" s="3">
        <v>41639</v>
      </c>
      <c r="I440" s="1" t="s">
        <v>71</v>
      </c>
      <c r="J440">
        <v>4521</v>
      </c>
      <c r="K440">
        <v>0</v>
      </c>
      <c r="L440" s="1" t="s">
        <v>384</v>
      </c>
      <c r="M440" s="1" t="s">
        <v>72</v>
      </c>
      <c r="N440" s="1" t="s">
        <v>134</v>
      </c>
      <c r="O440" s="1" t="s">
        <v>385</v>
      </c>
      <c r="P440" s="1" t="s">
        <v>386</v>
      </c>
      <c r="Q440" s="1" t="s">
        <v>387</v>
      </c>
      <c r="R440">
        <v>103</v>
      </c>
      <c r="S440" s="1" t="s">
        <v>135</v>
      </c>
      <c r="T440" s="1" t="s">
        <v>388</v>
      </c>
      <c r="U440" s="1" t="s">
        <v>135</v>
      </c>
      <c r="V440" s="1"/>
      <c r="W440" s="1"/>
      <c r="X440" s="1"/>
      <c r="Y440" s="1"/>
      <c r="AA440" s="1"/>
      <c r="AC440" s="1"/>
      <c r="AD440" s="1"/>
      <c r="AE440" s="1"/>
      <c r="AN440" s="1"/>
      <c r="AP440" s="1"/>
      <c r="AQ440" s="1"/>
      <c r="AR440" s="1"/>
      <c r="AS440" s="1"/>
      <c r="AT440" s="3"/>
      <c r="AU440" s="3"/>
      <c r="AV440" s="3"/>
      <c r="AW440" s="1"/>
      <c r="AX440" s="1"/>
      <c r="AZ440">
        <v>253</v>
      </c>
      <c r="BA440">
        <v>4654734.66</v>
      </c>
      <c r="BB440" s="1" t="s">
        <v>74</v>
      </c>
      <c r="BC440">
        <v>68</v>
      </c>
      <c r="BD440" s="1" t="s">
        <v>762</v>
      </c>
      <c r="BE440" s="1" t="s">
        <v>466</v>
      </c>
      <c r="BF440">
        <v>2575.25</v>
      </c>
      <c r="BG440" s="1" t="s">
        <v>993</v>
      </c>
      <c r="BH440" s="1" t="s">
        <v>99</v>
      </c>
      <c r="BI440">
        <v>0</v>
      </c>
      <c r="BJ440" s="1"/>
      <c r="BK440">
        <v>582.29</v>
      </c>
      <c r="BL440" s="1" t="s">
        <v>1296</v>
      </c>
      <c r="BN440" s="1"/>
      <c r="BO440">
        <v>599</v>
      </c>
      <c r="BP440">
        <v>4654734.66</v>
      </c>
      <c r="BQ440">
        <v>4654734.66</v>
      </c>
    </row>
    <row r="441" spans="1:69" x14ac:dyDescent="0.35">
      <c r="A441" s="1" t="s">
        <v>68</v>
      </c>
      <c r="B441" s="1" t="s">
        <v>69</v>
      </c>
      <c r="C441" s="1" t="s">
        <v>70</v>
      </c>
      <c r="D441">
        <v>1</v>
      </c>
      <c r="E441">
        <v>1</v>
      </c>
      <c r="F441" s="2">
        <v>43585.43</v>
      </c>
      <c r="G441" s="3">
        <v>41275</v>
      </c>
      <c r="H441" s="3">
        <v>41639</v>
      </c>
      <c r="I441" s="1" t="s">
        <v>71</v>
      </c>
      <c r="J441">
        <v>4521</v>
      </c>
      <c r="K441">
        <v>0</v>
      </c>
      <c r="L441" s="1" t="s">
        <v>384</v>
      </c>
      <c r="M441" s="1" t="s">
        <v>72</v>
      </c>
      <c r="N441" s="1" t="s">
        <v>134</v>
      </c>
      <c r="O441" s="1" t="s">
        <v>385</v>
      </c>
      <c r="P441" s="1" t="s">
        <v>386</v>
      </c>
      <c r="Q441" s="1" t="s">
        <v>387</v>
      </c>
      <c r="R441">
        <v>103</v>
      </c>
      <c r="S441" s="1" t="s">
        <v>135</v>
      </c>
      <c r="T441" s="1" t="s">
        <v>388</v>
      </c>
      <c r="U441" s="1" t="s">
        <v>135</v>
      </c>
      <c r="V441" s="1"/>
      <c r="W441" s="1"/>
      <c r="X441" s="1"/>
      <c r="Y441" s="1"/>
      <c r="AA441" s="1"/>
      <c r="AC441" s="1"/>
      <c r="AD441" s="1"/>
      <c r="AE441" s="1"/>
      <c r="AN441" s="1"/>
      <c r="AP441" s="1"/>
      <c r="AQ441" s="1"/>
      <c r="AR441" s="1"/>
      <c r="AS441" s="1"/>
      <c r="AT441" s="3"/>
      <c r="AU441" s="3"/>
      <c r="AV441" s="3"/>
      <c r="AW441" s="1"/>
      <c r="AX441" s="1"/>
      <c r="AZ441">
        <v>253</v>
      </c>
      <c r="BA441">
        <v>4654734.66</v>
      </c>
      <c r="BB441" s="1" t="s">
        <v>74</v>
      </c>
      <c r="BC441">
        <v>69</v>
      </c>
      <c r="BD441" s="1" t="s">
        <v>762</v>
      </c>
      <c r="BE441" s="1" t="s">
        <v>99</v>
      </c>
      <c r="BF441">
        <v>0</v>
      </c>
      <c r="BG441" s="1"/>
      <c r="BH441" s="1" t="s">
        <v>448</v>
      </c>
      <c r="BI441">
        <v>2575.25</v>
      </c>
      <c r="BJ441" s="1" t="s">
        <v>993</v>
      </c>
      <c r="BL441" s="1"/>
      <c r="BM441">
        <v>582.29</v>
      </c>
      <c r="BN441" s="1" t="s">
        <v>1296</v>
      </c>
      <c r="BO441">
        <v>599</v>
      </c>
      <c r="BP441">
        <v>4654734.66</v>
      </c>
      <c r="BQ441">
        <v>4654734.66</v>
      </c>
    </row>
    <row r="442" spans="1:69" x14ac:dyDescent="0.35">
      <c r="A442" s="1" t="s">
        <v>68</v>
      </c>
      <c r="B442" s="1" t="s">
        <v>69</v>
      </c>
      <c r="C442" s="1" t="s">
        <v>70</v>
      </c>
      <c r="D442">
        <v>1</v>
      </c>
      <c r="E442">
        <v>1</v>
      </c>
      <c r="F442" s="2">
        <v>43585.43</v>
      </c>
      <c r="G442" s="3">
        <v>41275</v>
      </c>
      <c r="H442" s="3">
        <v>41639</v>
      </c>
      <c r="I442" s="1" t="s">
        <v>71</v>
      </c>
      <c r="J442">
        <v>4521</v>
      </c>
      <c r="K442">
        <v>0</v>
      </c>
      <c r="L442" s="1" t="s">
        <v>384</v>
      </c>
      <c r="M442" s="1" t="s">
        <v>72</v>
      </c>
      <c r="N442" s="1" t="s">
        <v>134</v>
      </c>
      <c r="O442" s="1" t="s">
        <v>385</v>
      </c>
      <c r="P442" s="1" t="s">
        <v>386</v>
      </c>
      <c r="Q442" s="1" t="s">
        <v>387</v>
      </c>
      <c r="R442">
        <v>103</v>
      </c>
      <c r="S442" s="1" t="s">
        <v>135</v>
      </c>
      <c r="T442" s="1" t="s">
        <v>388</v>
      </c>
      <c r="U442" s="1" t="s">
        <v>135</v>
      </c>
      <c r="V442" s="1"/>
      <c r="W442" s="1"/>
      <c r="X442" s="1"/>
      <c r="Y442" s="1"/>
      <c r="AA442" s="1"/>
      <c r="AC442" s="1"/>
      <c r="AD442" s="1"/>
      <c r="AE442" s="1"/>
      <c r="AN442" s="1"/>
      <c r="AP442" s="1"/>
      <c r="AQ442" s="1"/>
      <c r="AR442" s="1"/>
      <c r="AS442" s="1"/>
      <c r="AT442" s="3"/>
      <c r="AU442" s="3"/>
      <c r="AV442" s="3"/>
      <c r="AW442" s="1"/>
      <c r="AX442" s="1"/>
      <c r="AZ442">
        <v>253</v>
      </c>
      <c r="BA442">
        <v>4654734.66</v>
      </c>
      <c r="BB442" s="1" t="s">
        <v>74</v>
      </c>
      <c r="BC442">
        <v>70</v>
      </c>
      <c r="BD442" s="1" t="s">
        <v>763</v>
      </c>
      <c r="BE442" s="1" t="s">
        <v>443</v>
      </c>
      <c r="BF442">
        <v>525.21</v>
      </c>
      <c r="BG442" s="1" t="s">
        <v>994</v>
      </c>
      <c r="BH442" s="1" t="s">
        <v>99</v>
      </c>
      <c r="BI442">
        <v>0</v>
      </c>
      <c r="BJ442" s="1"/>
      <c r="BL442" s="1"/>
      <c r="BN442" s="1"/>
      <c r="BO442">
        <v>599</v>
      </c>
      <c r="BP442">
        <v>4654734.66</v>
      </c>
      <c r="BQ442">
        <v>4654734.66</v>
      </c>
    </row>
    <row r="443" spans="1:69" x14ac:dyDescent="0.35">
      <c r="A443" s="1" t="s">
        <v>68</v>
      </c>
      <c r="B443" s="1" t="s">
        <v>69</v>
      </c>
      <c r="C443" s="1" t="s">
        <v>70</v>
      </c>
      <c r="D443">
        <v>1</v>
      </c>
      <c r="E443">
        <v>1</v>
      </c>
      <c r="F443" s="2">
        <v>43585.43</v>
      </c>
      <c r="G443" s="3">
        <v>41275</v>
      </c>
      <c r="H443" s="3">
        <v>41639</v>
      </c>
      <c r="I443" s="1" t="s">
        <v>71</v>
      </c>
      <c r="J443">
        <v>4521</v>
      </c>
      <c r="K443">
        <v>0</v>
      </c>
      <c r="L443" s="1" t="s">
        <v>384</v>
      </c>
      <c r="M443" s="1" t="s">
        <v>72</v>
      </c>
      <c r="N443" s="1" t="s">
        <v>134</v>
      </c>
      <c r="O443" s="1" t="s">
        <v>385</v>
      </c>
      <c r="P443" s="1" t="s">
        <v>386</v>
      </c>
      <c r="Q443" s="1" t="s">
        <v>387</v>
      </c>
      <c r="R443">
        <v>103</v>
      </c>
      <c r="S443" s="1" t="s">
        <v>135</v>
      </c>
      <c r="T443" s="1" t="s">
        <v>388</v>
      </c>
      <c r="U443" s="1" t="s">
        <v>135</v>
      </c>
      <c r="V443" s="1"/>
      <c r="W443" s="1"/>
      <c r="X443" s="1"/>
      <c r="Y443" s="1"/>
      <c r="AA443" s="1"/>
      <c r="AC443" s="1"/>
      <c r="AD443" s="1"/>
      <c r="AE443" s="1"/>
      <c r="AN443" s="1"/>
      <c r="AP443" s="1"/>
      <c r="AQ443" s="1"/>
      <c r="AR443" s="1"/>
      <c r="AS443" s="1"/>
      <c r="AT443" s="3"/>
      <c r="AU443" s="3"/>
      <c r="AV443" s="3"/>
      <c r="AW443" s="1"/>
      <c r="AX443" s="1"/>
      <c r="AZ443">
        <v>253</v>
      </c>
      <c r="BA443">
        <v>4654734.66</v>
      </c>
      <c r="BB443" s="1" t="s">
        <v>74</v>
      </c>
      <c r="BC443">
        <v>71</v>
      </c>
      <c r="BD443" s="1" t="s">
        <v>763</v>
      </c>
      <c r="BE443" s="1" t="s">
        <v>99</v>
      </c>
      <c r="BF443">
        <v>0</v>
      </c>
      <c r="BG443" s="1"/>
      <c r="BH443" s="1" t="s">
        <v>489</v>
      </c>
      <c r="BI443">
        <v>427</v>
      </c>
      <c r="BJ443" s="1" t="s">
        <v>994</v>
      </c>
      <c r="BL443" s="1"/>
      <c r="BN443" s="1"/>
      <c r="BO443">
        <v>599</v>
      </c>
      <c r="BP443">
        <v>4654734.66</v>
      </c>
      <c r="BQ443">
        <v>4654734.66</v>
      </c>
    </row>
    <row r="444" spans="1:69" x14ac:dyDescent="0.35">
      <c r="A444" s="1" t="s">
        <v>68</v>
      </c>
      <c r="B444" s="1" t="s">
        <v>69</v>
      </c>
      <c r="C444" s="1" t="s">
        <v>70</v>
      </c>
      <c r="D444">
        <v>1</v>
      </c>
      <c r="E444">
        <v>1</v>
      </c>
      <c r="F444" s="2">
        <v>43585.43</v>
      </c>
      <c r="G444" s="3">
        <v>41275</v>
      </c>
      <c r="H444" s="3">
        <v>41639</v>
      </c>
      <c r="I444" s="1" t="s">
        <v>71</v>
      </c>
      <c r="J444">
        <v>4521</v>
      </c>
      <c r="K444">
        <v>0</v>
      </c>
      <c r="L444" s="1" t="s">
        <v>384</v>
      </c>
      <c r="M444" s="1" t="s">
        <v>72</v>
      </c>
      <c r="N444" s="1" t="s">
        <v>134</v>
      </c>
      <c r="O444" s="1" t="s">
        <v>385</v>
      </c>
      <c r="P444" s="1" t="s">
        <v>386</v>
      </c>
      <c r="Q444" s="1" t="s">
        <v>387</v>
      </c>
      <c r="R444">
        <v>103</v>
      </c>
      <c r="S444" s="1" t="s">
        <v>135</v>
      </c>
      <c r="T444" s="1" t="s">
        <v>388</v>
      </c>
      <c r="U444" s="1" t="s">
        <v>135</v>
      </c>
      <c r="V444" s="1"/>
      <c r="W444" s="1"/>
      <c r="X444" s="1"/>
      <c r="Y444" s="1"/>
      <c r="AA444" s="1"/>
      <c r="AC444" s="1"/>
      <c r="AD444" s="1"/>
      <c r="AE444" s="1"/>
      <c r="AN444" s="1"/>
      <c r="AP444" s="1"/>
      <c r="AQ444" s="1"/>
      <c r="AR444" s="1"/>
      <c r="AS444" s="1"/>
      <c r="AT444" s="3"/>
      <c r="AU444" s="3"/>
      <c r="AV444" s="3"/>
      <c r="AW444" s="1"/>
      <c r="AX444" s="1"/>
      <c r="AZ444">
        <v>253</v>
      </c>
      <c r="BA444">
        <v>4654734.66</v>
      </c>
      <c r="BB444" s="1" t="s">
        <v>74</v>
      </c>
      <c r="BC444">
        <v>72</v>
      </c>
      <c r="BD444" s="1" t="s">
        <v>763</v>
      </c>
      <c r="BE444" s="1" t="s">
        <v>99</v>
      </c>
      <c r="BF444">
        <v>0</v>
      </c>
      <c r="BG444" s="1"/>
      <c r="BH444" s="1" t="s">
        <v>451</v>
      </c>
      <c r="BI444">
        <v>98.21</v>
      </c>
      <c r="BJ444" s="1" t="s">
        <v>994</v>
      </c>
      <c r="BL444" s="1"/>
      <c r="BN444" s="1"/>
      <c r="BO444">
        <v>599</v>
      </c>
      <c r="BP444">
        <v>4654734.66</v>
      </c>
      <c r="BQ444">
        <v>4654734.66</v>
      </c>
    </row>
    <row r="445" spans="1:69" x14ac:dyDescent="0.35">
      <c r="A445" s="1" t="s">
        <v>68</v>
      </c>
      <c r="B445" s="1" t="s">
        <v>69</v>
      </c>
      <c r="C445" s="1" t="s">
        <v>70</v>
      </c>
      <c r="D445">
        <v>1</v>
      </c>
      <c r="E445">
        <v>1</v>
      </c>
      <c r="F445" s="2">
        <v>43585.43</v>
      </c>
      <c r="G445" s="3">
        <v>41275</v>
      </c>
      <c r="H445" s="3">
        <v>41639</v>
      </c>
      <c r="I445" s="1" t="s">
        <v>71</v>
      </c>
      <c r="J445">
        <v>4521</v>
      </c>
      <c r="K445">
        <v>0</v>
      </c>
      <c r="L445" s="1" t="s">
        <v>384</v>
      </c>
      <c r="M445" s="1" t="s">
        <v>72</v>
      </c>
      <c r="N445" s="1" t="s">
        <v>134</v>
      </c>
      <c r="O445" s="1" t="s">
        <v>385</v>
      </c>
      <c r="P445" s="1" t="s">
        <v>386</v>
      </c>
      <c r="Q445" s="1" t="s">
        <v>387</v>
      </c>
      <c r="R445">
        <v>103</v>
      </c>
      <c r="S445" s="1" t="s">
        <v>135</v>
      </c>
      <c r="T445" s="1" t="s">
        <v>388</v>
      </c>
      <c r="U445" s="1" t="s">
        <v>135</v>
      </c>
      <c r="V445" s="1"/>
      <c r="W445" s="1"/>
      <c r="X445" s="1"/>
      <c r="Y445" s="1"/>
      <c r="AA445" s="1"/>
      <c r="AC445" s="1"/>
      <c r="AD445" s="1"/>
      <c r="AE445" s="1"/>
      <c r="AN445" s="1"/>
      <c r="AP445" s="1"/>
      <c r="AQ445" s="1"/>
      <c r="AR445" s="1"/>
      <c r="AS445" s="1"/>
      <c r="AT445" s="3"/>
      <c r="AU445" s="3"/>
      <c r="AV445" s="3"/>
      <c r="AW445" s="1"/>
      <c r="AX445" s="1"/>
      <c r="AZ445">
        <v>253</v>
      </c>
      <c r="BA445">
        <v>4654734.66</v>
      </c>
      <c r="BB445" s="1" t="s">
        <v>74</v>
      </c>
      <c r="BC445">
        <v>73</v>
      </c>
      <c r="BD445" s="1" t="s">
        <v>764</v>
      </c>
      <c r="BE445" s="1" t="s">
        <v>416</v>
      </c>
      <c r="BF445">
        <v>200.49</v>
      </c>
      <c r="BG445" s="1" t="s">
        <v>995</v>
      </c>
      <c r="BH445" s="1" t="s">
        <v>99</v>
      </c>
      <c r="BI445">
        <v>0</v>
      </c>
      <c r="BJ445" s="1"/>
      <c r="BL445" s="1"/>
      <c r="BN445" s="1"/>
      <c r="BO445">
        <v>599</v>
      </c>
      <c r="BP445">
        <v>4654734.66</v>
      </c>
      <c r="BQ445">
        <v>4654734.66</v>
      </c>
    </row>
    <row r="446" spans="1:69" x14ac:dyDescent="0.35">
      <c r="A446" s="1" t="s">
        <v>68</v>
      </c>
      <c r="B446" s="1" t="s">
        <v>69</v>
      </c>
      <c r="C446" s="1" t="s">
        <v>70</v>
      </c>
      <c r="D446">
        <v>1</v>
      </c>
      <c r="E446">
        <v>1</v>
      </c>
      <c r="F446" s="2">
        <v>43585.43</v>
      </c>
      <c r="G446" s="3">
        <v>41275</v>
      </c>
      <c r="H446" s="3">
        <v>41639</v>
      </c>
      <c r="I446" s="1" t="s">
        <v>71</v>
      </c>
      <c r="J446">
        <v>4521</v>
      </c>
      <c r="K446">
        <v>0</v>
      </c>
      <c r="L446" s="1" t="s">
        <v>384</v>
      </c>
      <c r="M446" s="1" t="s">
        <v>72</v>
      </c>
      <c r="N446" s="1" t="s">
        <v>134</v>
      </c>
      <c r="O446" s="1" t="s">
        <v>385</v>
      </c>
      <c r="P446" s="1" t="s">
        <v>386</v>
      </c>
      <c r="Q446" s="1" t="s">
        <v>387</v>
      </c>
      <c r="R446">
        <v>103</v>
      </c>
      <c r="S446" s="1" t="s">
        <v>135</v>
      </c>
      <c r="T446" s="1" t="s">
        <v>388</v>
      </c>
      <c r="U446" s="1" t="s">
        <v>135</v>
      </c>
      <c r="V446" s="1"/>
      <c r="W446" s="1"/>
      <c r="X446" s="1"/>
      <c r="Y446" s="1"/>
      <c r="AA446" s="1"/>
      <c r="AC446" s="1"/>
      <c r="AD446" s="1"/>
      <c r="AE446" s="1"/>
      <c r="AN446" s="1"/>
      <c r="AP446" s="1"/>
      <c r="AQ446" s="1"/>
      <c r="AR446" s="1"/>
      <c r="AS446" s="1"/>
      <c r="AT446" s="3"/>
      <c r="AU446" s="3"/>
      <c r="AV446" s="3"/>
      <c r="AW446" s="1"/>
      <c r="AX446" s="1"/>
      <c r="AZ446">
        <v>253</v>
      </c>
      <c r="BA446">
        <v>4654734.66</v>
      </c>
      <c r="BB446" s="1" t="s">
        <v>74</v>
      </c>
      <c r="BC446">
        <v>74</v>
      </c>
      <c r="BD446" s="1" t="s">
        <v>764</v>
      </c>
      <c r="BE446" s="1" t="s">
        <v>99</v>
      </c>
      <c r="BF446">
        <v>0</v>
      </c>
      <c r="BG446" s="1"/>
      <c r="BH446" s="1" t="s">
        <v>489</v>
      </c>
      <c r="BI446">
        <v>163</v>
      </c>
      <c r="BJ446" s="1" t="s">
        <v>995</v>
      </c>
      <c r="BL446" s="1"/>
      <c r="BN446" s="1"/>
      <c r="BO446">
        <v>599</v>
      </c>
      <c r="BP446">
        <v>4654734.66</v>
      </c>
      <c r="BQ446">
        <v>4654734.66</v>
      </c>
    </row>
    <row r="447" spans="1:69" x14ac:dyDescent="0.35">
      <c r="A447" s="1" t="s">
        <v>68</v>
      </c>
      <c r="B447" s="1" t="s">
        <v>69</v>
      </c>
      <c r="C447" s="1" t="s">
        <v>70</v>
      </c>
      <c r="D447">
        <v>1</v>
      </c>
      <c r="E447">
        <v>1</v>
      </c>
      <c r="F447" s="2">
        <v>43585.43</v>
      </c>
      <c r="G447" s="3">
        <v>41275</v>
      </c>
      <c r="H447" s="3">
        <v>41639</v>
      </c>
      <c r="I447" s="1" t="s">
        <v>71</v>
      </c>
      <c r="J447">
        <v>4521</v>
      </c>
      <c r="K447">
        <v>0</v>
      </c>
      <c r="L447" s="1" t="s">
        <v>384</v>
      </c>
      <c r="M447" s="1" t="s">
        <v>72</v>
      </c>
      <c r="N447" s="1" t="s">
        <v>134</v>
      </c>
      <c r="O447" s="1" t="s">
        <v>385</v>
      </c>
      <c r="P447" s="1" t="s">
        <v>386</v>
      </c>
      <c r="Q447" s="1" t="s">
        <v>387</v>
      </c>
      <c r="R447">
        <v>103</v>
      </c>
      <c r="S447" s="1" t="s">
        <v>135</v>
      </c>
      <c r="T447" s="1" t="s">
        <v>388</v>
      </c>
      <c r="U447" s="1" t="s">
        <v>135</v>
      </c>
      <c r="V447" s="1"/>
      <c r="W447" s="1"/>
      <c r="X447" s="1"/>
      <c r="Y447" s="1"/>
      <c r="AA447" s="1"/>
      <c r="AC447" s="1"/>
      <c r="AD447" s="1"/>
      <c r="AE447" s="1"/>
      <c r="AN447" s="1"/>
      <c r="AP447" s="1"/>
      <c r="AQ447" s="1"/>
      <c r="AR447" s="1"/>
      <c r="AS447" s="1"/>
      <c r="AT447" s="3"/>
      <c r="AU447" s="3"/>
      <c r="AV447" s="3"/>
      <c r="AW447" s="1"/>
      <c r="AX447" s="1"/>
      <c r="AZ447">
        <v>253</v>
      </c>
      <c r="BA447">
        <v>4654734.66</v>
      </c>
      <c r="BB447" s="1" t="s">
        <v>74</v>
      </c>
      <c r="BC447">
        <v>75</v>
      </c>
      <c r="BD447" s="1" t="s">
        <v>764</v>
      </c>
      <c r="BE447" s="1" t="s">
        <v>99</v>
      </c>
      <c r="BF447">
        <v>0</v>
      </c>
      <c r="BG447" s="1"/>
      <c r="BH447" s="1" t="s">
        <v>451</v>
      </c>
      <c r="BI447">
        <v>37.49</v>
      </c>
      <c r="BJ447" s="1" t="s">
        <v>995</v>
      </c>
      <c r="BL447" s="1"/>
      <c r="BN447" s="1"/>
      <c r="BO447">
        <v>599</v>
      </c>
      <c r="BP447">
        <v>4654734.66</v>
      </c>
      <c r="BQ447">
        <v>4654734.66</v>
      </c>
    </row>
    <row r="448" spans="1:69" x14ac:dyDescent="0.35">
      <c r="A448" s="1" t="s">
        <v>68</v>
      </c>
      <c r="B448" s="1" t="s">
        <v>69</v>
      </c>
      <c r="C448" s="1" t="s">
        <v>70</v>
      </c>
      <c r="D448">
        <v>1</v>
      </c>
      <c r="E448">
        <v>1</v>
      </c>
      <c r="F448" s="2">
        <v>43585.43</v>
      </c>
      <c r="G448" s="3">
        <v>41275</v>
      </c>
      <c r="H448" s="3">
        <v>41639</v>
      </c>
      <c r="I448" s="1" t="s">
        <v>71</v>
      </c>
      <c r="J448">
        <v>4521</v>
      </c>
      <c r="K448">
        <v>0</v>
      </c>
      <c r="L448" s="1" t="s">
        <v>384</v>
      </c>
      <c r="M448" s="1" t="s">
        <v>72</v>
      </c>
      <c r="N448" s="1" t="s">
        <v>134</v>
      </c>
      <c r="O448" s="1" t="s">
        <v>385</v>
      </c>
      <c r="P448" s="1" t="s">
        <v>386</v>
      </c>
      <c r="Q448" s="1" t="s">
        <v>387</v>
      </c>
      <c r="R448">
        <v>103</v>
      </c>
      <c r="S448" s="1" t="s">
        <v>135</v>
      </c>
      <c r="T448" s="1" t="s">
        <v>388</v>
      </c>
      <c r="U448" s="1" t="s">
        <v>135</v>
      </c>
      <c r="V448" s="1"/>
      <c r="W448" s="1"/>
      <c r="X448" s="1"/>
      <c r="Y448" s="1"/>
      <c r="AA448" s="1"/>
      <c r="AC448" s="1"/>
      <c r="AD448" s="1"/>
      <c r="AE448" s="1"/>
      <c r="AN448" s="1"/>
      <c r="AP448" s="1"/>
      <c r="AQ448" s="1"/>
      <c r="AR448" s="1"/>
      <c r="AS448" s="1"/>
      <c r="AT448" s="3"/>
      <c r="AU448" s="3"/>
      <c r="AV448" s="3"/>
      <c r="AW448" s="1"/>
      <c r="AX448" s="1"/>
      <c r="AZ448">
        <v>253</v>
      </c>
      <c r="BA448">
        <v>4654734.66</v>
      </c>
      <c r="BB448" s="1" t="s">
        <v>74</v>
      </c>
      <c r="BC448">
        <v>76</v>
      </c>
      <c r="BD448" s="1" t="s">
        <v>765</v>
      </c>
      <c r="BE448" s="1" t="s">
        <v>417</v>
      </c>
      <c r="BF448">
        <v>1566.53</v>
      </c>
      <c r="BG448" s="1" t="s">
        <v>996</v>
      </c>
      <c r="BH448" s="1" t="s">
        <v>99</v>
      </c>
      <c r="BI448">
        <v>0</v>
      </c>
      <c r="BJ448" s="1"/>
      <c r="BL448" s="1"/>
      <c r="BN448" s="1"/>
      <c r="BO448">
        <v>599</v>
      </c>
      <c r="BP448">
        <v>4654734.66</v>
      </c>
      <c r="BQ448">
        <v>4654734.66</v>
      </c>
    </row>
    <row r="449" spans="1:69" x14ac:dyDescent="0.35">
      <c r="A449" s="1" t="s">
        <v>68</v>
      </c>
      <c r="B449" s="1" t="s">
        <v>69</v>
      </c>
      <c r="C449" s="1" t="s">
        <v>70</v>
      </c>
      <c r="D449">
        <v>1</v>
      </c>
      <c r="E449">
        <v>1</v>
      </c>
      <c r="F449" s="2">
        <v>43585.43</v>
      </c>
      <c r="G449" s="3">
        <v>41275</v>
      </c>
      <c r="H449" s="3">
        <v>41639</v>
      </c>
      <c r="I449" s="1" t="s">
        <v>71</v>
      </c>
      <c r="J449">
        <v>4521</v>
      </c>
      <c r="K449">
        <v>0</v>
      </c>
      <c r="L449" s="1" t="s">
        <v>384</v>
      </c>
      <c r="M449" s="1" t="s">
        <v>72</v>
      </c>
      <c r="N449" s="1" t="s">
        <v>134</v>
      </c>
      <c r="O449" s="1" t="s">
        <v>385</v>
      </c>
      <c r="P449" s="1" t="s">
        <v>386</v>
      </c>
      <c r="Q449" s="1" t="s">
        <v>387</v>
      </c>
      <c r="R449">
        <v>103</v>
      </c>
      <c r="S449" s="1" t="s">
        <v>135</v>
      </c>
      <c r="T449" s="1" t="s">
        <v>388</v>
      </c>
      <c r="U449" s="1" t="s">
        <v>135</v>
      </c>
      <c r="V449" s="1"/>
      <c r="W449" s="1"/>
      <c r="X449" s="1"/>
      <c r="Y449" s="1"/>
      <c r="AA449" s="1"/>
      <c r="AC449" s="1"/>
      <c r="AD449" s="1"/>
      <c r="AE449" s="1"/>
      <c r="AN449" s="1"/>
      <c r="AP449" s="1"/>
      <c r="AQ449" s="1"/>
      <c r="AR449" s="1"/>
      <c r="AS449" s="1"/>
      <c r="AT449" s="3"/>
      <c r="AU449" s="3"/>
      <c r="AV449" s="3"/>
      <c r="AW449" s="1"/>
      <c r="AX449" s="1"/>
      <c r="AZ449">
        <v>253</v>
      </c>
      <c r="BA449">
        <v>4654734.66</v>
      </c>
      <c r="BB449" s="1" t="s">
        <v>74</v>
      </c>
      <c r="BC449">
        <v>77</v>
      </c>
      <c r="BD449" s="1" t="s">
        <v>765</v>
      </c>
      <c r="BE449" s="1" t="s">
        <v>99</v>
      </c>
      <c r="BF449">
        <v>0</v>
      </c>
      <c r="BG449" s="1"/>
      <c r="BH449" s="1" t="s">
        <v>489</v>
      </c>
      <c r="BI449">
        <v>1273.5999999999999</v>
      </c>
      <c r="BJ449" s="1" t="s">
        <v>996</v>
      </c>
      <c r="BL449" s="1"/>
      <c r="BN449" s="1"/>
      <c r="BO449">
        <v>599</v>
      </c>
      <c r="BP449">
        <v>4654734.66</v>
      </c>
      <c r="BQ449">
        <v>4654734.66</v>
      </c>
    </row>
    <row r="450" spans="1:69" x14ac:dyDescent="0.35">
      <c r="A450" s="1" t="s">
        <v>68</v>
      </c>
      <c r="B450" s="1" t="s">
        <v>69</v>
      </c>
      <c r="C450" s="1" t="s">
        <v>70</v>
      </c>
      <c r="D450">
        <v>1</v>
      </c>
      <c r="E450">
        <v>1</v>
      </c>
      <c r="F450" s="2">
        <v>43585.43</v>
      </c>
      <c r="G450" s="3">
        <v>41275</v>
      </c>
      <c r="H450" s="3">
        <v>41639</v>
      </c>
      <c r="I450" s="1" t="s">
        <v>71</v>
      </c>
      <c r="J450">
        <v>4521</v>
      </c>
      <c r="K450">
        <v>0</v>
      </c>
      <c r="L450" s="1" t="s">
        <v>384</v>
      </c>
      <c r="M450" s="1" t="s">
        <v>72</v>
      </c>
      <c r="N450" s="1" t="s">
        <v>134</v>
      </c>
      <c r="O450" s="1" t="s">
        <v>385</v>
      </c>
      <c r="P450" s="1" t="s">
        <v>386</v>
      </c>
      <c r="Q450" s="1" t="s">
        <v>387</v>
      </c>
      <c r="R450">
        <v>103</v>
      </c>
      <c r="S450" s="1" t="s">
        <v>135</v>
      </c>
      <c r="T450" s="1" t="s">
        <v>388</v>
      </c>
      <c r="U450" s="1" t="s">
        <v>135</v>
      </c>
      <c r="V450" s="1"/>
      <c r="W450" s="1"/>
      <c r="X450" s="1"/>
      <c r="Y450" s="1"/>
      <c r="AA450" s="1"/>
      <c r="AC450" s="1"/>
      <c r="AD450" s="1"/>
      <c r="AE450" s="1"/>
      <c r="AN450" s="1"/>
      <c r="AP450" s="1"/>
      <c r="AQ450" s="1"/>
      <c r="AR450" s="1"/>
      <c r="AS450" s="1"/>
      <c r="AT450" s="3"/>
      <c r="AU450" s="3"/>
      <c r="AV450" s="3"/>
      <c r="AW450" s="1"/>
      <c r="AX450" s="1"/>
      <c r="AZ450">
        <v>253</v>
      </c>
      <c r="BA450">
        <v>4654734.66</v>
      </c>
      <c r="BB450" s="1" t="s">
        <v>74</v>
      </c>
      <c r="BC450">
        <v>78</v>
      </c>
      <c r="BD450" s="1" t="s">
        <v>765</v>
      </c>
      <c r="BE450" s="1" t="s">
        <v>99</v>
      </c>
      <c r="BF450">
        <v>0</v>
      </c>
      <c r="BG450" s="1"/>
      <c r="BH450" s="1" t="s">
        <v>451</v>
      </c>
      <c r="BI450">
        <v>292.93</v>
      </c>
      <c r="BJ450" s="1" t="s">
        <v>996</v>
      </c>
      <c r="BL450" s="1"/>
      <c r="BN450" s="1"/>
      <c r="BO450">
        <v>599</v>
      </c>
      <c r="BP450">
        <v>4654734.66</v>
      </c>
      <c r="BQ450">
        <v>4654734.66</v>
      </c>
    </row>
    <row r="451" spans="1:69" x14ac:dyDescent="0.35">
      <c r="A451" s="1" t="s">
        <v>68</v>
      </c>
      <c r="B451" s="1" t="s">
        <v>69</v>
      </c>
      <c r="C451" s="1" t="s">
        <v>70</v>
      </c>
      <c r="D451">
        <v>1</v>
      </c>
      <c r="E451">
        <v>1</v>
      </c>
      <c r="F451" s="2">
        <v>43585.43</v>
      </c>
      <c r="G451" s="3">
        <v>41275</v>
      </c>
      <c r="H451" s="3">
        <v>41639</v>
      </c>
      <c r="I451" s="1" t="s">
        <v>71</v>
      </c>
      <c r="J451">
        <v>4521</v>
      </c>
      <c r="K451">
        <v>0</v>
      </c>
      <c r="L451" s="1" t="s">
        <v>384</v>
      </c>
      <c r="M451" s="1" t="s">
        <v>72</v>
      </c>
      <c r="N451" s="1" t="s">
        <v>134</v>
      </c>
      <c r="O451" s="1" t="s">
        <v>385</v>
      </c>
      <c r="P451" s="1" t="s">
        <v>386</v>
      </c>
      <c r="Q451" s="1" t="s">
        <v>387</v>
      </c>
      <c r="R451">
        <v>103</v>
      </c>
      <c r="S451" s="1" t="s">
        <v>135</v>
      </c>
      <c r="T451" s="1" t="s">
        <v>388</v>
      </c>
      <c r="U451" s="1" t="s">
        <v>135</v>
      </c>
      <c r="V451" s="1"/>
      <c r="W451" s="1"/>
      <c r="X451" s="1"/>
      <c r="Y451" s="1"/>
      <c r="AA451" s="1"/>
      <c r="AC451" s="1"/>
      <c r="AD451" s="1"/>
      <c r="AE451" s="1"/>
      <c r="AN451" s="1"/>
      <c r="AP451" s="1"/>
      <c r="AQ451" s="1"/>
      <c r="AR451" s="1"/>
      <c r="AS451" s="1"/>
      <c r="AT451" s="3"/>
      <c r="AU451" s="3"/>
      <c r="AV451" s="3"/>
      <c r="AW451" s="1"/>
      <c r="AX451" s="1"/>
      <c r="AZ451">
        <v>253</v>
      </c>
      <c r="BA451">
        <v>4654734.66</v>
      </c>
      <c r="BB451" s="1" t="s">
        <v>74</v>
      </c>
      <c r="BC451">
        <v>79</v>
      </c>
      <c r="BD451" s="1" t="s">
        <v>766</v>
      </c>
      <c r="BE451" s="1" t="s">
        <v>471</v>
      </c>
      <c r="BF451">
        <v>4521</v>
      </c>
      <c r="BG451" s="1" t="s">
        <v>997</v>
      </c>
      <c r="BH451" s="1" t="s">
        <v>99</v>
      </c>
      <c r="BI451">
        <v>0</v>
      </c>
      <c r="BJ451" s="1"/>
      <c r="BL451" s="1"/>
      <c r="BN451" s="1"/>
      <c r="BO451">
        <v>599</v>
      </c>
      <c r="BP451">
        <v>4654734.66</v>
      </c>
      <c r="BQ451">
        <v>4654734.66</v>
      </c>
    </row>
    <row r="452" spans="1:69" x14ac:dyDescent="0.35">
      <c r="A452" s="1" t="s">
        <v>68</v>
      </c>
      <c r="B452" s="1" t="s">
        <v>69</v>
      </c>
      <c r="C452" s="1" t="s">
        <v>70</v>
      </c>
      <c r="D452">
        <v>1</v>
      </c>
      <c r="E452">
        <v>1</v>
      </c>
      <c r="F452" s="2">
        <v>43585.43</v>
      </c>
      <c r="G452" s="3">
        <v>41275</v>
      </c>
      <c r="H452" s="3">
        <v>41639</v>
      </c>
      <c r="I452" s="1" t="s">
        <v>71</v>
      </c>
      <c r="J452">
        <v>4521</v>
      </c>
      <c r="K452">
        <v>0</v>
      </c>
      <c r="L452" s="1" t="s">
        <v>384</v>
      </c>
      <c r="M452" s="1" t="s">
        <v>72</v>
      </c>
      <c r="N452" s="1" t="s">
        <v>134</v>
      </c>
      <c r="O452" s="1" t="s">
        <v>385</v>
      </c>
      <c r="P452" s="1" t="s">
        <v>386</v>
      </c>
      <c r="Q452" s="1" t="s">
        <v>387</v>
      </c>
      <c r="R452">
        <v>103</v>
      </c>
      <c r="S452" s="1" t="s">
        <v>135</v>
      </c>
      <c r="T452" s="1" t="s">
        <v>388</v>
      </c>
      <c r="U452" s="1" t="s">
        <v>135</v>
      </c>
      <c r="V452" s="1"/>
      <c r="W452" s="1"/>
      <c r="X452" s="1"/>
      <c r="Y452" s="1"/>
      <c r="AA452" s="1"/>
      <c r="AC452" s="1"/>
      <c r="AD452" s="1"/>
      <c r="AE452" s="1"/>
      <c r="AN452" s="1"/>
      <c r="AP452" s="1"/>
      <c r="AQ452" s="1"/>
      <c r="AR452" s="1"/>
      <c r="AS452" s="1"/>
      <c r="AT452" s="3"/>
      <c r="AU452" s="3"/>
      <c r="AV452" s="3"/>
      <c r="AW452" s="1"/>
      <c r="AX452" s="1"/>
      <c r="AZ452">
        <v>253</v>
      </c>
      <c r="BA452">
        <v>4654734.66</v>
      </c>
      <c r="BB452" s="1" t="s">
        <v>74</v>
      </c>
      <c r="BC452">
        <v>80</v>
      </c>
      <c r="BD452" s="1" t="s">
        <v>766</v>
      </c>
      <c r="BE452" s="1" t="s">
        <v>99</v>
      </c>
      <c r="BF452">
        <v>0</v>
      </c>
      <c r="BG452" s="1"/>
      <c r="BH452" s="1" t="s">
        <v>448</v>
      </c>
      <c r="BI452">
        <v>4521</v>
      </c>
      <c r="BJ452" s="1" t="s">
        <v>997</v>
      </c>
      <c r="BL452" s="1"/>
      <c r="BN452" s="1"/>
      <c r="BO452">
        <v>599</v>
      </c>
      <c r="BP452">
        <v>4654734.66</v>
      </c>
      <c r="BQ452">
        <v>4654734.66</v>
      </c>
    </row>
    <row r="453" spans="1:69" x14ac:dyDescent="0.35">
      <c r="A453" s="1" t="s">
        <v>68</v>
      </c>
      <c r="B453" s="1" t="s">
        <v>69</v>
      </c>
      <c r="C453" s="1" t="s">
        <v>70</v>
      </c>
      <c r="D453">
        <v>1</v>
      </c>
      <c r="E453">
        <v>1</v>
      </c>
      <c r="F453" s="2">
        <v>43585.43</v>
      </c>
      <c r="G453" s="3">
        <v>41275</v>
      </c>
      <c r="H453" s="3">
        <v>41639</v>
      </c>
      <c r="I453" s="1" t="s">
        <v>71</v>
      </c>
      <c r="J453">
        <v>4521</v>
      </c>
      <c r="K453">
        <v>0</v>
      </c>
      <c r="L453" s="1" t="s">
        <v>384</v>
      </c>
      <c r="M453" s="1" t="s">
        <v>72</v>
      </c>
      <c r="N453" s="1" t="s">
        <v>134</v>
      </c>
      <c r="O453" s="1" t="s">
        <v>385</v>
      </c>
      <c r="P453" s="1" t="s">
        <v>386</v>
      </c>
      <c r="Q453" s="1" t="s">
        <v>387</v>
      </c>
      <c r="R453">
        <v>103</v>
      </c>
      <c r="S453" s="1" t="s">
        <v>135</v>
      </c>
      <c r="T453" s="1" t="s">
        <v>388</v>
      </c>
      <c r="U453" s="1" t="s">
        <v>135</v>
      </c>
      <c r="V453" s="1"/>
      <c r="W453" s="1"/>
      <c r="X453" s="1"/>
      <c r="Y453" s="1"/>
      <c r="AA453" s="1"/>
      <c r="AC453" s="1"/>
      <c r="AD453" s="1"/>
      <c r="AE453" s="1"/>
      <c r="AN453" s="1"/>
      <c r="AP453" s="1"/>
      <c r="AQ453" s="1"/>
      <c r="AR453" s="1"/>
      <c r="AS453" s="1"/>
      <c r="AT453" s="3"/>
      <c r="AU453" s="3"/>
      <c r="AV453" s="3"/>
      <c r="AW453" s="1"/>
      <c r="AX453" s="1"/>
      <c r="AZ453">
        <v>253</v>
      </c>
      <c r="BA453">
        <v>4654734.66</v>
      </c>
      <c r="BB453" s="1" t="s">
        <v>74</v>
      </c>
      <c r="BC453">
        <v>81</v>
      </c>
      <c r="BD453" s="1" t="s">
        <v>767</v>
      </c>
      <c r="BE453" s="1" t="s">
        <v>473</v>
      </c>
      <c r="BF453">
        <v>204731.14</v>
      </c>
      <c r="BG453" s="1" t="s">
        <v>998</v>
      </c>
      <c r="BH453" s="1" t="s">
        <v>99</v>
      </c>
      <c r="BI453">
        <v>0</v>
      </c>
      <c r="BJ453" s="1"/>
      <c r="BK453">
        <v>48706.080000000002</v>
      </c>
      <c r="BL453" s="1" t="s">
        <v>1295</v>
      </c>
      <c r="BN453" s="1"/>
      <c r="BO453">
        <v>599</v>
      </c>
      <c r="BP453">
        <v>4654734.66</v>
      </c>
      <c r="BQ453">
        <v>4654734.66</v>
      </c>
    </row>
    <row r="454" spans="1:69" x14ac:dyDescent="0.35">
      <c r="A454" s="1" t="s">
        <v>68</v>
      </c>
      <c r="B454" s="1" t="s">
        <v>69</v>
      </c>
      <c r="C454" s="1" t="s">
        <v>70</v>
      </c>
      <c r="D454">
        <v>1</v>
      </c>
      <c r="E454">
        <v>1</v>
      </c>
      <c r="F454" s="2">
        <v>43585.43</v>
      </c>
      <c r="G454" s="3">
        <v>41275</v>
      </c>
      <c r="H454" s="3">
        <v>41639</v>
      </c>
      <c r="I454" s="1" t="s">
        <v>71</v>
      </c>
      <c r="J454">
        <v>4521</v>
      </c>
      <c r="K454">
        <v>0</v>
      </c>
      <c r="L454" s="1" t="s">
        <v>384</v>
      </c>
      <c r="M454" s="1" t="s">
        <v>72</v>
      </c>
      <c r="N454" s="1" t="s">
        <v>134</v>
      </c>
      <c r="O454" s="1" t="s">
        <v>385</v>
      </c>
      <c r="P454" s="1" t="s">
        <v>386</v>
      </c>
      <c r="Q454" s="1" t="s">
        <v>387</v>
      </c>
      <c r="R454">
        <v>103</v>
      </c>
      <c r="S454" s="1" t="s">
        <v>135</v>
      </c>
      <c r="T454" s="1" t="s">
        <v>388</v>
      </c>
      <c r="U454" s="1" t="s">
        <v>135</v>
      </c>
      <c r="V454" s="1"/>
      <c r="W454" s="1"/>
      <c r="X454" s="1"/>
      <c r="Y454" s="1"/>
      <c r="AA454" s="1"/>
      <c r="AC454" s="1"/>
      <c r="AD454" s="1"/>
      <c r="AE454" s="1"/>
      <c r="AN454" s="1"/>
      <c r="AP454" s="1"/>
      <c r="AQ454" s="1"/>
      <c r="AR454" s="1"/>
      <c r="AS454" s="1"/>
      <c r="AT454" s="3"/>
      <c r="AU454" s="3"/>
      <c r="AV454" s="3"/>
      <c r="AW454" s="1"/>
      <c r="AX454" s="1"/>
      <c r="AZ454">
        <v>253</v>
      </c>
      <c r="BA454">
        <v>4654734.66</v>
      </c>
      <c r="BB454" s="1" t="s">
        <v>74</v>
      </c>
      <c r="BC454">
        <v>82</v>
      </c>
      <c r="BD454" s="1" t="s">
        <v>767</v>
      </c>
      <c r="BE454" s="1" t="s">
        <v>99</v>
      </c>
      <c r="BF454">
        <v>0</v>
      </c>
      <c r="BG454" s="1"/>
      <c r="BH454" s="1" t="s">
        <v>446</v>
      </c>
      <c r="BI454">
        <v>204731.14</v>
      </c>
      <c r="BJ454" s="1" t="s">
        <v>998</v>
      </c>
      <c r="BL454" s="1"/>
      <c r="BM454">
        <v>48706.080000000002</v>
      </c>
      <c r="BN454" s="1" t="s">
        <v>1295</v>
      </c>
      <c r="BO454">
        <v>599</v>
      </c>
      <c r="BP454">
        <v>4654734.66</v>
      </c>
      <c r="BQ454">
        <v>4654734.66</v>
      </c>
    </row>
    <row r="455" spans="1:69" x14ac:dyDescent="0.35">
      <c r="A455" s="1" t="s">
        <v>68</v>
      </c>
      <c r="B455" s="1" t="s">
        <v>69</v>
      </c>
      <c r="C455" s="1" t="s">
        <v>70</v>
      </c>
      <c r="D455">
        <v>1</v>
      </c>
      <c r="E455">
        <v>1</v>
      </c>
      <c r="F455" s="2">
        <v>43585.43</v>
      </c>
      <c r="G455" s="3">
        <v>41275</v>
      </c>
      <c r="H455" s="3">
        <v>41639</v>
      </c>
      <c r="I455" s="1" t="s">
        <v>71</v>
      </c>
      <c r="J455">
        <v>4521</v>
      </c>
      <c r="K455">
        <v>0</v>
      </c>
      <c r="L455" s="1" t="s">
        <v>384</v>
      </c>
      <c r="M455" s="1" t="s">
        <v>72</v>
      </c>
      <c r="N455" s="1" t="s">
        <v>134</v>
      </c>
      <c r="O455" s="1" t="s">
        <v>385</v>
      </c>
      <c r="P455" s="1" t="s">
        <v>386</v>
      </c>
      <c r="Q455" s="1" t="s">
        <v>387</v>
      </c>
      <c r="R455">
        <v>103</v>
      </c>
      <c r="S455" s="1" t="s">
        <v>135</v>
      </c>
      <c r="T455" s="1" t="s">
        <v>388</v>
      </c>
      <c r="U455" s="1" t="s">
        <v>135</v>
      </c>
      <c r="V455" s="1"/>
      <c r="W455" s="1"/>
      <c r="X455" s="1"/>
      <c r="Y455" s="1"/>
      <c r="AA455" s="1"/>
      <c r="AC455" s="1"/>
      <c r="AD455" s="1"/>
      <c r="AE455" s="1"/>
      <c r="AN455" s="1"/>
      <c r="AP455" s="1"/>
      <c r="AQ455" s="1"/>
      <c r="AR455" s="1"/>
      <c r="AS455" s="1"/>
      <c r="AT455" s="3"/>
      <c r="AU455" s="3"/>
      <c r="AV455" s="3"/>
      <c r="AW455" s="1"/>
      <c r="AX455" s="1"/>
      <c r="AZ455">
        <v>253</v>
      </c>
      <c r="BA455">
        <v>4654734.66</v>
      </c>
      <c r="BB455" s="1" t="s">
        <v>74</v>
      </c>
      <c r="BC455">
        <v>83</v>
      </c>
      <c r="BD455" s="1" t="s">
        <v>768</v>
      </c>
      <c r="BE455" s="1" t="s">
        <v>480</v>
      </c>
      <c r="BF455">
        <v>204731.14</v>
      </c>
      <c r="BG455" s="1" t="s">
        <v>998</v>
      </c>
      <c r="BH455" s="1" t="s">
        <v>99</v>
      </c>
      <c r="BI455">
        <v>0</v>
      </c>
      <c r="BJ455" s="1"/>
      <c r="BK455">
        <v>48706.080000000002</v>
      </c>
      <c r="BL455" s="1" t="s">
        <v>1295</v>
      </c>
      <c r="BN455" s="1"/>
      <c r="BO455">
        <v>599</v>
      </c>
      <c r="BP455">
        <v>4654734.66</v>
      </c>
      <c r="BQ455">
        <v>4654734.66</v>
      </c>
    </row>
    <row r="456" spans="1:69" x14ac:dyDescent="0.35">
      <c r="A456" s="1" t="s">
        <v>68</v>
      </c>
      <c r="B456" s="1" t="s">
        <v>69</v>
      </c>
      <c r="C456" s="1" t="s">
        <v>70</v>
      </c>
      <c r="D456">
        <v>1</v>
      </c>
      <c r="E456">
        <v>1</v>
      </c>
      <c r="F456" s="2">
        <v>43585.43</v>
      </c>
      <c r="G456" s="3">
        <v>41275</v>
      </c>
      <c r="H456" s="3">
        <v>41639</v>
      </c>
      <c r="I456" s="1" t="s">
        <v>71</v>
      </c>
      <c r="J456">
        <v>4521</v>
      </c>
      <c r="K456">
        <v>0</v>
      </c>
      <c r="L456" s="1" t="s">
        <v>384</v>
      </c>
      <c r="M456" s="1" t="s">
        <v>72</v>
      </c>
      <c r="N456" s="1" t="s">
        <v>134</v>
      </c>
      <c r="O456" s="1" t="s">
        <v>385</v>
      </c>
      <c r="P456" s="1" t="s">
        <v>386</v>
      </c>
      <c r="Q456" s="1" t="s">
        <v>387</v>
      </c>
      <c r="R456">
        <v>103</v>
      </c>
      <c r="S456" s="1" t="s">
        <v>135</v>
      </c>
      <c r="T456" s="1" t="s">
        <v>388</v>
      </c>
      <c r="U456" s="1" t="s">
        <v>135</v>
      </c>
      <c r="V456" s="1"/>
      <c r="W456" s="1"/>
      <c r="X456" s="1"/>
      <c r="Y456" s="1"/>
      <c r="AA456" s="1"/>
      <c r="AC456" s="1"/>
      <c r="AD456" s="1"/>
      <c r="AE456" s="1"/>
      <c r="AN456" s="1"/>
      <c r="AP456" s="1"/>
      <c r="AQ456" s="1"/>
      <c r="AR456" s="1"/>
      <c r="AS456" s="1"/>
      <c r="AT456" s="3"/>
      <c r="AU456" s="3"/>
      <c r="AV456" s="3"/>
      <c r="AW456" s="1"/>
      <c r="AX456" s="1"/>
      <c r="AZ456">
        <v>253</v>
      </c>
      <c r="BA456">
        <v>4654734.66</v>
      </c>
      <c r="BB456" s="1" t="s">
        <v>74</v>
      </c>
      <c r="BC456">
        <v>84</v>
      </c>
      <c r="BD456" s="1" t="s">
        <v>768</v>
      </c>
      <c r="BE456" s="1" t="s">
        <v>99</v>
      </c>
      <c r="BF456">
        <v>0</v>
      </c>
      <c r="BG456" s="1"/>
      <c r="BH456" s="1" t="s">
        <v>136</v>
      </c>
      <c r="BI456">
        <v>204731.14</v>
      </c>
      <c r="BJ456" s="1" t="s">
        <v>998</v>
      </c>
      <c r="BL456" s="1"/>
      <c r="BM456">
        <v>48706.080000000002</v>
      </c>
      <c r="BN456" s="1" t="s">
        <v>1295</v>
      </c>
      <c r="BO456">
        <v>599</v>
      </c>
      <c r="BP456">
        <v>4654734.66</v>
      </c>
      <c r="BQ456">
        <v>4654734.66</v>
      </c>
    </row>
    <row r="457" spans="1:69" x14ac:dyDescent="0.35">
      <c r="A457" s="1" t="s">
        <v>68</v>
      </c>
      <c r="B457" s="1" t="s">
        <v>69</v>
      </c>
      <c r="C457" s="1" t="s">
        <v>70</v>
      </c>
      <c r="D457">
        <v>1</v>
      </c>
      <c r="E457">
        <v>1</v>
      </c>
      <c r="F457" s="2">
        <v>43585.43</v>
      </c>
      <c r="G457" s="3">
        <v>41275</v>
      </c>
      <c r="H457" s="3">
        <v>41639</v>
      </c>
      <c r="I457" s="1" t="s">
        <v>71</v>
      </c>
      <c r="J457">
        <v>4521</v>
      </c>
      <c r="K457">
        <v>0</v>
      </c>
      <c r="L457" s="1" t="s">
        <v>384</v>
      </c>
      <c r="M457" s="1" t="s">
        <v>72</v>
      </c>
      <c r="N457" s="1" t="s">
        <v>134</v>
      </c>
      <c r="O457" s="1" t="s">
        <v>385</v>
      </c>
      <c r="P457" s="1" t="s">
        <v>386</v>
      </c>
      <c r="Q457" s="1" t="s">
        <v>387</v>
      </c>
      <c r="R457">
        <v>103</v>
      </c>
      <c r="S457" s="1" t="s">
        <v>135</v>
      </c>
      <c r="T457" s="1" t="s">
        <v>388</v>
      </c>
      <c r="U457" s="1" t="s">
        <v>135</v>
      </c>
      <c r="V457" s="1"/>
      <c r="W457" s="1"/>
      <c r="X457" s="1"/>
      <c r="Y457" s="1"/>
      <c r="AA457" s="1"/>
      <c r="AC457" s="1"/>
      <c r="AD457" s="1"/>
      <c r="AE457" s="1"/>
      <c r="AN457" s="1"/>
      <c r="AP457" s="1"/>
      <c r="AQ457" s="1"/>
      <c r="AR457" s="1"/>
      <c r="AS457" s="1"/>
      <c r="AT457" s="3"/>
      <c r="AU457" s="3"/>
      <c r="AV457" s="3"/>
      <c r="AW457" s="1"/>
      <c r="AX457" s="1"/>
      <c r="AZ457">
        <v>253</v>
      </c>
      <c r="BA457">
        <v>4654734.66</v>
      </c>
      <c r="BB457" s="1" t="s">
        <v>74</v>
      </c>
      <c r="BC457">
        <v>85</v>
      </c>
      <c r="BD457" s="1" t="s">
        <v>769</v>
      </c>
      <c r="BE457" s="1" t="s">
        <v>452</v>
      </c>
      <c r="BF457">
        <v>13000</v>
      </c>
      <c r="BG457" s="1" t="s">
        <v>999</v>
      </c>
      <c r="BH457" s="1" t="s">
        <v>99</v>
      </c>
      <c r="BI457">
        <v>0</v>
      </c>
      <c r="BJ457" s="1"/>
      <c r="BL457" s="1"/>
      <c r="BN457" s="1"/>
      <c r="BO457">
        <v>599</v>
      </c>
      <c r="BP457">
        <v>4654734.66</v>
      </c>
      <c r="BQ457">
        <v>4654734.66</v>
      </c>
    </row>
    <row r="458" spans="1:69" x14ac:dyDescent="0.35">
      <c r="A458" s="1" t="s">
        <v>68</v>
      </c>
      <c r="B458" s="1" t="s">
        <v>69</v>
      </c>
      <c r="C458" s="1" t="s">
        <v>70</v>
      </c>
      <c r="D458">
        <v>1</v>
      </c>
      <c r="E458">
        <v>1</v>
      </c>
      <c r="F458" s="2">
        <v>43585.43</v>
      </c>
      <c r="G458" s="3">
        <v>41275</v>
      </c>
      <c r="H458" s="3">
        <v>41639</v>
      </c>
      <c r="I458" s="1" t="s">
        <v>71</v>
      </c>
      <c r="J458">
        <v>4521</v>
      </c>
      <c r="K458">
        <v>0</v>
      </c>
      <c r="L458" s="1" t="s">
        <v>384</v>
      </c>
      <c r="M458" s="1" t="s">
        <v>72</v>
      </c>
      <c r="N458" s="1" t="s">
        <v>134</v>
      </c>
      <c r="O458" s="1" t="s">
        <v>385</v>
      </c>
      <c r="P458" s="1" t="s">
        <v>386</v>
      </c>
      <c r="Q458" s="1" t="s">
        <v>387</v>
      </c>
      <c r="R458">
        <v>103</v>
      </c>
      <c r="S458" s="1" t="s">
        <v>135</v>
      </c>
      <c r="T458" s="1" t="s">
        <v>388</v>
      </c>
      <c r="U458" s="1" t="s">
        <v>135</v>
      </c>
      <c r="V458" s="1"/>
      <c r="W458" s="1"/>
      <c r="X458" s="1"/>
      <c r="Y458" s="1"/>
      <c r="AA458" s="1"/>
      <c r="AC458" s="1"/>
      <c r="AD458" s="1"/>
      <c r="AE458" s="1"/>
      <c r="AN458" s="1"/>
      <c r="AP458" s="1"/>
      <c r="AQ458" s="1"/>
      <c r="AR458" s="1"/>
      <c r="AS458" s="1"/>
      <c r="AT458" s="3"/>
      <c r="AU458" s="3"/>
      <c r="AV458" s="3"/>
      <c r="AW458" s="1"/>
      <c r="AX458" s="1"/>
      <c r="AZ458">
        <v>253</v>
      </c>
      <c r="BA458">
        <v>4654734.66</v>
      </c>
      <c r="BB458" s="1" t="s">
        <v>74</v>
      </c>
      <c r="BC458">
        <v>86</v>
      </c>
      <c r="BD458" s="1" t="s">
        <v>769</v>
      </c>
      <c r="BE458" s="1" t="s">
        <v>99</v>
      </c>
      <c r="BF458">
        <v>0</v>
      </c>
      <c r="BG458" s="1"/>
      <c r="BH458" s="1" t="s">
        <v>451</v>
      </c>
      <c r="BI458">
        <v>13000</v>
      </c>
      <c r="BJ458" s="1" t="s">
        <v>999</v>
      </c>
      <c r="BL458" s="1"/>
      <c r="BN458" s="1"/>
      <c r="BO458">
        <v>599</v>
      </c>
      <c r="BP458">
        <v>4654734.66</v>
      </c>
      <c r="BQ458">
        <v>4654734.66</v>
      </c>
    </row>
    <row r="459" spans="1:69" x14ac:dyDescent="0.35">
      <c r="A459" s="1" t="s">
        <v>68</v>
      </c>
      <c r="B459" s="1" t="s">
        <v>69</v>
      </c>
      <c r="C459" s="1" t="s">
        <v>70</v>
      </c>
      <c r="D459">
        <v>1</v>
      </c>
      <c r="E459">
        <v>1</v>
      </c>
      <c r="F459" s="2">
        <v>43585.43</v>
      </c>
      <c r="G459" s="3">
        <v>41275</v>
      </c>
      <c r="H459" s="3">
        <v>41639</v>
      </c>
      <c r="I459" s="1" t="s">
        <v>71</v>
      </c>
      <c r="J459">
        <v>4521</v>
      </c>
      <c r="K459">
        <v>0</v>
      </c>
      <c r="L459" s="1" t="s">
        <v>384</v>
      </c>
      <c r="M459" s="1" t="s">
        <v>72</v>
      </c>
      <c r="N459" s="1" t="s">
        <v>134</v>
      </c>
      <c r="O459" s="1" t="s">
        <v>385</v>
      </c>
      <c r="P459" s="1" t="s">
        <v>386</v>
      </c>
      <c r="Q459" s="1" t="s">
        <v>387</v>
      </c>
      <c r="R459">
        <v>103</v>
      </c>
      <c r="S459" s="1" t="s">
        <v>135</v>
      </c>
      <c r="T459" s="1" t="s">
        <v>388</v>
      </c>
      <c r="U459" s="1" t="s">
        <v>135</v>
      </c>
      <c r="V459" s="1"/>
      <c r="W459" s="1"/>
      <c r="X459" s="1"/>
      <c r="Y459" s="1"/>
      <c r="AA459" s="1"/>
      <c r="AC459" s="1"/>
      <c r="AD459" s="1"/>
      <c r="AE459" s="1"/>
      <c r="AN459" s="1"/>
      <c r="AP459" s="1"/>
      <c r="AQ459" s="1"/>
      <c r="AR459" s="1"/>
      <c r="AS459" s="1"/>
      <c r="AT459" s="3"/>
      <c r="AU459" s="3"/>
      <c r="AV459" s="3"/>
      <c r="AW459" s="1"/>
      <c r="AX459" s="1"/>
      <c r="AZ459">
        <v>253</v>
      </c>
      <c r="BA459">
        <v>4654734.66</v>
      </c>
      <c r="BB459" s="1" t="s">
        <v>74</v>
      </c>
      <c r="BC459">
        <v>87</v>
      </c>
      <c r="BD459" s="1" t="s">
        <v>770</v>
      </c>
      <c r="BE459" s="1" t="s">
        <v>413</v>
      </c>
      <c r="BF459">
        <v>123</v>
      </c>
      <c r="BG459" s="1" t="s">
        <v>989</v>
      </c>
      <c r="BH459" s="1" t="s">
        <v>99</v>
      </c>
      <c r="BI459">
        <v>0</v>
      </c>
      <c r="BJ459" s="1"/>
      <c r="BL459" s="1"/>
      <c r="BN459" s="1"/>
      <c r="BO459">
        <v>599</v>
      </c>
      <c r="BP459">
        <v>4654734.66</v>
      </c>
      <c r="BQ459">
        <v>4654734.66</v>
      </c>
    </row>
    <row r="460" spans="1:69" x14ac:dyDescent="0.35">
      <c r="A460" s="1" t="s">
        <v>68</v>
      </c>
      <c r="B460" s="1" t="s">
        <v>69</v>
      </c>
      <c r="C460" s="1" t="s">
        <v>70</v>
      </c>
      <c r="D460">
        <v>1</v>
      </c>
      <c r="E460">
        <v>1</v>
      </c>
      <c r="F460" s="2">
        <v>43585.43</v>
      </c>
      <c r="G460" s="3">
        <v>41275</v>
      </c>
      <c r="H460" s="3">
        <v>41639</v>
      </c>
      <c r="I460" s="1" t="s">
        <v>71</v>
      </c>
      <c r="J460">
        <v>4521</v>
      </c>
      <c r="K460">
        <v>0</v>
      </c>
      <c r="L460" s="1" t="s">
        <v>384</v>
      </c>
      <c r="M460" s="1" t="s">
        <v>72</v>
      </c>
      <c r="N460" s="1" t="s">
        <v>134</v>
      </c>
      <c r="O460" s="1" t="s">
        <v>385</v>
      </c>
      <c r="P460" s="1" t="s">
        <v>386</v>
      </c>
      <c r="Q460" s="1" t="s">
        <v>387</v>
      </c>
      <c r="R460">
        <v>103</v>
      </c>
      <c r="S460" s="1" t="s">
        <v>135</v>
      </c>
      <c r="T460" s="1" t="s">
        <v>388</v>
      </c>
      <c r="U460" s="1" t="s">
        <v>135</v>
      </c>
      <c r="V460" s="1"/>
      <c r="W460" s="1"/>
      <c r="X460" s="1"/>
      <c r="Y460" s="1"/>
      <c r="AA460" s="1"/>
      <c r="AC460" s="1"/>
      <c r="AD460" s="1"/>
      <c r="AE460" s="1"/>
      <c r="AN460" s="1"/>
      <c r="AP460" s="1"/>
      <c r="AQ460" s="1"/>
      <c r="AR460" s="1"/>
      <c r="AS460" s="1"/>
      <c r="AT460" s="3"/>
      <c r="AU460" s="3"/>
      <c r="AV460" s="3"/>
      <c r="AW460" s="1"/>
      <c r="AX460" s="1"/>
      <c r="AZ460">
        <v>253</v>
      </c>
      <c r="BA460">
        <v>4654734.66</v>
      </c>
      <c r="BB460" s="1" t="s">
        <v>74</v>
      </c>
      <c r="BC460">
        <v>88</v>
      </c>
      <c r="BD460" s="1" t="s">
        <v>770</v>
      </c>
      <c r="BE460" s="1" t="s">
        <v>99</v>
      </c>
      <c r="BF460">
        <v>0</v>
      </c>
      <c r="BG460" s="1"/>
      <c r="BH460" s="1" t="s">
        <v>489</v>
      </c>
      <c r="BI460">
        <v>100</v>
      </c>
      <c r="BJ460" s="1" t="s">
        <v>989</v>
      </c>
      <c r="BL460" s="1"/>
      <c r="BN460" s="1"/>
      <c r="BO460">
        <v>599</v>
      </c>
      <c r="BP460">
        <v>4654734.66</v>
      </c>
      <c r="BQ460">
        <v>4654734.66</v>
      </c>
    </row>
    <row r="461" spans="1:69" x14ac:dyDescent="0.35">
      <c r="A461" s="1" t="s">
        <v>68</v>
      </c>
      <c r="B461" s="1" t="s">
        <v>69</v>
      </c>
      <c r="C461" s="1" t="s">
        <v>70</v>
      </c>
      <c r="D461">
        <v>1</v>
      </c>
      <c r="E461">
        <v>1</v>
      </c>
      <c r="F461" s="2">
        <v>43585.43</v>
      </c>
      <c r="G461" s="3">
        <v>41275</v>
      </c>
      <c r="H461" s="3">
        <v>41639</v>
      </c>
      <c r="I461" s="1" t="s">
        <v>71</v>
      </c>
      <c r="J461">
        <v>4521</v>
      </c>
      <c r="K461">
        <v>0</v>
      </c>
      <c r="L461" s="1" t="s">
        <v>384</v>
      </c>
      <c r="M461" s="1" t="s">
        <v>72</v>
      </c>
      <c r="N461" s="1" t="s">
        <v>134</v>
      </c>
      <c r="O461" s="1" t="s">
        <v>385</v>
      </c>
      <c r="P461" s="1" t="s">
        <v>386</v>
      </c>
      <c r="Q461" s="1" t="s">
        <v>387</v>
      </c>
      <c r="R461">
        <v>103</v>
      </c>
      <c r="S461" s="1" t="s">
        <v>135</v>
      </c>
      <c r="T461" s="1" t="s">
        <v>388</v>
      </c>
      <c r="U461" s="1" t="s">
        <v>135</v>
      </c>
      <c r="V461" s="1"/>
      <c r="W461" s="1"/>
      <c r="X461" s="1"/>
      <c r="Y461" s="1"/>
      <c r="AA461" s="1"/>
      <c r="AC461" s="1"/>
      <c r="AD461" s="1"/>
      <c r="AE461" s="1"/>
      <c r="AN461" s="1"/>
      <c r="AP461" s="1"/>
      <c r="AQ461" s="1"/>
      <c r="AR461" s="1"/>
      <c r="AS461" s="1"/>
      <c r="AT461" s="3"/>
      <c r="AU461" s="3"/>
      <c r="AV461" s="3"/>
      <c r="AW461" s="1"/>
      <c r="AX461" s="1"/>
      <c r="AZ461">
        <v>253</v>
      </c>
      <c r="BA461">
        <v>4654734.66</v>
      </c>
      <c r="BB461" s="1" t="s">
        <v>74</v>
      </c>
      <c r="BC461">
        <v>89</v>
      </c>
      <c r="BD461" s="1" t="s">
        <v>770</v>
      </c>
      <c r="BE461" s="1" t="s">
        <v>99</v>
      </c>
      <c r="BF461">
        <v>0</v>
      </c>
      <c r="BG461" s="1"/>
      <c r="BH461" s="1" t="s">
        <v>451</v>
      </c>
      <c r="BI461">
        <v>23</v>
      </c>
      <c r="BJ461" s="1" t="s">
        <v>989</v>
      </c>
      <c r="BL461" s="1"/>
      <c r="BN461" s="1"/>
      <c r="BO461">
        <v>599</v>
      </c>
      <c r="BP461">
        <v>4654734.66</v>
      </c>
      <c r="BQ461">
        <v>4654734.66</v>
      </c>
    </row>
    <row r="462" spans="1:69" x14ac:dyDescent="0.35">
      <c r="A462" s="1" t="s">
        <v>68</v>
      </c>
      <c r="B462" s="1" t="s">
        <v>69</v>
      </c>
      <c r="C462" s="1" t="s">
        <v>70</v>
      </c>
      <c r="D462">
        <v>1</v>
      </c>
      <c r="E462">
        <v>1</v>
      </c>
      <c r="F462" s="2">
        <v>43585.43</v>
      </c>
      <c r="G462" s="3">
        <v>41275</v>
      </c>
      <c r="H462" s="3">
        <v>41639</v>
      </c>
      <c r="I462" s="1" t="s">
        <v>71</v>
      </c>
      <c r="J462">
        <v>4521</v>
      </c>
      <c r="K462">
        <v>0</v>
      </c>
      <c r="L462" s="1" t="s">
        <v>384</v>
      </c>
      <c r="M462" s="1" t="s">
        <v>72</v>
      </c>
      <c r="N462" s="1" t="s">
        <v>134</v>
      </c>
      <c r="O462" s="1" t="s">
        <v>385</v>
      </c>
      <c r="P462" s="1" t="s">
        <v>386</v>
      </c>
      <c r="Q462" s="1" t="s">
        <v>387</v>
      </c>
      <c r="R462">
        <v>103</v>
      </c>
      <c r="S462" s="1" t="s">
        <v>135</v>
      </c>
      <c r="T462" s="1" t="s">
        <v>388</v>
      </c>
      <c r="U462" s="1" t="s">
        <v>135</v>
      </c>
      <c r="V462" s="1"/>
      <c r="W462" s="1"/>
      <c r="X462" s="1"/>
      <c r="Y462" s="1"/>
      <c r="AA462" s="1"/>
      <c r="AC462" s="1"/>
      <c r="AD462" s="1"/>
      <c r="AE462" s="1"/>
      <c r="AN462" s="1"/>
      <c r="AP462" s="1"/>
      <c r="AQ462" s="1"/>
      <c r="AR462" s="1"/>
      <c r="AS462" s="1"/>
      <c r="AT462" s="3"/>
      <c r="AU462" s="3"/>
      <c r="AV462" s="3"/>
      <c r="AW462" s="1"/>
      <c r="AX462" s="1"/>
      <c r="AZ462">
        <v>253</v>
      </c>
      <c r="BA462">
        <v>4654734.66</v>
      </c>
      <c r="BB462" s="1" t="s">
        <v>74</v>
      </c>
      <c r="BC462">
        <v>90</v>
      </c>
      <c r="BD462" s="1" t="s">
        <v>771</v>
      </c>
      <c r="BE462" s="1" t="s">
        <v>469</v>
      </c>
      <c r="BF462">
        <v>11813.7</v>
      </c>
      <c r="BG462" s="1" t="s">
        <v>1227</v>
      </c>
      <c r="BH462" s="1" t="s">
        <v>99</v>
      </c>
      <c r="BI462">
        <v>0</v>
      </c>
      <c r="BJ462" s="1"/>
      <c r="BL462" s="1"/>
      <c r="BN462" s="1"/>
      <c r="BO462">
        <v>599</v>
      </c>
      <c r="BP462">
        <v>4654734.66</v>
      </c>
      <c r="BQ462">
        <v>4654734.66</v>
      </c>
    </row>
    <row r="463" spans="1:69" x14ac:dyDescent="0.35">
      <c r="A463" s="1" t="s">
        <v>68</v>
      </c>
      <c r="B463" s="1" t="s">
        <v>69</v>
      </c>
      <c r="C463" s="1" t="s">
        <v>70</v>
      </c>
      <c r="D463">
        <v>1</v>
      </c>
      <c r="E463">
        <v>1</v>
      </c>
      <c r="F463" s="2">
        <v>43585.43</v>
      </c>
      <c r="G463" s="3">
        <v>41275</v>
      </c>
      <c r="H463" s="3">
        <v>41639</v>
      </c>
      <c r="I463" s="1" t="s">
        <v>71</v>
      </c>
      <c r="J463">
        <v>4521</v>
      </c>
      <c r="K463">
        <v>0</v>
      </c>
      <c r="L463" s="1" t="s">
        <v>384</v>
      </c>
      <c r="M463" s="1" t="s">
        <v>72</v>
      </c>
      <c r="N463" s="1" t="s">
        <v>134</v>
      </c>
      <c r="O463" s="1" t="s">
        <v>385</v>
      </c>
      <c r="P463" s="1" t="s">
        <v>386</v>
      </c>
      <c r="Q463" s="1" t="s">
        <v>387</v>
      </c>
      <c r="R463">
        <v>103</v>
      </c>
      <c r="S463" s="1" t="s">
        <v>135</v>
      </c>
      <c r="T463" s="1" t="s">
        <v>388</v>
      </c>
      <c r="U463" s="1" t="s">
        <v>135</v>
      </c>
      <c r="V463" s="1"/>
      <c r="W463" s="1"/>
      <c r="X463" s="1"/>
      <c r="Y463" s="1"/>
      <c r="AA463" s="1"/>
      <c r="AC463" s="1"/>
      <c r="AD463" s="1"/>
      <c r="AE463" s="1"/>
      <c r="AN463" s="1"/>
      <c r="AP463" s="1"/>
      <c r="AQ463" s="1"/>
      <c r="AR463" s="1"/>
      <c r="AS463" s="1"/>
      <c r="AT463" s="3"/>
      <c r="AU463" s="3"/>
      <c r="AV463" s="3"/>
      <c r="AW463" s="1"/>
      <c r="AX463" s="1"/>
      <c r="AZ463">
        <v>253</v>
      </c>
      <c r="BA463">
        <v>4654734.66</v>
      </c>
      <c r="BB463" s="1" t="s">
        <v>74</v>
      </c>
      <c r="BC463">
        <v>91</v>
      </c>
      <c r="BD463" s="1" t="s">
        <v>771</v>
      </c>
      <c r="BE463" s="1" t="s">
        <v>99</v>
      </c>
      <c r="BF463">
        <v>0</v>
      </c>
      <c r="BG463" s="1"/>
      <c r="BH463" s="1" t="s">
        <v>448</v>
      </c>
      <c r="BI463">
        <v>11813.7</v>
      </c>
      <c r="BJ463" s="1" t="s">
        <v>1227</v>
      </c>
      <c r="BL463" s="1"/>
      <c r="BN463" s="1"/>
      <c r="BO463">
        <v>599</v>
      </c>
      <c r="BP463">
        <v>4654734.66</v>
      </c>
      <c r="BQ463">
        <v>4654734.66</v>
      </c>
    </row>
    <row r="464" spans="1:69" x14ac:dyDescent="0.35">
      <c r="A464" s="1" t="s">
        <v>68</v>
      </c>
      <c r="B464" s="1" t="s">
        <v>69</v>
      </c>
      <c r="C464" s="1" t="s">
        <v>70</v>
      </c>
      <c r="D464">
        <v>1</v>
      </c>
      <c r="E464">
        <v>1</v>
      </c>
      <c r="F464" s="2">
        <v>43585.43</v>
      </c>
      <c r="G464" s="3">
        <v>41275</v>
      </c>
      <c r="H464" s="3">
        <v>41639</v>
      </c>
      <c r="I464" s="1" t="s">
        <v>71</v>
      </c>
      <c r="J464">
        <v>4521</v>
      </c>
      <c r="K464">
        <v>0</v>
      </c>
      <c r="L464" s="1" t="s">
        <v>384</v>
      </c>
      <c r="M464" s="1" t="s">
        <v>72</v>
      </c>
      <c r="N464" s="1" t="s">
        <v>134</v>
      </c>
      <c r="O464" s="1" t="s">
        <v>385</v>
      </c>
      <c r="P464" s="1" t="s">
        <v>386</v>
      </c>
      <c r="Q464" s="1" t="s">
        <v>387</v>
      </c>
      <c r="R464">
        <v>103</v>
      </c>
      <c r="S464" s="1" t="s">
        <v>135</v>
      </c>
      <c r="T464" s="1" t="s">
        <v>388</v>
      </c>
      <c r="U464" s="1" t="s">
        <v>135</v>
      </c>
      <c r="V464" s="1"/>
      <c r="W464" s="1"/>
      <c r="X464" s="1"/>
      <c r="Y464" s="1"/>
      <c r="AA464" s="1"/>
      <c r="AC464" s="1"/>
      <c r="AD464" s="1"/>
      <c r="AE464" s="1"/>
      <c r="AN464" s="1"/>
      <c r="AP464" s="1"/>
      <c r="AQ464" s="1"/>
      <c r="AR464" s="1"/>
      <c r="AS464" s="1"/>
      <c r="AT464" s="3"/>
      <c r="AU464" s="3"/>
      <c r="AV464" s="3"/>
      <c r="AW464" s="1"/>
      <c r="AX464" s="1"/>
      <c r="AZ464">
        <v>253</v>
      </c>
      <c r="BA464">
        <v>4654734.66</v>
      </c>
      <c r="BB464" s="1" t="s">
        <v>74</v>
      </c>
      <c r="BC464">
        <v>92</v>
      </c>
      <c r="BD464" s="1" t="s">
        <v>772</v>
      </c>
      <c r="BE464" s="1" t="s">
        <v>392</v>
      </c>
      <c r="BF464">
        <v>1600</v>
      </c>
      <c r="BG464" s="1" t="s">
        <v>1228</v>
      </c>
      <c r="BH464" s="1" t="s">
        <v>99</v>
      </c>
      <c r="BI464">
        <v>0</v>
      </c>
      <c r="BJ464" s="1"/>
      <c r="BL464" s="1"/>
      <c r="BN464" s="1"/>
      <c r="BO464">
        <v>599</v>
      </c>
      <c r="BP464">
        <v>4654734.66</v>
      </c>
      <c r="BQ464">
        <v>4654734.66</v>
      </c>
    </row>
    <row r="465" spans="1:69" x14ac:dyDescent="0.35">
      <c r="A465" s="1" t="s">
        <v>68</v>
      </c>
      <c r="B465" s="1" t="s">
        <v>69</v>
      </c>
      <c r="C465" s="1" t="s">
        <v>70</v>
      </c>
      <c r="D465">
        <v>1</v>
      </c>
      <c r="E465">
        <v>1</v>
      </c>
      <c r="F465" s="2">
        <v>43585.43</v>
      </c>
      <c r="G465" s="3">
        <v>41275</v>
      </c>
      <c r="H465" s="3">
        <v>41639</v>
      </c>
      <c r="I465" s="1" t="s">
        <v>71</v>
      </c>
      <c r="J465">
        <v>4521</v>
      </c>
      <c r="K465">
        <v>0</v>
      </c>
      <c r="L465" s="1" t="s">
        <v>384</v>
      </c>
      <c r="M465" s="1" t="s">
        <v>72</v>
      </c>
      <c r="N465" s="1" t="s">
        <v>134</v>
      </c>
      <c r="O465" s="1" t="s">
        <v>385</v>
      </c>
      <c r="P465" s="1" t="s">
        <v>386</v>
      </c>
      <c r="Q465" s="1" t="s">
        <v>387</v>
      </c>
      <c r="R465">
        <v>103</v>
      </c>
      <c r="S465" s="1" t="s">
        <v>135</v>
      </c>
      <c r="T465" s="1" t="s">
        <v>388</v>
      </c>
      <c r="U465" s="1" t="s">
        <v>135</v>
      </c>
      <c r="V465" s="1"/>
      <c r="W465" s="1"/>
      <c r="X465" s="1"/>
      <c r="Y465" s="1"/>
      <c r="AA465" s="1"/>
      <c r="AC465" s="1"/>
      <c r="AD465" s="1"/>
      <c r="AE465" s="1"/>
      <c r="AN465" s="1"/>
      <c r="AP465" s="1"/>
      <c r="AQ465" s="1"/>
      <c r="AR465" s="1"/>
      <c r="AS465" s="1"/>
      <c r="AT465" s="3"/>
      <c r="AU465" s="3"/>
      <c r="AV465" s="3"/>
      <c r="AW465" s="1"/>
      <c r="AX465" s="1"/>
      <c r="AZ465">
        <v>253</v>
      </c>
      <c r="BA465">
        <v>4654734.66</v>
      </c>
      <c r="BB465" s="1" t="s">
        <v>74</v>
      </c>
      <c r="BC465">
        <v>93</v>
      </c>
      <c r="BD465" s="1" t="s">
        <v>772</v>
      </c>
      <c r="BE465" s="1" t="s">
        <v>99</v>
      </c>
      <c r="BF465">
        <v>0</v>
      </c>
      <c r="BG465" s="1"/>
      <c r="BH465" s="1" t="s">
        <v>394</v>
      </c>
      <c r="BI465">
        <v>1600</v>
      </c>
      <c r="BJ465" s="1" t="s">
        <v>1228</v>
      </c>
      <c r="BL465" s="1"/>
      <c r="BN465" s="1"/>
      <c r="BO465">
        <v>599</v>
      </c>
      <c r="BP465">
        <v>4654734.66</v>
      </c>
      <c r="BQ465">
        <v>4654734.66</v>
      </c>
    </row>
    <row r="466" spans="1:69" x14ac:dyDescent="0.35">
      <c r="A466" s="1" t="s">
        <v>68</v>
      </c>
      <c r="B466" s="1" t="s">
        <v>69</v>
      </c>
      <c r="C466" s="1" t="s">
        <v>70</v>
      </c>
      <c r="D466">
        <v>1</v>
      </c>
      <c r="E466">
        <v>1</v>
      </c>
      <c r="F466" s="2">
        <v>43585.43</v>
      </c>
      <c r="G466" s="3">
        <v>41275</v>
      </c>
      <c r="H466" s="3">
        <v>41639</v>
      </c>
      <c r="I466" s="1" t="s">
        <v>71</v>
      </c>
      <c r="J466">
        <v>4521</v>
      </c>
      <c r="K466">
        <v>0</v>
      </c>
      <c r="L466" s="1" t="s">
        <v>384</v>
      </c>
      <c r="M466" s="1" t="s">
        <v>72</v>
      </c>
      <c r="N466" s="1" t="s">
        <v>134</v>
      </c>
      <c r="O466" s="1" t="s">
        <v>385</v>
      </c>
      <c r="P466" s="1" t="s">
        <v>386</v>
      </c>
      <c r="Q466" s="1" t="s">
        <v>387</v>
      </c>
      <c r="R466">
        <v>103</v>
      </c>
      <c r="S466" s="1" t="s">
        <v>135</v>
      </c>
      <c r="T466" s="1" t="s">
        <v>388</v>
      </c>
      <c r="U466" s="1" t="s">
        <v>135</v>
      </c>
      <c r="V466" s="1"/>
      <c r="W466" s="1"/>
      <c r="X466" s="1"/>
      <c r="Y466" s="1"/>
      <c r="AA466" s="1"/>
      <c r="AC466" s="1"/>
      <c r="AD466" s="1"/>
      <c r="AE466" s="1"/>
      <c r="AN466" s="1"/>
      <c r="AP466" s="1"/>
      <c r="AQ466" s="1"/>
      <c r="AR466" s="1"/>
      <c r="AS466" s="1"/>
      <c r="AT466" s="3"/>
      <c r="AU466" s="3"/>
      <c r="AV466" s="3"/>
      <c r="AW466" s="1"/>
      <c r="AX466" s="1"/>
      <c r="AZ466">
        <v>253</v>
      </c>
      <c r="BA466">
        <v>4654734.66</v>
      </c>
      <c r="BB466" s="1" t="s">
        <v>74</v>
      </c>
      <c r="BC466">
        <v>94</v>
      </c>
      <c r="BD466" s="1" t="s">
        <v>773</v>
      </c>
      <c r="BE466" s="1" t="s">
        <v>453</v>
      </c>
      <c r="BF466">
        <v>500</v>
      </c>
      <c r="BG466" s="1" t="s">
        <v>1229</v>
      </c>
      <c r="BH466" s="1" t="s">
        <v>99</v>
      </c>
      <c r="BI466">
        <v>0</v>
      </c>
      <c r="BJ466" s="1"/>
      <c r="BL466" s="1"/>
      <c r="BN466" s="1"/>
      <c r="BO466">
        <v>599</v>
      </c>
      <c r="BP466">
        <v>4654734.66</v>
      </c>
      <c r="BQ466">
        <v>4654734.66</v>
      </c>
    </row>
    <row r="467" spans="1:69" x14ac:dyDescent="0.35">
      <c r="A467" s="1" t="s">
        <v>68</v>
      </c>
      <c r="B467" s="1" t="s">
        <v>69</v>
      </c>
      <c r="C467" s="1" t="s">
        <v>70</v>
      </c>
      <c r="D467">
        <v>1</v>
      </c>
      <c r="E467">
        <v>1</v>
      </c>
      <c r="F467" s="2">
        <v>43585.43</v>
      </c>
      <c r="G467" s="3">
        <v>41275</v>
      </c>
      <c r="H467" s="3">
        <v>41639</v>
      </c>
      <c r="I467" s="1" t="s">
        <v>71</v>
      </c>
      <c r="J467">
        <v>4521</v>
      </c>
      <c r="K467">
        <v>0</v>
      </c>
      <c r="L467" s="1" t="s">
        <v>384</v>
      </c>
      <c r="M467" s="1" t="s">
        <v>72</v>
      </c>
      <c r="N467" s="1" t="s">
        <v>134</v>
      </c>
      <c r="O467" s="1" t="s">
        <v>385</v>
      </c>
      <c r="P467" s="1" t="s">
        <v>386</v>
      </c>
      <c r="Q467" s="1" t="s">
        <v>387</v>
      </c>
      <c r="R467">
        <v>103</v>
      </c>
      <c r="S467" s="1" t="s">
        <v>135</v>
      </c>
      <c r="T467" s="1" t="s">
        <v>388</v>
      </c>
      <c r="U467" s="1" t="s">
        <v>135</v>
      </c>
      <c r="V467" s="1"/>
      <c r="W467" s="1"/>
      <c r="X467" s="1"/>
      <c r="Y467" s="1"/>
      <c r="AA467" s="1"/>
      <c r="AC467" s="1"/>
      <c r="AD467" s="1"/>
      <c r="AE467" s="1"/>
      <c r="AN467" s="1"/>
      <c r="AP467" s="1"/>
      <c r="AQ467" s="1"/>
      <c r="AR467" s="1"/>
      <c r="AS467" s="1"/>
      <c r="AT467" s="3"/>
      <c r="AU467" s="3"/>
      <c r="AV467" s="3"/>
      <c r="AW467" s="1"/>
      <c r="AX467" s="1"/>
      <c r="AZ467">
        <v>253</v>
      </c>
      <c r="BA467">
        <v>4654734.66</v>
      </c>
      <c r="BB467" s="1" t="s">
        <v>74</v>
      </c>
      <c r="BC467">
        <v>95</v>
      </c>
      <c r="BD467" s="1" t="s">
        <v>773</v>
      </c>
      <c r="BE467" s="1" t="s">
        <v>99</v>
      </c>
      <c r="BF467">
        <v>0</v>
      </c>
      <c r="BG467" s="1"/>
      <c r="BH467" s="1" t="s">
        <v>392</v>
      </c>
      <c r="BI467">
        <v>500</v>
      </c>
      <c r="BJ467" s="1" t="s">
        <v>1229</v>
      </c>
      <c r="BL467" s="1"/>
      <c r="BN467" s="1"/>
      <c r="BO467">
        <v>599</v>
      </c>
      <c r="BP467">
        <v>4654734.66</v>
      </c>
      <c r="BQ467">
        <v>4654734.66</v>
      </c>
    </row>
    <row r="468" spans="1:69" x14ac:dyDescent="0.35">
      <c r="A468" s="1" t="s">
        <v>68</v>
      </c>
      <c r="B468" s="1" t="s">
        <v>69</v>
      </c>
      <c r="C468" s="1" t="s">
        <v>70</v>
      </c>
      <c r="D468">
        <v>1</v>
      </c>
      <c r="E468">
        <v>1</v>
      </c>
      <c r="F468" s="2">
        <v>43585.43</v>
      </c>
      <c r="G468" s="3">
        <v>41275</v>
      </c>
      <c r="H468" s="3">
        <v>41639</v>
      </c>
      <c r="I468" s="1" t="s">
        <v>71</v>
      </c>
      <c r="J468">
        <v>4521</v>
      </c>
      <c r="K468">
        <v>0</v>
      </c>
      <c r="L468" s="1" t="s">
        <v>384</v>
      </c>
      <c r="M468" s="1" t="s">
        <v>72</v>
      </c>
      <c r="N468" s="1" t="s">
        <v>134</v>
      </c>
      <c r="O468" s="1" t="s">
        <v>385</v>
      </c>
      <c r="P468" s="1" t="s">
        <v>386</v>
      </c>
      <c r="Q468" s="1" t="s">
        <v>387</v>
      </c>
      <c r="R468">
        <v>103</v>
      </c>
      <c r="S468" s="1" t="s">
        <v>135</v>
      </c>
      <c r="T468" s="1" t="s">
        <v>388</v>
      </c>
      <c r="U468" s="1" t="s">
        <v>135</v>
      </c>
      <c r="V468" s="1"/>
      <c r="W468" s="1"/>
      <c r="X468" s="1"/>
      <c r="Y468" s="1"/>
      <c r="AA468" s="1"/>
      <c r="AC468" s="1"/>
      <c r="AD468" s="1"/>
      <c r="AE468" s="1"/>
      <c r="AN468" s="1"/>
      <c r="AP468" s="1"/>
      <c r="AQ468" s="1"/>
      <c r="AR468" s="1"/>
      <c r="AS468" s="1"/>
      <c r="AT468" s="3"/>
      <c r="AU468" s="3"/>
      <c r="AV468" s="3"/>
      <c r="AW468" s="1"/>
      <c r="AX468" s="1"/>
      <c r="AZ468">
        <v>253</v>
      </c>
      <c r="BA468">
        <v>4654734.66</v>
      </c>
      <c r="BB468" s="1" t="s">
        <v>74</v>
      </c>
      <c r="BC468">
        <v>96</v>
      </c>
      <c r="BD468" s="1" t="s">
        <v>774</v>
      </c>
      <c r="BE468" s="1" t="s">
        <v>422</v>
      </c>
      <c r="BF468">
        <v>1000</v>
      </c>
      <c r="BG468" s="1" t="s">
        <v>1230</v>
      </c>
      <c r="BH468" s="1" t="s">
        <v>99</v>
      </c>
      <c r="BI468">
        <v>0</v>
      </c>
      <c r="BJ468" s="1"/>
      <c r="BL468" s="1"/>
      <c r="BN468" s="1"/>
      <c r="BO468">
        <v>599</v>
      </c>
      <c r="BP468">
        <v>4654734.66</v>
      </c>
      <c r="BQ468">
        <v>4654734.66</v>
      </c>
    </row>
    <row r="469" spans="1:69" x14ac:dyDescent="0.35">
      <c r="A469" s="1" t="s">
        <v>68</v>
      </c>
      <c r="B469" s="1" t="s">
        <v>69</v>
      </c>
      <c r="C469" s="1" t="s">
        <v>70</v>
      </c>
      <c r="D469">
        <v>1</v>
      </c>
      <c r="E469">
        <v>1</v>
      </c>
      <c r="F469" s="2">
        <v>43585.43</v>
      </c>
      <c r="G469" s="3">
        <v>41275</v>
      </c>
      <c r="H469" s="3">
        <v>41639</v>
      </c>
      <c r="I469" s="1" t="s">
        <v>71</v>
      </c>
      <c r="J469">
        <v>4521</v>
      </c>
      <c r="K469">
        <v>0</v>
      </c>
      <c r="L469" s="1" t="s">
        <v>384</v>
      </c>
      <c r="M469" s="1" t="s">
        <v>72</v>
      </c>
      <c r="N469" s="1" t="s">
        <v>134</v>
      </c>
      <c r="O469" s="1" t="s">
        <v>385</v>
      </c>
      <c r="P469" s="1" t="s">
        <v>386</v>
      </c>
      <c r="Q469" s="1" t="s">
        <v>387</v>
      </c>
      <c r="R469">
        <v>103</v>
      </c>
      <c r="S469" s="1" t="s">
        <v>135</v>
      </c>
      <c r="T469" s="1" t="s">
        <v>388</v>
      </c>
      <c r="U469" s="1" t="s">
        <v>135</v>
      </c>
      <c r="V469" s="1"/>
      <c r="W469" s="1"/>
      <c r="X469" s="1"/>
      <c r="Y469" s="1"/>
      <c r="AA469" s="1"/>
      <c r="AC469" s="1"/>
      <c r="AD469" s="1"/>
      <c r="AE469" s="1"/>
      <c r="AN469" s="1"/>
      <c r="AP469" s="1"/>
      <c r="AQ469" s="1"/>
      <c r="AR469" s="1"/>
      <c r="AS469" s="1"/>
      <c r="AT469" s="3"/>
      <c r="AU469" s="3"/>
      <c r="AV469" s="3"/>
      <c r="AW469" s="1"/>
      <c r="AX469" s="1"/>
      <c r="AZ469">
        <v>253</v>
      </c>
      <c r="BA469">
        <v>4654734.66</v>
      </c>
      <c r="BB469" s="1" t="s">
        <v>74</v>
      </c>
      <c r="BC469">
        <v>97</v>
      </c>
      <c r="BD469" s="1" t="s">
        <v>774</v>
      </c>
      <c r="BE469" s="1" t="s">
        <v>99</v>
      </c>
      <c r="BF469">
        <v>0</v>
      </c>
      <c r="BG469" s="1"/>
      <c r="BH469" s="1" t="s">
        <v>392</v>
      </c>
      <c r="BI469">
        <v>1000</v>
      </c>
      <c r="BJ469" s="1" t="s">
        <v>1230</v>
      </c>
      <c r="BL469" s="1"/>
      <c r="BN469" s="1"/>
      <c r="BO469">
        <v>599</v>
      </c>
      <c r="BP469">
        <v>4654734.66</v>
      </c>
      <c r="BQ469">
        <v>4654734.66</v>
      </c>
    </row>
    <row r="470" spans="1:69" x14ac:dyDescent="0.35">
      <c r="A470" s="1" t="s">
        <v>68</v>
      </c>
      <c r="B470" s="1" t="s">
        <v>69</v>
      </c>
      <c r="C470" s="1" t="s">
        <v>70</v>
      </c>
      <c r="D470">
        <v>1</v>
      </c>
      <c r="E470">
        <v>1</v>
      </c>
      <c r="F470" s="2">
        <v>43585.43</v>
      </c>
      <c r="G470" s="3">
        <v>41275</v>
      </c>
      <c r="H470" s="3">
        <v>41639</v>
      </c>
      <c r="I470" s="1" t="s">
        <v>71</v>
      </c>
      <c r="J470">
        <v>4521</v>
      </c>
      <c r="K470">
        <v>0</v>
      </c>
      <c r="L470" s="1" t="s">
        <v>384</v>
      </c>
      <c r="M470" s="1" t="s">
        <v>72</v>
      </c>
      <c r="N470" s="1" t="s">
        <v>134</v>
      </c>
      <c r="O470" s="1" t="s">
        <v>385</v>
      </c>
      <c r="P470" s="1" t="s">
        <v>386</v>
      </c>
      <c r="Q470" s="1" t="s">
        <v>387</v>
      </c>
      <c r="R470">
        <v>103</v>
      </c>
      <c r="S470" s="1" t="s">
        <v>135</v>
      </c>
      <c r="T470" s="1" t="s">
        <v>388</v>
      </c>
      <c r="U470" s="1" t="s">
        <v>135</v>
      </c>
      <c r="V470" s="1"/>
      <c r="W470" s="1"/>
      <c r="X470" s="1"/>
      <c r="Y470" s="1"/>
      <c r="AA470" s="1"/>
      <c r="AC470" s="1"/>
      <c r="AD470" s="1"/>
      <c r="AE470" s="1"/>
      <c r="AN470" s="1"/>
      <c r="AP470" s="1"/>
      <c r="AQ470" s="1"/>
      <c r="AR470" s="1"/>
      <c r="AS470" s="1"/>
      <c r="AT470" s="3"/>
      <c r="AU470" s="3"/>
      <c r="AV470" s="3"/>
      <c r="AW470" s="1"/>
      <c r="AX470" s="1"/>
      <c r="AZ470">
        <v>253</v>
      </c>
      <c r="BA470">
        <v>4654734.66</v>
      </c>
      <c r="BB470" s="1" t="s">
        <v>74</v>
      </c>
      <c r="BC470">
        <v>98</v>
      </c>
      <c r="BD470" s="1" t="s">
        <v>775</v>
      </c>
      <c r="BE470" s="1" t="s">
        <v>475</v>
      </c>
      <c r="BF470">
        <v>100</v>
      </c>
      <c r="BG470" s="1" t="s">
        <v>1232</v>
      </c>
      <c r="BH470" s="1" t="s">
        <v>99</v>
      </c>
      <c r="BI470">
        <v>0</v>
      </c>
      <c r="BJ470" s="1"/>
      <c r="BL470" s="1"/>
      <c r="BN470" s="1"/>
      <c r="BO470">
        <v>599</v>
      </c>
      <c r="BP470">
        <v>4654734.66</v>
      </c>
      <c r="BQ470">
        <v>4654734.66</v>
      </c>
    </row>
    <row r="471" spans="1:69" x14ac:dyDescent="0.35">
      <c r="A471" s="1" t="s">
        <v>68</v>
      </c>
      <c r="B471" s="1" t="s">
        <v>69</v>
      </c>
      <c r="C471" s="1" t="s">
        <v>70</v>
      </c>
      <c r="D471">
        <v>1</v>
      </c>
      <c r="E471">
        <v>1</v>
      </c>
      <c r="F471" s="2">
        <v>43585.43</v>
      </c>
      <c r="G471" s="3">
        <v>41275</v>
      </c>
      <c r="H471" s="3">
        <v>41639</v>
      </c>
      <c r="I471" s="1" t="s">
        <v>71</v>
      </c>
      <c r="J471">
        <v>4521</v>
      </c>
      <c r="K471">
        <v>0</v>
      </c>
      <c r="L471" s="1" t="s">
        <v>384</v>
      </c>
      <c r="M471" s="1" t="s">
        <v>72</v>
      </c>
      <c r="N471" s="1" t="s">
        <v>134</v>
      </c>
      <c r="O471" s="1" t="s">
        <v>385</v>
      </c>
      <c r="P471" s="1" t="s">
        <v>386</v>
      </c>
      <c r="Q471" s="1" t="s">
        <v>387</v>
      </c>
      <c r="R471">
        <v>103</v>
      </c>
      <c r="S471" s="1" t="s">
        <v>135</v>
      </c>
      <c r="T471" s="1" t="s">
        <v>388</v>
      </c>
      <c r="U471" s="1" t="s">
        <v>135</v>
      </c>
      <c r="V471" s="1"/>
      <c r="W471" s="1"/>
      <c r="X471" s="1"/>
      <c r="Y471" s="1"/>
      <c r="AA471" s="1"/>
      <c r="AC471" s="1"/>
      <c r="AD471" s="1"/>
      <c r="AE471" s="1"/>
      <c r="AN471" s="1"/>
      <c r="AP471" s="1"/>
      <c r="AQ471" s="1"/>
      <c r="AR471" s="1"/>
      <c r="AS471" s="1"/>
      <c r="AT471" s="3"/>
      <c r="AU471" s="3"/>
      <c r="AV471" s="3"/>
      <c r="AW471" s="1"/>
      <c r="AX471" s="1"/>
      <c r="AZ471">
        <v>253</v>
      </c>
      <c r="BA471">
        <v>4654734.66</v>
      </c>
      <c r="BB471" s="1" t="s">
        <v>74</v>
      </c>
      <c r="BC471">
        <v>99</v>
      </c>
      <c r="BD471" s="1" t="s">
        <v>775</v>
      </c>
      <c r="BE471" s="1" t="s">
        <v>99</v>
      </c>
      <c r="BF471">
        <v>0</v>
      </c>
      <c r="BG471" s="1"/>
      <c r="BH471" s="1" t="s">
        <v>453</v>
      </c>
      <c r="BI471">
        <v>500</v>
      </c>
      <c r="BJ471" s="1" t="s">
        <v>1002</v>
      </c>
      <c r="BL471" s="1"/>
      <c r="BN471" s="1"/>
      <c r="BO471">
        <v>599</v>
      </c>
      <c r="BP471">
        <v>4654734.66</v>
      </c>
      <c r="BQ471">
        <v>4654734.66</v>
      </c>
    </row>
    <row r="472" spans="1:69" x14ac:dyDescent="0.35">
      <c r="A472" s="1" t="s">
        <v>68</v>
      </c>
      <c r="B472" s="1" t="s">
        <v>69</v>
      </c>
      <c r="C472" s="1" t="s">
        <v>70</v>
      </c>
      <c r="D472">
        <v>1</v>
      </c>
      <c r="E472">
        <v>1</v>
      </c>
      <c r="F472" s="2">
        <v>43585.43</v>
      </c>
      <c r="G472" s="3">
        <v>41275</v>
      </c>
      <c r="H472" s="3">
        <v>41639</v>
      </c>
      <c r="I472" s="1" t="s">
        <v>71</v>
      </c>
      <c r="J472">
        <v>4521</v>
      </c>
      <c r="K472">
        <v>0</v>
      </c>
      <c r="L472" s="1" t="s">
        <v>384</v>
      </c>
      <c r="M472" s="1" t="s">
        <v>72</v>
      </c>
      <c r="N472" s="1" t="s">
        <v>134</v>
      </c>
      <c r="O472" s="1" t="s">
        <v>385</v>
      </c>
      <c r="P472" s="1" t="s">
        <v>386</v>
      </c>
      <c r="Q472" s="1" t="s">
        <v>387</v>
      </c>
      <c r="R472">
        <v>103</v>
      </c>
      <c r="S472" s="1" t="s">
        <v>135</v>
      </c>
      <c r="T472" s="1" t="s">
        <v>388</v>
      </c>
      <c r="U472" s="1" t="s">
        <v>135</v>
      </c>
      <c r="V472" s="1"/>
      <c r="W472" s="1"/>
      <c r="X472" s="1"/>
      <c r="Y472" s="1"/>
      <c r="AA472" s="1"/>
      <c r="AC472" s="1"/>
      <c r="AD472" s="1"/>
      <c r="AE472" s="1"/>
      <c r="AN472" s="1"/>
      <c r="AP472" s="1"/>
      <c r="AQ472" s="1"/>
      <c r="AR472" s="1"/>
      <c r="AS472" s="1"/>
      <c r="AT472" s="3"/>
      <c r="AU472" s="3"/>
      <c r="AV472" s="3"/>
      <c r="AW472" s="1"/>
      <c r="AX472" s="1"/>
      <c r="AZ472">
        <v>253</v>
      </c>
      <c r="BA472">
        <v>4654734.66</v>
      </c>
      <c r="BB472" s="1" t="s">
        <v>74</v>
      </c>
      <c r="BC472">
        <v>100</v>
      </c>
      <c r="BD472" s="1" t="s">
        <v>775</v>
      </c>
      <c r="BE472" s="1" t="s">
        <v>475</v>
      </c>
      <c r="BF472">
        <v>270</v>
      </c>
      <c r="BG472" s="1" t="s">
        <v>1232</v>
      </c>
      <c r="BH472" s="1" t="s">
        <v>99</v>
      </c>
      <c r="BI472">
        <v>0</v>
      </c>
      <c r="BJ472" s="1"/>
      <c r="BL472" s="1"/>
      <c r="BN472" s="1"/>
      <c r="BO472">
        <v>599</v>
      </c>
      <c r="BP472">
        <v>4654734.66</v>
      </c>
      <c r="BQ472">
        <v>4654734.66</v>
      </c>
    </row>
    <row r="473" spans="1:69" x14ac:dyDescent="0.35">
      <c r="A473" s="1" t="s">
        <v>68</v>
      </c>
      <c r="B473" s="1" t="s">
        <v>69</v>
      </c>
      <c r="C473" s="1" t="s">
        <v>70</v>
      </c>
      <c r="D473">
        <v>1</v>
      </c>
      <c r="E473">
        <v>1</v>
      </c>
      <c r="F473" s="2">
        <v>43585.43</v>
      </c>
      <c r="G473" s="3">
        <v>41275</v>
      </c>
      <c r="H473" s="3">
        <v>41639</v>
      </c>
      <c r="I473" s="1" t="s">
        <v>71</v>
      </c>
      <c r="J473">
        <v>4521</v>
      </c>
      <c r="K473">
        <v>0</v>
      </c>
      <c r="L473" s="1" t="s">
        <v>384</v>
      </c>
      <c r="M473" s="1" t="s">
        <v>72</v>
      </c>
      <c r="N473" s="1" t="s">
        <v>134</v>
      </c>
      <c r="O473" s="1" t="s">
        <v>385</v>
      </c>
      <c r="P473" s="1" t="s">
        <v>386</v>
      </c>
      <c r="Q473" s="1" t="s">
        <v>387</v>
      </c>
      <c r="R473">
        <v>103</v>
      </c>
      <c r="S473" s="1" t="s">
        <v>135</v>
      </c>
      <c r="T473" s="1" t="s">
        <v>388</v>
      </c>
      <c r="U473" s="1" t="s">
        <v>135</v>
      </c>
      <c r="V473" s="1"/>
      <c r="W473" s="1"/>
      <c r="X473" s="1"/>
      <c r="Y473" s="1"/>
      <c r="AA473" s="1"/>
      <c r="AC473" s="1"/>
      <c r="AD473" s="1"/>
      <c r="AE473" s="1"/>
      <c r="AN473" s="1"/>
      <c r="AP473" s="1"/>
      <c r="AQ473" s="1"/>
      <c r="AR473" s="1"/>
      <c r="AS473" s="1"/>
      <c r="AT473" s="3"/>
      <c r="AU473" s="3"/>
      <c r="AV473" s="3"/>
      <c r="AW473" s="1"/>
      <c r="AX473" s="1"/>
      <c r="AZ473">
        <v>253</v>
      </c>
      <c r="BA473">
        <v>4654734.66</v>
      </c>
      <c r="BB473" s="1" t="s">
        <v>74</v>
      </c>
      <c r="BC473">
        <v>101</v>
      </c>
      <c r="BD473" s="1" t="s">
        <v>775</v>
      </c>
      <c r="BE473" s="1" t="s">
        <v>452</v>
      </c>
      <c r="BF473">
        <v>130</v>
      </c>
      <c r="BG473" s="1" t="s">
        <v>1280</v>
      </c>
      <c r="BH473" s="1" t="s">
        <v>99</v>
      </c>
      <c r="BI473">
        <v>0</v>
      </c>
      <c r="BJ473" s="1"/>
      <c r="BL473" s="1"/>
      <c r="BN473" s="1"/>
      <c r="BO473">
        <v>599</v>
      </c>
      <c r="BP473">
        <v>4654734.66</v>
      </c>
      <c r="BQ473">
        <v>4654734.66</v>
      </c>
    </row>
    <row r="474" spans="1:69" x14ac:dyDescent="0.35">
      <c r="A474" s="1" t="s">
        <v>68</v>
      </c>
      <c r="B474" s="1" t="s">
        <v>69</v>
      </c>
      <c r="C474" s="1" t="s">
        <v>70</v>
      </c>
      <c r="D474">
        <v>1</v>
      </c>
      <c r="E474">
        <v>1</v>
      </c>
      <c r="F474" s="2">
        <v>43585.43</v>
      </c>
      <c r="G474" s="3">
        <v>41275</v>
      </c>
      <c r="H474" s="3">
        <v>41639</v>
      </c>
      <c r="I474" s="1" t="s">
        <v>71</v>
      </c>
      <c r="J474">
        <v>4521</v>
      </c>
      <c r="K474">
        <v>0</v>
      </c>
      <c r="L474" s="1" t="s">
        <v>384</v>
      </c>
      <c r="M474" s="1" t="s">
        <v>72</v>
      </c>
      <c r="N474" s="1" t="s">
        <v>134</v>
      </c>
      <c r="O474" s="1" t="s">
        <v>385</v>
      </c>
      <c r="P474" s="1" t="s">
        <v>386</v>
      </c>
      <c r="Q474" s="1" t="s">
        <v>387</v>
      </c>
      <c r="R474">
        <v>103</v>
      </c>
      <c r="S474" s="1" t="s">
        <v>135</v>
      </c>
      <c r="T474" s="1" t="s">
        <v>388</v>
      </c>
      <c r="U474" s="1" t="s">
        <v>135</v>
      </c>
      <c r="V474" s="1"/>
      <c r="W474" s="1"/>
      <c r="X474" s="1"/>
      <c r="Y474" s="1"/>
      <c r="AA474" s="1"/>
      <c r="AC474" s="1"/>
      <c r="AD474" s="1"/>
      <c r="AE474" s="1"/>
      <c r="AN474" s="1"/>
      <c r="AP474" s="1"/>
      <c r="AQ474" s="1"/>
      <c r="AR474" s="1"/>
      <c r="AS474" s="1"/>
      <c r="AT474" s="3"/>
      <c r="AU474" s="3"/>
      <c r="AV474" s="3"/>
      <c r="AW474" s="1"/>
      <c r="AX474" s="1"/>
      <c r="AZ474">
        <v>253</v>
      </c>
      <c r="BA474">
        <v>4654734.66</v>
      </c>
      <c r="BB474" s="1" t="s">
        <v>74</v>
      </c>
      <c r="BC474">
        <v>102</v>
      </c>
      <c r="BD474" s="1" t="s">
        <v>776</v>
      </c>
      <c r="BE474" s="1" t="s">
        <v>478</v>
      </c>
      <c r="BF474">
        <v>370</v>
      </c>
      <c r="BG474" s="1" t="s">
        <v>1232</v>
      </c>
      <c r="BH474" s="1" t="s">
        <v>99</v>
      </c>
      <c r="BI474">
        <v>0</v>
      </c>
      <c r="BJ474" s="1"/>
      <c r="BL474" s="1"/>
      <c r="BN474" s="1"/>
      <c r="BO474">
        <v>599</v>
      </c>
      <c r="BP474">
        <v>4654734.66</v>
      </c>
      <c r="BQ474">
        <v>4654734.66</v>
      </c>
    </row>
    <row r="475" spans="1:69" x14ac:dyDescent="0.35">
      <c r="A475" s="1" t="s">
        <v>68</v>
      </c>
      <c r="B475" s="1" t="s">
        <v>69</v>
      </c>
      <c r="C475" s="1" t="s">
        <v>70</v>
      </c>
      <c r="D475">
        <v>1</v>
      </c>
      <c r="E475">
        <v>1</v>
      </c>
      <c r="F475" s="2">
        <v>43585.43</v>
      </c>
      <c r="G475" s="3">
        <v>41275</v>
      </c>
      <c r="H475" s="3">
        <v>41639</v>
      </c>
      <c r="I475" s="1" t="s">
        <v>71</v>
      </c>
      <c r="J475">
        <v>4521</v>
      </c>
      <c r="K475">
        <v>0</v>
      </c>
      <c r="L475" s="1" t="s">
        <v>384</v>
      </c>
      <c r="M475" s="1" t="s">
        <v>72</v>
      </c>
      <c r="N475" s="1" t="s">
        <v>134</v>
      </c>
      <c r="O475" s="1" t="s">
        <v>385</v>
      </c>
      <c r="P475" s="1" t="s">
        <v>386</v>
      </c>
      <c r="Q475" s="1" t="s">
        <v>387</v>
      </c>
      <c r="R475">
        <v>103</v>
      </c>
      <c r="S475" s="1" t="s">
        <v>135</v>
      </c>
      <c r="T475" s="1" t="s">
        <v>388</v>
      </c>
      <c r="U475" s="1" t="s">
        <v>135</v>
      </c>
      <c r="V475" s="1"/>
      <c r="W475" s="1"/>
      <c r="X475" s="1"/>
      <c r="Y475" s="1"/>
      <c r="AA475" s="1"/>
      <c r="AC475" s="1"/>
      <c r="AD475" s="1"/>
      <c r="AE475" s="1"/>
      <c r="AN475" s="1"/>
      <c r="AP475" s="1"/>
      <c r="AQ475" s="1"/>
      <c r="AR475" s="1"/>
      <c r="AS475" s="1"/>
      <c r="AT475" s="3"/>
      <c r="AU475" s="3"/>
      <c r="AV475" s="3"/>
      <c r="AW475" s="1"/>
      <c r="AX475" s="1"/>
      <c r="AZ475">
        <v>253</v>
      </c>
      <c r="BA475">
        <v>4654734.66</v>
      </c>
      <c r="BB475" s="1" t="s">
        <v>74</v>
      </c>
      <c r="BC475">
        <v>103</v>
      </c>
      <c r="BD475" s="1" t="s">
        <v>776</v>
      </c>
      <c r="BE475" s="1" t="s">
        <v>99</v>
      </c>
      <c r="BF475">
        <v>0</v>
      </c>
      <c r="BG475" s="1"/>
      <c r="BH475" s="1" t="s">
        <v>136</v>
      </c>
      <c r="BI475">
        <v>370</v>
      </c>
      <c r="BJ475" s="1" t="s">
        <v>1232</v>
      </c>
      <c r="BL475" s="1"/>
      <c r="BN475" s="1"/>
      <c r="BO475">
        <v>599</v>
      </c>
      <c r="BP475">
        <v>4654734.66</v>
      </c>
      <c r="BQ475">
        <v>4654734.66</v>
      </c>
    </row>
    <row r="476" spans="1:69" x14ac:dyDescent="0.35">
      <c r="A476" s="1" t="s">
        <v>68</v>
      </c>
      <c r="B476" s="1" t="s">
        <v>69</v>
      </c>
      <c r="C476" s="1" t="s">
        <v>70</v>
      </c>
      <c r="D476">
        <v>1</v>
      </c>
      <c r="E476">
        <v>1</v>
      </c>
      <c r="F476" s="2">
        <v>43585.43</v>
      </c>
      <c r="G476" s="3">
        <v>41275</v>
      </c>
      <c r="H476" s="3">
        <v>41639</v>
      </c>
      <c r="I476" s="1" t="s">
        <v>71</v>
      </c>
      <c r="J476">
        <v>4521</v>
      </c>
      <c r="K476">
        <v>0</v>
      </c>
      <c r="L476" s="1" t="s">
        <v>384</v>
      </c>
      <c r="M476" s="1" t="s">
        <v>72</v>
      </c>
      <c r="N476" s="1" t="s">
        <v>134</v>
      </c>
      <c r="O476" s="1" t="s">
        <v>385</v>
      </c>
      <c r="P476" s="1" t="s">
        <v>386</v>
      </c>
      <c r="Q476" s="1" t="s">
        <v>387</v>
      </c>
      <c r="R476">
        <v>103</v>
      </c>
      <c r="S476" s="1" t="s">
        <v>135</v>
      </c>
      <c r="T476" s="1" t="s">
        <v>388</v>
      </c>
      <c r="U476" s="1" t="s">
        <v>135</v>
      </c>
      <c r="V476" s="1"/>
      <c r="W476" s="1"/>
      <c r="X476" s="1"/>
      <c r="Y476" s="1"/>
      <c r="AA476" s="1"/>
      <c r="AC476" s="1"/>
      <c r="AD476" s="1"/>
      <c r="AE476" s="1"/>
      <c r="AN476" s="1"/>
      <c r="AP476" s="1"/>
      <c r="AQ476" s="1"/>
      <c r="AR476" s="1"/>
      <c r="AS476" s="1"/>
      <c r="AT476" s="3"/>
      <c r="AU476" s="3"/>
      <c r="AV476" s="3"/>
      <c r="AW476" s="1"/>
      <c r="AX476" s="1"/>
      <c r="AZ476">
        <v>253</v>
      </c>
      <c r="BA476">
        <v>4654734.66</v>
      </c>
      <c r="BB476" s="1" t="s">
        <v>74</v>
      </c>
      <c r="BC476">
        <v>104</v>
      </c>
      <c r="BD476" s="1" t="s">
        <v>777</v>
      </c>
      <c r="BE476" s="1" t="s">
        <v>452</v>
      </c>
      <c r="BF476">
        <v>2578.29</v>
      </c>
      <c r="BG476" s="1" t="s">
        <v>1003</v>
      </c>
      <c r="BH476" s="1" t="s">
        <v>99</v>
      </c>
      <c r="BI476">
        <v>0</v>
      </c>
      <c r="BJ476" s="1"/>
      <c r="BL476" s="1"/>
      <c r="BN476" s="1"/>
      <c r="BO476">
        <v>599</v>
      </c>
      <c r="BP476">
        <v>4654734.66</v>
      </c>
      <c r="BQ476">
        <v>4654734.66</v>
      </c>
    </row>
    <row r="477" spans="1:69" x14ac:dyDescent="0.35">
      <c r="A477" s="1" t="s">
        <v>68</v>
      </c>
      <c r="B477" s="1" t="s">
        <v>69</v>
      </c>
      <c r="C477" s="1" t="s">
        <v>70</v>
      </c>
      <c r="D477">
        <v>1</v>
      </c>
      <c r="E477">
        <v>1</v>
      </c>
      <c r="F477" s="2">
        <v>43585.43</v>
      </c>
      <c r="G477" s="3">
        <v>41275</v>
      </c>
      <c r="H477" s="3">
        <v>41639</v>
      </c>
      <c r="I477" s="1" t="s">
        <v>71</v>
      </c>
      <c r="J477">
        <v>4521</v>
      </c>
      <c r="K477">
        <v>0</v>
      </c>
      <c r="L477" s="1" t="s">
        <v>384</v>
      </c>
      <c r="M477" s="1" t="s">
        <v>72</v>
      </c>
      <c r="N477" s="1" t="s">
        <v>134</v>
      </c>
      <c r="O477" s="1" t="s">
        <v>385</v>
      </c>
      <c r="P477" s="1" t="s">
        <v>386</v>
      </c>
      <c r="Q477" s="1" t="s">
        <v>387</v>
      </c>
      <c r="R477">
        <v>103</v>
      </c>
      <c r="S477" s="1" t="s">
        <v>135</v>
      </c>
      <c r="T477" s="1" t="s">
        <v>388</v>
      </c>
      <c r="U477" s="1" t="s">
        <v>135</v>
      </c>
      <c r="V477" s="1"/>
      <c r="W477" s="1"/>
      <c r="X477" s="1"/>
      <c r="Y477" s="1"/>
      <c r="AA477" s="1"/>
      <c r="AC477" s="1"/>
      <c r="AD477" s="1"/>
      <c r="AE477" s="1"/>
      <c r="AN477" s="1"/>
      <c r="AP477" s="1"/>
      <c r="AQ477" s="1"/>
      <c r="AR477" s="1"/>
      <c r="AS477" s="1"/>
      <c r="AT477" s="3"/>
      <c r="AU477" s="3"/>
      <c r="AV477" s="3"/>
      <c r="AW477" s="1"/>
      <c r="AX477" s="1"/>
      <c r="AZ477">
        <v>253</v>
      </c>
      <c r="BA477">
        <v>4654734.66</v>
      </c>
      <c r="BB477" s="1" t="s">
        <v>74</v>
      </c>
      <c r="BC477">
        <v>105</v>
      </c>
      <c r="BD477" s="1" t="s">
        <v>777</v>
      </c>
      <c r="BE477" s="1" t="s">
        <v>99</v>
      </c>
      <c r="BF477">
        <v>0</v>
      </c>
      <c r="BG477" s="1"/>
      <c r="BH477" s="1" t="s">
        <v>451</v>
      </c>
      <c r="BI477">
        <v>2578.29</v>
      </c>
      <c r="BJ477" s="1" t="s">
        <v>1003</v>
      </c>
      <c r="BL477" s="1"/>
      <c r="BN477" s="1"/>
      <c r="BO477">
        <v>599</v>
      </c>
      <c r="BP477">
        <v>4654734.66</v>
      </c>
      <c r="BQ477">
        <v>4654734.66</v>
      </c>
    </row>
    <row r="478" spans="1:69" x14ac:dyDescent="0.35">
      <c r="A478" s="1" t="s">
        <v>68</v>
      </c>
      <c r="B478" s="1" t="s">
        <v>69</v>
      </c>
      <c r="C478" s="1" t="s">
        <v>70</v>
      </c>
      <c r="D478">
        <v>1</v>
      </c>
      <c r="E478">
        <v>1</v>
      </c>
      <c r="F478" s="2">
        <v>43585.43</v>
      </c>
      <c r="G478" s="3">
        <v>41275</v>
      </c>
      <c r="H478" s="3">
        <v>41639</v>
      </c>
      <c r="I478" s="1" t="s">
        <v>71</v>
      </c>
      <c r="J478">
        <v>4521</v>
      </c>
      <c r="K478">
        <v>0</v>
      </c>
      <c r="L478" s="1" t="s">
        <v>384</v>
      </c>
      <c r="M478" s="1" t="s">
        <v>72</v>
      </c>
      <c r="N478" s="1" t="s">
        <v>134</v>
      </c>
      <c r="O478" s="1" t="s">
        <v>385</v>
      </c>
      <c r="P478" s="1" t="s">
        <v>386</v>
      </c>
      <c r="Q478" s="1" t="s">
        <v>387</v>
      </c>
      <c r="R478">
        <v>103</v>
      </c>
      <c r="S478" s="1" t="s">
        <v>135</v>
      </c>
      <c r="T478" s="1" t="s">
        <v>388</v>
      </c>
      <c r="U478" s="1" t="s">
        <v>135</v>
      </c>
      <c r="V478" s="1"/>
      <c r="W478" s="1"/>
      <c r="X478" s="1"/>
      <c r="Y478" s="1"/>
      <c r="AA478" s="1"/>
      <c r="AC478" s="1"/>
      <c r="AD478" s="1"/>
      <c r="AE478" s="1"/>
      <c r="AN478" s="1"/>
      <c r="AP478" s="1"/>
      <c r="AQ478" s="1"/>
      <c r="AR478" s="1"/>
      <c r="AS478" s="1"/>
      <c r="AT478" s="3"/>
      <c r="AU478" s="3"/>
      <c r="AV478" s="3"/>
      <c r="AW478" s="1"/>
      <c r="AX478" s="1"/>
      <c r="AZ478">
        <v>253</v>
      </c>
      <c r="BA478">
        <v>4654734.66</v>
      </c>
      <c r="BB478" s="1" t="s">
        <v>74</v>
      </c>
      <c r="BC478">
        <v>106</v>
      </c>
      <c r="BD478" s="1" t="s">
        <v>778</v>
      </c>
      <c r="BE478" s="1" t="s">
        <v>444</v>
      </c>
      <c r="BF478">
        <v>3620</v>
      </c>
      <c r="BG478" s="1" t="s">
        <v>1004</v>
      </c>
      <c r="BH478" s="1" t="s">
        <v>99</v>
      </c>
      <c r="BI478">
        <v>0</v>
      </c>
      <c r="BJ478" s="1"/>
      <c r="BL478" s="1"/>
      <c r="BN478" s="1"/>
      <c r="BO478">
        <v>599</v>
      </c>
      <c r="BP478">
        <v>4654734.66</v>
      </c>
      <c r="BQ478">
        <v>4654734.66</v>
      </c>
    </row>
    <row r="479" spans="1:69" x14ac:dyDescent="0.35">
      <c r="A479" s="1" t="s">
        <v>68</v>
      </c>
      <c r="B479" s="1" t="s">
        <v>69</v>
      </c>
      <c r="C479" s="1" t="s">
        <v>70</v>
      </c>
      <c r="D479">
        <v>1</v>
      </c>
      <c r="E479">
        <v>1</v>
      </c>
      <c r="F479" s="2">
        <v>43585.43</v>
      </c>
      <c r="G479" s="3">
        <v>41275</v>
      </c>
      <c r="H479" s="3">
        <v>41639</v>
      </c>
      <c r="I479" s="1" t="s">
        <v>71</v>
      </c>
      <c r="J479">
        <v>4521</v>
      </c>
      <c r="K479">
        <v>0</v>
      </c>
      <c r="L479" s="1" t="s">
        <v>384</v>
      </c>
      <c r="M479" s="1" t="s">
        <v>72</v>
      </c>
      <c r="N479" s="1" t="s">
        <v>134</v>
      </c>
      <c r="O479" s="1" t="s">
        <v>385</v>
      </c>
      <c r="P479" s="1" t="s">
        <v>386</v>
      </c>
      <c r="Q479" s="1" t="s">
        <v>387</v>
      </c>
      <c r="R479">
        <v>103</v>
      </c>
      <c r="S479" s="1" t="s">
        <v>135</v>
      </c>
      <c r="T479" s="1" t="s">
        <v>388</v>
      </c>
      <c r="U479" s="1" t="s">
        <v>135</v>
      </c>
      <c r="V479" s="1"/>
      <c r="W479" s="1"/>
      <c r="X479" s="1"/>
      <c r="Y479" s="1"/>
      <c r="AA479" s="1"/>
      <c r="AC479" s="1"/>
      <c r="AD479" s="1"/>
      <c r="AE479" s="1"/>
      <c r="AN479" s="1"/>
      <c r="AP479" s="1"/>
      <c r="AQ479" s="1"/>
      <c r="AR479" s="1"/>
      <c r="AS479" s="1"/>
      <c r="AT479" s="3"/>
      <c r="AU479" s="3"/>
      <c r="AV479" s="3"/>
      <c r="AW479" s="1"/>
      <c r="AX479" s="1"/>
      <c r="AZ479">
        <v>253</v>
      </c>
      <c r="BA479">
        <v>4654734.66</v>
      </c>
      <c r="BB479" s="1" t="s">
        <v>74</v>
      </c>
      <c r="BC479">
        <v>107</v>
      </c>
      <c r="BD479" s="1" t="s">
        <v>778</v>
      </c>
      <c r="BE479" s="1" t="s">
        <v>99</v>
      </c>
      <c r="BF479">
        <v>0</v>
      </c>
      <c r="BG479" s="1"/>
      <c r="BH479" s="1" t="s">
        <v>489</v>
      </c>
      <c r="BI479">
        <v>3620</v>
      </c>
      <c r="BJ479" s="1" t="s">
        <v>1004</v>
      </c>
      <c r="BL479" s="1"/>
      <c r="BN479" s="1"/>
      <c r="BO479">
        <v>599</v>
      </c>
      <c r="BP479">
        <v>4654734.66</v>
      </c>
      <c r="BQ479">
        <v>4654734.66</v>
      </c>
    </row>
    <row r="480" spans="1:69" x14ac:dyDescent="0.35">
      <c r="A480" s="1" t="s">
        <v>68</v>
      </c>
      <c r="B480" s="1" t="s">
        <v>69</v>
      </c>
      <c r="C480" s="1" t="s">
        <v>70</v>
      </c>
      <c r="D480">
        <v>1</v>
      </c>
      <c r="E480">
        <v>1</v>
      </c>
      <c r="F480" s="2">
        <v>43585.43</v>
      </c>
      <c r="G480" s="3">
        <v>41275</v>
      </c>
      <c r="H480" s="3">
        <v>41639</v>
      </c>
      <c r="I480" s="1" t="s">
        <v>71</v>
      </c>
      <c r="J480">
        <v>4521</v>
      </c>
      <c r="K480">
        <v>0</v>
      </c>
      <c r="L480" s="1" t="s">
        <v>384</v>
      </c>
      <c r="M480" s="1" t="s">
        <v>72</v>
      </c>
      <c r="N480" s="1" t="s">
        <v>134</v>
      </c>
      <c r="O480" s="1" t="s">
        <v>385</v>
      </c>
      <c r="P480" s="1" t="s">
        <v>386</v>
      </c>
      <c r="Q480" s="1" t="s">
        <v>387</v>
      </c>
      <c r="R480">
        <v>103</v>
      </c>
      <c r="S480" s="1" t="s">
        <v>135</v>
      </c>
      <c r="T480" s="1" t="s">
        <v>388</v>
      </c>
      <c r="U480" s="1" t="s">
        <v>135</v>
      </c>
      <c r="V480" s="1"/>
      <c r="W480" s="1"/>
      <c r="X480" s="1"/>
      <c r="Y480" s="1"/>
      <c r="AA480" s="1"/>
      <c r="AC480" s="1"/>
      <c r="AD480" s="1"/>
      <c r="AE480" s="1"/>
      <c r="AN480" s="1"/>
      <c r="AP480" s="1"/>
      <c r="AQ480" s="1"/>
      <c r="AR480" s="1"/>
      <c r="AS480" s="1"/>
      <c r="AT480" s="3"/>
      <c r="AU480" s="3"/>
      <c r="AV480" s="3"/>
      <c r="AW480" s="1"/>
      <c r="AX480" s="1"/>
      <c r="AZ480">
        <v>253</v>
      </c>
      <c r="BA480">
        <v>4654734.66</v>
      </c>
      <c r="BB480" s="1" t="s">
        <v>74</v>
      </c>
      <c r="BC480">
        <v>108</v>
      </c>
      <c r="BD480" s="1" t="s">
        <v>779</v>
      </c>
      <c r="BE480" s="1" t="s">
        <v>466</v>
      </c>
      <c r="BF480">
        <v>5273</v>
      </c>
      <c r="BG480" s="1" t="s">
        <v>1005</v>
      </c>
      <c r="BH480" s="1" t="s">
        <v>99</v>
      </c>
      <c r="BI480">
        <v>0</v>
      </c>
      <c r="BJ480" s="1"/>
      <c r="BL480" s="1"/>
      <c r="BN480" s="1"/>
      <c r="BO480">
        <v>599</v>
      </c>
      <c r="BP480">
        <v>4654734.66</v>
      </c>
      <c r="BQ480">
        <v>4654734.66</v>
      </c>
    </row>
    <row r="481" spans="1:69" x14ac:dyDescent="0.35">
      <c r="A481" s="1" t="s">
        <v>68</v>
      </c>
      <c r="B481" s="1" t="s">
        <v>69</v>
      </c>
      <c r="C481" s="1" t="s">
        <v>70</v>
      </c>
      <c r="D481">
        <v>1</v>
      </c>
      <c r="E481">
        <v>1</v>
      </c>
      <c r="F481" s="2">
        <v>43585.43</v>
      </c>
      <c r="G481" s="3">
        <v>41275</v>
      </c>
      <c r="H481" s="3">
        <v>41639</v>
      </c>
      <c r="I481" s="1" t="s">
        <v>71</v>
      </c>
      <c r="J481">
        <v>4521</v>
      </c>
      <c r="K481">
        <v>0</v>
      </c>
      <c r="L481" s="1" t="s">
        <v>384</v>
      </c>
      <c r="M481" s="1" t="s">
        <v>72</v>
      </c>
      <c r="N481" s="1" t="s">
        <v>134</v>
      </c>
      <c r="O481" s="1" t="s">
        <v>385</v>
      </c>
      <c r="P481" s="1" t="s">
        <v>386</v>
      </c>
      <c r="Q481" s="1" t="s">
        <v>387</v>
      </c>
      <c r="R481">
        <v>103</v>
      </c>
      <c r="S481" s="1" t="s">
        <v>135</v>
      </c>
      <c r="T481" s="1" t="s">
        <v>388</v>
      </c>
      <c r="U481" s="1" t="s">
        <v>135</v>
      </c>
      <c r="V481" s="1"/>
      <c r="W481" s="1"/>
      <c r="X481" s="1"/>
      <c r="Y481" s="1"/>
      <c r="AA481" s="1"/>
      <c r="AC481" s="1"/>
      <c r="AD481" s="1"/>
      <c r="AE481" s="1"/>
      <c r="AN481" s="1"/>
      <c r="AP481" s="1"/>
      <c r="AQ481" s="1"/>
      <c r="AR481" s="1"/>
      <c r="AS481" s="1"/>
      <c r="AT481" s="3"/>
      <c r="AU481" s="3"/>
      <c r="AV481" s="3"/>
      <c r="AW481" s="1"/>
      <c r="AX481" s="1"/>
      <c r="AZ481">
        <v>253</v>
      </c>
      <c r="BA481">
        <v>4654734.66</v>
      </c>
      <c r="BB481" s="1" t="s">
        <v>74</v>
      </c>
      <c r="BC481">
        <v>109</v>
      </c>
      <c r="BD481" s="1" t="s">
        <v>779</v>
      </c>
      <c r="BE481" s="1" t="s">
        <v>99</v>
      </c>
      <c r="BF481">
        <v>0</v>
      </c>
      <c r="BG481" s="1"/>
      <c r="BH481" s="1" t="s">
        <v>450</v>
      </c>
      <c r="BI481">
        <v>5335.79</v>
      </c>
      <c r="BJ481" s="1" t="s">
        <v>1005</v>
      </c>
      <c r="BL481" s="1"/>
      <c r="BN481" s="1"/>
      <c r="BO481">
        <v>599</v>
      </c>
      <c r="BP481">
        <v>4654734.66</v>
      </c>
      <c r="BQ481">
        <v>4654734.66</v>
      </c>
    </row>
    <row r="482" spans="1:69" x14ac:dyDescent="0.35">
      <c r="A482" s="1" t="s">
        <v>68</v>
      </c>
      <c r="B482" s="1" t="s">
        <v>69</v>
      </c>
      <c r="C482" s="1" t="s">
        <v>70</v>
      </c>
      <c r="D482">
        <v>1</v>
      </c>
      <c r="E482">
        <v>1</v>
      </c>
      <c r="F482" s="2">
        <v>43585.43</v>
      </c>
      <c r="G482" s="3">
        <v>41275</v>
      </c>
      <c r="H482" s="3">
        <v>41639</v>
      </c>
      <c r="I482" s="1" t="s">
        <v>71</v>
      </c>
      <c r="J482">
        <v>4521</v>
      </c>
      <c r="K482">
        <v>0</v>
      </c>
      <c r="L482" s="1" t="s">
        <v>384</v>
      </c>
      <c r="M482" s="1" t="s">
        <v>72</v>
      </c>
      <c r="N482" s="1" t="s">
        <v>134</v>
      </c>
      <c r="O482" s="1" t="s">
        <v>385</v>
      </c>
      <c r="P482" s="1" t="s">
        <v>386</v>
      </c>
      <c r="Q482" s="1" t="s">
        <v>387</v>
      </c>
      <c r="R482">
        <v>103</v>
      </c>
      <c r="S482" s="1" t="s">
        <v>135</v>
      </c>
      <c r="T482" s="1" t="s">
        <v>388</v>
      </c>
      <c r="U482" s="1" t="s">
        <v>135</v>
      </c>
      <c r="V482" s="1"/>
      <c r="W482" s="1"/>
      <c r="X482" s="1"/>
      <c r="Y482" s="1"/>
      <c r="AA482" s="1"/>
      <c r="AC482" s="1"/>
      <c r="AD482" s="1"/>
      <c r="AE482" s="1"/>
      <c r="AN482" s="1"/>
      <c r="AP482" s="1"/>
      <c r="AQ482" s="1"/>
      <c r="AR482" s="1"/>
      <c r="AS482" s="1"/>
      <c r="AT482" s="3"/>
      <c r="AU482" s="3"/>
      <c r="AV482" s="3"/>
      <c r="AW482" s="1"/>
      <c r="AX482" s="1"/>
      <c r="AZ482">
        <v>253</v>
      </c>
      <c r="BA482">
        <v>4654734.66</v>
      </c>
      <c r="BB482" s="1" t="s">
        <v>74</v>
      </c>
      <c r="BC482">
        <v>110</v>
      </c>
      <c r="BD482" s="1" t="s">
        <v>779</v>
      </c>
      <c r="BE482" s="1" t="s">
        <v>452</v>
      </c>
      <c r="BF482">
        <v>62.79</v>
      </c>
      <c r="BG482" s="1" t="s">
        <v>1005</v>
      </c>
      <c r="BH482" s="1" t="s">
        <v>99</v>
      </c>
      <c r="BI482">
        <v>0</v>
      </c>
      <c r="BJ482" s="1"/>
      <c r="BL482" s="1"/>
      <c r="BN482" s="1"/>
      <c r="BO482">
        <v>599</v>
      </c>
      <c r="BP482">
        <v>4654734.66</v>
      </c>
      <c r="BQ482">
        <v>4654734.66</v>
      </c>
    </row>
    <row r="483" spans="1:69" x14ac:dyDescent="0.35">
      <c r="A483" s="1" t="s">
        <v>68</v>
      </c>
      <c r="B483" s="1" t="s">
        <v>69</v>
      </c>
      <c r="C483" s="1" t="s">
        <v>70</v>
      </c>
      <c r="D483">
        <v>1</v>
      </c>
      <c r="E483">
        <v>1</v>
      </c>
      <c r="F483" s="2">
        <v>43585.43</v>
      </c>
      <c r="G483" s="3">
        <v>41275</v>
      </c>
      <c r="H483" s="3">
        <v>41639</v>
      </c>
      <c r="I483" s="1" t="s">
        <v>71</v>
      </c>
      <c r="J483">
        <v>4521</v>
      </c>
      <c r="K483">
        <v>0</v>
      </c>
      <c r="L483" s="1" t="s">
        <v>384</v>
      </c>
      <c r="M483" s="1" t="s">
        <v>72</v>
      </c>
      <c r="N483" s="1" t="s">
        <v>134</v>
      </c>
      <c r="O483" s="1" t="s">
        <v>385</v>
      </c>
      <c r="P483" s="1" t="s">
        <v>386</v>
      </c>
      <c r="Q483" s="1" t="s">
        <v>387</v>
      </c>
      <c r="R483">
        <v>103</v>
      </c>
      <c r="S483" s="1" t="s">
        <v>135</v>
      </c>
      <c r="T483" s="1" t="s">
        <v>388</v>
      </c>
      <c r="U483" s="1" t="s">
        <v>135</v>
      </c>
      <c r="V483" s="1"/>
      <c r="W483" s="1"/>
      <c r="X483" s="1"/>
      <c r="Y483" s="1"/>
      <c r="AA483" s="1"/>
      <c r="AC483" s="1"/>
      <c r="AD483" s="1"/>
      <c r="AE483" s="1"/>
      <c r="AN483" s="1"/>
      <c r="AP483" s="1"/>
      <c r="AQ483" s="1"/>
      <c r="AR483" s="1"/>
      <c r="AS483" s="1"/>
      <c r="AT483" s="3"/>
      <c r="AU483" s="3"/>
      <c r="AV483" s="3"/>
      <c r="AW483" s="1"/>
      <c r="AX483" s="1"/>
      <c r="AZ483">
        <v>253</v>
      </c>
      <c r="BA483">
        <v>4654734.66</v>
      </c>
      <c r="BB483" s="1" t="s">
        <v>74</v>
      </c>
      <c r="BC483">
        <v>111</v>
      </c>
      <c r="BD483" s="1" t="s">
        <v>780</v>
      </c>
      <c r="BE483" s="1" t="s">
        <v>470</v>
      </c>
      <c r="BF483">
        <v>561.34</v>
      </c>
      <c r="BG483" s="1" t="s">
        <v>1233</v>
      </c>
      <c r="BH483" s="1" t="s">
        <v>99</v>
      </c>
      <c r="BI483">
        <v>0</v>
      </c>
      <c r="BJ483" s="1"/>
      <c r="BL483" s="1"/>
      <c r="BN483" s="1"/>
      <c r="BO483">
        <v>599</v>
      </c>
      <c r="BP483">
        <v>4654734.66</v>
      </c>
      <c r="BQ483">
        <v>4654734.66</v>
      </c>
    </row>
    <row r="484" spans="1:69" x14ac:dyDescent="0.35">
      <c r="A484" s="1" t="s">
        <v>68</v>
      </c>
      <c r="B484" s="1" t="s">
        <v>69</v>
      </c>
      <c r="C484" s="1" t="s">
        <v>70</v>
      </c>
      <c r="D484">
        <v>1</v>
      </c>
      <c r="E484">
        <v>1</v>
      </c>
      <c r="F484" s="2">
        <v>43585.43</v>
      </c>
      <c r="G484" s="3">
        <v>41275</v>
      </c>
      <c r="H484" s="3">
        <v>41639</v>
      </c>
      <c r="I484" s="1" t="s">
        <v>71</v>
      </c>
      <c r="J484">
        <v>4521</v>
      </c>
      <c r="K484">
        <v>0</v>
      </c>
      <c r="L484" s="1" t="s">
        <v>384</v>
      </c>
      <c r="M484" s="1" t="s">
        <v>72</v>
      </c>
      <c r="N484" s="1" t="s">
        <v>134</v>
      </c>
      <c r="O484" s="1" t="s">
        <v>385</v>
      </c>
      <c r="P484" s="1" t="s">
        <v>386</v>
      </c>
      <c r="Q484" s="1" t="s">
        <v>387</v>
      </c>
      <c r="R484">
        <v>103</v>
      </c>
      <c r="S484" s="1" t="s">
        <v>135</v>
      </c>
      <c r="T484" s="1" t="s">
        <v>388</v>
      </c>
      <c r="U484" s="1" t="s">
        <v>135</v>
      </c>
      <c r="V484" s="1"/>
      <c r="W484" s="1"/>
      <c r="X484" s="1"/>
      <c r="Y484" s="1"/>
      <c r="AA484" s="1"/>
      <c r="AC484" s="1"/>
      <c r="AD484" s="1"/>
      <c r="AE484" s="1"/>
      <c r="AN484" s="1"/>
      <c r="AP484" s="1"/>
      <c r="AQ484" s="1"/>
      <c r="AR484" s="1"/>
      <c r="AS484" s="1"/>
      <c r="AT484" s="3"/>
      <c r="AU484" s="3"/>
      <c r="AV484" s="3"/>
      <c r="AW484" s="1"/>
      <c r="AX484" s="1"/>
      <c r="AZ484">
        <v>253</v>
      </c>
      <c r="BA484">
        <v>4654734.66</v>
      </c>
      <c r="BB484" s="1" t="s">
        <v>74</v>
      </c>
      <c r="BC484">
        <v>112</v>
      </c>
      <c r="BD484" s="1" t="s">
        <v>780</v>
      </c>
      <c r="BE484" s="1" t="s">
        <v>99</v>
      </c>
      <c r="BF484">
        <v>0</v>
      </c>
      <c r="BG484" s="1"/>
      <c r="BH484" s="1" t="s">
        <v>450</v>
      </c>
      <c r="BI484">
        <v>561.34</v>
      </c>
      <c r="BJ484" s="1" t="s">
        <v>1233</v>
      </c>
      <c r="BL484" s="1"/>
      <c r="BN484" s="1"/>
      <c r="BO484">
        <v>599</v>
      </c>
      <c r="BP484">
        <v>4654734.66</v>
      </c>
      <c r="BQ484">
        <v>4654734.66</v>
      </c>
    </row>
    <row r="485" spans="1:69" x14ac:dyDescent="0.35">
      <c r="A485" s="1" t="s">
        <v>68</v>
      </c>
      <c r="B485" s="1" t="s">
        <v>69</v>
      </c>
      <c r="C485" s="1" t="s">
        <v>70</v>
      </c>
      <c r="D485">
        <v>1</v>
      </c>
      <c r="E485">
        <v>1</v>
      </c>
      <c r="F485" s="2">
        <v>43585.43</v>
      </c>
      <c r="G485" s="3">
        <v>41275</v>
      </c>
      <c r="H485" s="3">
        <v>41639</v>
      </c>
      <c r="I485" s="1" t="s">
        <v>71</v>
      </c>
      <c r="J485">
        <v>4521</v>
      </c>
      <c r="K485">
        <v>0</v>
      </c>
      <c r="L485" s="1" t="s">
        <v>384</v>
      </c>
      <c r="M485" s="1" t="s">
        <v>72</v>
      </c>
      <c r="N485" s="1" t="s">
        <v>134</v>
      </c>
      <c r="O485" s="1" t="s">
        <v>385</v>
      </c>
      <c r="P485" s="1" t="s">
        <v>386</v>
      </c>
      <c r="Q485" s="1" t="s">
        <v>387</v>
      </c>
      <c r="R485">
        <v>103</v>
      </c>
      <c r="S485" s="1" t="s">
        <v>135</v>
      </c>
      <c r="T485" s="1" t="s">
        <v>388</v>
      </c>
      <c r="U485" s="1" t="s">
        <v>135</v>
      </c>
      <c r="V485" s="1"/>
      <c r="W485" s="1"/>
      <c r="X485" s="1"/>
      <c r="Y485" s="1"/>
      <c r="AA485" s="1"/>
      <c r="AC485" s="1"/>
      <c r="AD485" s="1"/>
      <c r="AE485" s="1"/>
      <c r="AN485" s="1"/>
      <c r="AP485" s="1"/>
      <c r="AQ485" s="1"/>
      <c r="AR485" s="1"/>
      <c r="AS485" s="1"/>
      <c r="AT485" s="3"/>
      <c r="AU485" s="3"/>
      <c r="AV485" s="3"/>
      <c r="AW485" s="1"/>
      <c r="AX485" s="1"/>
      <c r="AZ485">
        <v>253</v>
      </c>
      <c r="BA485">
        <v>4654734.66</v>
      </c>
      <c r="BB485" s="1" t="s">
        <v>74</v>
      </c>
      <c r="BC485">
        <v>113</v>
      </c>
      <c r="BD485" s="1" t="s">
        <v>781</v>
      </c>
      <c r="BE485" s="1" t="s">
        <v>470</v>
      </c>
      <c r="BF485">
        <v>2237.35</v>
      </c>
      <c r="BG485" s="1" t="s">
        <v>1233</v>
      </c>
      <c r="BH485" s="1" t="s">
        <v>99</v>
      </c>
      <c r="BI485">
        <v>0</v>
      </c>
      <c r="BJ485" s="1"/>
      <c r="BL485" s="1"/>
      <c r="BN485" s="1"/>
      <c r="BO485">
        <v>599</v>
      </c>
      <c r="BP485">
        <v>4654734.66</v>
      </c>
      <c r="BQ485">
        <v>4654734.66</v>
      </c>
    </row>
    <row r="486" spans="1:69" x14ac:dyDescent="0.35">
      <c r="A486" s="1" t="s">
        <v>68</v>
      </c>
      <c r="B486" s="1" t="s">
        <v>69</v>
      </c>
      <c r="C486" s="1" t="s">
        <v>70</v>
      </c>
      <c r="D486">
        <v>1</v>
      </c>
      <c r="E486">
        <v>1</v>
      </c>
      <c r="F486" s="2">
        <v>43585.43</v>
      </c>
      <c r="G486" s="3">
        <v>41275</v>
      </c>
      <c r="H486" s="3">
        <v>41639</v>
      </c>
      <c r="I486" s="1" t="s">
        <v>71</v>
      </c>
      <c r="J486">
        <v>4521</v>
      </c>
      <c r="K486">
        <v>0</v>
      </c>
      <c r="L486" s="1" t="s">
        <v>384</v>
      </c>
      <c r="M486" s="1" t="s">
        <v>72</v>
      </c>
      <c r="N486" s="1" t="s">
        <v>134</v>
      </c>
      <c r="O486" s="1" t="s">
        <v>385</v>
      </c>
      <c r="P486" s="1" t="s">
        <v>386</v>
      </c>
      <c r="Q486" s="1" t="s">
        <v>387</v>
      </c>
      <c r="R486">
        <v>103</v>
      </c>
      <c r="S486" s="1" t="s">
        <v>135</v>
      </c>
      <c r="T486" s="1" t="s">
        <v>388</v>
      </c>
      <c r="U486" s="1" t="s">
        <v>135</v>
      </c>
      <c r="V486" s="1"/>
      <c r="W486" s="1"/>
      <c r="X486" s="1"/>
      <c r="Y486" s="1"/>
      <c r="AA486" s="1"/>
      <c r="AC486" s="1"/>
      <c r="AD486" s="1"/>
      <c r="AE486" s="1"/>
      <c r="AN486" s="1"/>
      <c r="AP486" s="1"/>
      <c r="AQ486" s="1"/>
      <c r="AR486" s="1"/>
      <c r="AS486" s="1"/>
      <c r="AT486" s="3"/>
      <c r="AU486" s="3"/>
      <c r="AV486" s="3"/>
      <c r="AW486" s="1"/>
      <c r="AX486" s="1"/>
      <c r="AZ486">
        <v>253</v>
      </c>
      <c r="BA486">
        <v>4654734.66</v>
      </c>
      <c r="BB486" s="1" t="s">
        <v>74</v>
      </c>
      <c r="BC486">
        <v>114</v>
      </c>
      <c r="BD486" s="1" t="s">
        <v>781</v>
      </c>
      <c r="BE486" s="1" t="s">
        <v>99</v>
      </c>
      <c r="BF486">
        <v>0</v>
      </c>
      <c r="BG486" s="1"/>
      <c r="BH486" s="1" t="s">
        <v>450</v>
      </c>
      <c r="BI486">
        <v>2237.35</v>
      </c>
      <c r="BJ486" s="1" t="s">
        <v>1233</v>
      </c>
      <c r="BL486" s="1"/>
      <c r="BN486" s="1"/>
      <c r="BO486">
        <v>599</v>
      </c>
      <c r="BP486">
        <v>4654734.66</v>
      </c>
      <c r="BQ486">
        <v>4654734.66</v>
      </c>
    </row>
    <row r="487" spans="1:69" x14ac:dyDescent="0.35">
      <c r="A487" s="1" t="s">
        <v>68</v>
      </c>
      <c r="B487" s="1" t="s">
        <v>69</v>
      </c>
      <c r="C487" s="1" t="s">
        <v>70</v>
      </c>
      <c r="D487">
        <v>1</v>
      </c>
      <c r="E487">
        <v>1</v>
      </c>
      <c r="F487" s="2">
        <v>43585.43</v>
      </c>
      <c r="G487" s="3">
        <v>41275</v>
      </c>
      <c r="H487" s="3">
        <v>41639</v>
      </c>
      <c r="I487" s="1" t="s">
        <v>71</v>
      </c>
      <c r="J487">
        <v>4521</v>
      </c>
      <c r="K487">
        <v>0</v>
      </c>
      <c r="L487" s="1" t="s">
        <v>384</v>
      </c>
      <c r="M487" s="1" t="s">
        <v>72</v>
      </c>
      <c r="N487" s="1" t="s">
        <v>134</v>
      </c>
      <c r="O487" s="1" t="s">
        <v>385</v>
      </c>
      <c r="P487" s="1" t="s">
        <v>386</v>
      </c>
      <c r="Q487" s="1" t="s">
        <v>387</v>
      </c>
      <c r="R487">
        <v>103</v>
      </c>
      <c r="S487" s="1" t="s">
        <v>135</v>
      </c>
      <c r="T487" s="1" t="s">
        <v>388</v>
      </c>
      <c r="U487" s="1" t="s">
        <v>135</v>
      </c>
      <c r="V487" s="1"/>
      <c r="W487" s="1"/>
      <c r="X487" s="1"/>
      <c r="Y487" s="1"/>
      <c r="AA487" s="1"/>
      <c r="AC487" s="1"/>
      <c r="AD487" s="1"/>
      <c r="AE487" s="1"/>
      <c r="AN487" s="1"/>
      <c r="AP487" s="1"/>
      <c r="AQ487" s="1"/>
      <c r="AR487" s="1"/>
      <c r="AS487" s="1"/>
      <c r="AT487" s="3"/>
      <c r="AU487" s="3"/>
      <c r="AV487" s="3"/>
      <c r="AW487" s="1"/>
      <c r="AX487" s="1"/>
      <c r="AZ487">
        <v>253</v>
      </c>
      <c r="BA487">
        <v>4654734.66</v>
      </c>
      <c r="BB487" s="1" t="s">
        <v>74</v>
      </c>
      <c r="BC487">
        <v>115</v>
      </c>
      <c r="BD487" s="1" t="s">
        <v>782</v>
      </c>
      <c r="BE487" s="1" t="s">
        <v>484</v>
      </c>
      <c r="BF487">
        <v>264</v>
      </c>
      <c r="BG487" s="1" t="s">
        <v>1006</v>
      </c>
      <c r="BH487" s="1" t="s">
        <v>99</v>
      </c>
      <c r="BI487">
        <v>0</v>
      </c>
      <c r="BJ487" s="1"/>
      <c r="BL487" s="1"/>
      <c r="BN487" s="1"/>
      <c r="BO487">
        <v>599</v>
      </c>
      <c r="BP487">
        <v>4654734.66</v>
      </c>
      <c r="BQ487">
        <v>4654734.66</v>
      </c>
    </row>
    <row r="488" spans="1:69" x14ac:dyDescent="0.35">
      <c r="A488" s="1" t="s">
        <v>68</v>
      </c>
      <c r="B488" s="1" t="s">
        <v>69</v>
      </c>
      <c r="C488" s="1" t="s">
        <v>70</v>
      </c>
      <c r="D488">
        <v>1</v>
      </c>
      <c r="E488">
        <v>1</v>
      </c>
      <c r="F488" s="2">
        <v>43585.43</v>
      </c>
      <c r="G488" s="3">
        <v>41275</v>
      </c>
      <c r="H488" s="3">
        <v>41639</v>
      </c>
      <c r="I488" s="1" t="s">
        <v>71</v>
      </c>
      <c r="J488">
        <v>4521</v>
      </c>
      <c r="K488">
        <v>0</v>
      </c>
      <c r="L488" s="1" t="s">
        <v>384</v>
      </c>
      <c r="M488" s="1" t="s">
        <v>72</v>
      </c>
      <c r="N488" s="1" t="s">
        <v>134</v>
      </c>
      <c r="O488" s="1" t="s">
        <v>385</v>
      </c>
      <c r="P488" s="1" t="s">
        <v>386</v>
      </c>
      <c r="Q488" s="1" t="s">
        <v>387</v>
      </c>
      <c r="R488">
        <v>103</v>
      </c>
      <c r="S488" s="1" t="s">
        <v>135</v>
      </c>
      <c r="T488" s="1" t="s">
        <v>388</v>
      </c>
      <c r="U488" s="1" t="s">
        <v>135</v>
      </c>
      <c r="V488" s="1"/>
      <c r="W488" s="1"/>
      <c r="X488" s="1"/>
      <c r="Y488" s="1"/>
      <c r="AA488" s="1"/>
      <c r="AC488" s="1"/>
      <c r="AD488" s="1"/>
      <c r="AE488" s="1"/>
      <c r="AN488" s="1"/>
      <c r="AP488" s="1"/>
      <c r="AQ488" s="1"/>
      <c r="AR488" s="1"/>
      <c r="AS488" s="1"/>
      <c r="AT488" s="3"/>
      <c r="AU488" s="3"/>
      <c r="AV488" s="3"/>
      <c r="AW488" s="1"/>
      <c r="AX488" s="1"/>
      <c r="AZ488">
        <v>253</v>
      </c>
      <c r="BA488">
        <v>4654734.66</v>
      </c>
      <c r="BB488" s="1" t="s">
        <v>74</v>
      </c>
      <c r="BC488">
        <v>116</v>
      </c>
      <c r="BD488" s="1" t="s">
        <v>782</v>
      </c>
      <c r="BE488" s="1" t="s">
        <v>99</v>
      </c>
      <c r="BF488">
        <v>0</v>
      </c>
      <c r="BG488" s="1"/>
      <c r="BH488" s="1" t="s">
        <v>425</v>
      </c>
      <c r="BI488">
        <v>277.2</v>
      </c>
      <c r="BJ488" s="1" t="s">
        <v>1006</v>
      </c>
      <c r="BL488" s="1"/>
      <c r="BN488" s="1"/>
      <c r="BO488">
        <v>599</v>
      </c>
      <c r="BP488">
        <v>4654734.66</v>
      </c>
      <c r="BQ488">
        <v>4654734.66</v>
      </c>
    </row>
    <row r="489" spans="1:69" x14ac:dyDescent="0.35">
      <c r="A489" s="1" t="s">
        <v>68</v>
      </c>
      <c r="B489" s="1" t="s">
        <v>69</v>
      </c>
      <c r="C489" s="1" t="s">
        <v>70</v>
      </c>
      <c r="D489">
        <v>1</v>
      </c>
      <c r="E489">
        <v>1</v>
      </c>
      <c r="F489" s="2">
        <v>43585.43</v>
      </c>
      <c r="G489" s="3">
        <v>41275</v>
      </c>
      <c r="H489" s="3">
        <v>41639</v>
      </c>
      <c r="I489" s="1" t="s">
        <v>71</v>
      </c>
      <c r="J489">
        <v>4521</v>
      </c>
      <c r="K489">
        <v>0</v>
      </c>
      <c r="L489" s="1" t="s">
        <v>384</v>
      </c>
      <c r="M489" s="1" t="s">
        <v>72</v>
      </c>
      <c r="N489" s="1" t="s">
        <v>134</v>
      </c>
      <c r="O489" s="1" t="s">
        <v>385</v>
      </c>
      <c r="P489" s="1" t="s">
        <v>386</v>
      </c>
      <c r="Q489" s="1" t="s">
        <v>387</v>
      </c>
      <c r="R489">
        <v>103</v>
      </c>
      <c r="S489" s="1" t="s">
        <v>135</v>
      </c>
      <c r="T489" s="1" t="s">
        <v>388</v>
      </c>
      <c r="U489" s="1" t="s">
        <v>135</v>
      </c>
      <c r="V489" s="1"/>
      <c r="W489" s="1"/>
      <c r="X489" s="1"/>
      <c r="Y489" s="1"/>
      <c r="AA489" s="1"/>
      <c r="AC489" s="1"/>
      <c r="AD489" s="1"/>
      <c r="AE489" s="1"/>
      <c r="AN489" s="1"/>
      <c r="AP489" s="1"/>
      <c r="AQ489" s="1"/>
      <c r="AR489" s="1"/>
      <c r="AS489" s="1"/>
      <c r="AT489" s="3"/>
      <c r="AU489" s="3"/>
      <c r="AV489" s="3"/>
      <c r="AW489" s="1"/>
      <c r="AX489" s="1"/>
      <c r="AZ489">
        <v>253</v>
      </c>
      <c r="BA489">
        <v>4654734.66</v>
      </c>
      <c r="BB489" s="1" t="s">
        <v>74</v>
      </c>
      <c r="BC489">
        <v>117</v>
      </c>
      <c r="BD489" s="1" t="s">
        <v>782</v>
      </c>
      <c r="BE489" s="1" t="s">
        <v>452</v>
      </c>
      <c r="BF489">
        <v>13.2</v>
      </c>
      <c r="BG489" s="1" t="s">
        <v>1006</v>
      </c>
      <c r="BH489" s="1" t="s">
        <v>99</v>
      </c>
      <c r="BI489">
        <v>0</v>
      </c>
      <c r="BJ489" s="1"/>
      <c r="BL489" s="1"/>
      <c r="BN489" s="1"/>
      <c r="BO489">
        <v>599</v>
      </c>
      <c r="BP489">
        <v>4654734.66</v>
      </c>
      <c r="BQ489">
        <v>4654734.66</v>
      </c>
    </row>
    <row r="490" spans="1:69" x14ac:dyDescent="0.35">
      <c r="A490" s="1" t="s">
        <v>68</v>
      </c>
      <c r="B490" s="1" t="s">
        <v>69</v>
      </c>
      <c r="C490" s="1" t="s">
        <v>70</v>
      </c>
      <c r="D490">
        <v>1</v>
      </c>
      <c r="E490">
        <v>1</v>
      </c>
      <c r="F490" s="2">
        <v>43585.43</v>
      </c>
      <c r="G490" s="3">
        <v>41275</v>
      </c>
      <c r="H490" s="3">
        <v>41639</v>
      </c>
      <c r="I490" s="1" t="s">
        <v>71</v>
      </c>
      <c r="J490">
        <v>4521</v>
      </c>
      <c r="K490">
        <v>0</v>
      </c>
      <c r="L490" s="1" t="s">
        <v>384</v>
      </c>
      <c r="M490" s="1" t="s">
        <v>72</v>
      </c>
      <c r="N490" s="1" t="s">
        <v>134</v>
      </c>
      <c r="O490" s="1" t="s">
        <v>385</v>
      </c>
      <c r="P490" s="1" t="s">
        <v>386</v>
      </c>
      <c r="Q490" s="1" t="s">
        <v>387</v>
      </c>
      <c r="R490">
        <v>103</v>
      </c>
      <c r="S490" s="1" t="s">
        <v>135</v>
      </c>
      <c r="T490" s="1" t="s">
        <v>388</v>
      </c>
      <c r="U490" s="1" t="s">
        <v>135</v>
      </c>
      <c r="V490" s="1"/>
      <c r="W490" s="1"/>
      <c r="X490" s="1"/>
      <c r="Y490" s="1"/>
      <c r="AA490" s="1"/>
      <c r="AC490" s="1"/>
      <c r="AD490" s="1"/>
      <c r="AE490" s="1"/>
      <c r="AN490" s="1"/>
      <c r="AP490" s="1"/>
      <c r="AQ490" s="1"/>
      <c r="AR490" s="1"/>
      <c r="AS490" s="1"/>
      <c r="AT490" s="3"/>
      <c r="AU490" s="3"/>
      <c r="AV490" s="3"/>
      <c r="AW490" s="1"/>
      <c r="AX490" s="1"/>
      <c r="AZ490">
        <v>253</v>
      </c>
      <c r="BA490">
        <v>4654734.66</v>
      </c>
      <c r="BB490" s="1" t="s">
        <v>74</v>
      </c>
      <c r="BC490">
        <v>118</v>
      </c>
      <c r="BD490" s="1" t="s">
        <v>783</v>
      </c>
      <c r="BE490" s="1" t="s">
        <v>466</v>
      </c>
      <c r="BF490">
        <v>120</v>
      </c>
      <c r="BG490" s="1" t="s">
        <v>982</v>
      </c>
      <c r="BH490" s="1" t="s">
        <v>99</v>
      </c>
      <c r="BI490">
        <v>0</v>
      </c>
      <c r="BJ490" s="1"/>
      <c r="BL490" s="1"/>
      <c r="BN490" s="1"/>
      <c r="BO490">
        <v>599</v>
      </c>
      <c r="BP490">
        <v>4654734.66</v>
      </c>
      <c r="BQ490">
        <v>4654734.66</v>
      </c>
    </row>
    <row r="491" spans="1:69" x14ac:dyDescent="0.35">
      <c r="A491" s="1" t="s">
        <v>68</v>
      </c>
      <c r="B491" s="1" t="s">
        <v>69</v>
      </c>
      <c r="C491" s="1" t="s">
        <v>70</v>
      </c>
      <c r="D491">
        <v>1</v>
      </c>
      <c r="E491">
        <v>1</v>
      </c>
      <c r="F491" s="2">
        <v>43585.43</v>
      </c>
      <c r="G491" s="3">
        <v>41275</v>
      </c>
      <c r="H491" s="3">
        <v>41639</v>
      </c>
      <c r="I491" s="1" t="s">
        <v>71</v>
      </c>
      <c r="J491">
        <v>4521</v>
      </c>
      <c r="K491">
        <v>0</v>
      </c>
      <c r="L491" s="1" t="s">
        <v>384</v>
      </c>
      <c r="M491" s="1" t="s">
        <v>72</v>
      </c>
      <c r="N491" s="1" t="s">
        <v>134</v>
      </c>
      <c r="O491" s="1" t="s">
        <v>385</v>
      </c>
      <c r="P491" s="1" t="s">
        <v>386</v>
      </c>
      <c r="Q491" s="1" t="s">
        <v>387</v>
      </c>
      <c r="R491">
        <v>103</v>
      </c>
      <c r="S491" s="1" t="s">
        <v>135</v>
      </c>
      <c r="T491" s="1" t="s">
        <v>388</v>
      </c>
      <c r="U491" s="1" t="s">
        <v>135</v>
      </c>
      <c r="V491" s="1"/>
      <c r="W491" s="1"/>
      <c r="X491" s="1"/>
      <c r="Y491" s="1"/>
      <c r="AA491" s="1"/>
      <c r="AC491" s="1"/>
      <c r="AD491" s="1"/>
      <c r="AE491" s="1"/>
      <c r="AN491" s="1"/>
      <c r="AP491" s="1"/>
      <c r="AQ491" s="1"/>
      <c r="AR491" s="1"/>
      <c r="AS491" s="1"/>
      <c r="AT491" s="3"/>
      <c r="AU491" s="3"/>
      <c r="AV491" s="3"/>
      <c r="AW491" s="1"/>
      <c r="AX491" s="1"/>
      <c r="AZ491">
        <v>253</v>
      </c>
      <c r="BA491">
        <v>4654734.66</v>
      </c>
      <c r="BB491" s="1" t="s">
        <v>74</v>
      </c>
      <c r="BC491">
        <v>119</v>
      </c>
      <c r="BD491" s="1" t="s">
        <v>783</v>
      </c>
      <c r="BE491" s="1" t="s">
        <v>99</v>
      </c>
      <c r="BF491">
        <v>0</v>
      </c>
      <c r="BG491" s="1"/>
      <c r="BH491" s="1" t="s">
        <v>433</v>
      </c>
      <c r="BI491">
        <v>147.6</v>
      </c>
      <c r="BJ491" s="1" t="s">
        <v>982</v>
      </c>
      <c r="BL491" s="1"/>
      <c r="BN491" s="1"/>
      <c r="BO491">
        <v>599</v>
      </c>
      <c r="BP491">
        <v>4654734.66</v>
      </c>
      <c r="BQ491">
        <v>4654734.66</v>
      </c>
    </row>
    <row r="492" spans="1:69" x14ac:dyDescent="0.35">
      <c r="A492" s="1" t="s">
        <v>68</v>
      </c>
      <c r="B492" s="1" t="s">
        <v>69</v>
      </c>
      <c r="C492" s="1" t="s">
        <v>70</v>
      </c>
      <c r="D492">
        <v>1</v>
      </c>
      <c r="E492">
        <v>1</v>
      </c>
      <c r="F492" s="2">
        <v>43585.43</v>
      </c>
      <c r="G492" s="3">
        <v>41275</v>
      </c>
      <c r="H492" s="3">
        <v>41639</v>
      </c>
      <c r="I492" s="1" t="s">
        <v>71</v>
      </c>
      <c r="J492">
        <v>4521</v>
      </c>
      <c r="K492">
        <v>0</v>
      </c>
      <c r="L492" s="1" t="s">
        <v>384</v>
      </c>
      <c r="M492" s="1" t="s">
        <v>72</v>
      </c>
      <c r="N492" s="1" t="s">
        <v>134</v>
      </c>
      <c r="O492" s="1" t="s">
        <v>385</v>
      </c>
      <c r="P492" s="1" t="s">
        <v>386</v>
      </c>
      <c r="Q492" s="1" t="s">
        <v>387</v>
      </c>
      <c r="R492">
        <v>103</v>
      </c>
      <c r="S492" s="1" t="s">
        <v>135</v>
      </c>
      <c r="T492" s="1" t="s">
        <v>388</v>
      </c>
      <c r="U492" s="1" t="s">
        <v>135</v>
      </c>
      <c r="V492" s="1"/>
      <c r="W492" s="1"/>
      <c r="X492" s="1"/>
      <c r="Y492" s="1"/>
      <c r="AA492" s="1"/>
      <c r="AC492" s="1"/>
      <c r="AD492" s="1"/>
      <c r="AE492" s="1"/>
      <c r="AN492" s="1"/>
      <c r="AP492" s="1"/>
      <c r="AQ492" s="1"/>
      <c r="AR492" s="1"/>
      <c r="AS492" s="1"/>
      <c r="AT492" s="3"/>
      <c r="AU492" s="3"/>
      <c r="AV492" s="3"/>
      <c r="AW492" s="1"/>
      <c r="AX492" s="1"/>
      <c r="AZ492">
        <v>253</v>
      </c>
      <c r="BA492">
        <v>4654734.66</v>
      </c>
      <c r="BB492" s="1" t="s">
        <v>74</v>
      </c>
      <c r="BC492">
        <v>120</v>
      </c>
      <c r="BD492" s="1" t="s">
        <v>783</v>
      </c>
      <c r="BE492" s="1" t="s">
        <v>452</v>
      </c>
      <c r="BF492">
        <v>27.6</v>
      </c>
      <c r="BG492" s="1" t="s">
        <v>982</v>
      </c>
      <c r="BH492" s="1" t="s">
        <v>99</v>
      </c>
      <c r="BI492">
        <v>0</v>
      </c>
      <c r="BJ492" s="1"/>
      <c r="BL492" s="1"/>
      <c r="BN492" s="1"/>
      <c r="BO492">
        <v>599</v>
      </c>
      <c r="BP492">
        <v>4654734.66</v>
      </c>
      <c r="BQ492">
        <v>4654734.66</v>
      </c>
    </row>
    <row r="493" spans="1:69" x14ac:dyDescent="0.35">
      <c r="A493" s="1" t="s">
        <v>68</v>
      </c>
      <c r="B493" s="1" t="s">
        <v>69</v>
      </c>
      <c r="C493" s="1" t="s">
        <v>70</v>
      </c>
      <c r="D493">
        <v>1</v>
      </c>
      <c r="E493">
        <v>1</v>
      </c>
      <c r="F493" s="2">
        <v>43585.43</v>
      </c>
      <c r="G493" s="3">
        <v>41275</v>
      </c>
      <c r="H493" s="3">
        <v>41639</v>
      </c>
      <c r="I493" s="1" t="s">
        <v>71</v>
      </c>
      <c r="J493">
        <v>4521</v>
      </c>
      <c r="K493">
        <v>0</v>
      </c>
      <c r="L493" s="1" t="s">
        <v>384</v>
      </c>
      <c r="M493" s="1" t="s">
        <v>72</v>
      </c>
      <c r="N493" s="1" t="s">
        <v>134</v>
      </c>
      <c r="O493" s="1" t="s">
        <v>385</v>
      </c>
      <c r="P493" s="1" t="s">
        <v>386</v>
      </c>
      <c r="Q493" s="1" t="s">
        <v>387</v>
      </c>
      <c r="R493">
        <v>103</v>
      </c>
      <c r="S493" s="1" t="s">
        <v>135</v>
      </c>
      <c r="T493" s="1" t="s">
        <v>388</v>
      </c>
      <c r="U493" s="1" t="s">
        <v>135</v>
      </c>
      <c r="V493" s="1"/>
      <c r="W493" s="1"/>
      <c r="X493" s="1"/>
      <c r="Y493" s="1"/>
      <c r="AA493" s="1"/>
      <c r="AC493" s="1"/>
      <c r="AD493" s="1"/>
      <c r="AE493" s="1"/>
      <c r="AN493" s="1"/>
      <c r="AP493" s="1"/>
      <c r="AQ493" s="1"/>
      <c r="AR493" s="1"/>
      <c r="AS493" s="1"/>
      <c r="AT493" s="3"/>
      <c r="AU493" s="3"/>
      <c r="AV493" s="3"/>
      <c r="AW493" s="1"/>
      <c r="AX493" s="1"/>
      <c r="AZ493">
        <v>253</v>
      </c>
      <c r="BA493">
        <v>4654734.66</v>
      </c>
      <c r="BB493" s="1" t="s">
        <v>74</v>
      </c>
      <c r="BC493">
        <v>121</v>
      </c>
      <c r="BD493" s="1" t="s">
        <v>784</v>
      </c>
      <c r="BE493" s="1" t="s">
        <v>408</v>
      </c>
      <c r="BF493">
        <v>15537.75</v>
      </c>
      <c r="BG493" s="1" t="s">
        <v>1007</v>
      </c>
      <c r="BH493" s="1" t="s">
        <v>99</v>
      </c>
      <c r="BI493">
        <v>0</v>
      </c>
      <c r="BJ493" s="1"/>
      <c r="BL493" s="1"/>
      <c r="BN493" s="1"/>
      <c r="BO493">
        <v>599</v>
      </c>
      <c r="BP493">
        <v>4654734.66</v>
      </c>
      <c r="BQ493">
        <v>4654734.66</v>
      </c>
    </row>
    <row r="494" spans="1:69" x14ac:dyDescent="0.35">
      <c r="A494" s="1" t="s">
        <v>68</v>
      </c>
      <c r="B494" s="1" t="s">
        <v>69</v>
      </c>
      <c r="C494" s="1" t="s">
        <v>70</v>
      </c>
      <c r="D494">
        <v>1</v>
      </c>
      <c r="E494">
        <v>1</v>
      </c>
      <c r="F494" s="2">
        <v>43585.43</v>
      </c>
      <c r="G494" s="3">
        <v>41275</v>
      </c>
      <c r="H494" s="3">
        <v>41639</v>
      </c>
      <c r="I494" s="1" t="s">
        <v>71</v>
      </c>
      <c r="J494">
        <v>4521</v>
      </c>
      <c r="K494">
        <v>0</v>
      </c>
      <c r="L494" s="1" t="s">
        <v>384</v>
      </c>
      <c r="M494" s="1" t="s">
        <v>72</v>
      </c>
      <c r="N494" s="1" t="s">
        <v>134</v>
      </c>
      <c r="O494" s="1" t="s">
        <v>385</v>
      </c>
      <c r="P494" s="1" t="s">
        <v>386</v>
      </c>
      <c r="Q494" s="1" t="s">
        <v>387</v>
      </c>
      <c r="R494">
        <v>103</v>
      </c>
      <c r="S494" s="1" t="s">
        <v>135</v>
      </c>
      <c r="T494" s="1" t="s">
        <v>388</v>
      </c>
      <c r="U494" s="1" t="s">
        <v>135</v>
      </c>
      <c r="V494" s="1"/>
      <c r="W494" s="1"/>
      <c r="X494" s="1"/>
      <c r="Y494" s="1"/>
      <c r="AA494" s="1"/>
      <c r="AC494" s="1"/>
      <c r="AD494" s="1"/>
      <c r="AE494" s="1"/>
      <c r="AN494" s="1"/>
      <c r="AP494" s="1"/>
      <c r="AQ494" s="1"/>
      <c r="AR494" s="1"/>
      <c r="AS494" s="1"/>
      <c r="AT494" s="3"/>
      <c r="AU494" s="3"/>
      <c r="AV494" s="3"/>
      <c r="AW494" s="1"/>
      <c r="AX494" s="1"/>
      <c r="AZ494">
        <v>253</v>
      </c>
      <c r="BA494">
        <v>4654734.66</v>
      </c>
      <c r="BB494" s="1" t="s">
        <v>74</v>
      </c>
      <c r="BC494">
        <v>122</v>
      </c>
      <c r="BD494" s="1" t="s">
        <v>784</v>
      </c>
      <c r="BE494" s="1" t="s">
        <v>99</v>
      </c>
      <c r="BF494">
        <v>0</v>
      </c>
      <c r="BG494" s="1"/>
      <c r="BH494" s="1" t="s">
        <v>489</v>
      </c>
      <c r="BI494">
        <v>12632.32</v>
      </c>
      <c r="BJ494" s="1" t="s">
        <v>1007</v>
      </c>
      <c r="BL494" s="1"/>
      <c r="BN494" s="1"/>
      <c r="BO494">
        <v>599</v>
      </c>
      <c r="BP494">
        <v>4654734.66</v>
      </c>
      <c r="BQ494">
        <v>4654734.66</v>
      </c>
    </row>
    <row r="495" spans="1:69" x14ac:dyDescent="0.35">
      <c r="A495" s="1" t="s">
        <v>68</v>
      </c>
      <c r="B495" s="1" t="s">
        <v>69</v>
      </c>
      <c r="C495" s="1" t="s">
        <v>70</v>
      </c>
      <c r="D495">
        <v>1</v>
      </c>
      <c r="E495">
        <v>1</v>
      </c>
      <c r="F495" s="2">
        <v>43585.43</v>
      </c>
      <c r="G495" s="3">
        <v>41275</v>
      </c>
      <c r="H495" s="3">
        <v>41639</v>
      </c>
      <c r="I495" s="1" t="s">
        <v>71</v>
      </c>
      <c r="J495">
        <v>4521</v>
      </c>
      <c r="K495">
        <v>0</v>
      </c>
      <c r="L495" s="1" t="s">
        <v>384</v>
      </c>
      <c r="M495" s="1" t="s">
        <v>72</v>
      </c>
      <c r="N495" s="1" t="s">
        <v>134</v>
      </c>
      <c r="O495" s="1" t="s">
        <v>385</v>
      </c>
      <c r="P495" s="1" t="s">
        <v>386</v>
      </c>
      <c r="Q495" s="1" t="s">
        <v>387</v>
      </c>
      <c r="R495">
        <v>103</v>
      </c>
      <c r="S495" s="1" t="s">
        <v>135</v>
      </c>
      <c r="T495" s="1" t="s">
        <v>388</v>
      </c>
      <c r="U495" s="1" t="s">
        <v>135</v>
      </c>
      <c r="V495" s="1"/>
      <c r="W495" s="1"/>
      <c r="X495" s="1"/>
      <c r="Y495" s="1"/>
      <c r="AA495" s="1"/>
      <c r="AC495" s="1"/>
      <c r="AD495" s="1"/>
      <c r="AE495" s="1"/>
      <c r="AN495" s="1"/>
      <c r="AP495" s="1"/>
      <c r="AQ495" s="1"/>
      <c r="AR495" s="1"/>
      <c r="AS495" s="1"/>
      <c r="AT495" s="3"/>
      <c r="AU495" s="3"/>
      <c r="AV495" s="3"/>
      <c r="AW495" s="1"/>
      <c r="AX495" s="1"/>
      <c r="AZ495">
        <v>253</v>
      </c>
      <c r="BA495">
        <v>4654734.66</v>
      </c>
      <c r="BB495" s="1" t="s">
        <v>74</v>
      </c>
      <c r="BC495">
        <v>123</v>
      </c>
      <c r="BD495" s="1" t="s">
        <v>784</v>
      </c>
      <c r="BE495" s="1" t="s">
        <v>99</v>
      </c>
      <c r="BF495">
        <v>0</v>
      </c>
      <c r="BG495" s="1"/>
      <c r="BH495" s="1" t="s">
        <v>451</v>
      </c>
      <c r="BI495">
        <v>2905.43</v>
      </c>
      <c r="BJ495" s="1" t="s">
        <v>1007</v>
      </c>
      <c r="BL495" s="1"/>
      <c r="BN495" s="1"/>
      <c r="BO495">
        <v>599</v>
      </c>
      <c r="BP495">
        <v>4654734.66</v>
      </c>
      <c r="BQ495">
        <v>4654734.66</v>
      </c>
    </row>
    <row r="496" spans="1:69" x14ac:dyDescent="0.35">
      <c r="A496" s="1" t="s">
        <v>68</v>
      </c>
      <c r="B496" s="1" t="s">
        <v>69</v>
      </c>
      <c r="C496" s="1" t="s">
        <v>70</v>
      </c>
      <c r="D496">
        <v>1</v>
      </c>
      <c r="E496">
        <v>1</v>
      </c>
      <c r="F496" s="2">
        <v>43585.43</v>
      </c>
      <c r="G496" s="3">
        <v>41275</v>
      </c>
      <c r="H496" s="3">
        <v>41639</v>
      </c>
      <c r="I496" s="1" t="s">
        <v>71</v>
      </c>
      <c r="J496">
        <v>4521</v>
      </c>
      <c r="K496">
        <v>0</v>
      </c>
      <c r="L496" s="1" t="s">
        <v>384</v>
      </c>
      <c r="M496" s="1" t="s">
        <v>72</v>
      </c>
      <c r="N496" s="1" t="s">
        <v>134</v>
      </c>
      <c r="O496" s="1" t="s">
        <v>385</v>
      </c>
      <c r="P496" s="1" t="s">
        <v>386</v>
      </c>
      <c r="Q496" s="1" t="s">
        <v>387</v>
      </c>
      <c r="R496">
        <v>103</v>
      </c>
      <c r="S496" s="1" t="s">
        <v>135</v>
      </c>
      <c r="T496" s="1" t="s">
        <v>388</v>
      </c>
      <c r="U496" s="1" t="s">
        <v>135</v>
      </c>
      <c r="V496" s="1"/>
      <c r="W496" s="1"/>
      <c r="X496" s="1"/>
      <c r="Y496" s="1"/>
      <c r="AA496" s="1"/>
      <c r="AC496" s="1"/>
      <c r="AD496" s="1"/>
      <c r="AE496" s="1"/>
      <c r="AN496" s="1"/>
      <c r="AP496" s="1"/>
      <c r="AQ496" s="1"/>
      <c r="AR496" s="1"/>
      <c r="AS496" s="1"/>
      <c r="AT496" s="3"/>
      <c r="AU496" s="3"/>
      <c r="AV496" s="3"/>
      <c r="AW496" s="1"/>
      <c r="AX496" s="1"/>
      <c r="AZ496">
        <v>253</v>
      </c>
      <c r="BA496">
        <v>4654734.66</v>
      </c>
      <c r="BB496" s="1" t="s">
        <v>74</v>
      </c>
      <c r="BC496">
        <v>124</v>
      </c>
      <c r="BD496" s="1" t="s">
        <v>785</v>
      </c>
      <c r="BE496" s="1" t="s">
        <v>392</v>
      </c>
      <c r="BF496">
        <v>556.12</v>
      </c>
      <c r="BG496" s="1" t="s">
        <v>1234</v>
      </c>
      <c r="BH496" s="1" t="s">
        <v>99</v>
      </c>
      <c r="BI496">
        <v>0</v>
      </c>
      <c r="BJ496" s="1"/>
      <c r="BL496" s="1"/>
      <c r="BN496" s="1"/>
      <c r="BO496">
        <v>599</v>
      </c>
      <c r="BP496">
        <v>4654734.66</v>
      </c>
      <c r="BQ496">
        <v>4654734.66</v>
      </c>
    </row>
    <row r="497" spans="1:69" x14ac:dyDescent="0.35">
      <c r="A497" s="1" t="s">
        <v>68</v>
      </c>
      <c r="B497" s="1" t="s">
        <v>69</v>
      </c>
      <c r="C497" s="1" t="s">
        <v>70</v>
      </c>
      <c r="D497">
        <v>1</v>
      </c>
      <c r="E497">
        <v>1</v>
      </c>
      <c r="F497" s="2">
        <v>43585.43</v>
      </c>
      <c r="G497" s="3">
        <v>41275</v>
      </c>
      <c r="H497" s="3">
        <v>41639</v>
      </c>
      <c r="I497" s="1" t="s">
        <v>71</v>
      </c>
      <c r="J497">
        <v>4521</v>
      </c>
      <c r="K497">
        <v>0</v>
      </c>
      <c r="L497" s="1" t="s">
        <v>384</v>
      </c>
      <c r="M497" s="1" t="s">
        <v>72</v>
      </c>
      <c r="N497" s="1" t="s">
        <v>134</v>
      </c>
      <c r="O497" s="1" t="s">
        <v>385</v>
      </c>
      <c r="P497" s="1" t="s">
        <v>386</v>
      </c>
      <c r="Q497" s="1" t="s">
        <v>387</v>
      </c>
      <c r="R497">
        <v>103</v>
      </c>
      <c r="S497" s="1" t="s">
        <v>135</v>
      </c>
      <c r="T497" s="1" t="s">
        <v>388</v>
      </c>
      <c r="U497" s="1" t="s">
        <v>135</v>
      </c>
      <c r="V497" s="1"/>
      <c r="W497" s="1"/>
      <c r="X497" s="1"/>
      <c r="Y497" s="1"/>
      <c r="AA497" s="1"/>
      <c r="AC497" s="1"/>
      <c r="AD497" s="1"/>
      <c r="AE497" s="1"/>
      <c r="AN497" s="1"/>
      <c r="AP497" s="1"/>
      <c r="AQ497" s="1"/>
      <c r="AR497" s="1"/>
      <c r="AS497" s="1"/>
      <c r="AT497" s="3"/>
      <c r="AU497" s="3"/>
      <c r="AV497" s="3"/>
      <c r="AW497" s="1"/>
      <c r="AX497" s="1"/>
      <c r="AZ497">
        <v>253</v>
      </c>
      <c r="BA497">
        <v>4654734.66</v>
      </c>
      <c r="BB497" s="1" t="s">
        <v>74</v>
      </c>
      <c r="BC497">
        <v>125</v>
      </c>
      <c r="BD497" s="1" t="s">
        <v>785</v>
      </c>
      <c r="BE497" s="1" t="s">
        <v>99</v>
      </c>
      <c r="BF497">
        <v>0</v>
      </c>
      <c r="BG497" s="1"/>
      <c r="BH497" s="1" t="s">
        <v>453</v>
      </c>
      <c r="BI497">
        <v>556.12</v>
      </c>
      <c r="BJ497" s="1" t="s">
        <v>1234</v>
      </c>
      <c r="BL497" s="1"/>
      <c r="BN497" s="1"/>
      <c r="BO497">
        <v>599</v>
      </c>
      <c r="BP497">
        <v>4654734.66</v>
      </c>
      <c r="BQ497">
        <v>4654734.66</v>
      </c>
    </row>
    <row r="498" spans="1:69" x14ac:dyDescent="0.35">
      <c r="A498" s="1" t="s">
        <v>68</v>
      </c>
      <c r="B498" s="1" t="s">
        <v>69</v>
      </c>
      <c r="C498" s="1" t="s">
        <v>70</v>
      </c>
      <c r="D498">
        <v>1</v>
      </c>
      <c r="E498">
        <v>1</v>
      </c>
      <c r="F498" s="2">
        <v>43585.43</v>
      </c>
      <c r="G498" s="3">
        <v>41275</v>
      </c>
      <c r="H498" s="3">
        <v>41639</v>
      </c>
      <c r="I498" s="1" t="s">
        <v>71</v>
      </c>
      <c r="J498">
        <v>4521</v>
      </c>
      <c r="K498">
        <v>0</v>
      </c>
      <c r="L498" s="1" t="s">
        <v>384</v>
      </c>
      <c r="M498" s="1" t="s">
        <v>72</v>
      </c>
      <c r="N498" s="1" t="s">
        <v>134</v>
      </c>
      <c r="O498" s="1" t="s">
        <v>385</v>
      </c>
      <c r="P498" s="1" t="s">
        <v>386</v>
      </c>
      <c r="Q498" s="1" t="s">
        <v>387</v>
      </c>
      <c r="R498">
        <v>103</v>
      </c>
      <c r="S498" s="1" t="s">
        <v>135</v>
      </c>
      <c r="T498" s="1" t="s">
        <v>388</v>
      </c>
      <c r="U498" s="1" t="s">
        <v>135</v>
      </c>
      <c r="V498" s="1"/>
      <c r="W498" s="1"/>
      <c r="X498" s="1"/>
      <c r="Y498" s="1"/>
      <c r="AA498" s="1"/>
      <c r="AC498" s="1"/>
      <c r="AD498" s="1"/>
      <c r="AE498" s="1"/>
      <c r="AN498" s="1"/>
      <c r="AP498" s="1"/>
      <c r="AQ498" s="1"/>
      <c r="AR498" s="1"/>
      <c r="AS498" s="1"/>
      <c r="AT498" s="3"/>
      <c r="AU498" s="3"/>
      <c r="AV498" s="3"/>
      <c r="AW498" s="1"/>
      <c r="AX498" s="1"/>
      <c r="AZ498">
        <v>253</v>
      </c>
      <c r="BA498">
        <v>4654734.66</v>
      </c>
      <c r="BB498" s="1" t="s">
        <v>74</v>
      </c>
      <c r="BC498">
        <v>126</v>
      </c>
      <c r="BD498" s="1" t="s">
        <v>786</v>
      </c>
      <c r="BE498" s="1" t="s">
        <v>392</v>
      </c>
      <c r="BF498">
        <v>1600</v>
      </c>
      <c r="BG498" s="1" t="s">
        <v>1235</v>
      </c>
      <c r="BH498" s="1" t="s">
        <v>99</v>
      </c>
      <c r="BI498">
        <v>0</v>
      </c>
      <c r="BJ498" s="1"/>
      <c r="BL498" s="1"/>
      <c r="BN498" s="1"/>
      <c r="BO498">
        <v>599</v>
      </c>
      <c r="BP498">
        <v>4654734.66</v>
      </c>
      <c r="BQ498">
        <v>4654734.66</v>
      </c>
    </row>
    <row r="499" spans="1:69" x14ac:dyDescent="0.35">
      <c r="A499" s="1" t="s">
        <v>68</v>
      </c>
      <c r="B499" s="1" t="s">
        <v>69</v>
      </c>
      <c r="C499" s="1" t="s">
        <v>70</v>
      </c>
      <c r="D499">
        <v>1</v>
      </c>
      <c r="E499">
        <v>1</v>
      </c>
      <c r="F499" s="2">
        <v>43585.43</v>
      </c>
      <c r="G499" s="3">
        <v>41275</v>
      </c>
      <c r="H499" s="3">
        <v>41639</v>
      </c>
      <c r="I499" s="1" t="s">
        <v>71</v>
      </c>
      <c r="J499">
        <v>4521</v>
      </c>
      <c r="K499">
        <v>0</v>
      </c>
      <c r="L499" s="1" t="s">
        <v>384</v>
      </c>
      <c r="M499" s="1" t="s">
        <v>72</v>
      </c>
      <c r="N499" s="1" t="s">
        <v>134</v>
      </c>
      <c r="O499" s="1" t="s">
        <v>385</v>
      </c>
      <c r="P499" s="1" t="s">
        <v>386</v>
      </c>
      <c r="Q499" s="1" t="s">
        <v>387</v>
      </c>
      <c r="R499">
        <v>103</v>
      </c>
      <c r="S499" s="1" t="s">
        <v>135</v>
      </c>
      <c r="T499" s="1" t="s">
        <v>388</v>
      </c>
      <c r="U499" s="1" t="s">
        <v>135</v>
      </c>
      <c r="V499" s="1"/>
      <c r="W499" s="1"/>
      <c r="X499" s="1"/>
      <c r="Y499" s="1"/>
      <c r="AA499" s="1"/>
      <c r="AC499" s="1"/>
      <c r="AD499" s="1"/>
      <c r="AE499" s="1"/>
      <c r="AN499" s="1"/>
      <c r="AP499" s="1"/>
      <c r="AQ499" s="1"/>
      <c r="AR499" s="1"/>
      <c r="AS499" s="1"/>
      <c r="AT499" s="3"/>
      <c r="AU499" s="3"/>
      <c r="AV499" s="3"/>
      <c r="AW499" s="1"/>
      <c r="AX499" s="1"/>
      <c r="AZ499">
        <v>253</v>
      </c>
      <c r="BA499">
        <v>4654734.66</v>
      </c>
      <c r="BB499" s="1" t="s">
        <v>74</v>
      </c>
      <c r="BC499">
        <v>127</v>
      </c>
      <c r="BD499" s="1" t="s">
        <v>786</v>
      </c>
      <c r="BE499" s="1" t="s">
        <v>99</v>
      </c>
      <c r="BF499">
        <v>0</v>
      </c>
      <c r="BG499" s="1"/>
      <c r="BH499" s="1" t="s">
        <v>75</v>
      </c>
      <c r="BI499">
        <v>1600</v>
      </c>
      <c r="BJ499" s="1" t="s">
        <v>1235</v>
      </c>
      <c r="BL499" s="1"/>
      <c r="BN499" s="1"/>
      <c r="BO499">
        <v>599</v>
      </c>
      <c r="BP499">
        <v>4654734.66</v>
      </c>
      <c r="BQ499">
        <v>4654734.66</v>
      </c>
    </row>
    <row r="500" spans="1:69" x14ac:dyDescent="0.35">
      <c r="A500" s="1" t="s">
        <v>68</v>
      </c>
      <c r="B500" s="1" t="s">
        <v>69</v>
      </c>
      <c r="C500" s="1" t="s">
        <v>70</v>
      </c>
      <c r="D500">
        <v>1</v>
      </c>
      <c r="E500">
        <v>1</v>
      </c>
      <c r="F500" s="2">
        <v>43585.43</v>
      </c>
      <c r="G500" s="3">
        <v>41275</v>
      </c>
      <c r="H500" s="3">
        <v>41639</v>
      </c>
      <c r="I500" s="1" t="s">
        <v>71</v>
      </c>
      <c r="J500">
        <v>4521</v>
      </c>
      <c r="K500">
        <v>0</v>
      </c>
      <c r="L500" s="1" t="s">
        <v>384</v>
      </c>
      <c r="M500" s="1" t="s">
        <v>72</v>
      </c>
      <c r="N500" s="1" t="s">
        <v>134</v>
      </c>
      <c r="O500" s="1" t="s">
        <v>385</v>
      </c>
      <c r="P500" s="1" t="s">
        <v>386</v>
      </c>
      <c r="Q500" s="1" t="s">
        <v>387</v>
      </c>
      <c r="R500">
        <v>103</v>
      </c>
      <c r="S500" s="1" t="s">
        <v>135</v>
      </c>
      <c r="T500" s="1" t="s">
        <v>388</v>
      </c>
      <c r="U500" s="1" t="s">
        <v>135</v>
      </c>
      <c r="V500" s="1"/>
      <c r="W500" s="1"/>
      <c r="X500" s="1"/>
      <c r="Y500" s="1"/>
      <c r="AA500" s="1"/>
      <c r="AC500" s="1"/>
      <c r="AD500" s="1"/>
      <c r="AE500" s="1"/>
      <c r="AN500" s="1"/>
      <c r="AP500" s="1"/>
      <c r="AQ500" s="1"/>
      <c r="AR500" s="1"/>
      <c r="AS500" s="1"/>
      <c r="AT500" s="3"/>
      <c r="AU500" s="3"/>
      <c r="AV500" s="3"/>
      <c r="AW500" s="1"/>
      <c r="AX500" s="1"/>
      <c r="AZ500">
        <v>253</v>
      </c>
      <c r="BA500">
        <v>4654734.66</v>
      </c>
      <c r="BB500" s="1" t="s">
        <v>74</v>
      </c>
      <c r="BC500">
        <v>128</v>
      </c>
      <c r="BD500" s="1" t="s">
        <v>787</v>
      </c>
      <c r="BE500" s="1" t="s">
        <v>466</v>
      </c>
      <c r="BF500">
        <v>9874</v>
      </c>
      <c r="BG500" s="1" t="s">
        <v>982</v>
      </c>
      <c r="BH500" s="1" t="s">
        <v>99</v>
      </c>
      <c r="BI500">
        <v>0</v>
      </c>
      <c r="BJ500" s="1"/>
      <c r="BL500" s="1"/>
      <c r="BN500" s="1"/>
      <c r="BO500">
        <v>599</v>
      </c>
      <c r="BP500">
        <v>4654734.66</v>
      </c>
      <c r="BQ500">
        <v>4654734.66</v>
      </c>
    </row>
    <row r="501" spans="1:69" x14ac:dyDescent="0.35">
      <c r="A501" s="1" t="s">
        <v>68</v>
      </c>
      <c r="B501" s="1" t="s">
        <v>69</v>
      </c>
      <c r="C501" s="1" t="s">
        <v>70</v>
      </c>
      <c r="D501">
        <v>1</v>
      </c>
      <c r="E501">
        <v>1</v>
      </c>
      <c r="F501" s="2">
        <v>43585.43</v>
      </c>
      <c r="G501" s="3">
        <v>41275</v>
      </c>
      <c r="H501" s="3">
        <v>41639</v>
      </c>
      <c r="I501" s="1" t="s">
        <v>71</v>
      </c>
      <c r="J501">
        <v>4521</v>
      </c>
      <c r="K501">
        <v>0</v>
      </c>
      <c r="L501" s="1" t="s">
        <v>384</v>
      </c>
      <c r="M501" s="1" t="s">
        <v>72</v>
      </c>
      <c r="N501" s="1" t="s">
        <v>134</v>
      </c>
      <c r="O501" s="1" t="s">
        <v>385</v>
      </c>
      <c r="P501" s="1" t="s">
        <v>386</v>
      </c>
      <c r="Q501" s="1" t="s">
        <v>387</v>
      </c>
      <c r="R501">
        <v>103</v>
      </c>
      <c r="S501" s="1" t="s">
        <v>135</v>
      </c>
      <c r="T501" s="1" t="s">
        <v>388</v>
      </c>
      <c r="U501" s="1" t="s">
        <v>135</v>
      </c>
      <c r="V501" s="1"/>
      <c r="W501" s="1"/>
      <c r="X501" s="1"/>
      <c r="Y501" s="1"/>
      <c r="AA501" s="1"/>
      <c r="AC501" s="1"/>
      <c r="AD501" s="1"/>
      <c r="AE501" s="1"/>
      <c r="AN501" s="1"/>
      <c r="AP501" s="1"/>
      <c r="AQ501" s="1"/>
      <c r="AR501" s="1"/>
      <c r="AS501" s="1"/>
      <c r="AT501" s="3"/>
      <c r="AU501" s="3"/>
      <c r="AV501" s="3"/>
      <c r="AW501" s="1"/>
      <c r="AX501" s="1"/>
      <c r="AZ501">
        <v>253</v>
      </c>
      <c r="BA501">
        <v>4654734.66</v>
      </c>
      <c r="BB501" s="1" t="s">
        <v>74</v>
      </c>
      <c r="BC501">
        <v>129</v>
      </c>
      <c r="BD501" s="1" t="s">
        <v>787</v>
      </c>
      <c r="BE501" s="1" t="s">
        <v>99</v>
      </c>
      <c r="BF501">
        <v>0</v>
      </c>
      <c r="BG501" s="1"/>
      <c r="BH501" s="1" t="s">
        <v>424</v>
      </c>
      <c r="BI501">
        <v>12145.02</v>
      </c>
      <c r="BJ501" s="1" t="s">
        <v>982</v>
      </c>
      <c r="BL501" s="1"/>
      <c r="BN501" s="1"/>
      <c r="BO501">
        <v>599</v>
      </c>
      <c r="BP501">
        <v>4654734.66</v>
      </c>
      <c r="BQ501">
        <v>4654734.66</v>
      </c>
    </row>
    <row r="502" spans="1:69" x14ac:dyDescent="0.35">
      <c r="A502" s="1" t="s">
        <v>68</v>
      </c>
      <c r="B502" s="1" t="s">
        <v>69</v>
      </c>
      <c r="C502" s="1" t="s">
        <v>70</v>
      </c>
      <c r="D502">
        <v>1</v>
      </c>
      <c r="E502">
        <v>1</v>
      </c>
      <c r="F502" s="2">
        <v>43585.43</v>
      </c>
      <c r="G502" s="3">
        <v>41275</v>
      </c>
      <c r="H502" s="3">
        <v>41639</v>
      </c>
      <c r="I502" s="1" t="s">
        <v>71</v>
      </c>
      <c r="J502">
        <v>4521</v>
      </c>
      <c r="K502">
        <v>0</v>
      </c>
      <c r="L502" s="1" t="s">
        <v>384</v>
      </c>
      <c r="M502" s="1" t="s">
        <v>72</v>
      </c>
      <c r="N502" s="1" t="s">
        <v>134</v>
      </c>
      <c r="O502" s="1" t="s">
        <v>385</v>
      </c>
      <c r="P502" s="1" t="s">
        <v>386</v>
      </c>
      <c r="Q502" s="1" t="s">
        <v>387</v>
      </c>
      <c r="R502">
        <v>103</v>
      </c>
      <c r="S502" s="1" t="s">
        <v>135</v>
      </c>
      <c r="T502" s="1" t="s">
        <v>388</v>
      </c>
      <c r="U502" s="1" t="s">
        <v>135</v>
      </c>
      <c r="V502" s="1"/>
      <c r="W502" s="1"/>
      <c r="X502" s="1"/>
      <c r="Y502" s="1"/>
      <c r="AA502" s="1"/>
      <c r="AC502" s="1"/>
      <c r="AD502" s="1"/>
      <c r="AE502" s="1"/>
      <c r="AN502" s="1"/>
      <c r="AP502" s="1"/>
      <c r="AQ502" s="1"/>
      <c r="AR502" s="1"/>
      <c r="AS502" s="1"/>
      <c r="AT502" s="3"/>
      <c r="AU502" s="3"/>
      <c r="AV502" s="3"/>
      <c r="AW502" s="1"/>
      <c r="AX502" s="1"/>
      <c r="AZ502">
        <v>253</v>
      </c>
      <c r="BA502">
        <v>4654734.66</v>
      </c>
      <c r="BB502" s="1" t="s">
        <v>74</v>
      </c>
      <c r="BC502">
        <v>130</v>
      </c>
      <c r="BD502" s="1" t="s">
        <v>787</v>
      </c>
      <c r="BE502" s="1" t="s">
        <v>452</v>
      </c>
      <c r="BF502">
        <v>2271.02</v>
      </c>
      <c r="BG502" s="1" t="s">
        <v>982</v>
      </c>
      <c r="BH502" s="1" t="s">
        <v>99</v>
      </c>
      <c r="BI502">
        <v>0</v>
      </c>
      <c r="BJ502" s="1"/>
      <c r="BL502" s="1"/>
      <c r="BN502" s="1"/>
      <c r="BO502">
        <v>599</v>
      </c>
      <c r="BP502">
        <v>4654734.66</v>
      </c>
      <c r="BQ502">
        <v>4654734.66</v>
      </c>
    </row>
    <row r="503" spans="1:69" x14ac:dyDescent="0.35">
      <c r="A503" s="1" t="s">
        <v>68</v>
      </c>
      <c r="B503" s="1" t="s">
        <v>69</v>
      </c>
      <c r="C503" s="1" t="s">
        <v>70</v>
      </c>
      <c r="D503">
        <v>1</v>
      </c>
      <c r="E503">
        <v>1</v>
      </c>
      <c r="F503" s="2">
        <v>43585.43</v>
      </c>
      <c r="G503" s="3">
        <v>41275</v>
      </c>
      <c r="H503" s="3">
        <v>41639</v>
      </c>
      <c r="I503" s="1" t="s">
        <v>71</v>
      </c>
      <c r="J503">
        <v>4521</v>
      </c>
      <c r="K503">
        <v>0</v>
      </c>
      <c r="L503" s="1" t="s">
        <v>384</v>
      </c>
      <c r="M503" s="1" t="s">
        <v>72</v>
      </c>
      <c r="N503" s="1" t="s">
        <v>134</v>
      </c>
      <c r="O503" s="1" t="s">
        <v>385</v>
      </c>
      <c r="P503" s="1" t="s">
        <v>386</v>
      </c>
      <c r="Q503" s="1" t="s">
        <v>387</v>
      </c>
      <c r="R503">
        <v>103</v>
      </c>
      <c r="S503" s="1" t="s">
        <v>135</v>
      </c>
      <c r="T503" s="1" t="s">
        <v>388</v>
      </c>
      <c r="U503" s="1" t="s">
        <v>135</v>
      </c>
      <c r="V503" s="1"/>
      <c r="W503" s="1"/>
      <c r="X503" s="1"/>
      <c r="Y503" s="1"/>
      <c r="AA503" s="1"/>
      <c r="AC503" s="1"/>
      <c r="AD503" s="1"/>
      <c r="AE503" s="1"/>
      <c r="AN503" s="1"/>
      <c r="AP503" s="1"/>
      <c r="AQ503" s="1"/>
      <c r="AR503" s="1"/>
      <c r="AS503" s="1"/>
      <c r="AT503" s="3"/>
      <c r="AU503" s="3"/>
      <c r="AV503" s="3"/>
      <c r="AW503" s="1"/>
      <c r="AX503" s="1"/>
      <c r="AZ503">
        <v>253</v>
      </c>
      <c r="BA503">
        <v>4654734.66</v>
      </c>
      <c r="BB503" s="1" t="s">
        <v>74</v>
      </c>
      <c r="BC503">
        <v>131</v>
      </c>
      <c r="BD503" s="1" t="s">
        <v>788</v>
      </c>
      <c r="BE503" s="1" t="s">
        <v>403</v>
      </c>
      <c r="BF503">
        <v>20.95</v>
      </c>
      <c r="BG503" s="1" t="s">
        <v>1009</v>
      </c>
      <c r="BH503" s="1" t="s">
        <v>99</v>
      </c>
      <c r="BI503">
        <v>0</v>
      </c>
      <c r="BJ503" s="1"/>
      <c r="BL503" s="1"/>
      <c r="BN503" s="1"/>
      <c r="BO503">
        <v>599</v>
      </c>
      <c r="BP503">
        <v>4654734.66</v>
      </c>
      <c r="BQ503">
        <v>4654734.66</v>
      </c>
    </row>
    <row r="504" spans="1:69" x14ac:dyDescent="0.35">
      <c r="A504" s="1" t="s">
        <v>68</v>
      </c>
      <c r="B504" s="1" t="s">
        <v>69</v>
      </c>
      <c r="C504" s="1" t="s">
        <v>70</v>
      </c>
      <c r="D504">
        <v>1</v>
      </c>
      <c r="E504">
        <v>1</v>
      </c>
      <c r="F504" s="2">
        <v>43585.43</v>
      </c>
      <c r="G504" s="3">
        <v>41275</v>
      </c>
      <c r="H504" s="3">
        <v>41639</v>
      </c>
      <c r="I504" s="1" t="s">
        <v>71</v>
      </c>
      <c r="J504">
        <v>4521</v>
      </c>
      <c r="K504">
        <v>0</v>
      </c>
      <c r="L504" s="1" t="s">
        <v>384</v>
      </c>
      <c r="M504" s="1" t="s">
        <v>72</v>
      </c>
      <c r="N504" s="1" t="s">
        <v>134</v>
      </c>
      <c r="O504" s="1" t="s">
        <v>385</v>
      </c>
      <c r="P504" s="1" t="s">
        <v>386</v>
      </c>
      <c r="Q504" s="1" t="s">
        <v>387</v>
      </c>
      <c r="R504">
        <v>103</v>
      </c>
      <c r="S504" s="1" t="s">
        <v>135</v>
      </c>
      <c r="T504" s="1" t="s">
        <v>388</v>
      </c>
      <c r="U504" s="1" t="s">
        <v>135</v>
      </c>
      <c r="V504" s="1"/>
      <c r="W504" s="1"/>
      <c r="X504" s="1"/>
      <c r="Y504" s="1"/>
      <c r="AA504" s="1"/>
      <c r="AC504" s="1"/>
      <c r="AD504" s="1"/>
      <c r="AE504" s="1"/>
      <c r="AN504" s="1"/>
      <c r="AP504" s="1"/>
      <c r="AQ504" s="1"/>
      <c r="AR504" s="1"/>
      <c r="AS504" s="1"/>
      <c r="AT504" s="3"/>
      <c r="AU504" s="3"/>
      <c r="AV504" s="3"/>
      <c r="AW504" s="1"/>
      <c r="AX504" s="1"/>
      <c r="AZ504">
        <v>253</v>
      </c>
      <c r="BA504">
        <v>4654734.66</v>
      </c>
      <c r="BB504" s="1" t="s">
        <v>74</v>
      </c>
      <c r="BC504">
        <v>132</v>
      </c>
      <c r="BD504" s="1" t="s">
        <v>788</v>
      </c>
      <c r="BE504" s="1" t="s">
        <v>99</v>
      </c>
      <c r="BF504">
        <v>0</v>
      </c>
      <c r="BG504" s="1"/>
      <c r="BH504" s="1" t="s">
        <v>392</v>
      </c>
      <c r="BI504">
        <v>20.95</v>
      </c>
      <c r="BJ504" s="1" t="s">
        <v>1009</v>
      </c>
      <c r="BL504" s="1"/>
      <c r="BN504" s="1"/>
      <c r="BO504">
        <v>599</v>
      </c>
      <c r="BP504">
        <v>4654734.66</v>
      </c>
      <c r="BQ504">
        <v>4654734.66</v>
      </c>
    </row>
    <row r="505" spans="1:69" x14ac:dyDescent="0.35">
      <c r="A505" s="1" t="s">
        <v>68</v>
      </c>
      <c r="B505" s="1" t="s">
        <v>69</v>
      </c>
      <c r="C505" s="1" t="s">
        <v>70</v>
      </c>
      <c r="D505">
        <v>1</v>
      </c>
      <c r="E505">
        <v>1</v>
      </c>
      <c r="F505" s="2">
        <v>43585.43</v>
      </c>
      <c r="G505" s="3">
        <v>41275</v>
      </c>
      <c r="H505" s="3">
        <v>41639</v>
      </c>
      <c r="I505" s="1" t="s">
        <v>71</v>
      </c>
      <c r="J505">
        <v>4521</v>
      </c>
      <c r="K505">
        <v>0</v>
      </c>
      <c r="L505" s="1" t="s">
        <v>384</v>
      </c>
      <c r="M505" s="1" t="s">
        <v>72</v>
      </c>
      <c r="N505" s="1" t="s">
        <v>134</v>
      </c>
      <c r="O505" s="1" t="s">
        <v>385</v>
      </c>
      <c r="P505" s="1" t="s">
        <v>386</v>
      </c>
      <c r="Q505" s="1" t="s">
        <v>387</v>
      </c>
      <c r="R505">
        <v>103</v>
      </c>
      <c r="S505" s="1" t="s">
        <v>135</v>
      </c>
      <c r="T505" s="1" t="s">
        <v>388</v>
      </c>
      <c r="U505" s="1" t="s">
        <v>135</v>
      </c>
      <c r="V505" s="1"/>
      <c r="W505" s="1"/>
      <c r="X505" s="1"/>
      <c r="Y505" s="1"/>
      <c r="AA505" s="1"/>
      <c r="AC505" s="1"/>
      <c r="AD505" s="1"/>
      <c r="AE505" s="1"/>
      <c r="AN505" s="1"/>
      <c r="AP505" s="1"/>
      <c r="AQ505" s="1"/>
      <c r="AR505" s="1"/>
      <c r="AS505" s="1"/>
      <c r="AT505" s="3"/>
      <c r="AU505" s="3"/>
      <c r="AV505" s="3"/>
      <c r="AW505" s="1"/>
      <c r="AX505" s="1"/>
      <c r="AZ505">
        <v>253</v>
      </c>
      <c r="BA505">
        <v>4654734.66</v>
      </c>
      <c r="BB505" s="1" t="s">
        <v>74</v>
      </c>
      <c r="BC505">
        <v>133</v>
      </c>
      <c r="BD505" s="1" t="s">
        <v>789</v>
      </c>
      <c r="BE505" s="1" t="s">
        <v>402</v>
      </c>
      <c r="BF505">
        <v>307.5</v>
      </c>
      <c r="BG505" s="1" t="s">
        <v>1010</v>
      </c>
      <c r="BH505" s="1" t="s">
        <v>99</v>
      </c>
      <c r="BI505">
        <v>0</v>
      </c>
      <c r="BJ505" s="1"/>
      <c r="BL505" s="1"/>
      <c r="BN505" s="1"/>
      <c r="BO505">
        <v>599</v>
      </c>
      <c r="BP505">
        <v>4654734.66</v>
      </c>
      <c r="BQ505">
        <v>4654734.66</v>
      </c>
    </row>
    <row r="506" spans="1:69" x14ac:dyDescent="0.35">
      <c r="A506" s="1" t="s">
        <v>68</v>
      </c>
      <c r="B506" s="1" t="s">
        <v>69</v>
      </c>
      <c r="C506" s="1" t="s">
        <v>70</v>
      </c>
      <c r="D506">
        <v>1</v>
      </c>
      <c r="E506">
        <v>1</v>
      </c>
      <c r="F506" s="2">
        <v>43585.43</v>
      </c>
      <c r="G506" s="3">
        <v>41275</v>
      </c>
      <c r="H506" s="3">
        <v>41639</v>
      </c>
      <c r="I506" s="1" t="s">
        <v>71</v>
      </c>
      <c r="J506">
        <v>4521</v>
      </c>
      <c r="K506">
        <v>0</v>
      </c>
      <c r="L506" s="1" t="s">
        <v>384</v>
      </c>
      <c r="M506" s="1" t="s">
        <v>72</v>
      </c>
      <c r="N506" s="1" t="s">
        <v>134</v>
      </c>
      <c r="O506" s="1" t="s">
        <v>385</v>
      </c>
      <c r="P506" s="1" t="s">
        <v>386</v>
      </c>
      <c r="Q506" s="1" t="s">
        <v>387</v>
      </c>
      <c r="R506">
        <v>103</v>
      </c>
      <c r="S506" s="1" t="s">
        <v>135</v>
      </c>
      <c r="T506" s="1" t="s">
        <v>388</v>
      </c>
      <c r="U506" s="1" t="s">
        <v>135</v>
      </c>
      <c r="V506" s="1"/>
      <c r="W506" s="1"/>
      <c r="X506" s="1"/>
      <c r="Y506" s="1"/>
      <c r="AA506" s="1"/>
      <c r="AC506" s="1"/>
      <c r="AD506" s="1"/>
      <c r="AE506" s="1"/>
      <c r="AN506" s="1"/>
      <c r="AP506" s="1"/>
      <c r="AQ506" s="1"/>
      <c r="AR506" s="1"/>
      <c r="AS506" s="1"/>
      <c r="AT506" s="3"/>
      <c r="AU506" s="3"/>
      <c r="AV506" s="3"/>
      <c r="AW506" s="1"/>
      <c r="AX506" s="1"/>
      <c r="AZ506">
        <v>253</v>
      </c>
      <c r="BA506">
        <v>4654734.66</v>
      </c>
      <c r="BB506" s="1" t="s">
        <v>74</v>
      </c>
      <c r="BC506">
        <v>134</v>
      </c>
      <c r="BD506" s="1" t="s">
        <v>789</v>
      </c>
      <c r="BE506" s="1" t="s">
        <v>99</v>
      </c>
      <c r="BF506">
        <v>0</v>
      </c>
      <c r="BG506" s="1"/>
      <c r="BH506" s="1" t="s">
        <v>489</v>
      </c>
      <c r="BI506">
        <v>200</v>
      </c>
      <c r="BJ506" s="1" t="s">
        <v>1010</v>
      </c>
      <c r="BL506" s="1"/>
      <c r="BN506" s="1"/>
      <c r="BO506">
        <v>599</v>
      </c>
      <c r="BP506">
        <v>4654734.66</v>
      </c>
      <c r="BQ506">
        <v>4654734.66</v>
      </c>
    </row>
    <row r="507" spans="1:69" x14ac:dyDescent="0.35">
      <c r="A507" s="1" t="s">
        <v>68</v>
      </c>
      <c r="B507" s="1" t="s">
        <v>69</v>
      </c>
      <c r="C507" s="1" t="s">
        <v>70</v>
      </c>
      <c r="D507">
        <v>1</v>
      </c>
      <c r="E507">
        <v>1</v>
      </c>
      <c r="F507" s="2">
        <v>43585.43</v>
      </c>
      <c r="G507" s="3">
        <v>41275</v>
      </c>
      <c r="H507" s="3">
        <v>41639</v>
      </c>
      <c r="I507" s="1" t="s">
        <v>71</v>
      </c>
      <c r="J507">
        <v>4521</v>
      </c>
      <c r="K507">
        <v>0</v>
      </c>
      <c r="L507" s="1" t="s">
        <v>384</v>
      </c>
      <c r="M507" s="1" t="s">
        <v>72</v>
      </c>
      <c r="N507" s="1" t="s">
        <v>134</v>
      </c>
      <c r="O507" s="1" t="s">
        <v>385</v>
      </c>
      <c r="P507" s="1" t="s">
        <v>386</v>
      </c>
      <c r="Q507" s="1" t="s">
        <v>387</v>
      </c>
      <c r="R507">
        <v>103</v>
      </c>
      <c r="S507" s="1" t="s">
        <v>135</v>
      </c>
      <c r="T507" s="1" t="s">
        <v>388</v>
      </c>
      <c r="U507" s="1" t="s">
        <v>135</v>
      </c>
      <c r="V507" s="1"/>
      <c r="W507" s="1"/>
      <c r="X507" s="1"/>
      <c r="Y507" s="1"/>
      <c r="AA507" s="1"/>
      <c r="AC507" s="1"/>
      <c r="AD507" s="1"/>
      <c r="AE507" s="1"/>
      <c r="AN507" s="1"/>
      <c r="AP507" s="1"/>
      <c r="AQ507" s="1"/>
      <c r="AR507" s="1"/>
      <c r="AS507" s="1"/>
      <c r="AT507" s="3"/>
      <c r="AU507" s="3"/>
      <c r="AV507" s="3"/>
      <c r="AW507" s="1"/>
      <c r="AX507" s="1"/>
      <c r="AZ507">
        <v>253</v>
      </c>
      <c r="BA507">
        <v>4654734.66</v>
      </c>
      <c r="BB507" s="1" t="s">
        <v>74</v>
      </c>
      <c r="BC507">
        <v>135</v>
      </c>
      <c r="BD507" s="1" t="s">
        <v>789</v>
      </c>
      <c r="BE507" s="1" t="s">
        <v>99</v>
      </c>
      <c r="BF507">
        <v>0</v>
      </c>
      <c r="BG507" s="1"/>
      <c r="BH507" s="1" t="s">
        <v>488</v>
      </c>
      <c r="BI507">
        <v>50</v>
      </c>
      <c r="BJ507" s="1" t="s">
        <v>1033</v>
      </c>
      <c r="BL507" s="1"/>
      <c r="BN507" s="1"/>
      <c r="BO507">
        <v>599</v>
      </c>
      <c r="BP507">
        <v>4654734.66</v>
      </c>
      <c r="BQ507">
        <v>4654734.66</v>
      </c>
    </row>
    <row r="508" spans="1:69" x14ac:dyDescent="0.35">
      <c r="A508" s="1" t="s">
        <v>68</v>
      </c>
      <c r="B508" s="1" t="s">
        <v>69</v>
      </c>
      <c r="C508" s="1" t="s">
        <v>70</v>
      </c>
      <c r="D508">
        <v>1</v>
      </c>
      <c r="E508">
        <v>1</v>
      </c>
      <c r="F508" s="2">
        <v>43585.43</v>
      </c>
      <c r="G508" s="3">
        <v>41275</v>
      </c>
      <c r="H508" s="3">
        <v>41639</v>
      </c>
      <c r="I508" s="1" t="s">
        <v>71</v>
      </c>
      <c r="J508">
        <v>4521</v>
      </c>
      <c r="K508">
        <v>0</v>
      </c>
      <c r="L508" s="1" t="s">
        <v>384</v>
      </c>
      <c r="M508" s="1" t="s">
        <v>72</v>
      </c>
      <c r="N508" s="1" t="s">
        <v>134</v>
      </c>
      <c r="O508" s="1" t="s">
        <v>385</v>
      </c>
      <c r="P508" s="1" t="s">
        <v>386</v>
      </c>
      <c r="Q508" s="1" t="s">
        <v>387</v>
      </c>
      <c r="R508">
        <v>103</v>
      </c>
      <c r="S508" s="1" t="s">
        <v>135</v>
      </c>
      <c r="T508" s="1" t="s">
        <v>388</v>
      </c>
      <c r="U508" s="1" t="s">
        <v>135</v>
      </c>
      <c r="V508" s="1"/>
      <c r="W508" s="1"/>
      <c r="X508" s="1"/>
      <c r="Y508" s="1"/>
      <c r="AA508" s="1"/>
      <c r="AC508" s="1"/>
      <c r="AD508" s="1"/>
      <c r="AE508" s="1"/>
      <c r="AN508" s="1"/>
      <c r="AP508" s="1"/>
      <c r="AQ508" s="1"/>
      <c r="AR508" s="1"/>
      <c r="AS508" s="1"/>
      <c r="AT508" s="3"/>
      <c r="AU508" s="3"/>
      <c r="AV508" s="3"/>
      <c r="AW508" s="1"/>
      <c r="AX508" s="1"/>
      <c r="AZ508">
        <v>253</v>
      </c>
      <c r="BA508">
        <v>4654734.66</v>
      </c>
      <c r="BB508" s="1" t="s">
        <v>74</v>
      </c>
      <c r="BC508">
        <v>136</v>
      </c>
      <c r="BD508" s="1" t="s">
        <v>789</v>
      </c>
      <c r="BE508" s="1" t="s">
        <v>99</v>
      </c>
      <c r="BF508">
        <v>0</v>
      </c>
      <c r="BG508" s="1"/>
      <c r="BH508" s="1" t="s">
        <v>451</v>
      </c>
      <c r="BI508">
        <v>57.5</v>
      </c>
      <c r="BJ508" s="1" t="s">
        <v>1010</v>
      </c>
      <c r="BL508" s="1"/>
      <c r="BN508" s="1"/>
      <c r="BO508">
        <v>599</v>
      </c>
      <c r="BP508">
        <v>4654734.66</v>
      </c>
      <c r="BQ508">
        <v>4654734.66</v>
      </c>
    </row>
    <row r="509" spans="1:69" x14ac:dyDescent="0.35">
      <c r="A509" s="1" t="s">
        <v>68</v>
      </c>
      <c r="B509" s="1" t="s">
        <v>69</v>
      </c>
      <c r="C509" s="1" t="s">
        <v>70</v>
      </c>
      <c r="D509">
        <v>1</v>
      </c>
      <c r="E509">
        <v>1</v>
      </c>
      <c r="F509" s="2">
        <v>43585.43</v>
      </c>
      <c r="G509" s="3">
        <v>41275</v>
      </c>
      <c r="H509" s="3">
        <v>41639</v>
      </c>
      <c r="I509" s="1" t="s">
        <v>71</v>
      </c>
      <c r="J509">
        <v>4521</v>
      </c>
      <c r="K509">
        <v>0</v>
      </c>
      <c r="L509" s="1" t="s">
        <v>384</v>
      </c>
      <c r="M509" s="1" t="s">
        <v>72</v>
      </c>
      <c r="N509" s="1" t="s">
        <v>134</v>
      </c>
      <c r="O509" s="1" t="s">
        <v>385</v>
      </c>
      <c r="P509" s="1" t="s">
        <v>386</v>
      </c>
      <c r="Q509" s="1" t="s">
        <v>387</v>
      </c>
      <c r="R509">
        <v>103</v>
      </c>
      <c r="S509" s="1" t="s">
        <v>135</v>
      </c>
      <c r="T509" s="1" t="s">
        <v>388</v>
      </c>
      <c r="U509" s="1" t="s">
        <v>135</v>
      </c>
      <c r="V509" s="1"/>
      <c r="W509" s="1"/>
      <c r="X509" s="1"/>
      <c r="Y509" s="1"/>
      <c r="AA509" s="1"/>
      <c r="AC509" s="1"/>
      <c r="AD509" s="1"/>
      <c r="AE509" s="1"/>
      <c r="AN509" s="1"/>
      <c r="AP509" s="1"/>
      <c r="AQ509" s="1"/>
      <c r="AR509" s="1"/>
      <c r="AS509" s="1"/>
      <c r="AT509" s="3"/>
      <c r="AU509" s="3"/>
      <c r="AV509" s="3"/>
      <c r="AW509" s="1"/>
      <c r="AX509" s="1"/>
      <c r="AZ509">
        <v>253</v>
      </c>
      <c r="BA509">
        <v>4654734.66</v>
      </c>
      <c r="BB509" s="1" t="s">
        <v>74</v>
      </c>
      <c r="BC509">
        <v>137</v>
      </c>
      <c r="BD509" s="1" t="s">
        <v>790</v>
      </c>
      <c r="BE509" s="1" t="s">
        <v>444</v>
      </c>
      <c r="BF509">
        <v>3620</v>
      </c>
      <c r="BG509" s="1" t="s">
        <v>1011</v>
      </c>
      <c r="BH509" s="1" t="s">
        <v>99</v>
      </c>
      <c r="BI509">
        <v>0</v>
      </c>
      <c r="BJ509" s="1"/>
      <c r="BL509" s="1"/>
      <c r="BN509" s="1"/>
      <c r="BO509">
        <v>599</v>
      </c>
      <c r="BP509">
        <v>4654734.66</v>
      </c>
      <c r="BQ509">
        <v>4654734.66</v>
      </c>
    </row>
    <row r="510" spans="1:69" x14ac:dyDescent="0.35">
      <c r="A510" s="1" t="s">
        <v>68</v>
      </c>
      <c r="B510" s="1" t="s">
        <v>69</v>
      </c>
      <c r="C510" s="1" t="s">
        <v>70</v>
      </c>
      <c r="D510">
        <v>1</v>
      </c>
      <c r="E510">
        <v>1</v>
      </c>
      <c r="F510" s="2">
        <v>43585.43</v>
      </c>
      <c r="G510" s="3">
        <v>41275</v>
      </c>
      <c r="H510" s="3">
        <v>41639</v>
      </c>
      <c r="I510" s="1" t="s">
        <v>71</v>
      </c>
      <c r="J510">
        <v>4521</v>
      </c>
      <c r="K510">
        <v>0</v>
      </c>
      <c r="L510" s="1" t="s">
        <v>384</v>
      </c>
      <c r="M510" s="1" t="s">
        <v>72</v>
      </c>
      <c r="N510" s="1" t="s">
        <v>134</v>
      </c>
      <c r="O510" s="1" t="s">
        <v>385</v>
      </c>
      <c r="P510" s="1" t="s">
        <v>386</v>
      </c>
      <c r="Q510" s="1" t="s">
        <v>387</v>
      </c>
      <c r="R510">
        <v>103</v>
      </c>
      <c r="S510" s="1" t="s">
        <v>135</v>
      </c>
      <c r="T510" s="1" t="s">
        <v>388</v>
      </c>
      <c r="U510" s="1" t="s">
        <v>135</v>
      </c>
      <c r="V510" s="1"/>
      <c r="W510" s="1"/>
      <c r="X510" s="1"/>
      <c r="Y510" s="1"/>
      <c r="AA510" s="1"/>
      <c r="AC510" s="1"/>
      <c r="AD510" s="1"/>
      <c r="AE510" s="1"/>
      <c r="AN510" s="1"/>
      <c r="AP510" s="1"/>
      <c r="AQ510" s="1"/>
      <c r="AR510" s="1"/>
      <c r="AS510" s="1"/>
      <c r="AT510" s="3"/>
      <c r="AU510" s="3"/>
      <c r="AV510" s="3"/>
      <c r="AW510" s="1"/>
      <c r="AX510" s="1"/>
      <c r="AZ510">
        <v>253</v>
      </c>
      <c r="BA510">
        <v>4654734.66</v>
      </c>
      <c r="BB510" s="1" t="s">
        <v>74</v>
      </c>
      <c r="BC510">
        <v>138</v>
      </c>
      <c r="BD510" s="1" t="s">
        <v>790</v>
      </c>
      <c r="BE510" s="1" t="s">
        <v>99</v>
      </c>
      <c r="BF510">
        <v>0</v>
      </c>
      <c r="BG510" s="1"/>
      <c r="BH510" s="1" t="s">
        <v>489</v>
      </c>
      <c r="BI510">
        <v>3620</v>
      </c>
      <c r="BJ510" s="1" t="s">
        <v>1011</v>
      </c>
      <c r="BL510" s="1"/>
      <c r="BN510" s="1"/>
      <c r="BO510">
        <v>599</v>
      </c>
      <c r="BP510">
        <v>4654734.66</v>
      </c>
      <c r="BQ510">
        <v>4654734.66</v>
      </c>
    </row>
    <row r="511" spans="1:69" x14ac:dyDescent="0.35">
      <c r="A511" s="1" t="s">
        <v>68</v>
      </c>
      <c r="B511" s="1" t="s">
        <v>69</v>
      </c>
      <c r="C511" s="1" t="s">
        <v>70</v>
      </c>
      <c r="D511">
        <v>1</v>
      </c>
      <c r="E511">
        <v>1</v>
      </c>
      <c r="F511" s="2">
        <v>43585.43</v>
      </c>
      <c r="G511" s="3">
        <v>41275</v>
      </c>
      <c r="H511" s="3">
        <v>41639</v>
      </c>
      <c r="I511" s="1" t="s">
        <v>71</v>
      </c>
      <c r="J511">
        <v>4521</v>
      </c>
      <c r="K511">
        <v>0</v>
      </c>
      <c r="L511" s="1" t="s">
        <v>384</v>
      </c>
      <c r="M511" s="1" t="s">
        <v>72</v>
      </c>
      <c r="N511" s="1" t="s">
        <v>134</v>
      </c>
      <c r="O511" s="1" t="s">
        <v>385</v>
      </c>
      <c r="P511" s="1" t="s">
        <v>386</v>
      </c>
      <c r="Q511" s="1" t="s">
        <v>387</v>
      </c>
      <c r="R511">
        <v>103</v>
      </c>
      <c r="S511" s="1" t="s">
        <v>135</v>
      </c>
      <c r="T511" s="1" t="s">
        <v>388</v>
      </c>
      <c r="U511" s="1" t="s">
        <v>135</v>
      </c>
      <c r="V511" s="1"/>
      <c r="W511" s="1"/>
      <c r="X511" s="1"/>
      <c r="Y511" s="1"/>
      <c r="AA511" s="1"/>
      <c r="AC511" s="1"/>
      <c r="AD511" s="1"/>
      <c r="AE511" s="1"/>
      <c r="AN511" s="1"/>
      <c r="AP511" s="1"/>
      <c r="AQ511" s="1"/>
      <c r="AR511" s="1"/>
      <c r="AS511" s="1"/>
      <c r="AT511" s="3"/>
      <c r="AU511" s="3"/>
      <c r="AV511" s="3"/>
      <c r="AW511" s="1"/>
      <c r="AX511" s="1"/>
      <c r="AZ511">
        <v>253</v>
      </c>
      <c r="BA511">
        <v>4654734.66</v>
      </c>
      <c r="BB511" s="1" t="s">
        <v>74</v>
      </c>
      <c r="BC511">
        <v>139</v>
      </c>
      <c r="BD511" s="1" t="s">
        <v>791</v>
      </c>
      <c r="BE511" s="1" t="s">
        <v>466</v>
      </c>
      <c r="BF511">
        <v>37</v>
      </c>
      <c r="BG511" s="1" t="s">
        <v>1237</v>
      </c>
      <c r="BH511" s="1" t="s">
        <v>99</v>
      </c>
      <c r="BI511">
        <v>0</v>
      </c>
      <c r="BJ511" s="1"/>
      <c r="BL511" s="1"/>
      <c r="BN511" s="1"/>
      <c r="BO511">
        <v>599</v>
      </c>
      <c r="BP511">
        <v>4654734.66</v>
      </c>
      <c r="BQ511">
        <v>4654734.66</v>
      </c>
    </row>
    <row r="512" spans="1:69" x14ac:dyDescent="0.35">
      <c r="A512" s="1" t="s">
        <v>68</v>
      </c>
      <c r="B512" s="1" t="s">
        <v>69</v>
      </c>
      <c r="C512" s="1" t="s">
        <v>70</v>
      </c>
      <c r="D512">
        <v>1</v>
      </c>
      <c r="E512">
        <v>1</v>
      </c>
      <c r="F512" s="2">
        <v>43585.43</v>
      </c>
      <c r="G512" s="3">
        <v>41275</v>
      </c>
      <c r="H512" s="3">
        <v>41639</v>
      </c>
      <c r="I512" s="1" t="s">
        <v>71</v>
      </c>
      <c r="J512">
        <v>4521</v>
      </c>
      <c r="K512">
        <v>0</v>
      </c>
      <c r="L512" s="1" t="s">
        <v>384</v>
      </c>
      <c r="M512" s="1" t="s">
        <v>72</v>
      </c>
      <c r="N512" s="1" t="s">
        <v>134</v>
      </c>
      <c r="O512" s="1" t="s">
        <v>385</v>
      </c>
      <c r="P512" s="1" t="s">
        <v>386</v>
      </c>
      <c r="Q512" s="1" t="s">
        <v>387</v>
      </c>
      <c r="R512">
        <v>103</v>
      </c>
      <c r="S512" s="1" t="s">
        <v>135</v>
      </c>
      <c r="T512" s="1" t="s">
        <v>388</v>
      </c>
      <c r="U512" s="1" t="s">
        <v>135</v>
      </c>
      <c r="V512" s="1"/>
      <c r="W512" s="1"/>
      <c r="X512" s="1"/>
      <c r="Y512" s="1"/>
      <c r="AA512" s="1"/>
      <c r="AC512" s="1"/>
      <c r="AD512" s="1"/>
      <c r="AE512" s="1"/>
      <c r="AN512" s="1"/>
      <c r="AP512" s="1"/>
      <c r="AQ512" s="1"/>
      <c r="AR512" s="1"/>
      <c r="AS512" s="1"/>
      <c r="AT512" s="3"/>
      <c r="AU512" s="3"/>
      <c r="AV512" s="3"/>
      <c r="AW512" s="1"/>
      <c r="AX512" s="1"/>
      <c r="AZ512">
        <v>253</v>
      </c>
      <c r="BA512">
        <v>4654734.66</v>
      </c>
      <c r="BB512" s="1" t="s">
        <v>74</v>
      </c>
      <c r="BC512">
        <v>140</v>
      </c>
      <c r="BD512" s="1" t="s">
        <v>791</v>
      </c>
      <c r="BE512" s="1" t="s">
        <v>99</v>
      </c>
      <c r="BF512">
        <v>0</v>
      </c>
      <c r="BG512" s="1"/>
      <c r="BH512" s="1" t="s">
        <v>432</v>
      </c>
      <c r="BI512">
        <v>45.51</v>
      </c>
      <c r="BJ512" s="1" t="s">
        <v>1237</v>
      </c>
      <c r="BL512" s="1"/>
      <c r="BN512" s="1"/>
      <c r="BO512">
        <v>599</v>
      </c>
      <c r="BP512">
        <v>4654734.66</v>
      </c>
      <c r="BQ512">
        <v>4654734.66</v>
      </c>
    </row>
    <row r="513" spans="1:69" x14ac:dyDescent="0.35">
      <c r="A513" s="1" t="s">
        <v>68</v>
      </c>
      <c r="B513" s="1" t="s">
        <v>69</v>
      </c>
      <c r="C513" s="1" t="s">
        <v>70</v>
      </c>
      <c r="D513">
        <v>1</v>
      </c>
      <c r="E513">
        <v>1</v>
      </c>
      <c r="F513" s="2">
        <v>43585.43</v>
      </c>
      <c r="G513" s="3">
        <v>41275</v>
      </c>
      <c r="H513" s="3">
        <v>41639</v>
      </c>
      <c r="I513" s="1" t="s">
        <v>71</v>
      </c>
      <c r="J513">
        <v>4521</v>
      </c>
      <c r="K513">
        <v>0</v>
      </c>
      <c r="L513" s="1" t="s">
        <v>384</v>
      </c>
      <c r="M513" s="1" t="s">
        <v>72</v>
      </c>
      <c r="N513" s="1" t="s">
        <v>134</v>
      </c>
      <c r="O513" s="1" t="s">
        <v>385</v>
      </c>
      <c r="P513" s="1" t="s">
        <v>386</v>
      </c>
      <c r="Q513" s="1" t="s">
        <v>387</v>
      </c>
      <c r="R513">
        <v>103</v>
      </c>
      <c r="S513" s="1" t="s">
        <v>135</v>
      </c>
      <c r="T513" s="1" t="s">
        <v>388</v>
      </c>
      <c r="U513" s="1" t="s">
        <v>135</v>
      </c>
      <c r="V513" s="1"/>
      <c r="W513" s="1"/>
      <c r="X513" s="1"/>
      <c r="Y513" s="1"/>
      <c r="AA513" s="1"/>
      <c r="AC513" s="1"/>
      <c r="AD513" s="1"/>
      <c r="AE513" s="1"/>
      <c r="AN513" s="1"/>
      <c r="AP513" s="1"/>
      <c r="AQ513" s="1"/>
      <c r="AR513" s="1"/>
      <c r="AS513" s="1"/>
      <c r="AT513" s="3"/>
      <c r="AU513" s="3"/>
      <c r="AV513" s="3"/>
      <c r="AW513" s="1"/>
      <c r="AX513" s="1"/>
      <c r="AZ513">
        <v>253</v>
      </c>
      <c r="BA513">
        <v>4654734.66</v>
      </c>
      <c r="BB513" s="1" t="s">
        <v>74</v>
      </c>
      <c r="BC513">
        <v>141</v>
      </c>
      <c r="BD513" s="1" t="s">
        <v>791</v>
      </c>
      <c r="BE513" s="1" t="s">
        <v>452</v>
      </c>
      <c r="BF513">
        <v>8.51</v>
      </c>
      <c r="BG513" s="1" t="s">
        <v>1237</v>
      </c>
      <c r="BH513" s="1" t="s">
        <v>99</v>
      </c>
      <c r="BI513">
        <v>0</v>
      </c>
      <c r="BJ513" s="1"/>
      <c r="BL513" s="1"/>
      <c r="BN513" s="1"/>
      <c r="BO513">
        <v>599</v>
      </c>
      <c r="BP513">
        <v>4654734.66</v>
      </c>
      <c r="BQ513">
        <v>4654734.66</v>
      </c>
    </row>
    <row r="514" spans="1:69" x14ac:dyDescent="0.35">
      <c r="A514" s="1" t="s">
        <v>68</v>
      </c>
      <c r="B514" s="1" t="s">
        <v>69</v>
      </c>
      <c r="C514" s="1" t="s">
        <v>70</v>
      </c>
      <c r="D514">
        <v>1</v>
      </c>
      <c r="E514">
        <v>1</v>
      </c>
      <c r="F514" s="2">
        <v>43585.43</v>
      </c>
      <c r="G514" s="3">
        <v>41275</v>
      </c>
      <c r="H514" s="3">
        <v>41639</v>
      </c>
      <c r="I514" s="1" t="s">
        <v>71</v>
      </c>
      <c r="J514">
        <v>4521</v>
      </c>
      <c r="K514">
        <v>0</v>
      </c>
      <c r="L514" s="1" t="s">
        <v>384</v>
      </c>
      <c r="M514" s="1" t="s">
        <v>72</v>
      </c>
      <c r="N514" s="1" t="s">
        <v>134</v>
      </c>
      <c r="O514" s="1" t="s">
        <v>385</v>
      </c>
      <c r="P514" s="1" t="s">
        <v>386</v>
      </c>
      <c r="Q514" s="1" t="s">
        <v>387</v>
      </c>
      <c r="R514">
        <v>103</v>
      </c>
      <c r="S514" s="1" t="s">
        <v>135</v>
      </c>
      <c r="T514" s="1" t="s">
        <v>388</v>
      </c>
      <c r="U514" s="1" t="s">
        <v>135</v>
      </c>
      <c r="V514" s="1"/>
      <c r="W514" s="1"/>
      <c r="X514" s="1"/>
      <c r="Y514" s="1"/>
      <c r="AA514" s="1"/>
      <c r="AC514" s="1"/>
      <c r="AD514" s="1"/>
      <c r="AE514" s="1"/>
      <c r="AN514" s="1"/>
      <c r="AP514" s="1"/>
      <c r="AQ514" s="1"/>
      <c r="AR514" s="1"/>
      <c r="AS514" s="1"/>
      <c r="AT514" s="3"/>
      <c r="AU514" s="3"/>
      <c r="AV514" s="3"/>
      <c r="AW514" s="1"/>
      <c r="AX514" s="1"/>
      <c r="AZ514">
        <v>253</v>
      </c>
      <c r="BA514">
        <v>4654734.66</v>
      </c>
      <c r="BB514" s="1" t="s">
        <v>74</v>
      </c>
      <c r="BC514">
        <v>142</v>
      </c>
      <c r="BD514" s="1" t="s">
        <v>792</v>
      </c>
      <c r="BE514" s="1" t="s">
        <v>466</v>
      </c>
      <c r="BF514">
        <v>27300</v>
      </c>
      <c r="BG514" s="1" t="s">
        <v>1013</v>
      </c>
      <c r="BH514" s="1" t="s">
        <v>99</v>
      </c>
      <c r="BI514">
        <v>0</v>
      </c>
      <c r="BJ514" s="1"/>
      <c r="BL514" s="1"/>
      <c r="BN514" s="1"/>
      <c r="BO514">
        <v>599</v>
      </c>
      <c r="BP514">
        <v>4654734.66</v>
      </c>
      <c r="BQ514">
        <v>4654734.66</v>
      </c>
    </row>
    <row r="515" spans="1:69" x14ac:dyDescent="0.35">
      <c r="A515" s="1" t="s">
        <v>68</v>
      </c>
      <c r="B515" s="1" t="s">
        <v>69</v>
      </c>
      <c r="C515" s="1" t="s">
        <v>70</v>
      </c>
      <c r="D515">
        <v>1</v>
      </c>
      <c r="E515">
        <v>1</v>
      </c>
      <c r="F515" s="2">
        <v>43585.43</v>
      </c>
      <c r="G515" s="3">
        <v>41275</v>
      </c>
      <c r="H515" s="3">
        <v>41639</v>
      </c>
      <c r="I515" s="1" t="s">
        <v>71</v>
      </c>
      <c r="J515">
        <v>4521</v>
      </c>
      <c r="K515">
        <v>0</v>
      </c>
      <c r="L515" s="1" t="s">
        <v>384</v>
      </c>
      <c r="M515" s="1" t="s">
        <v>72</v>
      </c>
      <c r="N515" s="1" t="s">
        <v>134</v>
      </c>
      <c r="O515" s="1" t="s">
        <v>385</v>
      </c>
      <c r="P515" s="1" t="s">
        <v>386</v>
      </c>
      <c r="Q515" s="1" t="s">
        <v>387</v>
      </c>
      <c r="R515">
        <v>103</v>
      </c>
      <c r="S515" s="1" t="s">
        <v>135</v>
      </c>
      <c r="T515" s="1" t="s">
        <v>388</v>
      </c>
      <c r="U515" s="1" t="s">
        <v>135</v>
      </c>
      <c r="V515" s="1"/>
      <c r="W515" s="1"/>
      <c r="X515" s="1"/>
      <c r="Y515" s="1"/>
      <c r="AA515" s="1"/>
      <c r="AC515" s="1"/>
      <c r="AD515" s="1"/>
      <c r="AE515" s="1"/>
      <c r="AN515" s="1"/>
      <c r="AP515" s="1"/>
      <c r="AQ515" s="1"/>
      <c r="AR515" s="1"/>
      <c r="AS515" s="1"/>
      <c r="AT515" s="3"/>
      <c r="AU515" s="3"/>
      <c r="AV515" s="3"/>
      <c r="AW515" s="1"/>
      <c r="AX515" s="1"/>
      <c r="AZ515">
        <v>253</v>
      </c>
      <c r="BA515">
        <v>4654734.66</v>
      </c>
      <c r="BB515" s="1" t="s">
        <v>74</v>
      </c>
      <c r="BC515">
        <v>143</v>
      </c>
      <c r="BD515" s="1" t="s">
        <v>792</v>
      </c>
      <c r="BE515" s="1" t="s">
        <v>99</v>
      </c>
      <c r="BF515">
        <v>0</v>
      </c>
      <c r="BG515" s="1"/>
      <c r="BH515" s="1" t="s">
        <v>433</v>
      </c>
      <c r="BI515">
        <v>33579</v>
      </c>
      <c r="BJ515" s="1" t="s">
        <v>1013</v>
      </c>
      <c r="BL515" s="1"/>
      <c r="BN515" s="1"/>
      <c r="BO515">
        <v>599</v>
      </c>
      <c r="BP515">
        <v>4654734.66</v>
      </c>
      <c r="BQ515">
        <v>4654734.66</v>
      </c>
    </row>
    <row r="516" spans="1:69" x14ac:dyDescent="0.35">
      <c r="A516" s="1" t="s">
        <v>68</v>
      </c>
      <c r="B516" s="1" t="s">
        <v>69</v>
      </c>
      <c r="C516" s="1" t="s">
        <v>70</v>
      </c>
      <c r="D516">
        <v>1</v>
      </c>
      <c r="E516">
        <v>1</v>
      </c>
      <c r="F516" s="2">
        <v>43585.43</v>
      </c>
      <c r="G516" s="3">
        <v>41275</v>
      </c>
      <c r="H516" s="3">
        <v>41639</v>
      </c>
      <c r="I516" s="1" t="s">
        <v>71</v>
      </c>
      <c r="J516">
        <v>4521</v>
      </c>
      <c r="K516">
        <v>0</v>
      </c>
      <c r="L516" s="1" t="s">
        <v>384</v>
      </c>
      <c r="M516" s="1" t="s">
        <v>72</v>
      </c>
      <c r="N516" s="1" t="s">
        <v>134</v>
      </c>
      <c r="O516" s="1" t="s">
        <v>385</v>
      </c>
      <c r="P516" s="1" t="s">
        <v>386</v>
      </c>
      <c r="Q516" s="1" t="s">
        <v>387</v>
      </c>
      <c r="R516">
        <v>103</v>
      </c>
      <c r="S516" s="1" t="s">
        <v>135</v>
      </c>
      <c r="T516" s="1" t="s">
        <v>388</v>
      </c>
      <c r="U516" s="1" t="s">
        <v>135</v>
      </c>
      <c r="V516" s="1"/>
      <c r="W516" s="1"/>
      <c r="X516" s="1"/>
      <c r="Y516" s="1"/>
      <c r="AA516" s="1"/>
      <c r="AC516" s="1"/>
      <c r="AD516" s="1"/>
      <c r="AE516" s="1"/>
      <c r="AN516" s="1"/>
      <c r="AP516" s="1"/>
      <c r="AQ516" s="1"/>
      <c r="AR516" s="1"/>
      <c r="AS516" s="1"/>
      <c r="AT516" s="3"/>
      <c r="AU516" s="3"/>
      <c r="AV516" s="3"/>
      <c r="AW516" s="1"/>
      <c r="AX516" s="1"/>
      <c r="AZ516">
        <v>253</v>
      </c>
      <c r="BA516">
        <v>4654734.66</v>
      </c>
      <c r="BB516" s="1" t="s">
        <v>74</v>
      </c>
      <c r="BC516">
        <v>144</v>
      </c>
      <c r="BD516" s="1" t="s">
        <v>792</v>
      </c>
      <c r="BE516" s="1" t="s">
        <v>452</v>
      </c>
      <c r="BF516">
        <v>6279</v>
      </c>
      <c r="BG516" s="1" t="s">
        <v>1013</v>
      </c>
      <c r="BH516" s="1" t="s">
        <v>99</v>
      </c>
      <c r="BI516">
        <v>0</v>
      </c>
      <c r="BJ516" s="1"/>
      <c r="BL516" s="1"/>
      <c r="BN516" s="1"/>
      <c r="BO516">
        <v>599</v>
      </c>
      <c r="BP516">
        <v>4654734.66</v>
      </c>
      <c r="BQ516">
        <v>4654734.66</v>
      </c>
    </row>
    <row r="517" spans="1:69" x14ac:dyDescent="0.35">
      <c r="A517" s="1" t="s">
        <v>68</v>
      </c>
      <c r="B517" s="1" t="s">
        <v>69</v>
      </c>
      <c r="C517" s="1" t="s">
        <v>70</v>
      </c>
      <c r="D517">
        <v>1</v>
      </c>
      <c r="E517">
        <v>1</v>
      </c>
      <c r="F517" s="2">
        <v>43585.43</v>
      </c>
      <c r="G517" s="3">
        <v>41275</v>
      </c>
      <c r="H517" s="3">
        <v>41639</v>
      </c>
      <c r="I517" s="1" t="s">
        <v>71</v>
      </c>
      <c r="J517">
        <v>4521</v>
      </c>
      <c r="K517">
        <v>0</v>
      </c>
      <c r="L517" s="1" t="s">
        <v>384</v>
      </c>
      <c r="M517" s="1" t="s">
        <v>72</v>
      </c>
      <c r="N517" s="1" t="s">
        <v>134</v>
      </c>
      <c r="O517" s="1" t="s">
        <v>385</v>
      </c>
      <c r="P517" s="1" t="s">
        <v>386</v>
      </c>
      <c r="Q517" s="1" t="s">
        <v>387</v>
      </c>
      <c r="R517">
        <v>103</v>
      </c>
      <c r="S517" s="1" t="s">
        <v>135</v>
      </c>
      <c r="T517" s="1" t="s">
        <v>388</v>
      </c>
      <c r="U517" s="1" t="s">
        <v>135</v>
      </c>
      <c r="V517" s="1"/>
      <c r="W517" s="1"/>
      <c r="X517" s="1"/>
      <c r="Y517" s="1"/>
      <c r="AA517" s="1"/>
      <c r="AC517" s="1"/>
      <c r="AD517" s="1"/>
      <c r="AE517" s="1"/>
      <c r="AN517" s="1"/>
      <c r="AP517" s="1"/>
      <c r="AQ517" s="1"/>
      <c r="AR517" s="1"/>
      <c r="AS517" s="1"/>
      <c r="AT517" s="3"/>
      <c r="AU517" s="3"/>
      <c r="AV517" s="3"/>
      <c r="AW517" s="1"/>
      <c r="AX517" s="1"/>
      <c r="AZ517">
        <v>253</v>
      </c>
      <c r="BA517">
        <v>4654734.66</v>
      </c>
      <c r="BB517" s="1" t="s">
        <v>74</v>
      </c>
      <c r="BC517">
        <v>145</v>
      </c>
      <c r="BD517" s="1" t="s">
        <v>793</v>
      </c>
      <c r="BE517" s="1" t="s">
        <v>392</v>
      </c>
      <c r="BF517">
        <v>12000</v>
      </c>
      <c r="BG517" s="1" t="s">
        <v>1228</v>
      </c>
      <c r="BH517" s="1" t="s">
        <v>99</v>
      </c>
      <c r="BI517">
        <v>0</v>
      </c>
      <c r="BJ517" s="1"/>
      <c r="BL517" s="1"/>
      <c r="BN517" s="1"/>
      <c r="BO517">
        <v>599</v>
      </c>
      <c r="BP517">
        <v>4654734.66</v>
      </c>
      <c r="BQ517">
        <v>4654734.66</v>
      </c>
    </row>
    <row r="518" spans="1:69" x14ac:dyDescent="0.35">
      <c r="A518" s="1" t="s">
        <v>68</v>
      </c>
      <c r="B518" s="1" t="s">
        <v>69</v>
      </c>
      <c r="C518" s="1" t="s">
        <v>70</v>
      </c>
      <c r="D518">
        <v>1</v>
      </c>
      <c r="E518">
        <v>1</v>
      </c>
      <c r="F518" s="2">
        <v>43585.43</v>
      </c>
      <c r="G518" s="3">
        <v>41275</v>
      </c>
      <c r="H518" s="3">
        <v>41639</v>
      </c>
      <c r="I518" s="1" t="s">
        <v>71</v>
      </c>
      <c r="J518">
        <v>4521</v>
      </c>
      <c r="K518">
        <v>0</v>
      </c>
      <c r="L518" s="1" t="s">
        <v>384</v>
      </c>
      <c r="M518" s="1" t="s">
        <v>72</v>
      </c>
      <c r="N518" s="1" t="s">
        <v>134</v>
      </c>
      <c r="O518" s="1" t="s">
        <v>385</v>
      </c>
      <c r="P518" s="1" t="s">
        <v>386</v>
      </c>
      <c r="Q518" s="1" t="s">
        <v>387</v>
      </c>
      <c r="R518">
        <v>103</v>
      </c>
      <c r="S518" s="1" t="s">
        <v>135</v>
      </c>
      <c r="T518" s="1" t="s">
        <v>388</v>
      </c>
      <c r="U518" s="1" t="s">
        <v>135</v>
      </c>
      <c r="V518" s="1"/>
      <c r="W518" s="1"/>
      <c r="X518" s="1"/>
      <c r="Y518" s="1"/>
      <c r="AA518" s="1"/>
      <c r="AC518" s="1"/>
      <c r="AD518" s="1"/>
      <c r="AE518" s="1"/>
      <c r="AN518" s="1"/>
      <c r="AP518" s="1"/>
      <c r="AQ518" s="1"/>
      <c r="AR518" s="1"/>
      <c r="AS518" s="1"/>
      <c r="AT518" s="3"/>
      <c r="AU518" s="3"/>
      <c r="AV518" s="3"/>
      <c r="AW518" s="1"/>
      <c r="AX518" s="1"/>
      <c r="AZ518">
        <v>253</v>
      </c>
      <c r="BA518">
        <v>4654734.66</v>
      </c>
      <c r="BB518" s="1" t="s">
        <v>74</v>
      </c>
      <c r="BC518">
        <v>146</v>
      </c>
      <c r="BD518" s="1" t="s">
        <v>793</v>
      </c>
      <c r="BE518" s="1" t="s">
        <v>99</v>
      </c>
      <c r="BF518">
        <v>0</v>
      </c>
      <c r="BG518" s="1"/>
      <c r="BH518" s="1" t="s">
        <v>394</v>
      </c>
      <c r="BI518">
        <v>12000</v>
      </c>
      <c r="BJ518" s="1" t="s">
        <v>1228</v>
      </c>
      <c r="BL518" s="1"/>
      <c r="BN518" s="1"/>
      <c r="BO518">
        <v>599</v>
      </c>
      <c r="BP518">
        <v>4654734.66</v>
      </c>
      <c r="BQ518">
        <v>4654734.66</v>
      </c>
    </row>
    <row r="519" spans="1:69" x14ac:dyDescent="0.35">
      <c r="A519" s="1" t="s">
        <v>68</v>
      </c>
      <c r="B519" s="1" t="s">
        <v>69</v>
      </c>
      <c r="C519" s="1" t="s">
        <v>70</v>
      </c>
      <c r="D519">
        <v>1</v>
      </c>
      <c r="E519">
        <v>1</v>
      </c>
      <c r="F519" s="2">
        <v>43585.43</v>
      </c>
      <c r="G519" s="3">
        <v>41275</v>
      </c>
      <c r="H519" s="3">
        <v>41639</v>
      </c>
      <c r="I519" s="1" t="s">
        <v>71</v>
      </c>
      <c r="J519">
        <v>4521</v>
      </c>
      <c r="K519">
        <v>0</v>
      </c>
      <c r="L519" s="1" t="s">
        <v>384</v>
      </c>
      <c r="M519" s="1" t="s">
        <v>72</v>
      </c>
      <c r="N519" s="1" t="s">
        <v>134</v>
      </c>
      <c r="O519" s="1" t="s">
        <v>385</v>
      </c>
      <c r="P519" s="1" t="s">
        <v>386</v>
      </c>
      <c r="Q519" s="1" t="s">
        <v>387</v>
      </c>
      <c r="R519">
        <v>103</v>
      </c>
      <c r="S519" s="1" t="s">
        <v>135</v>
      </c>
      <c r="T519" s="1" t="s">
        <v>388</v>
      </c>
      <c r="U519" s="1" t="s">
        <v>135</v>
      </c>
      <c r="V519" s="1"/>
      <c r="W519" s="1"/>
      <c r="X519" s="1"/>
      <c r="Y519" s="1"/>
      <c r="AA519" s="1"/>
      <c r="AC519" s="1"/>
      <c r="AD519" s="1"/>
      <c r="AE519" s="1"/>
      <c r="AN519" s="1"/>
      <c r="AP519" s="1"/>
      <c r="AQ519" s="1"/>
      <c r="AR519" s="1"/>
      <c r="AS519" s="1"/>
      <c r="AT519" s="3"/>
      <c r="AU519" s="3"/>
      <c r="AV519" s="3"/>
      <c r="AW519" s="1"/>
      <c r="AX519" s="1"/>
      <c r="AZ519">
        <v>253</v>
      </c>
      <c r="BA519">
        <v>4654734.66</v>
      </c>
      <c r="BB519" s="1" t="s">
        <v>74</v>
      </c>
      <c r="BC519">
        <v>147</v>
      </c>
      <c r="BD519" s="1" t="s">
        <v>794</v>
      </c>
      <c r="BE519" s="1" t="s">
        <v>455</v>
      </c>
      <c r="BF519">
        <v>1500</v>
      </c>
      <c r="BG519" s="1" t="s">
        <v>1238</v>
      </c>
      <c r="BH519" s="1" t="s">
        <v>99</v>
      </c>
      <c r="BI519">
        <v>0</v>
      </c>
      <c r="BJ519" s="1"/>
      <c r="BL519" s="1"/>
      <c r="BN519" s="1"/>
      <c r="BO519">
        <v>599</v>
      </c>
      <c r="BP519">
        <v>4654734.66</v>
      </c>
      <c r="BQ519">
        <v>4654734.66</v>
      </c>
    </row>
    <row r="520" spans="1:69" x14ac:dyDescent="0.35">
      <c r="A520" s="1" t="s">
        <v>68</v>
      </c>
      <c r="B520" s="1" t="s">
        <v>69</v>
      </c>
      <c r="C520" s="1" t="s">
        <v>70</v>
      </c>
      <c r="D520">
        <v>1</v>
      </c>
      <c r="E520">
        <v>1</v>
      </c>
      <c r="F520" s="2">
        <v>43585.43</v>
      </c>
      <c r="G520" s="3">
        <v>41275</v>
      </c>
      <c r="H520" s="3">
        <v>41639</v>
      </c>
      <c r="I520" s="1" t="s">
        <v>71</v>
      </c>
      <c r="J520">
        <v>4521</v>
      </c>
      <c r="K520">
        <v>0</v>
      </c>
      <c r="L520" s="1" t="s">
        <v>384</v>
      </c>
      <c r="M520" s="1" t="s">
        <v>72</v>
      </c>
      <c r="N520" s="1" t="s">
        <v>134</v>
      </c>
      <c r="O520" s="1" t="s">
        <v>385</v>
      </c>
      <c r="P520" s="1" t="s">
        <v>386</v>
      </c>
      <c r="Q520" s="1" t="s">
        <v>387</v>
      </c>
      <c r="R520">
        <v>103</v>
      </c>
      <c r="S520" s="1" t="s">
        <v>135</v>
      </c>
      <c r="T520" s="1" t="s">
        <v>388</v>
      </c>
      <c r="U520" s="1" t="s">
        <v>135</v>
      </c>
      <c r="V520" s="1"/>
      <c r="W520" s="1"/>
      <c r="X520" s="1"/>
      <c r="Y520" s="1"/>
      <c r="AA520" s="1"/>
      <c r="AC520" s="1"/>
      <c r="AD520" s="1"/>
      <c r="AE520" s="1"/>
      <c r="AN520" s="1"/>
      <c r="AP520" s="1"/>
      <c r="AQ520" s="1"/>
      <c r="AR520" s="1"/>
      <c r="AS520" s="1"/>
      <c r="AT520" s="3"/>
      <c r="AU520" s="3"/>
      <c r="AV520" s="3"/>
      <c r="AW520" s="1"/>
      <c r="AX520" s="1"/>
      <c r="AZ520">
        <v>253</v>
      </c>
      <c r="BA520">
        <v>4654734.66</v>
      </c>
      <c r="BB520" s="1" t="s">
        <v>74</v>
      </c>
      <c r="BC520">
        <v>148</v>
      </c>
      <c r="BD520" s="1" t="s">
        <v>794</v>
      </c>
      <c r="BE520" s="1" t="s">
        <v>99</v>
      </c>
      <c r="BF520">
        <v>0</v>
      </c>
      <c r="BG520" s="1"/>
      <c r="BH520" s="1" t="s">
        <v>392</v>
      </c>
      <c r="BI520">
        <v>1500</v>
      </c>
      <c r="BJ520" s="1" t="s">
        <v>1238</v>
      </c>
      <c r="BL520" s="1"/>
      <c r="BN520" s="1"/>
      <c r="BO520">
        <v>599</v>
      </c>
      <c r="BP520">
        <v>4654734.66</v>
      </c>
      <c r="BQ520">
        <v>4654734.66</v>
      </c>
    </row>
    <row r="521" spans="1:69" x14ac:dyDescent="0.35">
      <c r="A521" s="1" t="s">
        <v>68</v>
      </c>
      <c r="B521" s="1" t="s">
        <v>69</v>
      </c>
      <c r="C521" s="1" t="s">
        <v>70</v>
      </c>
      <c r="D521">
        <v>1</v>
      </c>
      <c r="E521">
        <v>1</v>
      </c>
      <c r="F521" s="2">
        <v>43585.43</v>
      </c>
      <c r="G521" s="3">
        <v>41275</v>
      </c>
      <c r="H521" s="3">
        <v>41639</v>
      </c>
      <c r="I521" s="1" t="s">
        <v>71</v>
      </c>
      <c r="J521">
        <v>4521</v>
      </c>
      <c r="K521">
        <v>0</v>
      </c>
      <c r="L521" s="1" t="s">
        <v>384</v>
      </c>
      <c r="M521" s="1" t="s">
        <v>72</v>
      </c>
      <c r="N521" s="1" t="s">
        <v>134</v>
      </c>
      <c r="O521" s="1" t="s">
        <v>385</v>
      </c>
      <c r="P521" s="1" t="s">
        <v>386</v>
      </c>
      <c r="Q521" s="1" t="s">
        <v>387</v>
      </c>
      <c r="R521">
        <v>103</v>
      </c>
      <c r="S521" s="1" t="s">
        <v>135</v>
      </c>
      <c r="T521" s="1" t="s">
        <v>388</v>
      </c>
      <c r="U521" s="1" t="s">
        <v>135</v>
      </c>
      <c r="V521" s="1"/>
      <c r="W521" s="1"/>
      <c r="X521" s="1"/>
      <c r="Y521" s="1"/>
      <c r="AA521" s="1"/>
      <c r="AC521" s="1"/>
      <c r="AD521" s="1"/>
      <c r="AE521" s="1"/>
      <c r="AN521" s="1"/>
      <c r="AP521" s="1"/>
      <c r="AQ521" s="1"/>
      <c r="AR521" s="1"/>
      <c r="AS521" s="1"/>
      <c r="AT521" s="3"/>
      <c r="AU521" s="3"/>
      <c r="AV521" s="3"/>
      <c r="AW521" s="1"/>
      <c r="AX521" s="1"/>
      <c r="AZ521">
        <v>253</v>
      </c>
      <c r="BA521">
        <v>4654734.66</v>
      </c>
      <c r="BB521" s="1" t="s">
        <v>74</v>
      </c>
      <c r="BC521">
        <v>149</v>
      </c>
      <c r="BD521" s="1" t="s">
        <v>795</v>
      </c>
      <c r="BE521" s="1" t="s">
        <v>423</v>
      </c>
      <c r="BF521">
        <v>4500</v>
      </c>
      <c r="BG521" s="1" t="s">
        <v>1239</v>
      </c>
      <c r="BH521" s="1" t="s">
        <v>99</v>
      </c>
      <c r="BI521">
        <v>0</v>
      </c>
      <c r="BJ521" s="1"/>
      <c r="BL521" s="1"/>
      <c r="BN521" s="1"/>
      <c r="BO521">
        <v>599</v>
      </c>
      <c r="BP521">
        <v>4654734.66</v>
      </c>
      <c r="BQ521">
        <v>4654734.66</v>
      </c>
    </row>
    <row r="522" spans="1:69" x14ac:dyDescent="0.35">
      <c r="A522" s="1" t="s">
        <v>68</v>
      </c>
      <c r="B522" s="1" t="s">
        <v>69</v>
      </c>
      <c r="C522" s="1" t="s">
        <v>70</v>
      </c>
      <c r="D522">
        <v>1</v>
      </c>
      <c r="E522">
        <v>1</v>
      </c>
      <c r="F522" s="2">
        <v>43585.43</v>
      </c>
      <c r="G522" s="3">
        <v>41275</v>
      </c>
      <c r="H522" s="3">
        <v>41639</v>
      </c>
      <c r="I522" s="1" t="s">
        <v>71</v>
      </c>
      <c r="J522">
        <v>4521</v>
      </c>
      <c r="K522">
        <v>0</v>
      </c>
      <c r="L522" s="1" t="s">
        <v>384</v>
      </c>
      <c r="M522" s="1" t="s">
        <v>72</v>
      </c>
      <c r="N522" s="1" t="s">
        <v>134</v>
      </c>
      <c r="O522" s="1" t="s">
        <v>385</v>
      </c>
      <c r="P522" s="1" t="s">
        <v>386</v>
      </c>
      <c r="Q522" s="1" t="s">
        <v>387</v>
      </c>
      <c r="R522">
        <v>103</v>
      </c>
      <c r="S522" s="1" t="s">
        <v>135</v>
      </c>
      <c r="T522" s="1" t="s">
        <v>388</v>
      </c>
      <c r="U522" s="1" t="s">
        <v>135</v>
      </c>
      <c r="V522" s="1"/>
      <c r="W522" s="1"/>
      <c r="X522" s="1"/>
      <c r="Y522" s="1"/>
      <c r="AA522" s="1"/>
      <c r="AC522" s="1"/>
      <c r="AD522" s="1"/>
      <c r="AE522" s="1"/>
      <c r="AN522" s="1"/>
      <c r="AP522" s="1"/>
      <c r="AQ522" s="1"/>
      <c r="AR522" s="1"/>
      <c r="AS522" s="1"/>
      <c r="AT522" s="3"/>
      <c r="AU522" s="3"/>
      <c r="AV522" s="3"/>
      <c r="AW522" s="1"/>
      <c r="AX522" s="1"/>
      <c r="AZ522">
        <v>253</v>
      </c>
      <c r="BA522">
        <v>4654734.66</v>
      </c>
      <c r="BB522" s="1" t="s">
        <v>74</v>
      </c>
      <c r="BC522">
        <v>150</v>
      </c>
      <c r="BD522" s="1" t="s">
        <v>795</v>
      </c>
      <c r="BE522" s="1" t="s">
        <v>99</v>
      </c>
      <c r="BF522">
        <v>0</v>
      </c>
      <c r="BG522" s="1"/>
      <c r="BH522" s="1" t="s">
        <v>392</v>
      </c>
      <c r="BI522">
        <v>4500</v>
      </c>
      <c r="BJ522" s="1" t="s">
        <v>1239</v>
      </c>
      <c r="BL522" s="1"/>
      <c r="BN522" s="1"/>
      <c r="BO522">
        <v>599</v>
      </c>
      <c r="BP522">
        <v>4654734.66</v>
      </c>
      <c r="BQ522">
        <v>4654734.66</v>
      </c>
    </row>
    <row r="523" spans="1:69" x14ac:dyDescent="0.35">
      <c r="A523" s="1" t="s">
        <v>68</v>
      </c>
      <c r="B523" s="1" t="s">
        <v>69</v>
      </c>
      <c r="C523" s="1" t="s">
        <v>70</v>
      </c>
      <c r="D523">
        <v>1</v>
      </c>
      <c r="E523">
        <v>1</v>
      </c>
      <c r="F523" s="2">
        <v>43585.43</v>
      </c>
      <c r="G523" s="3">
        <v>41275</v>
      </c>
      <c r="H523" s="3">
        <v>41639</v>
      </c>
      <c r="I523" s="1" t="s">
        <v>71</v>
      </c>
      <c r="J523">
        <v>4521</v>
      </c>
      <c r="K523">
        <v>0</v>
      </c>
      <c r="L523" s="1" t="s">
        <v>384</v>
      </c>
      <c r="M523" s="1" t="s">
        <v>72</v>
      </c>
      <c r="N523" s="1" t="s">
        <v>134</v>
      </c>
      <c r="O523" s="1" t="s">
        <v>385</v>
      </c>
      <c r="P523" s="1" t="s">
        <v>386</v>
      </c>
      <c r="Q523" s="1" t="s">
        <v>387</v>
      </c>
      <c r="R523">
        <v>103</v>
      </c>
      <c r="S523" s="1" t="s">
        <v>135</v>
      </c>
      <c r="T523" s="1" t="s">
        <v>388</v>
      </c>
      <c r="U523" s="1" t="s">
        <v>135</v>
      </c>
      <c r="V523" s="1"/>
      <c r="W523" s="1"/>
      <c r="X523" s="1"/>
      <c r="Y523" s="1"/>
      <c r="AA523" s="1"/>
      <c r="AC523" s="1"/>
      <c r="AD523" s="1"/>
      <c r="AE523" s="1"/>
      <c r="AN523" s="1"/>
      <c r="AP523" s="1"/>
      <c r="AQ523" s="1"/>
      <c r="AR523" s="1"/>
      <c r="AS523" s="1"/>
      <c r="AT523" s="3"/>
      <c r="AU523" s="3"/>
      <c r="AV523" s="3"/>
      <c r="AW523" s="1"/>
      <c r="AX523" s="1"/>
      <c r="AZ523">
        <v>253</v>
      </c>
      <c r="BA523">
        <v>4654734.66</v>
      </c>
      <c r="BB523" s="1" t="s">
        <v>74</v>
      </c>
      <c r="BC523">
        <v>151</v>
      </c>
      <c r="BD523" s="1" t="s">
        <v>796</v>
      </c>
      <c r="BE523" s="1" t="s">
        <v>466</v>
      </c>
      <c r="BF523">
        <v>452</v>
      </c>
      <c r="BG523" s="1" t="s">
        <v>1015</v>
      </c>
      <c r="BH523" s="1" t="s">
        <v>99</v>
      </c>
      <c r="BI523">
        <v>0</v>
      </c>
      <c r="BJ523" s="1"/>
      <c r="BL523" s="1"/>
      <c r="BN523" s="1"/>
      <c r="BO523">
        <v>599</v>
      </c>
      <c r="BP523">
        <v>4654734.66</v>
      </c>
      <c r="BQ523">
        <v>4654734.66</v>
      </c>
    </row>
    <row r="524" spans="1:69" x14ac:dyDescent="0.35">
      <c r="A524" s="1" t="s">
        <v>68</v>
      </c>
      <c r="B524" s="1" t="s">
        <v>69</v>
      </c>
      <c r="C524" s="1" t="s">
        <v>70</v>
      </c>
      <c r="D524">
        <v>1</v>
      </c>
      <c r="E524">
        <v>1</v>
      </c>
      <c r="F524" s="2">
        <v>43585.43</v>
      </c>
      <c r="G524" s="3">
        <v>41275</v>
      </c>
      <c r="H524" s="3">
        <v>41639</v>
      </c>
      <c r="I524" s="1" t="s">
        <v>71</v>
      </c>
      <c r="J524">
        <v>4521</v>
      </c>
      <c r="K524">
        <v>0</v>
      </c>
      <c r="L524" s="1" t="s">
        <v>384</v>
      </c>
      <c r="M524" s="1" t="s">
        <v>72</v>
      </c>
      <c r="N524" s="1" t="s">
        <v>134</v>
      </c>
      <c r="O524" s="1" t="s">
        <v>385</v>
      </c>
      <c r="P524" s="1" t="s">
        <v>386</v>
      </c>
      <c r="Q524" s="1" t="s">
        <v>387</v>
      </c>
      <c r="R524">
        <v>103</v>
      </c>
      <c r="S524" s="1" t="s">
        <v>135</v>
      </c>
      <c r="T524" s="1" t="s">
        <v>388</v>
      </c>
      <c r="U524" s="1" t="s">
        <v>135</v>
      </c>
      <c r="V524" s="1"/>
      <c r="W524" s="1"/>
      <c r="X524" s="1"/>
      <c r="Y524" s="1"/>
      <c r="AA524" s="1"/>
      <c r="AC524" s="1"/>
      <c r="AD524" s="1"/>
      <c r="AE524" s="1"/>
      <c r="AN524" s="1"/>
      <c r="AP524" s="1"/>
      <c r="AQ524" s="1"/>
      <c r="AR524" s="1"/>
      <c r="AS524" s="1"/>
      <c r="AT524" s="3"/>
      <c r="AU524" s="3"/>
      <c r="AV524" s="3"/>
      <c r="AW524" s="1"/>
      <c r="AX524" s="1"/>
      <c r="AZ524">
        <v>253</v>
      </c>
      <c r="BA524">
        <v>4654734.66</v>
      </c>
      <c r="BB524" s="1" t="s">
        <v>74</v>
      </c>
      <c r="BC524">
        <v>152</v>
      </c>
      <c r="BD524" s="1" t="s">
        <v>796</v>
      </c>
      <c r="BE524" s="1" t="s">
        <v>99</v>
      </c>
      <c r="BF524">
        <v>0</v>
      </c>
      <c r="BG524" s="1"/>
      <c r="BH524" s="1" t="s">
        <v>424</v>
      </c>
      <c r="BI524">
        <v>555.96</v>
      </c>
      <c r="BJ524" s="1" t="s">
        <v>1015</v>
      </c>
      <c r="BL524" s="1"/>
      <c r="BN524" s="1"/>
      <c r="BO524">
        <v>599</v>
      </c>
      <c r="BP524">
        <v>4654734.66</v>
      </c>
      <c r="BQ524">
        <v>4654734.66</v>
      </c>
    </row>
    <row r="525" spans="1:69" x14ac:dyDescent="0.35">
      <c r="A525" s="1" t="s">
        <v>68</v>
      </c>
      <c r="B525" s="1" t="s">
        <v>69</v>
      </c>
      <c r="C525" s="1" t="s">
        <v>70</v>
      </c>
      <c r="D525">
        <v>1</v>
      </c>
      <c r="E525">
        <v>1</v>
      </c>
      <c r="F525" s="2">
        <v>43585.43</v>
      </c>
      <c r="G525" s="3">
        <v>41275</v>
      </c>
      <c r="H525" s="3">
        <v>41639</v>
      </c>
      <c r="I525" s="1" t="s">
        <v>71</v>
      </c>
      <c r="J525">
        <v>4521</v>
      </c>
      <c r="K525">
        <v>0</v>
      </c>
      <c r="L525" s="1" t="s">
        <v>384</v>
      </c>
      <c r="M525" s="1" t="s">
        <v>72</v>
      </c>
      <c r="N525" s="1" t="s">
        <v>134</v>
      </c>
      <c r="O525" s="1" t="s">
        <v>385</v>
      </c>
      <c r="P525" s="1" t="s">
        <v>386</v>
      </c>
      <c r="Q525" s="1" t="s">
        <v>387</v>
      </c>
      <c r="R525">
        <v>103</v>
      </c>
      <c r="S525" s="1" t="s">
        <v>135</v>
      </c>
      <c r="T525" s="1" t="s">
        <v>388</v>
      </c>
      <c r="U525" s="1" t="s">
        <v>135</v>
      </c>
      <c r="V525" s="1"/>
      <c r="W525" s="1"/>
      <c r="X525" s="1"/>
      <c r="Y525" s="1"/>
      <c r="AA525" s="1"/>
      <c r="AC525" s="1"/>
      <c r="AD525" s="1"/>
      <c r="AE525" s="1"/>
      <c r="AN525" s="1"/>
      <c r="AP525" s="1"/>
      <c r="AQ525" s="1"/>
      <c r="AR525" s="1"/>
      <c r="AS525" s="1"/>
      <c r="AT525" s="3"/>
      <c r="AU525" s="3"/>
      <c r="AV525" s="3"/>
      <c r="AW525" s="1"/>
      <c r="AX525" s="1"/>
      <c r="AZ525">
        <v>253</v>
      </c>
      <c r="BA525">
        <v>4654734.66</v>
      </c>
      <c r="BB525" s="1" t="s">
        <v>74</v>
      </c>
      <c r="BC525">
        <v>153</v>
      </c>
      <c r="BD525" s="1" t="s">
        <v>796</v>
      </c>
      <c r="BE525" s="1" t="s">
        <v>452</v>
      </c>
      <c r="BF525">
        <v>103.96</v>
      </c>
      <c r="BG525" s="1" t="s">
        <v>1015</v>
      </c>
      <c r="BH525" s="1" t="s">
        <v>99</v>
      </c>
      <c r="BI525">
        <v>0</v>
      </c>
      <c r="BJ525" s="1"/>
      <c r="BL525" s="1"/>
      <c r="BN525" s="1"/>
      <c r="BO525">
        <v>599</v>
      </c>
      <c r="BP525">
        <v>4654734.66</v>
      </c>
      <c r="BQ525">
        <v>4654734.66</v>
      </c>
    </row>
    <row r="526" spans="1:69" x14ac:dyDescent="0.35">
      <c r="A526" s="1" t="s">
        <v>68</v>
      </c>
      <c r="B526" s="1" t="s">
        <v>69</v>
      </c>
      <c r="C526" s="1" t="s">
        <v>70</v>
      </c>
      <c r="D526">
        <v>1</v>
      </c>
      <c r="E526">
        <v>1</v>
      </c>
      <c r="F526" s="2">
        <v>43585.43</v>
      </c>
      <c r="G526" s="3">
        <v>41275</v>
      </c>
      <c r="H526" s="3">
        <v>41639</v>
      </c>
      <c r="I526" s="1" t="s">
        <v>71</v>
      </c>
      <c r="J526">
        <v>4521</v>
      </c>
      <c r="K526">
        <v>0</v>
      </c>
      <c r="L526" s="1" t="s">
        <v>384</v>
      </c>
      <c r="M526" s="1" t="s">
        <v>72</v>
      </c>
      <c r="N526" s="1" t="s">
        <v>134</v>
      </c>
      <c r="O526" s="1" t="s">
        <v>385</v>
      </c>
      <c r="P526" s="1" t="s">
        <v>386</v>
      </c>
      <c r="Q526" s="1" t="s">
        <v>387</v>
      </c>
      <c r="R526">
        <v>103</v>
      </c>
      <c r="S526" s="1" t="s">
        <v>135</v>
      </c>
      <c r="T526" s="1" t="s">
        <v>388</v>
      </c>
      <c r="U526" s="1" t="s">
        <v>135</v>
      </c>
      <c r="V526" s="1"/>
      <c r="W526" s="1"/>
      <c r="X526" s="1"/>
      <c r="Y526" s="1"/>
      <c r="AA526" s="1"/>
      <c r="AC526" s="1"/>
      <c r="AD526" s="1"/>
      <c r="AE526" s="1"/>
      <c r="AN526" s="1"/>
      <c r="AP526" s="1"/>
      <c r="AQ526" s="1"/>
      <c r="AR526" s="1"/>
      <c r="AS526" s="1"/>
      <c r="AT526" s="3"/>
      <c r="AU526" s="3"/>
      <c r="AV526" s="3"/>
      <c r="AW526" s="1"/>
      <c r="AX526" s="1"/>
      <c r="AZ526">
        <v>253</v>
      </c>
      <c r="BA526">
        <v>4654734.66</v>
      </c>
      <c r="BB526" s="1" t="s">
        <v>74</v>
      </c>
      <c r="BC526">
        <v>154</v>
      </c>
      <c r="BD526" s="1" t="s">
        <v>797</v>
      </c>
      <c r="BE526" s="1" t="s">
        <v>413</v>
      </c>
      <c r="BF526">
        <v>688.8</v>
      </c>
      <c r="BG526" s="1" t="s">
        <v>983</v>
      </c>
      <c r="BH526" s="1" t="s">
        <v>99</v>
      </c>
      <c r="BI526">
        <v>0</v>
      </c>
      <c r="BJ526" s="1"/>
      <c r="BL526" s="1"/>
      <c r="BN526" s="1"/>
      <c r="BO526">
        <v>599</v>
      </c>
      <c r="BP526">
        <v>4654734.66</v>
      </c>
      <c r="BQ526">
        <v>4654734.66</v>
      </c>
    </row>
    <row r="527" spans="1:69" x14ac:dyDescent="0.35">
      <c r="A527" s="1" t="s">
        <v>68</v>
      </c>
      <c r="B527" s="1" t="s">
        <v>69</v>
      </c>
      <c r="C527" s="1" t="s">
        <v>70</v>
      </c>
      <c r="D527">
        <v>1</v>
      </c>
      <c r="E527">
        <v>1</v>
      </c>
      <c r="F527" s="2">
        <v>43585.43</v>
      </c>
      <c r="G527" s="3">
        <v>41275</v>
      </c>
      <c r="H527" s="3">
        <v>41639</v>
      </c>
      <c r="I527" s="1" t="s">
        <v>71</v>
      </c>
      <c r="J527">
        <v>4521</v>
      </c>
      <c r="K527">
        <v>0</v>
      </c>
      <c r="L527" s="1" t="s">
        <v>384</v>
      </c>
      <c r="M527" s="1" t="s">
        <v>72</v>
      </c>
      <c r="N527" s="1" t="s">
        <v>134</v>
      </c>
      <c r="O527" s="1" t="s">
        <v>385</v>
      </c>
      <c r="P527" s="1" t="s">
        <v>386</v>
      </c>
      <c r="Q527" s="1" t="s">
        <v>387</v>
      </c>
      <c r="R527">
        <v>103</v>
      </c>
      <c r="S527" s="1" t="s">
        <v>135</v>
      </c>
      <c r="T527" s="1" t="s">
        <v>388</v>
      </c>
      <c r="U527" s="1" t="s">
        <v>135</v>
      </c>
      <c r="V527" s="1"/>
      <c r="W527" s="1"/>
      <c r="X527" s="1"/>
      <c r="Y527" s="1"/>
      <c r="AA527" s="1"/>
      <c r="AC527" s="1"/>
      <c r="AD527" s="1"/>
      <c r="AE527" s="1"/>
      <c r="AN527" s="1"/>
      <c r="AP527" s="1"/>
      <c r="AQ527" s="1"/>
      <c r="AR527" s="1"/>
      <c r="AS527" s="1"/>
      <c r="AT527" s="3"/>
      <c r="AU527" s="3"/>
      <c r="AV527" s="3"/>
      <c r="AW527" s="1"/>
      <c r="AX527" s="1"/>
      <c r="AZ527">
        <v>253</v>
      </c>
      <c r="BA527">
        <v>4654734.66</v>
      </c>
      <c r="BB527" s="1" t="s">
        <v>74</v>
      </c>
      <c r="BC527">
        <v>155</v>
      </c>
      <c r="BD527" s="1" t="s">
        <v>797</v>
      </c>
      <c r="BE527" s="1" t="s">
        <v>99</v>
      </c>
      <c r="BF527">
        <v>0</v>
      </c>
      <c r="BG527" s="1"/>
      <c r="BH527" s="1" t="s">
        <v>489</v>
      </c>
      <c r="BI527">
        <v>560</v>
      </c>
      <c r="BJ527" s="1" t="s">
        <v>983</v>
      </c>
      <c r="BL527" s="1"/>
      <c r="BN527" s="1"/>
      <c r="BO527">
        <v>599</v>
      </c>
      <c r="BP527">
        <v>4654734.66</v>
      </c>
      <c r="BQ527">
        <v>4654734.66</v>
      </c>
    </row>
    <row r="528" spans="1:69" x14ac:dyDescent="0.35">
      <c r="A528" s="1" t="s">
        <v>68</v>
      </c>
      <c r="B528" s="1" t="s">
        <v>69</v>
      </c>
      <c r="C528" s="1" t="s">
        <v>70</v>
      </c>
      <c r="D528">
        <v>1</v>
      </c>
      <c r="E528">
        <v>1</v>
      </c>
      <c r="F528" s="2">
        <v>43585.43</v>
      </c>
      <c r="G528" s="3">
        <v>41275</v>
      </c>
      <c r="H528" s="3">
        <v>41639</v>
      </c>
      <c r="I528" s="1" t="s">
        <v>71</v>
      </c>
      <c r="J528">
        <v>4521</v>
      </c>
      <c r="K528">
        <v>0</v>
      </c>
      <c r="L528" s="1" t="s">
        <v>384</v>
      </c>
      <c r="M528" s="1" t="s">
        <v>72</v>
      </c>
      <c r="N528" s="1" t="s">
        <v>134</v>
      </c>
      <c r="O528" s="1" t="s">
        <v>385</v>
      </c>
      <c r="P528" s="1" t="s">
        <v>386</v>
      </c>
      <c r="Q528" s="1" t="s">
        <v>387</v>
      </c>
      <c r="R528">
        <v>103</v>
      </c>
      <c r="S528" s="1" t="s">
        <v>135</v>
      </c>
      <c r="T528" s="1" t="s">
        <v>388</v>
      </c>
      <c r="U528" s="1" t="s">
        <v>135</v>
      </c>
      <c r="V528" s="1"/>
      <c r="W528" s="1"/>
      <c r="X528" s="1"/>
      <c r="Y528" s="1"/>
      <c r="AA528" s="1"/>
      <c r="AC528" s="1"/>
      <c r="AD528" s="1"/>
      <c r="AE528" s="1"/>
      <c r="AN528" s="1"/>
      <c r="AP528" s="1"/>
      <c r="AQ528" s="1"/>
      <c r="AR528" s="1"/>
      <c r="AS528" s="1"/>
      <c r="AT528" s="3"/>
      <c r="AU528" s="3"/>
      <c r="AV528" s="3"/>
      <c r="AW528" s="1"/>
      <c r="AX528" s="1"/>
      <c r="AZ528">
        <v>253</v>
      </c>
      <c r="BA528">
        <v>4654734.66</v>
      </c>
      <c r="BB528" s="1" t="s">
        <v>74</v>
      </c>
      <c r="BC528">
        <v>156</v>
      </c>
      <c r="BD528" s="1" t="s">
        <v>797</v>
      </c>
      <c r="BE528" s="1" t="s">
        <v>99</v>
      </c>
      <c r="BF528">
        <v>0</v>
      </c>
      <c r="BG528" s="1"/>
      <c r="BH528" s="1" t="s">
        <v>451</v>
      </c>
      <c r="BI528">
        <v>128.80000000000001</v>
      </c>
      <c r="BJ528" s="1" t="s">
        <v>983</v>
      </c>
      <c r="BL528" s="1"/>
      <c r="BN528" s="1"/>
      <c r="BO528">
        <v>599</v>
      </c>
      <c r="BP528">
        <v>4654734.66</v>
      </c>
      <c r="BQ528">
        <v>4654734.66</v>
      </c>
    </row>
    <row r="529" spans="1:69" x14ac:dyDescent="0.35">
      <c r="A529" s="1" t="s">
        <v>68</v>
      </c>
      <c r="B529" s="1" t="s">
        <v>69</v>
      </c>
      <c r="C529" s="1" t="s">
        <v>70</v>
      </c>
      <c r="D529">
        <v>1</v>
      </c>
      <c r="E529">
        <v>1</v>
      </c>
      <c r="F529" s="2">
        <v>43585.43</v>
      </c>
      <c r="G529" s="3">
        <v>41275</v>
      </c>
      <c r="H529" s="3">
        <v>41639</v>
      </c>
      <c r="I529" s="1" t="s">
        <v>71</v>
      </c>
      <c r="J529">
        <v>4521</v>
      </c>
      <c r="K529">
        <v>0</v>
      </c>
      <c r="L529" s="1" t="s">
        <v>384</v>
      </c>
      <c r="M529" s="1" t="s">
        <v>72</v>
      </c>
      <c r="N529" s="1" t="s">
        <v>134</v>
      </c>
      <c r="O529" s="1" t="s">
        <v>385</v>
      </c>
      <c r="P529" s="1" t="s">
        <v>386</v>
      </c>
      <c r="Q529" s="1" t="s">
        <v>387</v>
      </c>
      <c r="R529">
        <v>103</v>
      </c>
      <c r="S529" s="1" t="s">
        <v>135</v>
      </c>
      <c r="T529" s="1" t="s">
        <v>388</v>
      </c>
      <c r="U529" s="1" t="s">
        <v>135</v>
      </c>
      <c r="V529" s="1"/>
      <c r="W529" s="1"/>
      <c r="X529" s="1"/>
      <c r="Y529" s="1"/>
      <c r="AA529" s="1"/>
      <c r="AC529" s="1"/>
      <c r="AD529" s="1"/>
      <c r="AE529" s="1"/>
      <c r="AN529" s="1"/>
      <c r="AP529" s="1"/>
      <c r="AQ529" s="1"/>
      <c r="AR529" s="1"/>
      <c r="AS529" s="1"/>
      <c r="AT529" s="3"/>
      <c r="AU529" s="3"/>
      <c r="AV529" s="3"/>
      <c r="AW529" s="1"/>
      <c r="AX529" s="1"/>
      <c r="AZ529">
        <v>253</v>
      </c>
      <c r="BA529">
        <v>4654734.66</v>
      </c>
      <c r="BB529" s="1" t="s">
        <v>74</v>
      </c>
      <c r="BC529">
        <v>157</v>
      </c>
      <c r="BD529" s="1" t="s">
        <v>798</v>
      </c>
      <c r="BE529" s="1" t="s">
        <v>412</v>
      </c>
      <c r="BF529">
        <v>260.76</v>
      </c>
      <c r="BG529" s="1" t="s">
        <v>983</v>
      </c>
      <c r="BH529" s="1" t="s">
        <v>99</v>
      </c>
      <c r="BI529">
        <v>0</v>
      </c>
      <c r="BJ529" s="1"/>
      <c r="BL529" s="1"/>
      <c r="BN529" s="1"/>
      <c r="BO529">
        <v>599</v>
      </c>
      <c r="BP529">
        <v>4654734.66</v>
      </c>
      <c r="BQ529">
        <v>4654734.66</v>
      </c>
    </row>
    <row r="530" spans="1:69" x14ac:dyDescent="0.35">
      <c r="A530" s="1" t="s">
        <v>68</v>
      </c>
      <c r="B530" s="1" t="s">
        <v>69</v>
      </c>
      <c r="C530" s="1" t="s">
        <v>70</v>
      </c>
      <c r="D530">
        <v>1</v>
      </c>
      <c r="E530">
        <v>1</v>
      </c>
      <c r="F530" s="2">
        <v>43585.43</v>
      </c>
      <c r="G530" s="3">
        <v>41275</v>
      </c>
      <c r="H530" s="3">
        <v>41639</v>
      </c>
      <c r="I530" s="1" t="s">
        <v>71</v>
      </c>
      <c r="J530">
        <v>4521</v>
      </c>
      <c r="K530">
        <v>0</v>
      </c>
      <c r="L530" s="1" t="s">
        <v>384</v>
      </c>
      <c r="M530" s="1" t="s">
        <v>72</v>
      </c>
      <c r="N530" s="1" t="s">
        <v>134</v>
      </c>
      <c r="O530" s="1" t="s">
        <v>385</v>
      </c>
      <c r="P530" s="1" t="s">
        <v>386</v>
      </c>
      <c r="Q530" s="1" t="s">
        <v>387</v>
      </c>
      <c r="R530">
        <v>103</v>
      </c>
      <c r="S530" s="1" t="s">
        <v>135</v>
      </c>
      <c r="T530" s="1" t="s">
        <v>388</v>
      </c>
      <c r="U530" s="1" t="s">
        <v>135</v>
      </c>
      <c r="V530" s="1"/>
      <c r="W530" s="1"/>
      <c r="X530" s="1"/>
      <c r="Y530" s="1"/>
      <c r="AA530" s="1"/>
      <c r="AC530" s="1"/>
      <c r="AD530" s="1"/>
      <c r="AE530" s="1"/>
      <c r="AN530" s="1"/>
      <c r="AP530" s="1"/>
      <c r="AQ530" s="1"/>
      <c r="AR530" s="1"/>
      <c r="AS530" s="1"/>
      <c r="AT530" s="3"/>
      <c r="AU530" s="3"/>
      <c r="AV530" s="3"/>
      <c r="AW530" s="1"/>
      <c r="AX530" s="1"/>
      <c r="AZ530">
        <v>253</v>
      </c>
      <c r="BA530">
        <v>4654734.66</v>
      </c>
      <c r="BB530" s="1" t="s">
        <v>74</v>
      </c>
      <c r="BC530">
        <v>158</v>
      </c>
      <c r="BD530" s="1" t="s">
        <v>798</v>
      </c>
      <c r="BE530" s="1" t="s">
        <v>99</v>
      </c>
      <c r="BF530">
        <v>0</v>
      </c>
      <c r="BG530" s="1"/>
      <c r="BH530" s="1" t="s">
        <v>489</v>
      </c>
      <c r="BI530">
        <v>212</v>
      </c>
      <c r="BJ530" s="1" t="s">
        <v>983</v>
      </c>
      <c r="BL530" s="1"/>
      <c r="BN530" s="1"/>
      <c r="BO530">
        <v>599</v>
      </c>
      <c r="BP530">
        <v>4654734.66</v>
      </c>
      <c r="BQ530">
        <v>4654734.66</v>
      </c>
    </row>
    <row r="531" spans="1:69" x14ac:dyDescent="0.35">
      <c r="A531" s="1" t="s">
        <v>68</v>
      </c>
      <c r="B531" s="1" t="s">
        <v>69</v>
      </c>
      <c r="C531" s="1" t="s">
        <v>70</v>
      </c>
      <c r="D531">
        <v>1</v>
      </c>
      <c r="E531">
        <v>1</v>
      </c>
      <c r="F531" s="2">
        <v>43585.43</v>
      </c>
      <c r="G531" s="3">
        <v>41275</v>
      </c>
      <c r="H531" s="3">
        <v>41639</v>
      </c>
      <c r="I531" s="1" t="s">
        <v>71</v>
      </c>
      <c r="J531">
        <v>4521</v>
      </c>
      <c r="K531">
        <v>0</v>
      </c>
      <c r="L531" s="1" t="s">
        <v>384</v>
      </c>
      <c r="M531" s="1" t="s">
        <v>72</v>
      </c>
      <c r="N531" s="1" t="s">
        <v>134</v>
      </c>
      <c r="O531" s="1" t="s">
        <v>385</v>
      </c>
      <c r="P531" s="1" t="s">
        <v>386</v>
      </c>
      <c r="Q531" s="1" t="s">
        <v>387</v>
      </c>
      <c r="R531">
        <v>103</v>
      </c>
      <c r="S531" s="1" t="s">
        <v>135</v>
      </c>
      <c r="T531" s="1" t="s">
        <v>388</v>
      </c>
      <c r="U531" s="1" t="s">
        <v>135</v>
      </c>
      <c r="V531" s="1"/>
      <c r="W531" s="1"/>
      <c r="X531" s="1"/>
      <c r="Y531" s="1"/>
      <c r="AA531" s="1"/>
      <c r="AC531" s="1"/>
      <c r="AD531" s="1"/>
      <c r="AE531" s="1"/>
      <c r="AN531" s="1"/>
      <c r="AP531" s="1"/>
      <c r="AQ531" s="1"/>
      <c r="AR531" s="1"/>
      <c r="AS531" s="1"/>
      <c r="AT531" s="3"/>
      <c r="AU531" s="3"/>
      <c r="AV531" s="3"/>
      <c r="AW531" s="1"/>
      <c r="AX531" s="1"/>
      <c r="AZ531">
        <v>253</v>
      </c>
      <c r="BA531">
        <v>4654734.66</v>
      </c>
      <c r="BB531" s="1" t="s">
        <v>74</v>
      </c>
      <c r="BC531">
        <v>159</v>
      </c>
      <c r="BD531" s="1" t="s">
        <v>798</v>
      </c>
      <c r="BE531" s="1" t="s">
        <v>99</v>
      </c>
      <c r="BF531">
        <v>0</v>
      </c>
      <c r="BG531" s="1"/>
      <c r="BH531" s="1" t="s">
        <v>451</v>
      </c>
      <c r="BI531">
        <v>48.76</v>
      </c>
      <c r="BJ531" s="1" t="s">
        <v>983</v>
      </c>
      <c r="BL531" s="1"/>
      <c r="BN531" s="1"/>
      <c r="BO531">
        <v>599</v>
      </c>
      <c r="BP531">
        <v>4654734.66</v>
      </c>
      <c r="BQ531">
        <v>4654734.66</v>
      </c>
    </row>
    <row r="532" spans="1:69" x14ac:dyDescent="0.35">
      <c r="A532" s="1" t="s">
        <v>68</v>
      </c>
      <c r="B532" s="1" t="s">
        <v>69</v>
      </c>
      <c r="C532" s="1" t="s">
        <v>70</v>
      </c>
      <c r="D532">
        <v>1</v>
      </c>
      <c r="E532">
        <v>1</v>
      </c>
      <c r="F532" s="2">
        <v>43585.43</v>
      </c>
      <c r="G532" s="3">
        <v>41275</v>
      </c>
      <c r="H532" s="3">
        <v>41639</v>
      </c>
      <c r="I532" s="1" t="s">
        <v>71</v>
      </c>
      <c r="J532">
        <v>4521</v>
      </c>
      <c r="K532">
        <v>0</v>
      </c>
      <c r="L532" s="1" t="s">
        <v>384</v>
      </c>
      <c r="M532" s="1" t="s">
        <v>72</v>
      </c>
      <c r="N532" s="1" t="s">
        <v>134</v>
      </c>
      <c r="O532" s="1" t="s">
        <v>385</v>
      </c>
      <c r="P532" s="1" t="s">
        <v>386</v>
      </c>
      <c r="Q532" s="1" t="s">
        <v>387</v>
      </c>
      <c r="R532">
        <v>103</v>
      </c>
      <c r="S532" s="1" t="s">
        <v>135</v>
      </c>
      <c r="T532" s="1" t="s">
        <v>388</v>
      </c>
      <c r="U532" s="1" t="s">
        <v>135</v>
      </c>
      <c r="V532" s="1"/>
      <c r="W532" s="1"/>
      <c r="X532" s="1"/>
      <c r="Y532" s="1"/>
      <c r="AA532" s="1"/>
      <c r="AC532" s="1"/>
      <c r="AD532" s="1"/>
      <c r="AE532" s="1"/>
      <c r="AN532" s="1"/>
      <c r="AP532" s="1"/>
      <c r="AQ532" s="1"/>
      <c r="AR532" s="1"/>
      <c r="AS532" s="1"/>
      <c r="AT532" s="3"/>
      <c r="AU532" s="3"/>
      <c r="AV532" s="3"/>
      <c r="AW532" s="1"/>
      <c r="AX532" s="1"/>
      <c r="AZ532">
        <v>253</v>
      </c>
      <c r="BA532">
        <v>4654734.66</v>
      </c>
      <c r="BB532" s="1" t="s">
        <v>74</v>
      </c>
      <c r="BC532">
        <v>160</v>
      </c>
      <c r="BD532" s="1" t="s">
        <v>799</v>
      </c>
      <c r="BE532" s="1" t="s">
        <v>402</v>
      </c>
      <c r="BF532">
        <v>5633.4</v>
      </c>
      <c r="BG532" s="1" t="s">
        <v>1017</v>
      </c>
      <c r="BH532" s="1" t="s">
        <v>99</v>
      </c>
      <c r="BI532">
        <v>0</v>
      </c>
      <c r="BJ532" s="1"/>
      <c r="BL532" s="1"/>
      <c r="BN532" s="1"/>
      <c r="BO532">
        <v>599</v>
      </c>
      <c r="BP532">
        <v>4654734.66</v>
      </c>
      <c r="BQ532">
        <v>4654734.66</v>
      </c>
    </row>
    <row r="533" spans="1:69" x14ac:dyDescent="0.35">
      <c r="A533" s="1" t="s">
        <v>68</v>
      </c>
      <c r="B533" s="1" t="s">
        <v>69</v>
      </c>
      <c r="C533" s="1" t="s">
        <v>70</v>
      </c>
      <c r="D533">
        <v>1</v>
      </c>
      <c r="E533">
        <v>1</v>
      </c>
      <c r="F533" s="2">
        <v>43585.43</v>
      </c>
      <c r="G533" s="3">
        <v>41275</v>
      </c>
      <c r="H533" s="3">
        <v>41639</v>
      </c>
      <c r="I533" s="1" t="s">
        <v>71</v>
      </c>
      <c r="J533">
        <v>4521</v>
      </c>
      <c r="K533">
        <v>0</v>
      </c>
      <c r="L533" s="1" t="s">
        <v>384</v>
      </c>
      <c r="M533" s="1" t="s">
        <v>72</v>
      </c>
      <c r="N533" s="1" t="s">
        <v>134</v>
      </c>
      <c r="O533" s="1" t="s">
        <v>385</v>
      </c>
      <c r="P533" s="1" t="s">
        <v>386</v>
      </c>
      <c r="Q533" s="1" t="s">
        <v>387</v>
      </c>
      <c r="R533">
        <v>103</v>
      </c>
      <c r="S533" s="1" t="s">
        <v>135</v>
      </c>
      <c r="T533" s="1" t="s">
        <v>388</v>
      </c>
      <c r="U533" s="1" t="s">
        <v>135</v>
      </c>
      <c r="V533" s="1"/>
      <c r="W533" s="1"/>
      <c r="X533" s="1"/>
      <c r="Y533" s="1"/>
      <c r="AA533" s="1"/>
      <c r="AC533" s="1"/>
      <c r="AD533" s="1"/>
      <c r="AE533" s="1"/>
      <c r="AN533" s="1"/>
      <c r="AP533" s="1"/>
      <c r="AQ533" s="1"/>
      <c r="AR533" s="1"/>
      <c r="AS533" s="1"/>
      <c r="AT533" s="3"/>
      <c r="AU533" s="3"/>
      <c r="AV533" s="3"/>
      <c r="AW533" s="1"/>
      <c r="AX533" s="1"/>
      <c r="AZ533">
        <v>253</v>
      </c>
      <c r="BA533">
        <v>4654734.66</v>
      </c>
      <c r="BB533" s="1" t="s">
        <v>74</v>
      </c>
      <c r="BC533">
        <v>161</v>
      </c>
      <c r="BD533" s="1" t="s">
        <v>799</v>
      </c>
      <c r="BE533" s="1" t="s">
        <v>99</v>
      </c>
      <c r="BF533">
        <v>0</v>
      </c>
      <c r="BG533" s="1"/>
      <c r="BH533" s="1" t="s">
        <v>489</v>
      </c>
      <c r="BI533">
        <v>4580</v>
      </c>
      <c r="BJ533" s="1" t="s">
        <v>1017</v>
      </c>
      <c r="BL533" s="1"/>
      <c r="BN533" s="1"/>
      <c r="BO533">
        <v>599</v>
      </c>
      <c r="BP533">
        <v>4654734.66</v>
      </c>
      <c r="BQ533">
        <v>4654734.66</v>
      </c>
    </row>
    <row r="534" spans="1:69" x14ac:dyDescent="0.35">
      <c r="A534" s="1" t="s">
        <v>68</v>
      </c>
      <c r="B534" s="1" t="s">
        <v>69</v>
      </c>
      <c r="C534" s="1" t="s">
        <v>70</v>
      </c>
      <c r="D534">
        <v>1</v>
      </c>
      <c r="E534">
        <v>1</v>
      </c>
      <c r="F534" s="2">
        <v>43585.43</v>
      </c>
      <c r="G534" s="3">
        <v>41275</v>
      </c>
      <c r="H534" s="3">
        <v>41639</v>
      </c>
      <c r="I534" s="1" t="s">
        <v>71</v>
      </c>
      <c r="J534">
        <v>4521</v>
      </c>
      <c r="K534">
        <v>0</v>
      </c>
      <c r="L534" s="1" t="s">
        <v>384</v>
      </c>
      <c r="M534" s="1" t="s">
        <v>72</v>
      </c>
      <c r="N534" s="1" t="s">
        <v>134</v>
      </c>
      <c r="O534" s="1" t="s">
        <v>385</v>
      </c>
      <c r="P534" s="1" t="s">
        <v>386</v>
      </c>
      <c r="Q534" s="1" t="s">
        <v>387</v>
      </c>
      <c r="R534">
        <v>103</v>
      </c>
      <c r="S534" s="1" t="s">
        <v>135</v>
      </c>
      <c r="T534" s="1" t="s">
        <v>388</v>
      </c>
      <c r="U534" s="1" t="s">
        <v>135</v>
      </c>
      <c r="V534" s="1"/>
      <c r="W534" s="1"/>
      <c r="X534" s="1"/>
      <c r="Y534" s="1"/>
      <c r="AA534" s="1"/>
      <c r="AC534" s="1"/>
      <c r="AD534" s="1"/>
      <c r="AE534" s="1"/>
      <c r="AN534" s="1"/>
      <c r="AP534" s="1"/>
      <c r="AQ534" s="1"/>
      <c r="AR534" s="1"/>
      <c r="AS534" s="1"/>
      <c r="AT534" s="3"/>
      <c r="AU534" s="3"/>
      <c r="AV534" s="3"/>
      <c r="AW534" s="1"/>
      <c r="AX534" s="1"/>
      <c r="AZ534">
        <v>253</v>
      </c>
      <c r="BA534">
        <v>4654734.66</v>
      </c>
      <c r="BB534" s="1" t="s">
        <v>74</v>
      </c>
      <c r="BC534">
        <v>162</v>
      </c>
      <c r="BD534" s="1" t="s">
        <v>799</v>
      </c>
      <c r="BE534" s="1" t="s">
        <v>99</v>
      </c>
      <c r="BF534">
        <v>0</v>
      </c>
      <c r="BG534" s="1"/>
      <c r="BH534" s="1" t="s">
        <v>451</v>
      </c>
      <c r="BI534">
        <v>1053.4000000000001</v>
      </c>
      <c r="BJ534" s="1" t="s">
        <v>1017</v>
      </c>
      <c r="BL534" s="1"/>
      <c r="BN534" s="1"/>
      <c r="BO534">
        <v>599</v>
      </c>
      <c r="BP534">
        <v>4654734.66</v>
      </c>
      <c r="BQ534">
        <v>4654734.66</v>
      </c>
    </row>
    <row r="535" spans="1:69" x14ac:dyDescent="0.35">
      <c r="A535" s="1" t="s">
        <v>68</v>
      </c>
      <c r="B535" s="1" t="s">
        <v>69</v>
      </c>
      <c r="C535" s="1" t="s">
        <v>70</v>
      </c>
      <c r="D535">
        <v>1</v>
      </c>
      <c r="E535">
        <v>1</v>
      </c>
      <c r="F535" s="2">
        <v>43585.43</v>
      </c>
      <c r="G535" s="3">
        <v>41275</v>
      </c>
      <c r="H535" s="3">
        <v>41639</v>
      </c>
      <c r="I535" s="1" t="s">
        <v>71</v>
      </c>
      <c r="J535">
        <v>4521</v>
      </c>
      <c r="K535">
        <v>0</v>
      </c>
      <c r="L535" s="1" t="s">
        <v>384</v>
      </c>
      <c r="M535" s="1" t="s">
        <v>72</v>
      </c>
      <c r="N535" s="1" t="s">
        <v>134</v>
      </c>
      <c r="O535" s="1" t="s">
        <v>385</v>
      </c>
      <c r="P535" s="1" t="s">
        <v>386</v>
      </c>
      <c r="Q535" s="1" t="s">
        <v>387</v>
      </c>
      <c r="R535">
        <v>103</v>
      </c>
      <c r="S535" s="1" t="s">
        <v>135</v>
      </c>
      <c r="T535" s="1" t="s">
        <v>388</v>
      </c>
      <c r="U535" s="1" t="s">
        <v>135</v>
      </c>
      <c r="V535" s="1"/>
      <c r="W535" s="1"/>
      <c r="X535" s="1"/>
      <c r="Y535" s="1"/>
      <c r="AA535" s="1"/>
      <c r="AC535" s="1"/>
      <c r="AD535" s="1"/>
      <c r="AE535" s="1"/>
      <c r="AN535" s="1"/>
      <c r="AP535" s="1"/>
      <c r="AQ535" s="1"/>
      <c r="AR535" s="1"/>
      <c r="AS535" s="1"/>
      <c r="AT535" s="3"/>
      <c r="AU535" s="3"/>
      <c r="AV535" s="3"/>
      <c r="AW535" s="1"/>
      <c r="AX535" s="1"/>
      <c r="AZ535">
        <v>253</v>
      </c>
      <c r="BA535">
        <v>4654734.66</v>
      </c>
      <c r="BB535" s="1" t="s">
        <v>74</v>
      </c>
      <c r="BC535">
        <v>163</v>
      </c>
      <c r="BD535" s="1" t="s">
        <v>800</v>
      </c>
      <c r="BE535" s="1" t="s">
        <v>75</v>
      </c>
      <c r="BF535">
        <v>4580</v>
      </c>
      <c r="BG535" s="1" t="s">
        <v>1017</v>
      </c>
      <c r="BH535" s="1" t="s">
        <v>99</v>
      </c>
      <c r="BI535">
        <v>0</v>
      </c>
      <c r="BJ535" s="1"/>
      <c r="BL535" s="1"/>
      <c r="BN535" s="1"/>
      <c r="BO535">
        <v>599</v>
      </c>
      <c r="BP535">
        <v>4654734.66</v>
      </c>
      <c r="BQ535">
        <v>4654734.66</v>
      </c>
    </row>
    <row r="536" spans="1:69" x14ac:dyDescent="0.35">
      <c r="A536" s="1" t="s">
        <v>68</v>
      </c>
      <c r="B536" s="1" t="s">
        <v>69</v>
      </c>
      <c r="C536" s="1" t="s">
        <v>70</v>
      </c>
      <c r="D536">
        <v>1</v>
      </c>
      <c r="E536">
        <v>1</v>
      </c>
      <c r="F536" s="2">
        <v>43585.43</v>
      </c>
      <c r="G536" s="3">
        <v>41275</v>
      </c>
      <c r="H536" s="3">
        <v>41639</v>
      </c>
      <c r="I536" s="1" t="s">
        <v>71</v>
      </c>
      <c r="J536">
        <v>4521</v>
      </c>
      <c r="K536">
        <v>0</v>
      </c>
      <c r="L536" s="1" t="s">
        <v>384</v>
      </c>
      <c r="M536" s="1" t="s">
        <v>72</v>
      </c>
      <c r="N536" s="1" t="s">
        <v>134</v>
      </c>
      <c r="O536" s="1" t="s">
        <v>385</v>
      </c>
      <c r="P536" s="1" t="s">
        <v>386</v>
      </c>
      <c r="Q536" s="1" t="s">
        <v>387</v>
      </c>
      <c r="R536">
        <v>103</v>
      </c>
      <c r="S536" s="1" t="s">
        <v>135</v>
      </c>
      <c r="T536" s="1" t="s">
        <v>388</v>
      </c>
      <c r="U536" s="1" t="s">
        <v>135</v>
      </c>
      <c r="V536" s="1"/>
      <c r="W536" s="1"/>
      <c r="X536" s="1"/>
      <c r="Y536" s="1"/>
      <c r="AA536" s="1"/>
      <c r="AC536" s="1"/>
      <c r="AD536" s="1"/>
      <c r="AE536" s="1"/>
      <c r="AN536" s="1"/>
      <c r="AP536" s="1"/>
      <c r="AQ536" s="1"/>
      <c r="AR536" s="1"/>
      <c r="AS536" s="1"/>
      <c r="AT536" s="3"/>
      <c r="AU536" s="3"/>
      <c r="AV536" s="3"/>
      <c r="AW536" s="1"/>
      <c r="AX536" s="1"/>
      <c r="AZ536">
        <v>253</v>
      </c>
      <c r="BA536">
        <v>4654734.66</v>
      </c>
      <c r="BB536" s="1" t="s">
        <v>74</v>
      </c>
      <c r="BC536">
        <v>164</v>
      </c>
      <c r="BD536" s="1" t="s">
        <v>800</v>
      </c>
      <c r="BE536" s="1" t="s">
        <v>99</v>
      </c>
      <c r="BF536">
        <v>0</v>
      </c>
      <c r="BG536" s="1"/>
      <c r="BH536" s="1" t="s">
        <v>485</v>
      </c>
      <c r="BI536">
        <v>2000</v>
      </c>
      <c r="BJ536" s="1" t="s">
        <v>1017</v>
      </c>
      <c r="BL536" s="1"/>
      <c r="BN536" s="1"/>
      <c r="BO536">
        <v>599</v>
      </c>
      <c r="BP536">
        <v>4654734.66</v>
      </c>
      <c r="BQ536">
        <v>4654734.66</v>
      </c>
    </row>
    <row r="537" spans="1:69" x14ac:dyDescent="0.35">
      <c r="A537" s="1" t="s">
        <v>68</v>
      </c>
      <c r="B537" s="1" t="s">
        <v>69</v>
      </c>
      <c r="C537" s="1" t="s">
        <v>70</v>
      </c>
      <c r="D537">
        <v>1</v>
      </c>
      <c r="E537">
        <v>1</v>
      </c>
      <c r="F537" s="2">
        <v>43585.43</v>
      </c>
      <c r="G537" s="3">
        <v>41275</v>
      </c>
      <c r="H537" s="3">
        <v>41639</v>
      </c>
      <c r="I537" s="1" t="s">
        <v>71</v>
      </c>
      <c r="J537">
        <v>4521</v>
      </c>
      <c r="K537">
        <v>0</v>
      </c>
      <c r="L537" s="1" t="s">
        <v>384</v>
      </c>
      <c r="M537" s="1" t="s">
        <v>72</v>
      </c>
      <c r="N537" s="1" t="s">
        <v>134</v>
      </c>
      <c r="O537" s="1" t="s">
        <v>385</v>
      </c>
      <c r="P537" s="1" t="s">
        <v>386</v>
      </c>
      <c r="Q537" s="1" t="s">
        <v>387</v>
      </c>
      <c r="R537">
        <v>103</v>
      </c>
      <c r="S537" s="1" t="s">
        <v>135</v>
      </c>
      <c r="T537" s="1" t="s">
        <v>388</v>
      </c>
      <c r="U537" s="1" t="s">
        <v>135</v>
      </c>
      <c r="V537" s="1"/>
      <c r="W537" s="1"/>
      <c r="X537" s="1"/>
      <c r="Y537" s="1"/>
      <c r="AA537" s="1"/>
      <c r="AC537" s="1"/>
      <c r="AD537" s="1"/>
      <c r="AE537" s="1"/>
      <c r="AN537" s="1"/>
      <c r="AP537" s="1"/>
      <c r="AQ537" s="1"/>
      <c r="AR537" s="1"/>
      <c r="AS537" s="1"/>
      <c r="AT537" s="3"/>
      <c r="AU537" s="3"/>
      <c r="AV537" s="3"/>
      <c r="AW537" s="1"/>
      <c r="AX537" s="1"/>
      <c r="AZ537">
        <v>253</v>
      </c>
      <c r="BA537">
        <v>4654734.66</v>
      </c>
      <c r="BB537" s="1" t="s">
        <v>74</v>
      </c>
      <c r="BC537">
        <v>165</v>
      </c>
      <c r="BD537" s="1" t="s">
        <v>800</v>
      </c>
      <c r="BE537" s="1" t="s">
        <v>99</v>
      </c>
      <c r="BF537">
        <v>0</v>
      </c>
      <c r="BG537" s="1"/>
      <c r="BH537" s="1" t="s">
        <v>486</v>
      </c>
      <c r="BI537">
        <v>2580</v>
      </c>
      <c r="BJ537" s="1" t="s">
        <v>1017</v>
      </c>
      <c r="BL537" s="1"/>
      <c r="BN537" s="1"/>
      <c r="BO537">
        <v>599</v>
      </c>
      <c r="BP537">
        <v>4654734.66</v>
      </c>
      <c r="BQ537">
        <v>4654734.66</v>
      </c>
    </row>
    <row r="538" spans="1:69" x14ac:dyDescent="0.35">
      <c r="A538" s="1" t="s">
        <v>68</v>
      </c>
      <c r="B538" s="1" t="s">
        <v>69</v>
      </c>
      <c r="C538" s="1" t="s">
        <v>70</v>
      </c>
      <c r="D538">
        <v>1</v>
      </c>
      <c r="E538">
        <v>1</v>
      </c>
      <c r="F538" s="2">
        <v>43585.43</v>
      </c>
      <c r="G538" s="3">
        <v>41275</v>
      </c>
      <c r="H538" s="3">
        <v>41639</v>
      </c>
      <c r="I538" s="1" t="s">
        <v>71</v>
      </c>
      <c r="J538">
        <v>4521</v>
      </c>
      <c r="K538">
        <v>0</v>
      </c>
      <c r="L538" s="1" t="s">
        <v>384</v>
      </c>
      <c r="M538" s="1" t="s">
        <v>72</v>
      </c>
      <c r="N538" s="1" t="s">
        <v>134</v>
      </c>
      <c r="O538" s="1" t="s">
        <v>385</v>
      </c>
      <c r="P538" s="1" t="s">
        <v>386</v>
      </c>
      <c r="Q538" s="1" t="s">
        <v>387</v>
      </c>
      <c r="R538">
        <v>103</v>
      </c>
      <c r="S538" s="1" t="s">
        <v>135</v>
      </c>
      <c r="T538" s="1" t="s">
        <v>388</v>
      </c>
      <c r="U538" s="1" t="s">
        <v>135</v>
      </c>
      <c r="V538" s="1"/>
      <c r="W538" s="1"/>
      <c r="X538" s="1"/>
      <c r="Y538" s="1"/>
      <c r="AA538" s="1"/>
      <c r="AC538" s="1"/>
      <c r="AD538" s="1"/>
      <c r="AE538" s="1"/>
      <c r="AN538" s="1"/>
      <c r="AP538" s="1"/>
      <c r="AQ538" s="1"/>
      <c r="AR538" s="1"/>
      <c r="AS538" s="1"/>
      <c r="AT538" s="3"/>
      <c r="AU538" s="3"/>
      <c r="AV538" s="3"/>
      <c r="AW538" s="1"/>
      <c r="AX538" s="1"/>
      <c r="AZ538">
        <v>253</v>
      </c>
      <c r="BA538">
        <v>4654734.66</v>
      </c>
      <c r="BB538" s="1" t="s">
        <v>74</v>
      </c>
      <c r="BC538">
        <v>166</v>
      </c>
      <c r="BD538" s="1" t="s">
        <v>801</v>
      </c>
      <c r="BE538" s="1" t="s">
        <v>466</v>
      </c>
      <c r="BF538">
        <v>69787.899999999994</v>
      </c>
      <c r="BG538" s="1" t="s">
        <v>1018</v>
      </c>
      <c r="BH538" s="1" t="s">
        <v>99</v>
      </c>
      <c r="BI538">
        <v>0</v>
      </c>
      <c r="BJ538" s="1"/>
      <c r="BL538" s="1"/>
      <c r="BN538" s="1"/>
      <c r="BO538">
        <v>599</v>
      </c>
      <c r="BP538">
        <v>4654734.66</v>
      </c>
      <c r="BQ538">
        <v>4654734.66</v>
      </c>
    </row>
    <row r="539" spans="1:69" x14ac:dyDescent="0.35">
      <c r="A539" s="1" t="s">
        <v>68</v>
      </c>
      <c r="B539" s="1" t="s">
        <v>69</v>
      </c>
      <c r="C539" s="1" t="s">
        <v>70</v>
      </c>
      <c r="D539">
        <v>1</v>
      </c>
      <c r="E539">
        <v>1</v>
      </c>
      <c r="F539" s="2">
        <v>43585.43</v>
      </c>
      <c r="G539" s="3">
        <v>41275</v>
      </c>
      <c r="H539" s="3">
        <v>41639</v>
      </c>
      <c r="I539" s="1" t="s">
        <v>71</v>
      </c>
      <c r="J539">
        <v>4521</v>
      </c>
      <c r="K539">
        <v>0</v>
      </c>
      <c r="L539" s="1" t="s">
        <v>384</v>
      </c>
      <c r="M539" s="1" t="s">
        <v>72</v>
      </c>
      <c r="N539" s="1" t="s">
        <v>134</v>
      </c>
      <c r="O539" s="1" t="s">
        <v>385</v>
      </c>
      <c r="P539" s="1" t="s">
        <v>386</v>
      </c>
      <c r="Q539" s="1" t="s">
        <v>387</v>
      </c>
      <c r="R539">
        <v>103</v>
      </c>
      <c r="S539" s="1" t="s">
        <v>135</v>
      </c>
      <c r="T539" s="1" t="s">
        <v>388</v>
      </c>
      <c r="U539" s="1" t="s">
        <v>135</v>
      </c>
      <c r="V539" s="1"/>
      <c r="W539" s="1"/>
      <c r="X539" s="1"/>
      <c r="Y539" s="1"/>
      <c r="AA539" s="1"/>
      <c r="AC539" s="1"/>
      <c r="AD539" s="1"/>
      <c r="AE539" s="1"/>
      <c r="AN539" s="1"/>
      <c r="AP539" s="1"/>
      <c r="AQ539" s="1"/>
      <c r="AR539" s="1"/>
      <c r="AS539" s="1"/>
      <c r="AT539" s="3"/>
      <c r="AU539" s="3"/>
      <c r="AV539" s="3"/>
      <c r="AW539" s="1"/>
      <c r="AX539" s="1"/>
      <c r="AZ539">
        <v>253</v>
      </c>
      <c r="BA539">
        <v>4654734.66</v>
      </c>
      <c r="BB539" s="1" t="s">
        <v>74</v>
      </c>
      <c r="BC539">
        <v>167</v>
      </c>
      <c r="BD539" s="1" t="s">
        <v>801</v>
      </c>
      <c r="BE539" s="1" t="s">
        <v>99</v>
      </c>
      <c r="BF539">
        <v>0</v>
      </c>
      <c r="BG539" s="1"/>
      <c r="BH539" s="1" t="s">
        <v>434</v>
      </c>
      <c r="BI539">
        <v>85839.12</v>
      </c>
      <c r="BJ539" s="1" t="s">
        <v>1018</v>
      </c>
      <c r="BL539" s="1"/>
      <c r="BN539" s="1"/>
      <c r="BO539">
        <v>599</v>
      </c>
      <c r="BP539">
        <v>4654734.66</v>
      </c>
      <c r="BQ539">
        <v>4654734.66</v>
      </c>
    </row>
    <row r="540" spans="1:69" x14ac:dyDescent="0.35">
      <c r="A540" s="1" t="s">
        <v>68</v>
      </c>
      <c r="B540" s="1" t="s">
        <v>69</v>
      </c>
      <c r="C540" s="1" t="s">
        <v>70</v>
      </c>
      <c r="D540">
        <v>1</v>
      </c>
      <c r="E540">
        <v>1</v>
      </c>
      <c r="F540" s="2">
        <v>43585.43</v>
      </c>
      <c r="G540" s="3">
        <v>41275</v>
      </c>
      <c r="H540" s="3">
        <v>41639</v>
      </c>
      <c r="I540" s="1" t="s">
        <v>71</v>
      </c>
      <c r="J540">
        <v>4521</v>
      </c>
      <c r="K540">
        <v>0</v>
      </c>
      <c r="L540" s="1" t="s">
        <v>384</v>
      </c>
      <c r="M540" s="1" t="s">
        <v>72</v>
      </c>
      <c r="N540" s="1" t="s">
        <v>134</v>
      </c>
      <c r="O540" s="1" t="s">
        <v>385</v>
      </c>
      <c r="P540" s="1" t="s">
        <v>386</v>
      </c>
      <c r="Q540" s="1" t="s">
        <v>387</v>
      </c>
      <c r="R540">
        <v>103</v>
      </c>
      <c r="S540" s="1" t="s">
        <v>135</v>
      </c>
      <c r="T540" s="1" t="s">
        <v>388</v>
      </c>
      <c r="U540" s="1" t="s">
        <v>135</v>
      </c>
      <c r="V540" s="1"/>
      <c r="W540" s="1"/>
      <c r="X540" s="1"/>
      <c r="Y540" s="1"/>
      <c r="AA540" s="1"/>
      <c r="AC540" s="1"/>
      <c r="AD540" s="1"/>
      <c r="AE540" s="1"/>
      <c r="AN540" s="1"/>
      <c r="AP540" s="1"/>
      <c r="AQ540" s="1"/>
      <c r="AR540" s="1"/>
      <c r="AS540" s="1"/>
      <c r="AT540" s="3"/>
      <c r="AU540" s="3"/>
      <c r="AV540" s="3"/>
      <c r="AW540" s="1"/>
      <c r="AX540" s="1"/>
      <c r="AZ540">
        <v>253</v>
      </c>
      <c r="BA540">
        <v>4654734.66</v>
      </c>
      <c r="BB540" s="1" t="s">
        <v>74</v>
      </c>
      <c r="BC540">
        <v>168</v>
      </c>
      <c r="BD540" s="1" t="s">
        <v>801</v>
      </c>
      <c r="BE540" s="1" t="s">
        <v>452</v>
      </c>
      <c r="BF540">
        <v>16051.22</v>
      </c>
      <c r="BG540" s="1" t="s">
        <v>1018</v>
      </c>
      <c r="BH540" s="1" t="s">
        <v>99</v>
      </c>
      <c r="BI540">
        <v>0</v>
      </c>
      <c r="BJ540" s="1"/>
      <c r="BL540" s="1"/>
      <c r="BN540" s="1"/>
      <c r="BO540">
        <v>599</v>
      </c>
      <c r="BP540">
        <v>4654734.66</v>
      </c>
      <c r="BQ540">
        <v>4654734.66</v>
      </c>
    </row>
    <row r="541" spans="1:69" x14ac:dyDescent="0.35">
      <c r="A541" s="1" t="s">
        <v>68</v>
      </c>
      <c r="B541" s="1" t="s">
        <v>69</v>
      </c>
      <c r="C541" s="1" t="s">
        <v>70</v>
      </c>
      <c r="D541">
        <v>1</v>
      </c>
      <c r="E541">
        <v>1</v>
      </c>
      <c r="F541" s="2">
        <v>43585.43</v>
      </c>
      <c r="G541" s="3">
        <v>41275</v>
      </c>
      <c r="H541" s="3">
        <v>41639</v>
      </c>
      <c r="I541" s="1" t="s">
        <v>71</v>
      </c>
      <c r="J541">
        <v>4521</v>
      </c>
      <c r="K541">
        <v>0</v>
      </c>
      <c r="L541" s="1" t="s">
        <v>384</v>
      </c>
      <c r="M541" s="1" t="s">
        <v>72</v>
      </c>
      <c r="N541" s="1" t="s">
        <v>134</v>
      </c>
      <c r="O541" s="1" t="s">
        <v>385</v>
      </c>
      <c r="P541" s="1" t="s">
        <v>386</v>
      </c>
      <c r="Q541" s="1" t="s">
        <v>387</v>
      </c>
      <c r="R541">
        <v>103</v>
      </c>
      <c r="S541" s="1" t="s">
        <v>135</v>
      </c>
      <c r="T541" s="1" t="s">
        <v>388</v>
      </c>
      <c r="U541" s="1" t="s">
        <v>135</v>
      </c>
      <c r="V541" s="1"/>
      <c r="W541" s="1"/>
      <c r="X541" s="1"/>
      <c r="Y541" s="1"/>
      <c r="AA541" s="1"/>
      <c r="AC541" s="1"/>
      <c r="AD541" s="1"/>
      <c r="AE541" s="1"/>
      <c r="AN541" s="1"/>
      <c r="AP541" s="1"/>
      <c r="AQ541" s="1"/>
      <c r="AR541" s="1"/>
      <c r="AS541" s="1"/>
      <c r="AT541" s="3"/>
      <c r="AU541" s="3"/>
      <c r="AV541" s="3"/>
      <c r="AW541" s="1"/>
      <c r="AX541" s="1"/>
      <c r="AZ541">
        <v>253</v>
      </c>
      <c r="BA541">
        <v>4654734.66</v>
      </c>
      <c r="BB541" s="1" t="s">
        <v>74</v>
      </c>
      <c r="BC541">
        <v>169</v>
      </c>
      <c r="BD541" s="1" t="s">
        <v>802</v>
      </c>
      <c r="BE541" s="1" t="s">
        <v>466</v>
      </c>
      <c r="BF541">
        <v>5559</v>
      </c>
      <c r="BG541" s="1" t="s">
        <v>1019</v>
      </c>
      <c r="BH541" s="1" t="s">
        <v>99</v>
      </c>
      <c r="BI541">
        <v>0</v>
      </c>
      <c r="BJ541" s="1"/>
      <c r="BL541" s="1"/>
      <c r="BN541" s="1"/>
      <c r="BO541">
        <v>599</v>
      </c>
      <c r="BP541">
        <v>4654734.66</v>
      </c>
      <c r="BQ541">
        <v>4654734.66</v>
      </c>
    </row>
    <row r="542" spans="1:69" x14ac:dyDescent="0.35">
      <c r="A542" s="1" t="s">
        <v>68</v>
      </c>
      <c r="B542" s="1" t="s">
        <v>69</v>
      </c>
      <c r="C542" s="1" t="s">
        <v>70</v>
      </c>
      <c r="D542">
        <v>1</v>
      </c>
      <c r="E542">
        <v>1</v>
      </c>
      <c r="F542" s="2">
        <v>43585.43</v>
      </c>
      <c r="G542" s="3">
        <v>41275</v>
      </c>
      <c r="H542" s="3">
        <v>41639</v>
      </c>
      <c r="I542" s="1" t="s">
        <v>71</v>
      </c>
      <c r="J542">
        <v>4521</v>
      </c>
      <c r="K542">
        <v>0</v>
      </c>
      <c r="L542" s="1" t="s">
        <v>384</v>
      </c>
      <c r="M542" s="1" t="s">
        <v>72</v>
      </c>
      <c r="N542" s="1" t="s">
        <v>134</v>
      </c>
      <c r="O542" s="1" t="s">
        <v>385</v>
      </c>
      <c r="P542" s="1" t="s">
        <v>386</v>
      </c>
      <c r="Q542" s="1" t="s">
        <v>387</v>
      </c>
      <c r="R542">
        <v>103</v>
      </c>
      <c r="S542" s="1" t="s">
        <v>135</v>
      </c>
      <c r="T542" s="1" t="s">
        <v>388</v>
      </c>
      <c r="U542" s="1" t="s">
        <v>135</v>
      </c>
      <c r="V542" s="1"/>
      <c r="W542" s="1"/>
      <c r="X542" s="1"/>
      <c r="Y542" s="1"/>
      <c r="AA542" s="1"/>
      <c r="AC542" s="1"/>
      <c r="AD542" s="1"/>
      <c r="AE542" s="1"/>
      <c r="AN542" s="1"/>
      <c r="AP542" s="1"/>
      <c r="AQ542" s="1"/>
      <c r="AR542" s="1"/>
      <c r="AS542" s="1"/>
      <c r="AT542" s="3"/>
      <c r="AU542" s="3"/>
      <c r="AV542" s="3"/>
      <c r="AW542" s="1"/>
      <c r="AX542" s="1"/>
      <c r="AZ542">
        <v>253</v>
      </c>
      <c r="BA542">
        <v>4654734.66</v>
      </c>
      <c r="BB542" s="1" t="s">
        <v>74</v>
      </c>
      <c r="BC542">
        <v>170</v>
      </c>
      <c r="BD542" s="1" t="s">
        <v>802</v>
      </c>
      <c r="BE542" s="1" t="s">
        <v>99</v>
      </c>
      <c r="BF542">
        <v>0</v>
      </c>
      <c r="BG542" s="1"/>
      <c r="BH542" s="1" t="s">
        <v>430</v>
      </c>
      <c r="BI542">
        <v>6837.57</v>
      </c>
      <c r="BJ542" s="1" t="s">
        <v>1019</v>
      </c>
      <c r="BL542" s="1"/>
      <c r="BN542" s="1"/>
      <c r="BO542">
        <v>599</v>
      </c>
      <c r="BP542">
        <v>4654734.66</v>
      </c>
      <c r="BQ542">
        <v>4654734.66</v>
      </c>
    </row>
    <row r="543" spans="1:69" x14ac:dyDescent="0.35">
      <c r="A543" s="1" t="s">
        <v>68</v>
      </c>
      <c r="B543" s="1" t="s">
        <v>69</v>
      </c>
      <c r="C543" s="1" t="s">
        <v>70</v>
      </c>
      <c r="D543">
        <v>1</v>
      </c>
      <c r="E543">
        <v>1</v>
      </c>
      <c r="F543" s="2">
        <v>43585.43</v>
      </c>
      <c r="G543" s="3">
        <v>41275</v>
      </c>
      <c r="H543" s="3">
        <v>41639</v>
      </c>
      <c r="I543" s="1" t="s">
        <v>71</v>
      </c>
      <c r="J543">
        <v>4521</v>
      </c>
      <c r="K543">
        <v>0</v>
      </c>
      <c r="L543" s="1" t="s">
        <v>384</v>
      </c>
      <c r="M543" s="1" t="s">
        <v>72</v>
      </c>
      <c r="N543" s="1" t="s">
        <v>134</v>
      </c>
      <c r="O543" s="1" t="s">
        <v>385</v>
      </c>
      <c r="P543" s="1" t="s">
        <v>386</v>
      </c>
      <c r="Q543" s="1" t="s">
        <v>387</v>
      </c>
      <c r="R543">
        <v>103</v>
      </c>
      <c r="S543" s="1" t="s">
        <v>135</v>
      </c>
      <c r="T543" s="1" t="s">
        <v>388</v>
      </c>
      <c r="U543" s="1" t="s">
        <v>135</v>
      </c>
      <c r="V543" s="1"/>
      <c r="W543" s="1"/>
      <c r="X543" s="1"/>
      <c r="Y543" s="1"/>
      <c r="AA543" s="1"/>
      <c r="AC543" s="1"/>
      <c r="AD543" s="1"/>
      <c r="AE543" s="1"/>
      <c r="AN543" s="1"/>
      <c r="AP543" s="1"/>
      <c r="AQ543" s="1"/>
      <c r="AR543" s="1"/>
      <c r="AS543" s="1"/>
      <c r="AT543" s="3"/>
      <c r="AU543" s="3"/>
      <c r="AV543" s="3"/>
      <c r="AW543" s="1"/>
      <c r="AX543" s="1"/>
      <c r="AZ543">
        <v>253</v>
      </c>
      <c r="BA543">
        <v>4654734.66</v>
      </c>
      <c r="BB543" s="1" t="s">
        <v>74</v>
      </c>
      <c r="BC543">
        <v>171</v>
      </c>
      <c r="BD543" s="1" t="s">
        <v>802</v>
      </c>
      <c r="BE543" s="1" t="s">
        <v>452</v>
      </c>
      <c r="BF543">
        <v>1278.57</v>
      </c>
      <c r="BG543" s="1" t="s">
        <v>1019</v>
      </c>
      <c r="BH543" s="1" t="s">
        <v>99</v>
      </c>
      <c r="BI543">
        <v>0</v>
      </c>
      <c r="BJ543" s="1"/>
      <c r="BL543" s="1"/>
      <c r="BN543" s="1"/>
      <c r="BO543">
        <v>599</v>
      </c>
      <c r="BP543">
        <v>4654734.66</v>
      </c>
      <c r="BQ543">
        <v>4654734.66</v>
      </c>
    </row>
    <row r="544" spans="1:69" x14ac:dyDescent="0.35">
      <c r="A544" s="1" t="s">
        <v>68</v>
      </c>
      <c r="B544" s="1" t="s">
        <v>69</v>
      </c>
      <c r="C544" s="1" t="s">
        <v>70</v>
      </c>
      <c r="D544">
        <v>1</v>
      </c>
      <c r="E544">
        <v>1</v>
      </c>
      <c r="F544" s="2">
        <v>43585.43</v>
      </c>
      <c r="G544" s="3">
        <v>41275</v>
      </c>
      <c r="H544" s="3">
        <v>41639</v>
      </c>
      <c r="I544" s="1" t="s">
        <v>71</v>
      </c>
      <c r="J544">
        <v>4521</v>
      </c>
      <c r="K544">
        <v>0</v>
      </c>
      <c r="L544" s="1" t="s">
        <v>384</v>
      </c>
      <c r="M544" s="1" t="s">
        <v>72</v>
      </c>
      <c r="N544" s="1" t="s">
        <v>134</v>
      </c>
      <c r="O544" s="1" t="s">
        <v>385</v>
      </c>
      <c r="P544" s="1" t="s">
        <v>386</v>
      </c>
      <c r="Q544" s="1" t="s">
        <v>387</v>
      </c>
      <c r="R544">
        <v>103</v>
      </c>
      <c r="S544" s="1" t="s">
        <v>135</v>
      </c>
      <c r="T544" s="1" t="s">
        <v>388</v>
      </c>
      <c r="U544" s="1" t="s">
        <v>135</v>
      </c>
      <c r="V544" s="1"/>
      <c r="W544" s="1"/>
      <c r="X544" s="1"/>
      <c r="Y544" s="1"/>
      <c r="AA544" s="1"/>
      <c r="AC544" s="1"/>
      <c r="AD544" s="1"/>
      <c r="AE544" s="1"/>
      <c r="AN544" s="1"/>
      <c r="AP544" s="1"/>
      <c r="AQ544" s="1"/>
      <c r="AR544" s="1"/>
      <c r="AS544" s="1"/>
      <c r="AT544" s="3"/>
      <c r="AU544" s="3"/>
      <c r="AV544" s="3"/>
      <c r="AW544" s="1"/>
      <c r="AX544" s="1"/>
      <c r="AZ544">
        <v>253</v>
      </c>
      <c r="BA544">
        <v>4654734.66</v>
      </c>
      <c r="BB544" s="1" t="s">
        <v>74</v>
      </c>
      <c r="BC544">
        <v>172</v>
      </c>
      <c r="BD544" s="1" t="s">
        <v>803</v>
      </c>
      <c r="BE544" s="1" t="s">
        <v>466</v>
      </c>
      <c r="BF544">
        <v>980</v>
      </c>
      <c r="BG544" s="1" t="s">
        <v>1020</v>
      </c>
      <c r="BH544" s="1" t="s">
        <v>99</v>
      </c>
      <c r="BI544">
        <v>0</v>
      </c>
      <c r="BJ544" s="1"/>
      <c r="BL544" s="1"/>
      <c r="BN544" s="1"/>
      <c r="BO544">
        <v>599</v>
      </c>
      <c r="BP544">
        <v>4654734.66</v>
      </c>
      <c r="BQ544">
        <v>4654734.66</v>
      </c>
    </row>
    <row r="545" spans="1:69" x14ac:dyDescent="0.35">
      <c r="A545" s="1" t="s">
        <v>68</v>
      </c>
      <c r="B545" s="1" t="s">
        <v>69</v>
      </c>
      <c r="C545" s="1" t="s">
        <v>70</v>
      </c>
      <c r="D545">
        <v>1</v>
      </c>
      <c r="E545">
        <v>1</v>
      </c>
      <c r="F545" s="2">
        <v>43585.43</v>
      </c>
      <c r="G545" s="3">
        <v>41275</v>
      </c>
      <c r="H545" s="3">
        <v>41639</v>
      </c>
      <c r="I545" s="1" t="s">
        <v>71</v>
      </c>
      <c r="J545">
        <v>4521</v>
      </c>
      <c r="K545">
        <v>0</v>
      </c>
      <c r="L545" s="1" t="s">
        <v>384</v>
      </c>
      <c r="M545" s="1" t="s">
        <v>72</v>
      </c>
      <c r="N545" s="1" t="s">
        <v>134</v>
      </c>
      <c r="O545" s="1" t="s">
        <v>385</v>
      </c>
      <c r="P545" s="1" t="s">
        <v>386</v>
      </c>
      <c r="Q545" s="1" t="s">
        <v>387</v>
      </c>
      <c r="R545">
        <v>103</v>
      </c>
      <c r="S545" s="1" t="s">
        <v>135</v>
      </c>
      <c r="T545" s="1" t="s">
        <v>388</v>
      </c>
      <c r="U545" s="1" t="s">
        <v>135</v>
      </c>
      <c r="V545" s="1"/>
      <c r="W545" s="1"/>
      <c r="X545" s="1"/>
      <c r="Y545" s="1"/>
      <c r="AA545" s="1"/>
      <c r="AC545" s="1"/>
      <c r="AD545" s="1"/>
      <c r="AE545" s="1"/>
      <c r="AN545" s="1"/>
      <c r="AP545" s="1"/>
      <c r="AQ545" s="1"/>
      <c r="AR545" s="1"/>
      <c r="AS545" s="1"/>
      <c r="AT545" s="3"/>
      <c r="AU545" s="3"/>
      <c r="AV545" s="3"/>
      <c r="AW545" s="1"/>
      <c r="AX545" s="1"/>
      <c r="AZ545">
        <v>253</v>
      </c>
      <c r="BA545">
        <v>4654734.66</v>
      </c>
      <c r="BB545" s="1" t="s">
        <v>74</v>
      </c>
      <c r="BC545">
        <v>173</v>
      </c>
      <c r="BD545" s="1" t="s">
        <v>803</v>
      </c>
      <c r="BE545" s="1" t="s">
        <v>99</v>
      </c>
      <c r="BF545">
        <v>0</v>
      </c>
      <c r="BG545" s="1"/>
      <c r="BH545" s="1" t="s">
        <v>429</v>
      </c>
      <c r="BI545">
        <v>1205.4000000000001</v>
      </c>
      <c r="BJ545" s="1" t="s">
        <v>1020</v>
      </c>
      <c r="BL545" s="1"/>
      <c r="BN545" s="1"/>
      <c r="BO545">
        <v>599</v>
      </c>
      <c r="BP545">
        <v>4654734.66</v>
      </c>
      <c r="BQ545">
        <v>4654734.66</v>
      </c>
    </row>
    <row r="546" spans="1:69" x14ac:dyDescent="0.35">
      <c r="A546" s="1" t="s">
        <v>68</v>
      </c>
      <c r="B546" s="1" t="s">
        <v>69</v>
      </c>
      <c r="C546" s="1" t="s">
        <v>70</v>
      </c>
      <c r="D546">
        <v>1</v>
      </c>
      <c r="E546">
        <v>1</v>
      </c>
      <c r="F546" s="2">
        <v>43585.43</v>
      </c>
      <c r="G546" s="3">
        <v>41275</v>
      </c>
      <c r="H546" s="3">
        <v>41639</v>
      </c>
      <c r="I546" s="1" t="s">
        <v>71</v>
      </c>
      <c r="J546">
        <v>4521</v>
      </c>
      <c r="K546">
        <v>0</v>
      </c>
      <c r="L546" s="1" t="s">
        <v>384</v>
      </c>
      <c r="M546" s="1" t="s">
        <v>72</v>
      </c>
      <c r="N546" s="1" t="s">
        <v>134</v>
      </c>
      <c r="O546" s="1" t="s">
        <v>385</v>
      </c>
      <c r="P546" s="1" t="s">
        <v>386</v>
      </c>
      <c r="Q546" s="1" t="s">
        <v>387</v>
      </c>
      <c r="R546">
        <v>103</v>
      </c>
      <c r="S546" s="1" t="s">
        <v>135</v>
      </c>
      <c r="T546" s="1" t="s">
        <v>388</v>
      </c>
      <c r="U546" s="1" t="s">
        <v>135</v>
      </c>
      <c r="V546" s="1"/>
      <c r="W546" s="1"/>
      <c r="X546" s="1"/>
      <c r="Y546" s="1"/>
      <c r="AA546" s="1"/>
      <c r="AC546" s="1"/>
      <c r="AD546" s="1"/>
      <c r="AE546" s="1"/>
      <c r="AN546" s="1"/>
      <c r="AP546" s="1"/>
      <c r="AQ546" s="1"/>
      <c r="AR546" s="1"/>
      <c r="AS546" s="1"/>
      <c r="AT546" s="3"/>
      <c r="AU546" s="3"/>
      <c r="AV546" s="3"/>
      <c r="AW546" s="1"/>
      <c r="AX546" s="1"/>
      <c r="AZ546">
        <v>253</v>
      </c>
      <c r="BA546">
        <v>4654734.66</v>
      </c>
      <c r="BB546" s="1" t="s">
        <v>74</v>
      </c>
      <c r="BC546">
        <v>174</v>
      </c>
      <c r="BD546" s="1" t="s">
        <v>803</v>
      </c>
      <c r="BE546" s="1" t="s">
        <v>452</v>
      </c>
      <c r="BF546">
        <v>225.4</v>
      </c>
      <c r="BG546" s="1" t="s">
        <v>1020</v>
      </c>
      <c r="BH546" s="1" t="s">
        <v>99</v>
      </c>
      <c r="BI546">
        <v>0</v>
      </c>
      <c r="BJ546" s="1"/>
      <c r="BL546" s="1"/>
      <c r="BN546" s="1"/>
      <c r="BO546">
        <v>599</v>
      </c>
      <c r="BP546">
        <v>4654734.66</v>
      </c>
      <c r="BQ546">
        <v>4654734.66</v>
      </c>
    </row>
    <row r="547" spans="1:69" x14ac:dyDescent="0.35">
      <c r="A547" s="1" t="s">
        <v>68</v>
      </c>
      <c r="B547" s="1" t="s">
        <v>69</v>
      </c>
      <c r="C547" s="1" t="s">
        <v>70</v>
      </c>
      <c r="D547">
        <v>1</v>
      </c>
      <c r="E547">
        <v>1</v>
      </c>
      <c r="F547" s="2">
        <v>43585.43</v>
      </c>
      <c r="G547" s="3">
        <v>41275</v>
      </c>
      <c r="H547" s="3">
        <v>41639</v>
      </c>
      <c r="I547" s="1" t="s">
        <v>71</v>
      </c>
      <c r="J547">
        <v>4521</v>
      </c>
      <c r="K547">
        <v>0</v>
      </c>
      <c r="L547" s="1" t="s">
        <v>384</v>
      </c>
      <c r="M547" s="1" t="s">
        <v>72</v>
      </c>
      <c r="N547" s="1" t="s">
        <v>134</v>
      </c>
      <c r="O547" s="1" t="s">
        <v>385</v>
      </c>
      <c r="P547" s="1" t="s">
        <v>386</v>
      </c>
      <c r="Q547" s="1" t="s">
        <v>387</v>
      </c>
      <c r="R547">
        <v>103</v>
      </c>
      <c r="S547" s="1" t="s">
        <v>135</v>
      </c>
      <c r="T547" s="1" t="s">
        <v>388</v>
      </c>
      <c r="U547" s="1" t="s">
        <v>135</v>
      </c>
      <c r="V547" s="1"/>
      <c r="W547" s="1"/>
      <c r="X547" s="1"/>
      <c r="Y547" s="1"/>
      <c r="AA547" s="1"/>
      <c r="AC547" s="1"/>
      <c r="AD547" s="1"/>
      <c r="AE547" s="1"/>
      <c r="AN547" s="1"/>
      <c r="AP547" s="1"/>
      <c r="AQ547" s="1"/>
      <c r="AR547" s="1"/>
      <c r="AS547" s="1"/>
      <c r="AT547" s="3"/>
      <c r="AU547" s="3"/>
      <c r="AV547" s="3"/>
      <c r="AW547" s="1"/>
      <c r="AX547" s="1"/>
      <c r="AZ547">
        <v>253</v>
      </c>
      <c r="BA547">
        <v>4654734.66</v>
      </c>
      <c r="BB547" s="1" t="s">
        <v>74</v>
      </c>
      <c r="BC547">
        <v>175</v>
      </c>
      <c r="BD547" s="1" t="s">
        <v>804</v>
      </c>
      <c r="BE547" s="1" t="s">
        <v>443</v>
      </c>
      <c r="BF547">
        <v>1158.9000000000001</v>
      </c>
      <c r="BG547" s="1" t="s">
        <v>1021</v>
      </c>
      <c r="BH547" s="1" t="s">
        <v>99</v>
      </c>
      <c r="BI547">
        <v>0</v>
      </c>
      <c r="BJ547" s="1"/>
      <c r="BL547" s="1"/>
      <c r="BN547" s="1"/>
      <c r="BO547">
        <v>599</v>
      </c>
      <c r="BP547">
        <v>4654734.66</v>
      </c>
      <c r="BQ547">
        <v>4654734.66</v>
      </c>
    </row>
    <row r="548" spans="1:69" x14ac:dyDescent="0.35">
      <c r="A548" s="1" t="s">
        <v>68</v>
      </c>
      <c r="B548" s="1" t="s">
        <v>69</v>
      </c>
      <c r="C548" s="1" t="s">
        <v>70</v>
      </c>
      <c r="D548">
        <v>1</v>
      </c>
      <c r="E548">
        <v>1</v>
      </c>
      <c r="F548" s="2">
        <v>43585.43</v>
      </c>
      <c r="G548" s="3">
        <v>41275</v>
      </c>
      <c r="H548" s="3">
        <v>41639</v>
      </c>
      <c r="I548" s="1" t="s">
        <v>71</v>
      </c>
      <c r="J548">
        <v>4521</v>
      </c>
      <c r="K548">
        <v>0</v>
      </c>
      <c r="L548" s="1" t="s">
        <v>384</v>
      </c>
      <c r="M548" s="1" t="s">
        <v>72</v>
      </c>
      <c r="N548" s="1" t="s">
        <v>134</v>
      </c>
      <c r="O548" s="1" t="s">
        <v>385</v>
      </c>
      <c r="P548" s="1" t="s">
        <v>386</v>
      </c>
      <c r="Q548" s="1" t="s">
        <v>387</v>
      </c>
      <c r="R548">
        <v>103</v>
      </c>
      <c r="S548" s="1" t="s">
        <v>135</v>
      </c>
      <c r="T548" s="1" t="s">
        <v>388</v>
      </c>
      <c r="U548" s="1" t="s">
        <v>135</v>
      </c>
      <c r="V548" s="1"/>
      <c r="W548" s="1"/>
      <c r="X548" s="1"/>
      <c r="Y548" s="1"/>
      <c r="AA548" s="1"/>
      <c r="AC548" s="1"/>
      <c r="AD548" s="1"/>
      <c r="AE548" s="1"/>
      <c r="AN548" s="1"/>
      <c r="AP548" s="1"/>
      <c r="AQ548" s="1"/>
      <c r="AR548" s="1"/>
      <c r="AS548" s="1"/>
      <c r="AT548" s="3"/>
      <c r="AU548" s="3"/>
      <c r="AV548" s="3"/>
      <c r="AW548" s="1"/>
      <c r="AX548" s="1"/>
      <c r="AZ548">
        <v>253</v>
      </c>
      <c r="BA548">
        <v>4654734.66</v>
      </c>
      <c r="BB548" s="1" t="s">
        <v>74</v>
      </c>
      <c r="BC548">
        <v>176</v>
      </c>
      <c r="BD548" s="1" t="s">
        <v>804</v>
      </c>
      <c r="BE548" s="1" t="s">
        <v>99</v>
      </c>
      <c r="BF548">
        <v>0</v>
      </c>
      <c r="BG548" s="1"/>
      <c r="BH548" s="1" t="s">
        <v>489</v>
      </c>
      <c r="BI548">
        <v>1158.9000000000001</v>
      </c>
      <c r="BJ548" s="1" t="s">
        <v>1021</v>
      </c>
      <c r="BL548" s="1"/>
      <c r="BN548" s="1"/>
      <c r="BO548">
        <v>599</v>
      </c>
      <c r="BP548">
        <v>4654734.66</v>
      </c>
      <c r="BQ548">
        <v>4654734.66</v>
      </c>
    </row>
    <row r="549" spans="1:69" x14ac:dyDescent="0.35">
      <c r="A549" s="1" t="s">
        <v>68</v>
      </c>
      <c r="B549" s="1" t="s">
        <v>69</v>
      </c>
      <c r="C549" s="1" t="s">
        <v>70</v>
      </c>
      <c r="D549">
        <v>1</v>
      </c>
      <c r="E549">
        <v>1</v>
      </c>
      <c r="F549" s="2">
        <v>43585.43</v>
      </c>
      <c r="G549" s="3">
        <v>41275</v>
      </c>
      <c r="H549" s="3">
        <v>41639</v>
      </c>
      <c r="I549" s="1" t="s">
        <v>71</v>
      </c>
      <c r="J549">
        <v>4521</v>
      </c>
      <c r="K549">
        <v>0</v>
      </c>
      <c r="L549" s="1" t="s">
        <v>384</v>
      </c>
      <c r="M549" s="1" t="s">
        <v>72</v>
      </c>
      <c r="N549" s="1" t="s">
        <v>134</v>
      </c>
      <c r="O549" s="1" t="s">
        <v>385</v>
      </c>
      <c r="P549" s="1" t="s">
        <v>386</v>
      </c>
      <c r="Q549" s="1" t="s">
        <v>387</v>
      </c>
      <c r="R549">
        <v>103</v>
      </c>
      <c r="S549" s="1" t="s">
        <v>135</v>
      </c>
      <c r="T549" s="1" t="s">
        <v>388</v>
      </c>
      <c r="U549" s="1" t="s">
        <v>135</v>
      </c>
      <c r="V549" s="1"/>
      <c r="W549" s="1"/>
      <c r="X549" s="1"/>
      <c r="Y549" s="1"/>
      <c r="AA549" s="1"/>
      <c r="AC549" s="1"/>
      <c r="AD549" s="1"/>
      <c r="AE549" s="1"/>
      <c r="AN549" s="1"/>
      <c r="AP549" s="1"/>
      <c r="AQ549" s="1"/>
      <c r="AR549" s="1"/>
      <c r="AS549" s="1"/>
      <c r="AT549" s="3"/>
      <c r="AU549" s="3"/>
      <c r="AV549" s="3"/>
      <c r="AW549" s="1"/>
      <c r="AX549" s="1"/>
      <c r="AZ549">
        <v>253</v>
      </c>
      <c r="BA549">
        <v>4654734.66</v>
      </c>
      <c r="BB549" s="1" t="s">
        <v>74</v>
      </c>
      <c r="BC549">
        <v>177</v>
      </c>
      <c r="BD549" s="1" t="s">
        <v>805</v>
      </c>
      <c r="BE549" s="1" t="s">
        <v>75</v>
      </c>
      <c r="BF549">
        <v>1107</v>
      </c>
      <c r="BG549" s="1" t="s">
        <v>1022</v>
      </c>
      <c r="BH549" s="1" t="s">
        <v>99</v>
      </c>
      <c r="BI549">
        <v>0</v>
      </c>
      <c r="BJ549" s="1"/>
      <c r="BL549" s="1"/>
      <c r="BN549" s="1"/>
      <c r="BO549">
        <v>599</v>
      </c>
      <c r="BP549">
        <v>4654734.66</v>
      </c>
      <c r="BQ549">
        <v>4654734.66</v>
      </c>
    </row>
    <row r="550" spans="1:69" x14ac:dyDescent="0.35">
      <c r="A550" s="1" t="s">
        <v>68</v>
      </c>
      <c r="B550" s="1" t="s">
        <v>69</v>
      </c>
      <c r="C550" s="1" t="s">
        <v>70</v>
      </c>
      <c r="D550">
        <v>1</v>
      </c>
      <c r="E550">
        <v>1</v>
      </c>
      <c r="F550" s="2">
        <v>43585.43</v>
      </c>
      <c r="G550" s="3">
        <v>41275</v>
      </c>
      <c r="H550" s="3">
        <v>41639</v>
      </c>
      <c r="I550" s="1" t="s">
        <v>71</v>
      </c>
      <c r="J550">
        <v>4521</v>
      </c>
      <c r="K550">
        <v>0</v>
      </c>
      <c r="L550" s="1" t="s">
        <v>384</v>
      </c>
      <c r="M550" s="1" t="s">
        <v>72</v>
      </c>
      <c r="N550" s="1" t="s">
        <v>134</v>
      </c>
      <c r="O550" s="1" t="s">
        <v>385</v>
      </c>
      <c r="P550" s="1" t="s">
        <v>386</v>
      </c>
      <c r="Q550" s="1" t="s">
        <v>387</v>
      </c>
      <c r="R550">
        <v>103</v>
      </c>
      <c r="S550" s="1" t="s">
        <v>135</v>
      </c>
      <c r="T550" s="1" t="s">
        <v>388</v>
      </c>
      <c r="U550" s="1" t="s">
        <v>135</v>
      </c>
      <c r="V550" s="1"/>
      <c r="W550" s="1"/>
      <c r="X550" s="1"/>
      <c r="Y550" s="1"/>
      <c r="AA550" s="1"/>
      <c r="AC550" s="1"/>
      <c r="AD550" s="1"/>
      <c r="AE550" s="1"/>
      <c r="AN550" s="1"/>
      <c r="AP550" s="1"/>
      <c r="AQ550" s="1"/>
      <c r="AR550" s="1"/>
      <c r="AS550" s="1"/>
      <c r="AT550" s="3"/>
      <c r="AU550" s="3"/>
      <c r="AV550" s="3"/>
      <c r="AW550" s="1"/>
      <c r="AX550" s="1"/>
      <c r="AZ550">
        <v>253</v>
      </c>
      <c r="BA550">
        <v>4654734.66</v>
      </c>
      <c r="BB550" s="1" t="s">
        <v>74</v>
      </c>
      <c r="BC550">
        <v>178</v>
      </c>
      <c r="BD550" s="1" t="s">
        <v>805</v>
      </c>
      <c r="BE550" s="1" t="s">
        <v>99</v>
      </c>
      <c r="BF550">
        <v>0</v>
      </c>
      <c r="BG550" s="1"/>
      <c r="BH550" s="1" t="s">
        <v>489</v>
      </c>
      <c r="BI550">
        <v>900</v>
      </c>
      <c r="BJ550" s="1" t="s">
        <v>1022</v>
      </c>
      <c r="BL550" s="1"/>
      <c r="BN550" s="1"/>
      <c r="BO550">
        <v>599</v>
      </c>
      <c r="BP550">
        <v>4654734.66</v>
      </c>
      <c r="BQ550">
        <v>4654734.66</v>
      </c>
    </row>
    <row r="551" spans="1:69" x14ac:dyDescent="0.35">
      <c r="A551" s="1" t="s">
        <v>68</v>
      </c>
      <c r="B551" s="1" t="s">
        <v>69</v>
      </c>
      <c r="C551" s="1" t="s">
        <v>70</v>
      </c>
      <c r="D551">
        <v>1</v>
      </c>
      <c r="E551">
        <v>1</v>
      </c>
      <c r="F551" s="2">
        <v>43585.43</v>
      </c>
      <c r="G551" s="3">
        <v>41275</v>
      </c>
      <c r="H551" s="3">
        <v>41639</v>
      </c>
      <c r="I551" s="1" t="s">
        <v>71</v>
      </c>
      <c r="J551">
        <v>4521</v>
      </c>
      <c r="K551">
        <v>0</v>
      </c>
      <c r="L551" s="1" t="s">
        <v>384</v>
      </c>
      <c r="M551" s="1" t="s">
        <v>72</v>
      </c>
      <c r="N551" s="1" t="s">
        <v>134</v>
      </c>
      <c r="O551" s="1" t="s">
        <v>385</v>
      </c>
      <c r="P551" s="1" t="s">
        <v>386</v>
      </c>
      <c r="Q551" s="1" t="s">
        <v>387</v>
      </c>
      <c r="R551">
        <v>103</v>
      </c>
      <c r="S551" s="1" t="s">
        <v>135</v>
      </c>
      <c r="T551" s="1" t="s">
        <v>388</v>
      </c>
      <c r="U551" s="1" t="s">
        <v>135</v>
      </c>
      <c r="V551" s="1"/>
      <c r="W551" s="1"/>
      <c r="X551" s="1"/>
      <c r="Y551" s="1"/>
      <c r="AA551" s="1"/>
      <c r="AC551" s="1"/>
      <c r="AD551" s="1"/>
      <c r="AE551" s="1"/>
      <c r="AN551" s="1"/>
      <c r="AP551" s="1"/>
      <c r="AQ551" s="1"/>
      <c r="AR551" s="1"/>
      <c r="AS551" s="1"/>
      <c r="AT551" s="3"/>
      <c r="AU551" s="3"/>
      <c r="AV551" s="3"/>
      <c r="AW551" s="1"/>
      <c r="AX551" s="1"/>
      <c r="AZ551">
        <v>253</v>
      </c>
      <c r="BA551">
        <v>4654734.66</v>
      </c>
      <c r="BB551" s="1" t="s">
        <v>74</v>
      </c>
      <c r="BC551">
        <v>179</v>
      </c>
      <c r="BD551" s="1" t="s">
        <v>805</v>
      </c>
      <c r="BE551" s="1" t="s">
        <v>99</v>
      </c>
      <c r="BF551">
        <v>0</v>
      </c>
      <c r="BG551" s="1"/>
      <c r="BH551" s="1" t="s">
        <v>451</v>
      </c>
      <c r="BI551">
        <v>207</v>
      </c>
      <c r="BJ551" s="1" t="s">
        <v>1022</v>
      </c>
      <c r="BL551" s="1"/>
      <c r="BN551" s="1"/>
      <c r="BO551">
        <v>599</v>
      </c>
      <c r="BP551">
        <v>4654734.66</v>
      </c>
      <c r="BQ551">
        <v>4654734.66</v>
      </c>
    </row>
    <row r="552" spans="1:69" x14ac:dyDescent="0.35">
      <c r="A552" s="1" t="s">
        <v>68</v>
      </c>
      <c r="B552" s="1" t="s">
        <v>69</v>
      </c>
      <c r="C552" s="1" t="s">
        <v>70</v>
      </c>
      <c r="D552">
        <v>1</v>
      </c>
      <c r="E552">
        <v>1</v>
      </c>
      <c r="F552" s="2">
        <v>43585.43</v>
      </c>
      <c r="G552" s="3">
        <v>41275</v>
      </c>
      <c r="H552" s="3">
        <v>41639</v>
      </c>
      <c r="I552" s="1" t="s">
        <v>71</v>
      </c>
      <c r="J552">
        <v>4521</v>
      </c>
      <c r="K552">
        <v>0</v>
      </c>
      <c r="L552" s="1" t="s">
        <v>384</v>
      </c>
      <c r="M552" s="1" t="s">
        <v>72</v>
      </c>
      <c r="N552" s="1" t="s">
        <v>134</v>
      </c>
      <c r="O552" s="1" t="s">
        <v>385</v>
      </c>
      <c r="P552" s="1" t="s">
        <v>386</v>
      </c>
      <c r="Q552" s="1" t="s">
        <v>387</v>
      </c>
      <c r="R552">
        <v>103</v>
      </c>
      <c r="S552" s="1" t="s">
        <v>135</v>
      </c>
      <c r="T552" s="1" t="s">
        <v>388</v>
      </c>
      <c r="U552" s="1" t="s">
        <v>135</v>
      </c>
      <c r="V552" s="1"/>
      <c r="W552" s="1"/>
      <c r="X552" s="1"/>
      <c r="Y552" s="1"/>
      <c r="AA552" s="1"/>
      <c r="AC552" s="1"/>
      <c r="AD552" s="1"/>
      <c r="AE552" s="1"/>
      <c r="AN552" s="1"/>
      <c r="AP552" s="1"/>
      <c r="AQ552" s="1"/>
      <c r="AR552" s="1"/>
      <c r="AS552" s="1"/>
      <c r="AT552" s="3"/>
      <c r="AU552" s="3"/>
      <c r="AV552" s="3"/>
      <c r="AW552" s="1"/>
      <c r="AX552" s="1"/>
      <c r="AZ552">
        <v>253</v>
      </c>
      <c r="BA552">
        <v>4654734.66</v>
      </c>
      <c r="BB552" s="1" t="s">
        <v>74</v>
      </c>
      <c r="BC552">
        <v>180</v>
      </c>
      <c r="BD552" s="1" t="s">
        <v>806</v>
      </c>
      <c r="BE552" s="1" t="s">
        <v>466</v>
      </c>
      <c r="BF552">
        <v>6325</v>
      </c>
      <c r="BG552" s="1" t="s">
        <v>982</v>
      </c>
      <c r="BH552" s="1" t="s">
        <v>99</v>
      </c>
      <c r="BI552">
        <v>0</v>
      </c>
      <c r="BJ552" s="1"/>
      <c r="BL552" s="1"/>
      <c r="BN552" s="1"/>
      <c r="BO552">
        <v>599</v>
      </c>
      <c r="BP552">
        <v>4654734.66</v>
      </c>
      <c r="BQ552">
        <v>4654734.66</v>
      </c>
    </row>
    <row r="553" spans="1:69" x14ac:dyDescent="0.35">
      <c r="A553" s="1" t="s">
        <v>68</v>
      </c>
      <c r="B553" s="1" t="s">
        <v>69</v>
      </c>
      <c r="C553" s="1" t="s">
        <v>70</v>
      </c>
      <c r="D553">
        <v>1</v>
      </c>
      <c r="E553">
        <v>1</v>
      </c>
      <c r="F553" s="2">
        <v>43585.43</v>
      </c>
      <c r="G553" s="3">
        <v>41275</v>
      </c>
      <c r="H553" s="3">
        <v>41639</v>
      </c>
      <c r="I553" s="1" t="s">
        <v>71</v>
      </c>
      <c r="J553">
        <v>4521</v>
      </c>
      <c r="K553">
        <v>0</v>
      </c>
      <c r="L553" s="1" t="s">
        <v>384</v>
      </c>
      <c r="M553" s="1" t="s">
        <v>72</v>
      </c>
      <c r="N553" s="1" t="s">
        <v>134</v>
      </c>
      <c r="O553" s="1" t="s">
        <v>385</v>
      </c>
      <c r="P553" s="1" t="s">
        <v>386</v>
      </c>
      <c r="Q553" s="1" t="s">
        <v>387</v>
      </c>
      <c r="R553">
        <v>103</v>
      </c>
      <c r="S553" s="1" t="s">
        <v>135</v>
      </c>
      <c r="T553" s="1" t="s">
        <v>388</v>
      </c>
      <c r="U553" s="1" t="s">
        <v>135</v>
      </c>
      <c r="V553" s="1"/>
      <c r="W553" s="1"/>
      <c r="X553" s="1"/>
      <c r="Y553" s="1"/>
      <c r="AA553" s="1"/>
      <c r="AC553" s="1"/>
      <c r="AD553" s="1"/>
      <c r="AE553" s="1"/>
      <c r="AN553" s="1"/>
      <c r="AP553" s="1"/>
      <c r="AQ553" s="1"/>
      <c r="AR553" s="1"/>
      <c r="AS553" s="1"/>
      <c r="AT553" s="3"/>
      <c r="AU553" s="3"/>
      <c r="AV553" s="3"/>
      <c r="AW553" s="1"/>
      <c r="AX553" s="1"/>
      <c r="AZ553">
        <v>253</v>
      </c>
      <c r="BA553">
        <v>4654734.66</v>
      </c>
      <c r="BB553" s="1" t="s">
        <v>74</v>
      </c>
      <c r="BC553">
        <v>181</v>
      </c>
      <c r="BD553" s="1" t="s">
        <v>806</v>
      </c>
      <c r="BE553" s="1" t="s">
        <v>99</v>
      </c>
      <c r="BF553">
        <v>0</v>
      </c>
      <c r="BG553" s="1"/>
      <c r="BH553" s="1" t="s">
        <v>433</v>
      </c>
      <c r="BI553">
        <v>7779.75</v>
      </c>
      <c r="BJ553" s="1" t="s">
        <v>982</v>
      </c>
      <c r="BL553" s="1"/>
      <c r="BN553" s="1"/>
      <c r="BO553">
        <v>599</v>
      </c>
      <c r="BP553">
        <v>4654734.66</v>
      </c>
      <c r="BQ553">
        <v>4654734.66</v>
      </c>
    </row>
    <row r="554" spans="1:69" x14ac:dyDescent="0.35">
      <c r="A554" s="1" t="s">
        <v>68</v>
      </c>
      <c r="B554" s="1" t="s">
        <v>69</v>
      </c>
      <c r="C554" s="1" t="s">
        <v>70</v>
      </c>
      <c r="D554">
        <v>1</v>
      </c>
      <c r="E554">
        <v>1</v>
      </c>
      <c r="F554" s="2">
        <v>43585.43</v>
      </c>
      <c r="G554" s="3">
        <v>41275</v>
      </c>
      <c r="H554" s="3">
        <v>41639</v>
      </c>
      <c r="I554" s="1" t="s">
        <v>71</v>
      </c>
      <c r="J554">
        <v>4521</v>
      </c>
      <c r="K554">
        <v>0</v>
      </c>
      <c r="L554" s="1" t="s">
        <v>384</v>
      </c>
      <c r="M554" s="1" t="s">
        <v>72</v>
      </c>
      <c r="N554" s="1" t="s">
        <v>134</v>
      </c>
      <c r="O554" s="1" t="s">
        <v>385</v>
      </c>
      <c r="P554" s="1" t="s">
        <v>386</v>
      </c>
      <c r="Q554" s="1" t="s">
        <v>387</v>
      </c>
      <c r="R554">
        <v>103</v>
      </c>
      <c r="S554" s="1" t="s">
        <v>135</v>
      </c>
      <c r="T554" s="1" t="s">
        <v>388</v>
      </c>
      <c r="U554" s="1" t="s">
        <v>135</v>
      </c>
      <c r="V554" s="1"/>
      <c r="W554" s="1"/>
      <c r="X554" s="1"/>
      <c r="Y554" s="1"/>
      <c r="AA554" s="1"/>
      <c r="AC554" s="1"/>
      <c r="AD554" s="1"/>
      <c r="AE554" s="1"/>
      <c r="AN554" s="1"/>
      <c r="AP554" s="1"/>
      <c r="AQ554" s="1"/>
      <c r="AR554" s="1"/>
      <c r="AS554" s="1"/>
      <c r="AT554" s="3"/>
      <c r="AU554" s="3"/>
      <c r="AV554" s="3"/>
      <c r="AW554" s="1"/>
      <c r="AX554" s="1"/>
      <c r="AZ554">
        <v>253</v>
      </c>
      <c r="BA554">
        <v>4654734.66</v>
      </c>
      <c r="BB554" s="1" t="s">
        <v>74</v>
      </c>
      <c r="BC554">
        <v>182</v>
      </c>
      <c r="BD554" s="1" t="s">
        <v>806</v>
      </c>
      <c r="BE554" s="1" t="s">
        <v>452</v>
      </c>
      <c r="BF554">
        <v>1454.75</v>
      </c>
      <c r="BG554" s="1" t="s">
        <v>982</v>
      </c>
      <c r="BH554" s="1" t="s">
        <v>99</v>
      </c>
      <c r="BI554">
        <v>0</v>
      </c>
      <c r="BJ554" s="1"/>
      <c r="BL554" s="1"/>
      <c r="BN554" s="1"/>
      <c r="BO554">
        <v>599</v>
      </c>
      <c r="BP554">
        <v>4654734.66</v>
      </c>
      <c r="BQ554">
        <v>4654734.66</v>
      </c>
    </row>
    <row r="555" spans="1:69" x14ac:dyDescent="0.35">
      <c r="A555" s="1" t="s">
        <v>68</v>
      </c>
      <c r="B555" s="1" t="s">
        <v>69</v>
      </c>
      <c r="C555" s="1" t="s">
        <v>70</v>
      </c>
      <c r="D555">
        <v>1</v>
      </c>
      <c r="E555">
        <v>1</v>
      </c>
      <c r="F555" s="2">
        <v>43585.43</v>
      </c>
      <c r="G555" s="3">
        <v>41275</v>
      </c>
      <c r="H555" s="3">
        <v>41639</v>
      </c>
      <c r="I555" s="1" t="s">
        <v>71</v>
      </c>
      <c r="J555">
        <v>4521</v>
      </c>
      <c r="K555">
        <v>0</v>
      </c>
      <c r="L555" s="1" t="s">
        <v>384</v>
      </c>
      <c r="M555" s="1" t="s">
        <v>72</v>
      </c>
      <c r="N555" s="1" t="s">
        <v>134</v>
      </c>
      <c r="O555" s="1" t="s">
        <v>385</v>
      </c>
      <c r="P555" s="1" t="s">
        <v>386</v>
      </c>
      <c r="Q555" s="1" t="s">
        <v>387</v>
      </c>
      <c r="R555">
        <v>103</v>
      </c>
      <c r="S555" s="1" t="s">
        <v>135</v>
      </c>
      <c r="T555" s="1" t="s">
        <v>388</v>
      </c>
      <c r="U555" s="1" t="s">
        <v>135</v>
      </c>
      <c r="V555" s="1"/>
      <c r="W555" s="1"/>
      <c r="X555" s="1"/>
      <c r="Y555" s="1"/>
      <c r="AA555" s="1"/>
      <c r="AC555" s="1"/>
      <c r="AD555" s="1"/>
      <c r="AE555" s="1"/>
      <c r="AN555" s="1"/>
      <c r="AP555" s="1"/>
      <c r="AQ555" s="1"/>
      <c r="AR555" s="1"/>
      <c r="AS555" s="1"/>
      <c r="AT555" s="3"/>
      <c r="AU555" s="3"/>
      <c r="AV555" s="3"/>
      <c r="AW555" s="1"/>
      <c r="AX555" s="1"/>
      <c r="AZ555">
        <v>253</v>
      </c>
      <c r="BA555">
        <v>4654734.66</v>
      </c>
      <c r="BB555" s="1" t="s">
        <v>74</v>
      </c>
      <c r="BC555">
        <v>183</v>
      </c>
      <c r="BD555" s="1" t="s">
        <v>807</v>
      </c>
      <c r="BE555" s="1" t="s">
        <v>392</v>
      </c>
      <c r="BF555">
        <v>33.119999999999997</v>
      </c>
      <c r="BG555" s="1" t="s">
        <v>1234</v>
      </c>
      <c r="BH555" s="1" t="s">
        <v>99</v>
      </c>
      <c r="BI555">
        <v>0</v>
      </c>
      <c r="BJ555" s="1"/>
      <c r="BL555" s="1"/>
      <c r="BN555" s="1"/>
      <c r="BO555">
        <v>599</v>
      </c>
      <c r="BP555">
        <v>4654734.66</v>
      </c>
      <c r="BQ555">
        <v>4654734.66</v>
      </c>
    </row>
    <row r="556" spans="1:69" x14ac:dyDescent="0.35">
      <c r="A556" s="1" t="s">
        <v>68</v>
      </c>
      <c r="B556" s="1" t="s">
        <v>69</v>
      </c>
      <c r="C556" s="1" t="s">
        <v>70</v>
      </c>
      <c r="D556">
        <v>1</v>
      </c>
      <c r="E556">
        <v>1</v>
      </c>
      <c r="F556" s="2">
        <v>43585.43</v>
      </c>
      <c r="G556" s="3">
        <v>41275</v>
      </c>
      <c r="H556" s="3">
        <v>41639</v>
      </c>
      <c r="I556" s="1" t="s">
        <v>71</v>
      </c>
      <c r="J556">
        <v>4521</v>
      </c>
      <c r="K556">
        <v>0</v>
      </c>
      <c r="L556" s="1" t="s">
        <v>384</v>
      </c>
      <c r="M556" s="1" t="s">
        <v>72</v>
      </c>
      <c r="N556" s="1" t="s">
        <v>134</v>
      </c>
      <c r="O556" s="1" t="s">
        <v>385</v>
      </c>
      <c r="P556" s="1" t="s">
        <v>386</v>
      </c>
      <c r="Q556" s="1" t="s">
        <v>387</v>
      </c>
      <c r="R556">
        <v>103</v>
      </c>
      <c r="S556" s="1" t="s">
        <v>135</v>
      </c>
      <c r="T556" s="1" t="s">
        <v>388</v>
      </c>
      <c r="U556" s="1" t="s">
        <v>135</v>
      </c>
      <c r="V556" s="1"/>
      <c r="W556" s="1"/>
      <c r="X556" s="1"/>
      <c r="Y556" s="1"/>
      <c r="AA556" s="1"/>
      <c r="AC556" s="1"/>
      <c r="AD556" s="1"/>
      <c r="AE556" s="1"/>
      <c r="AN556" s="1"/>
      <c r="AP556" s="1"/>
      <c r="AQ556" s="1"/>
      <c r="AR556" s="1"/>
      <c r="AS556" s="1"/>
      <c r="AT556" s="3"/>
      <c r="AU556" s="3"/>
      <c r="AV556" s="3"/>
      <c r="AW556" s="1"/>
      <c r="AX556" s="1"/>
      <c r="AZ556">
        <v>253</v>
      </c>
      <c r="BA556">
        <v>4654734.66</v>
      </c>
      <c r="BB556" s="1" t="s">
        <v>74</v>
      </c>
      <c r="BC556">
        <v>184</v>
      </c>
      <c r="BD556" s="1" t="s">
        <v>807</v>
      </c>
      <c r="BE556" s="1" t="s">
        <v>99</v>
      </c>
      <c r="BF556">
        <v>0</v>
      </c>
      <c r="BG556" s="1"/>
      <c r="BH556" s="1" t="s">
        <v>455</v>
      </c>
      <c r="BI556">
        <v>33.119999999999997</v>
      </c>
      <c r="BJ556" s="1" t="s">
        <v>1234</v>
      </c>
      <c r="BL556" s="1"/>
      <c r="BN556" s="1"/>
      <c r="BO556">
        <v>599</v>
      </c>
      <c r="BP556">
        <v>4654734.66</v>
      </c>
      <c r="BQ556">
        <v>4654734.66</v>
      </c>
    </row>
    <row r="557" spans="1:69" x14ac:dyDescent="0.35">
      <c r="A557" s="1" t="s">
        <v>68</v>
      </c>
      <c r="B557" s="1" t="s">
        <v>69</v>
      </c>
      <c r="C557" s="1" t="s">
        <v>70</v>
      </c>
      <c r="D557">
        <v>1</v>
      </c>
      <c r="E557">
        <v>1</v>
      </c>
      <c r="F557" s="2">
        <v>43585.43</v>
      </c>
      <c r="G557" s="3">
        <v>41275</v>
      </c>
      <c r="H557" s="3">
        <v>41639</v>
      </c>
      <c r="I557" s="1" t="s">
        <v>71</v>
      </c>
      <c r="J557">
        <v>4521</v>
      </c>
      <c r="K557">
        <v>0</v>
      </c>
      <c r="L557" s="1" t="s">
        <v>384</v>
      </c>
      <c r="M557" s="1" t="s">
        <v>72</v>
      </c>
      <c r="N557" s="1" t="s">
        <v>134</v>
      </c>
      <c r="O557" s="1" t="s">
        <v>385</v>
      </c>
      <c r="P557" s="1" t="s">
        <v>386</v>
      </c>
      <c r="Q557" s="1" t="s">
        <v>387</v>
      </c>
      <c r="R557">
        <v>103</v>
      </c>
      <c r="S557" s="1" t="s">
        <v>135</v>
      </c>
      <c r="T557" s="1" t="s">
        <v>388</v>
      </c>
      <c r="U557" s="1" t="s">
        <v>135</v>
      </c>
      <c r="V557" s="1"/>
      <c r="W557" s="1"/>
      <c r="X557" s="1"/>
      <c r="Y557" s="1"/>
      <c r="AA557" s="1"/>
      <c r="AC557" s="1"/>
      <c r="AD557" s="1"/>
      <c r="AE557" s="1"/>
      <c r="AN557" s="1"/>
      <c r="AP557" s="1"/>
      <c r="AQ557" s="1"/>
      <c r="AR557" s="1"/>
      <c r="AS557" s="1"/>
      <c r="AT557" s="3"/>
      <c r="AU557" s="3"/>
      <c r="AV557" s="3"/>
      <c r="AW557" s="1"/>
      <c r="AX557" s="1"/>
      <c r="AZ557">
        <v>253</v>
      </c>
      <c r="BA557">
        <v>4654734.66</v>
      </c>
      <c r="BB557" s="1" t="s">
        <v>74</v>
      </c>
      <c r="BC557">
        <v>185</v>
      </c>
      <c r="BD557" s="1" t="s">
        <v>808</v>
      </c>
      <c r="BE557" s="1" t="s">
        <v>392</v>
      </c>
      <c r="BF557">
        <v>950.12</v>
      </c>
      <c r="BG557" s="1" t="s">
        <v>1235</v>
      </c>
      <c r="BH557" s="1" t="s">
        <v>99</v>
      </c>
      <c r="BI557">
        <v>0</v>
      </c>
      <c r="BJ557" s="1"/>
      <c r="BL557" s="1"/>
      <c r="BN557" s="1"/>
      <c r="BO557">
        <v>599</v>
      </c>
      <c r="BP557">
        <v>4654734.66</v>
      </c>
      <c r="BQ557">
        <v>4654734.66</v>
      </c>
    </row>
    <row r="558" spans="1:69" x14ac:dyDescent="0.35">
      <c r="A558" s="1" t="s">
        <v>68</v>
      </c>
      <c r="B558" s="1" t="s">
        <v>69</v>
      </c>
      <c r="C558" s="1" t="s">
        <v>70</v>
      </c>
      <c r="D558">
        <v>1</v>
      </c>
      <c r="E558">
        <v>1</v>
      </c>
      <c r="F558" s="2">
        <v>43585.43</v>
      </c>
      <c r="G558" s="3">
        <v>41275</v>
      </c>
      <c r="H558" s="3">
        <v>41639</v>
      </c>
      <c r="I558" s="1" t="s">
        <v>71</v>
      </c>
      <c r="J558">
        <v>4521</v>
      </c>
      <c r="K558">
        <v>0</v>
      </c>
      <c r="L558" s="1" t="s">
        <v>384</v>
      </c>
      <c r="M558" s="1" t="s">
        <v>72</v>
      </c>
      <c r="N558" s="1" t="s">
        <v>134</v>
      </c>
      <c r="O558" s="1" t="s">
        <v>385</v>
      </c>
      <c r="P558" s="1" t="s">
        <v>386</v>
      </c>
      <c r="Q558" s="1" t="s">
        <v>387</v>
      </c>
      <c r="R558">
        <v>103</v>
      </c>
      <c r="S558" s="1" t="s">
        <v>135</v>
      </c>
      <c r="T558" s="1" t="s">
        <v>388</v>
      </c>
      <c r="U558" s="1" t="s">
        <v>135</v>
      </c>
      <c r="V558" s="1"/>
      <c r="W558" s="1"/>
      <c r="X558" s="1"/>
      <c r="Y558" s="1"/>
      <c r="AA558" s="1"/>
      <c r="AC558" s="1"/>
      <c r="AD558" s="1"/>
      <c r="AE558" s="1"/>
      <c r="AN558" s="1"/>
      <c r="AP558" s="1"/>
      <c r="AQ558" s="1"/>
      <c r="AR558" s="1"/>
      <c r="AS558" s="1"/>
      <c r="AT558" s="3"/>
      <c r="AU558" s="3"/>
      <c r="AV558" s="3"/>
      <c r="AW558" s="1"/>
      <c r="AX558" s="1"/>
      <c r="AZ558">
        <v>253</v>
      </c>
      <c r="BA558">
        <v>4654734.66</v>
      </c>
      <c r="BB558" s="1" t="s">
        <v>74</v>
      </c>
      <c r="BC558">
        <v>186</v>
      </c>
      <c r="BD558" s="1" t="s">
        <v>808</v>
      </c>
      <c r="BE558" s="1" t="s">
        <v>99</v>
      </c>
      <c r="BF558">
        <v>0</v>
      </c>
      <c r="BG558" s="1"/>
      <c r="BH558" s="1" t="s">
        <v>75</v>
      </c>
      <c r="BI558">
        <v>950.12</v>
      </c>
      <c r="BJ558" s="1" t="s">
        <v>1235</v>
      </c>
      <c r="BL558" s="1"/>
      <c r="BN558" s="1"/>
      <c r="BO558">
        <v>599</v>
      </c>
      <c r="BP558">
        <v>4654734.66</v>
      </c>
      <c r="BQ558">
        <v>4654734.66</v>
      </c>
    </row>
    <row r="559" spans="1:69" x14ac:dyDescent="0.35">
      <c r="A559" s="1" t="s">
        <v>68</v>
      </c>
      <c r="B559" s="1" t="s">
        <v>69</v>
      </c>
      <c r="C559" s="1" t="s">
        <v>70</v>
      </c>
      <c r="D559">
        <v>1</v>
      </c>
      <c r="E559">
        <v>1</v>
      </c>
      <c r="F559" s="2">
        <v>43585.43</v>
      </c>
      <c r="G559" s="3">
        <v>41275</v>
      </c>
      <c r="H559" s="3">
        <v>41639</v>
      </c>
      <c r="I559" s="1" t="s">
        <v>71</v>
      </c>
      <c r="J559">
        <v>4521</v>
      </c>
      <c r="K559">
        <v>0</v>
      </c>
      <c r="L559" s="1" t="s">
        <v>384</v>
      </c>
      <c r="M559" s="1" t="s">
        <v>72</v>
      </c>
      <c r="N559" s="1" t="s">
        <v>134</v>
      </c>
      <c r="O559" s="1" t="s">
        <v>385</v>
      </c>
      <c r="P559" s="1" t="s">
        <v>386</v>
      </c>
      <c r="Q559" s="1" t="s">
        <v>387</v>
      </c>
      <c r="R559">
        <v>103</v>
      </c>
      <c r="S559" s="1" t="s">
        <v>135</v>
      </c>
      <c r="T559" s="1" t="s">
        <v>388</v>
      </c>
      <c r="U559" s="1" t="s">
        <v>135</v>
      </c>
      <c r="V559" s="1"/>
      <c r="W559" s="1"/>
      <c r="X559" s="1"/>
      <c r="Y559" s="1"/>
      <c r="AA559" s="1"/>
      <c r="AC559" s="1"/>
      <c r="AD559" s="1"/>
      <c r="AE559" s="1"/>
      <c r="AN559" s="1"/>
      <c r="AP559" s="1"/>
      <c r="AQ559" s="1"/>
      <c r="AR559" s="1"/>
      <c r="AS559" s="1"/>
      <c r="AT559" s="3"/>
      <c r="AU559" s="3"/>
      <c r="AV559" s="3"/>
      <c r="AW559" s="1"/>
      <c r="AX559" s="1"/>
      <c r="AZ559">
        <v>253</v>
      </c>
      <c r="BA559">
        <v>4654734.66</v>
      </c>
      <c r="BB559" s="1" t="s">
        <v>74</v>
      </c>
      <c r="BC559">
        <v>187</v>
      </c>
      <c r="BD559" s="1" t="s">
        <v>809</v>
      </c>
      <c r="BE559" s="1" t="s">
        <v>392</v>
      </c>
      <c r="BF559">
        <v>800</v>
      </c>
      <c r="BG559" s="1" t="s">
        <v>1240</v>
      </c>
      <c r="BH559" s="1" t="s">
        <v>99</v>
      </c>
      <c r="BI559">
        <v>0</v>
      </c>
      <c r="BJ559" s="1"/>
      <c r="BL559" s="1"/>
      <c r="BN559" s="1"/>
      <c r="BO559">
        <v>599</v>
      </c>
      <c r="BP559">
        <v>4654734.66</v>
      </c>
      <c r="BQ559">
        <v>4654734.66</v>
      </c>
    </row>
    <row r="560" spans="1:69" x14ac:dyDescent="0.35">
      <c r="A560" s="1" t="s">
        <v>68</v>
      </c>
      <c r="B560" s="1" t="s">
        <v>69</v>
      </c>
      <c r="C560" s="1" t="s">
        <v>70</v>
      </c>
      <c r="D560">
        <v>1</v>
      </c>
      <c r="E560">
        <v>1</v>
      </c>
      <c r="F560" s="2">
        <v>43585.43</v>
      </c>
      <c r="G560" s="3">
        <v>41275</v>
      </c>
      <c r="H560" s="3">
        <v>41639</v>
      </c>
      <c r="I560" s="1" t="s">
        <v>71</v>
      </c>
      <c r="J560">
        <v>4521</v>
      </c>
      <c r="K560">
        <v>0</v>
      </c>
      <c r="L560" s="1" t="s">
        <v>384</v>
      </c>
      <c r="M560" s="1" t="s">
        <v>72</v>
      </c>
      <c r="N560" s="1" t="s">
        <v>134</v>
      </c>
      <c r="O560" s="1" t="s">
        <v>385</v>
      </c>
      <c r="P560" s="1" t="s">
        <v>386</v>
      </c>
      <c r="Q560" s="1" t="s">
        <v>387</v>
      </c>
      <c r="R560">
        <v>103</v>
      </c>
      <c r="S560" s="1" t="s">
        <v>135</v>
      </c>
      <c r="T560" s="1" t="s">
        <v>388</v>
      </c>
      <c r="U560" s="1" t="s">
        <v>135</v>
      </c>
      <c r="V560" s="1"/>
      <c r="W560" s="1"/>
      <c r="X560" s="1"/>
      <c r="Y560" s="1"/>
      <c r="AA560" s="1"/>
      <c r="AC560" s="1"/>
      <c r="AD560" s="1"/>
      <c r="AE560" s="1"/>
      <c r="AN560" s="1"/>
      <c r="AP560" s="1"/>
      <c r="AQ560" s="1"/>
      <c r="AR560" s="1"/>
      <c r="AS560" s="1"/>
      <c r="AT560" s="3"/>
      <c r="AU560" s="3"/>
      <c r="AV560" s="3"/>
      <c r="AW560" s="1"/>
      <c r="AX560" s="1"/>
      <c r="AZ560">
        <v>253</v>
      </c>
      <c r="BA560">
        <v>4654734.66</v>
      </c>
      <c r="BB560" s="1" t="s">
        <v>74</v>
      </c>
      <c r="BC560">
        <v>188</v>
      </c>
      <c r="BD560" s="1" t="s">
        <v>809</v>
      </c>
      <c r="BE560" s="1" t="s">
        <v>99</v>
      </c>
      <c r="BF560">
        <v>0</v>
      </c>
      <c r="BG560" s="1"/>
      <c r="BH560" s="1" t="s">
        <v>400</v>
      </c>
      <c r="BI560">
        <v>800</v>
      </c>
      <c r="BJ560" s="1" t="s">
        <v>1240</v>
      </c>
      <c r="BL560" s="1"/>
      <c r="BN560" s="1"/>
      <c r="BO560">
        <v>599</v>
      </c>
      <c r="BP560">
        <v>4654734.66</v>
      </c>
      <c r="BQ560">
        <v>4654734.66</v>
      </c>
    </row>
    <row r="561" spans="1:69" x14ac:dyDescent="0.35">
      <c r="A561" s="1" t="s">
        <v>68</v>
      </c>
      <c r="B561" s="1" t="s">
        <v>69</v>
      </c>
      <c r="C561" s="1" t="s">
        <v>70</v>
      </c>
      <c r="D561">
        <v>1</v>
      </c>
      <c r="E561">
        <v>1</v>
      </c>
      <c r="F561" s="2">
        <v>43585.43</v>
      </c>
      <c r="G561" s="3">
        <v>41275</v>
      </c>
      <c r="H561" s="3">
        <v>41639</v>
      </c>
      <c r="I561" s="1" t="s">
        <v>71</v>
      </c>
      <c r="J561">
        <v>4521</v>
      </c>
      <c r="K561">
        <v>0</v>
      </c>
      <c r="L561" s="1" t="s">
        <v>384</v>
      </c>
      <c r="M561" s="1" t="s">
        <v>72</v>
      </c>
      <c r="N561" s="1" t="s">
        <v>134</v>
      </c>
      <c r="O561" s="1" t="s">
        <v>385</v>
      </c>
      <c r="P561" s="1" t="s">
        <v>386</v>
      </c>
      <c r="Q561" s="1" t="s">
        <v>387</v>
      </c>
      <c r="R561">
        <v>103</v>
      </c>
      <c r="S561" s="1" t="s">
        <v>135</v>
      </c>
      <c r="T561" s="1" t="s">
        <v>388</v>
      </c>
      <c r="U561" s="1" t="s">
        <v>135</v>
      </c>
      <c r="V561" s="1"/>
      <c r="W561" s="1"/>
      <c r="X561" s="1"/>
      <c r="Y561" s="1"/>
      <c r="AA561" s="1"/>
      <c r="AC561" s="1"/>
      <c r="AD561" s="1"/>
      <c r="AE561" s="1"/>
      <c r="AN561" s="1"/>
      <c r="AP561" s="1"/>
      <c r="AQ561" s="1"/>
      <c r="AR561" s="1"/>
      <c r="AS561" s="1"/>
      <c r="AT561" s="3"/>
      <c r="AU561" s="3"/>
      <c r="AV561" s="3"/>
      <c r="AW561" s="1"/>
      <c r="AX561" s="1"/>
      <c r="AZ561">
        <v>253</v>
      </c>
      <c r="BA561">
        <v>4654734.66</v>
      </c>
      <c r="BB561" s="1" t="s">
        <v>74</v>
      </c>
      <c r="BC561">
        <v>189</v>
      </c>
      <c r="BD561" s="1" t="s">
        <v>810</v>
      </c>
      <c r="BE561" s="1" t="s">
        <v>392</v>
      </c>
      <c r="BF561">
        <v>184</v>
      </c>
      <c r="BG561" s="1" t="s">
        <v>1241</v>
      </c>
      <c r="BH561" s="1" t="s">
        <v>99</v>
      </c>
      <c r="BI561">
        <v>0</v>
      </c>
      <c r="BJ561" s="1"/>
      <c r="BL561" s="1"/>
      <c r="BN561" s="1"/>
      <c r="BO561">
        <v>599</v>
      </c>
      <c r="BP561">
        <v>4654734.66</v>
      </c>
      <c r="BQ561">
        <v>4654734.66</v>
      </c>
    </row>
    <row r="562" spans="1:69" x14ac:dyDescent="0.35">
      <c r="A562" s="1" t="s">
        <v>68</v>
      </c>
      <c r="B562" s="1" t="s">
        <v>69</v>
      </c>
      <c r="C562" s="1" t="s">
        <v>70</v>
      </c>
      <c r="D562">
        <v>1</v>
      </c>
      <c r="E562">
        <v>1</v>
      </c>
      <c r="F562" s="2">
        <v>43585.43</v>
      </c>
      <c r="G562" s="3">
        <v>41275</v>
      </c>
      <c r="H562" s="3">
        <v>41639</v>
      </c>
      <c r="I562" s="1" t="s">
        <v>71</v>
      </c>
      <c r="J562">
        <v>4521</v>
      </c>
      <c r="K562">
        <v>0</v>
      </c>
      <c r="L562" s="1" t="s">
        <v>384</v>
      </c>
      <c r="M562" s="1" t="s">
        <v>72</v>
      </c>
      <c r="N562" s="1" t="s">
        <v>134</v>
      </c>
      <c r="O562" s="1" t="s">
        <v>385</v>
      </c>
      <c r="P562" s="1" t="s">
        <v>386</v>
      </c>
      <c r="Q562" s="1" t="s">
        <v>387</v>
      </c>
      <c r="R562">
        <v>103</v>
      </c>
      <c r="S562" s="1" t="s">
        <v>135</v>
      </c>
      <c r="T562" s="1" t="s">
        <v>388</v>
      </c>
      <c r="U562" s="1" t="s">
        <v>135</v>
      </c>
      <c r="V562" s="1"/>
      <c r="W562" s="1"/>
      <c r="X562" s="1"/>
      <c r="Y562" s="1"/>
      <c r="AA562" s="1"/>
      <c r="AC562" s="1"/>
      <c r="AD562" s="1"/>
      <c r="AE562" s="1"/>
      <c r="AN562" s="1"/>
      <c r="AP562" s="1"/>
      <c r="AQ562" s="1"/>
      <c r="AR562" s="1"/>
      <c r="AS562" s="1"/>
      <c r="AT562" s="3"/>
      <c r="AU562" s="3"/>
      <c r="AV562" s="3"/>
      <c r="AW562" s="1"/>
      <c r="AX562" s="1"/>
      <c r="AZ562">
        <v>253</v>
      </c>
      <c r="BA562">
        <v>4654734.66</v>
      </c>
      <c r="BB562" s="1" t="s">
        <v>74</v>
      </c>
      <c r="BC562">
        <v>190</v>
      </c>
      <c r="BD562" s="1" t="s">
        <v>810</v>
      </c>
      <c r="BE562" s="1" t="s">
        <v>99</v>
      </c>
      <c r="BF562">
        <v>0</v>
      </c>
      <c r="BG562" s="1"/>
      <c r="BH562" s="1" t="s">
        <v>451</v>
      </c>
      <c r="BI562">
        <v>184</v>
      </c>
      <c r="BJ562" s="1" t="s">
        <v>1241</v>
      </c>
      <c r="BL562" s="1"/>
      <c r="BN562" s="1"/>
      <c r="BO562">
        <v>599</v>
      </c>
      <c r="BP562">
        <v>4654734.66</v>
      </c>
      <c r="BQ562">
        <v>4654734.66</v>
      </c>
    </row>
    <row r="563" spans="1:69" x14ac:dyDescent="0.35">
      <c r="A563" s="1" t="s">
        <v>68</v>
      </c>
      <c r="B563" s="1" t="s">
        <v>69</v>
      </c>
      <c r="C563" s="1" t="s">
        <v>70</v>
      </c>
      <c r="D563">
        <v>1</v>
      </c>
      <c r="E563">
        <v>1</v>
      </c>
      <c r="F563" s="2">
        <v>43585.43</v>
      </c>
      <c r="G563" s="3">
        <v>41275</v>
      </c>
      <c r="H563" s="3">
        <v>41639</v>
      </c>
      <c r="I563" s="1" t="s">
        <v>71</v>
      </c>
      <c r="J563">
        <v>4521</v>
      </c>
      <c r="K563">
        <v>0</v>
      </c>
      <c r="L563" s="1" t="s">
        <v>384</v>
      </c>
      <c r="M563" s="1" t="s">
        <v>72</v>
      </c>
      <c r="N563" s="1" t="s">
        <v>134</v>
      </c>
      <c r="O563" s="1" t="s">
        <v>385</v>
      </c>
      <c r="P563" s="1" t="s">
        <v>386</v>
      </c>
      <c r="Q563" s="1" t="s">
        <v>387</v>
      </c>
      <c r="R563">
        <v>103</v>
      </c>
      <c r="S563" s="1" t="s">
        <v>135</v>
      </c>
      <c r="T563" s="1" t="s">
        <v>388</v>
      </c>
      <c r="U563" s="1" t="s">
        <v>135</v>
      </c>
      <c r="V563" s="1"/>
      <c r="W563" s="1"/>
      <c r="X563" s="1"/>
      <c r="Y563" s="1"/>
      <c r="AA563" s="1"/>
      <c r="AC563" s="1"/>
      <c r="AD563" s="1"/>
      <c r="AE563" s="1"/>
      <c r="AN563" s="1"/>
      <c r="AP563" s="1"/>
      <c r="AQ563" s="1"/>
      <c r="AR563" s="1"/>
      <c r="AS563" s="1"/>
      <c r="AT563" s="3"/>
      <c r="AU563" s="3"/>
      <c r="AV563" s="3"/>
      <c r="AW563" s="1"/>
      <c r="AX563" s="1"/>
      <c r="AZ563">
        <v>253</v>
      </c>
      <c r="BA563">
        <v>4654734.66</v>
      </c>
      <c r="BB563" s="1" t="s">
        <v>74</v>
      </c>
      <c r="BC563">
        <v>191</v>
      </c>
      <c r="BD563" s="1" t="s">
        <v>811</v>
      </c>
      <c r="BE563" s="1" t="s">
        <v>466</v>
      </c>
      <c r="BF563">
        <v>521</v>
      </c>
      <c r="BG563" s="1" t="s">
        <v>1025</v>
      </c>
      <c r="BH563" s="1" t="s">
        <v>99</v>
      </c>
      <c r="BI563">
        <v>0</v>
      </c>
      <c r="BJ563" s="1"/>
      <c r="BL563" s="1"/>
      <c r="BN563" s="1"/>
      <c r="BO563">
        <v>599</v>
      </c>
      <c r="BP563">
        <v>4654734.66</v>
      </c>
      <c r="BQ563">
        <v>4654734.66</v>
      </c>
    </row>
    <row r="564" spans="1:69" x14ac:dyDescent="0.35">
      <c r="A564" s="1" t="s">
        <v>68</v>
      </c>
      <c r="B564" s="1" t="s">
        <v>69</v>
      </c>
      <c r="C564" s="1" t="s">
        <v>70</v>
      </c>
      <c r="D564">
        <v>1</v>
      </c>
      <c r="E564">
        <v>1</v>
      </c>
      <c r="F564" s="2">
        <v>43585.43</v>
      </c>
      <c r="G564" s="3">
        <v>41275</v>
      </c>
      <c r="H564" s="3">
        <v>41639</v>
      </c>
      <c r="I564" s="1" t="s">
        <v>71</v>
      </c>
      <c r="J564">
        <v>4521</v>
      </c>
      <c r="K564">
        <v>0</v>
      </c>
      <c r="L564" s="1" t="s">
        <v>384</v>
      </c>
      <c r="M564" s="1" t="s">
        <v>72</v>
      </c>
      <c r="N564" s="1" t="s">
        <v>134</v>
      </c>
      <c r="O564" s="1" t="s">
        <v>385</v>
      </c>
      <c r="P564" s="1" t="s">
        <v>386</v>
      </c>
      <c r="Q564" s="1" t="s">
        <v>387</v>
      </c>
      <c r="R564">
        <v>103</v>
      </c>
      <c r="S564" s="1" t="s">
        <v>135</v>
      </c>
      <c r="T564" s="1" t="s">
        <v>388</v>
      </c>
      <c r="U564" s="1" t="s">
        <v>135</v>
      </c>
      <c r="V564" s="1"/>
      <c r="W564" s="1"/>
      <c r="X564" s="1"/>
      <c r="Y564" s="1"/>
      <c r="AA564" s="1"/>
      <c r="AC564" s="1"/>
      <c r="AD564" s="1"/>
      <c r="AE564" s="1"/>
      <c r="AN564" s="1"/>
      <c r="AP564" s="1"/>
      <c r="AQ564" s="1"/>
      <c r="AR564" s="1"/>
      <c r="AS564" s="1"/>
      <c r="AT564" s="3"/>
      <c r="AU564" s="3"/>
      <c r="AV564" s="3"/>
      <c r="AW564" s="1"/>
      <c r="AX564" s="1"/>
      <c r="AZ564">
        <v>253</v>
      </c>
      <c r="BA564">
        <v>4654734.66</v>
      </c>
      <c r="BB564" s="1" t="s">
        <v>74</v>
      </c>
      <c r="BC564">
        <v>192</v>
      </c>
      <c r="BD564" s="1" t="s">
        <v>811</v>
      </c>
      <c r="BE564" s="1" t="s">
        <v>99</v>
      </c>
      <c r="BF564">
        <v>0</v>
      </c>
      <c r="BG564" s="1"/>
      <c r="BH564" s="1" t="s">
        <v>425</v>
      </c>
      <c r="BI564">
        <v>640.83000000000004</v>
      </c>
      <c r="BJ564" s="1" t="s">
        <v>1025</v>
      </c>
      <c r="BL564" s="1"/>
      <c r="BN564" s="1"/>
      <c r="BO564">
        <v>599</v>
      </c>
      <c r="BP564">
        <v>4654734.66</v>
      </c>
      <c r="BQ564">
        <v>4654734.66</v>
      </c>
    </row>
    <row r="565" spans="1:69" x14ac:dyDescent="0.35">
      <c r="A565" s="1" t="s">
        <v>68</v>
      </c>
      <c r="B565" s="1" t="s">
        <v>69</v>
      </c>
      <c r="C565" s="1" t="s">
        <v>70</v>
      </c>
      <c r="D565">
        <v>1</v>
      </c>
      <c r="E565">
        <v>1</v>
      </c>
      <c r="F565" s="2">
        <v>43585.43</v>
      </c>
      <c r="G565" s="3">
        <v>41275</v>
      </c>
      <c r="H565" s="3">
        <v>41639</v>
      </c>
      <c r="I565" s="1" t="s">
        <v>71</v>
      </c>
      <c r="J565">
        <v>4521</v>
      </c>
      <c r="K565">
        <v>0</v>
      </c>
      <c r="L565" s="1" t="s">
        <v>384</v>
      </c>
      <c r="M565" s="1" t="s">
        <v>72</v>
      </c>
      <c r="N565" s="1" t="s">
        <v>134</v>
      </c>
      <c r="O565" s="1" t="s">
        <v>385</v>
      </c>
      <c r="P565" s="1" t="s">
        <v>386</v>
      </c>
      <c r="Q565" s="1" t="s">
        <v>387</v>
      </c>
      <c r="R565">
        <v>103</v>
      </c>
      <c r="S565" s="1" t="s">
        <v>135</v>
      </c>
      <c r="T565" s="1" t="s">
        <v>388</v>
      </c>
      <c r="U565" s="1" t="s">
        <v>135</v>
      </c>
      <c r="V565" s="1"/>
      <c r="W565" s="1"/>
      <c r="X565" s="1"/>
      <c r="Y565" s="1"/>
      <c r="AA565" s="1"/>
      <c r="AC565" s="1"/>
      <c r="AD565" s="1"/>
      <c r="AE565" s="1"/>
      <c r="AN565" s="1"/>
      <c r="AP565" s="1"/>
      <c r="AQ565" s="1"/>
      <c r="AR565" s="1"/>
      <c r="AS565" s="1"/>
      <c r="AT565" s="3"/>
      <c r="AU565" s="3"/>
      <c r="AV565" s="3"/>
      <c r="AW565" s="1"/>
      <c r="AX565" s="1"/>
      <c r="AZ565">
        <v>253</v>
      </c>
      <c r="BA565">
        <v>4654734.66</v>
      </c>
      <c r="BB565" s="1" t="s">
        <v>74</v>
      </c>
      <c r="BC565">
        <v>193</v>
      </c>
      <c r="BD565" s="1" t="s">
        <v>811</v>
      </c>
      <c r="BE565" s="1" t="s">
        <v>452</v>
      </c>
      <c r="BF565">
        <v>119.83</v>
      </c>
      <c r="BG565" s="1" t="s">
        <v>1025</v>
      </c>
      <c r="BH565" s="1" t="s">
        <v>99</v>
      </c>
      <c r="BI565">
        <v>0</v>
      </c>
      <c r="BJ565" s="1"/>
      <c r="BL565" s="1"/>
      <c r="BN565" s="1"/>
      <c r="BO565">
        <v>599</v>
      </c>
      <c r="BP565">
        <v>4654734.66</v>
      </c>
      <c r="BQ565">
        <v>4654734.66</v>
      </c>
    </row>
    <row r="566" spans="1:69" x14ac:dyDescent="0.35">
      <c r="A566" s="1" t="s">
        <v>68</v>
      </c>
      <c r="B566" s="1" t="s">
        <v>69</v>
      </c>
      <c r="C566" s="1" t="s">
        <v>70</v>
      </c>
      <c r="D566">
        <v>1</v>
      </c>
      <c r="E566">
        <v>1</v>
      </c>
      <c r="F566" s="2">
        <v>43585.43</v>
      </c>
      <c r="G566" s="3">
        <v>41275</v>
      </c>
      <c r="H566" s="3">
        <v>41639</v>
      </c>
      <c r="I566" s="1" t="s">
        <v>71</v>
      </c>
      <c r="J566">
        <v>4521</v>
      </c>
      <c r="K566">
        <v>0</v>
      </c>
      <c r="L566" s="1" t="s">
        <v>384</v>
      </c>
      <c r="M566" s="1" t="s">
        <v>72</v>
      </c>
      <c r="N566" s="1" t="s">
        <v>134</v>
      </c>
      <c r="O566" s="1" t="s">
        <v>385</v>
      </c>
      <c r="P566" s="1" t="s">
        <v>386</v>
      </c>
      <c r="Q566" s="1" t="s">
        <v>387</v>
      </c>
      <c r="R566">
        <v>103</v>
      </c>
      <c r="S566" s="1" t="s">
        <v>135</v>
      </c>
      <c r="T566" s="1" t="s">
        <v>388</v>
      </c>
      <c r="U566" s="1" t="s">
        <v>135</v>
      </c>
      <c r="V566" s="1"/>
      <c r="W566" s="1"/>
      <c r="X566" s="1"/>
      <c r="Y566" s="1"/>
      <c r="AA566" s="1"/>
      <c r="AC566" s="1"/>
      <c r="AD566" s="1"/>
      <c r="AE566" s="1"/>
      <c r="AN566" s="1"/>
      <c r="AP566" s="1"/>
      <c r="AQ566" s="1"/>
      <c r="AR566" s="1"/>
      <c r="AS566" s="1"/>
      <c r="AT566" s="3"/>
      <c r="AU566" s="3"/>
      <c r="AV566" s="3"/>
      <c r="AW566" s="1"/>
      <c r="AX566" s="1"/>
      <c r="AZ566">
        <v>253</v>
      </c>
      <c r="BA566">
        <v>4654734.66</v>
      </c>
      <c r="BB566" s="1" t="s">
        <v>74</v>
      </c>
      <c r="BC566">
        <v>194</v>
      </c>
      <c r="BD566" s="1" t="s">
        <v>812</v>
      </c>
      <c r="BE566" s="1" t="s">
        <v>403</v>
      </c>
      <c r="BF566">
        <v>2836.76</v>
      </c>
      <c r="BG566" s="1" t="s">
        <v>976</v>
      </c>
      <c r="BH566" s="1" t="s">
        <v>99</v>
      </c>
      <c r="BI566">
        <v>0</v>
      </c>
      <c r="BJ566" s="1"/>
      <c r="BL566" s="1"/>
      <c r="BN566" s="1"/>
      <c r="BO566">
        <v>599</v>
      </c>
      <c r="BP566">
        <v>4654734.66</v>
      </c>
      <c r="BQ566">
        <v>4654734.66</v>
      </c>
    </row>
    <row r="567" spans="1:69" x14ac:dyDescent="0.35">
      <c r="A567" s="1" t="s">
        <v>68</v>
      </c>
      <c r="B567" s="1" t="s">
        <v>69</v>
      </c>
      <c r="C567" s="1" t="s">
        <v>70</v>
      </c>
      <c r="D567">
        <v>1</v>
      </c>
      <c r="E567">
        <v>1</v>
      </c>
      <c r="F567" s="2">
        <v>43585.43</v>
      </c>
      <c r="G567" s="3">
        <v>41275</v>
      </c>
      <c r="H567" s="3">
        <v>41639</v>
      </c>
      <c r="I567" s="1" t="s">
        <v>71</v>
      </c>
      <c r="J567">
        <v>4521</v>
      </c>
      <c r="K567">
        <v>0</v>
      </c>
      <c r="L567" s="1" t="s">
        <v>384</v>
      </c>
      <c r="M567" s="1" t="s">
        <v>72</v>
      </c>
      <c r="N567" s="1" t="s">
        <v>134</v>
      </c>
      <c r="O567" s="1" t="s">
        <v>385</v>
      </c>
      <c r="P567" s="1" t="s">
        <v>386</v>
      </c>
      <c r="Q567" s="1" t="s">
        <v>387</v>
      </c>
      <c r="R567">
        <v>103</v>
      </c>
      <c r="S567" s="1" t="s">
        <v>135</v>
      </c>
      <c r="T567" s="1" t="s">
        <v>388</v>
      </c>
      <c r="U567" s="1" t="s">
        <v>135</v>
      </c>
      <c r="V567" s="1"/>
      <c r="W567" s="1"/>
      <c r="X567" s="1"/>
      <c r="Y567" s="1"/>
      <c r="AA567" s="1"/>
      <c r="AC567" s="1"/>
      <c r="AD567" s="1"/>
      <c r="AE567" s="1"/>
      <c r="AN567" s="1"/>
      <c r="AP567" s="1"/>
      <c r="AQ567" s="1"/>
      <c r="AR567" s="1"/>
      <c r="AS567" s="1"/>
      <c r="AT567" s="3"/>
      <c r="AU567" s="3"/>
      <c r="AV567" s="3"/>
      <c r="AW567" s="1"/>
      <c r="AX567" s="1"/>
      <c r="AZ567">
        <v>253</v>
      </c>
      <c r="BA567">
        <v>4654734.66</v>
      </c>
      <c r="BB567" s="1" t="s">
        <v>74</v>
      </c>
      <c r="BC567">
        <v>195</v>
      </c>
      <c r="BD567" s="1" t="s">
        <v>812</v>
      </c>
      <c r="BE567" s="1" t="s">
        <v>99</v>
      </c>
      <c r="BF567">
        <v>0</v>
      </c>
      <c r="BG567" s="1"/>
      <c r="BH567" s="1" t="s">
        <v>489</v>
      </c>
      <c r="BI567">
        <v>2306.31</v>
      </c>
      <c r="BJ567" s="1" t="s">
        <v>976</v>
      </c>
      <c r="BL567" s="1"/>
      <c r="BN567" s="1"/>
      <c r="BO567">
        <v>599</v>
      </c>
      <c r="BP567">
        <v>4654734.66</v>
      </c>
      <c r="BQ567">
        <v>4654734.66</v>
      </c>
    </row>
    <row r="568" spans="1:69" x14ac:dyDescent="0.35">
      <c r="A568" s="1" t="s">
        <v>68</v>
      </c>
      <c r="B568" s="1" t="s">
        <v>69</v>
      </c>
      <c r="C568" s="1" t="s">
        <v>70</v>
      </c>
      <c r="D568">
        <v>1</v>
      </c>
      <c r="E568">
        <v>1</v>
      </c>
      <c r="F568" s="2">
        <v>43585.43</v>
      </c>
      <c r="G568" s="3">
        <v>41275</v>
      </c>
      <c r="H568" s="3">
        <v>41639</v>
      </c>
      <c r="I568" s="1" t="s">
        <v>71</v>
      </c>
      <c r="J568">
        <v>4521</v>
      </c>
      <c r="K568">
        <v>0</v>
      </c>
      <c r="L568" s="1" t="s">
        <v>384</v>
      </c>
      <c r="M568" s="1" t="s">
        <v>72</v>
      </c>
      <c r="N568" s="1" t="s">
        <v>134</v>
      </c>
      <c r="O568" s="1" t="s">
        <v>385</v>
      </c>
      <c r="P568" s="1" t="s">
        <v>386</v>
      </c>
      <c r="Q568" s="1" t="s">
        <v>387</v>
      </c>
      <c r="R568">
        <v>103</v>
      </c>
      <c r="S568" s="1" t="s">
        <v>135</v>
      </c>
      <c r="T568" s="1" t="s">
        <v>388</v>
      </c>
      <c r="U568" s="1" t="s">
        <v>135</v>
      </c>
      <c r="V568" s="1"/>
      <c r="W568" s="1"/>
      <c r="X568" s="1"/>
      <c r="Y568" s="1"/>
      <c r="AA568" s="1"/>
      <c r="AC568" s="1"/>
      <c r="AD568" s="1"/>
      <c r="AE568" s="1"/>
      <c r="AN568" s="1"/>
      <c r="AP568" s="1"/>
      <c r="AQ568" s="1"/>
      <c r="AR568" s="1"/>
      <c r="AS568" s="1"/>
      <c r="AT568" s="3"/>
      <c r="AU568" s="3"/>
      <c r="AV568" s="3"/>
      <c r="AW568" s="1"/>
      <c r="AX568" s="1"/>
      <c r="AZ568">
        <v>253</v>
      </c>
      <c r="BA568">
        <v>4654734.66</v>
      </c>
      <c r="BB568" s="1" t="s">
        <v>74</v>
      </c>
      <c r="BC568">
        <v>196</v>
      </c>
      <c r="BD568" s="1" t="s">
        <v>812</v>
      </c>
      <c r="BE568" s="1" t="s">
        <v>99</v>
      </c>
      <c r="BF568">
        <v>0</v>
      </c>
      <c r="BG568" s="1"/>
      <c r="BH568" s="1" t="s">
        <v>451</v>
      </c>
      <c r="BI568">
        <v>530.45000000000005</v>
      </c>
      <c r="BJ568" s="1" t="s">
        <v>976</v>
      </c>
      <c r="BL568" s="1"/>
      <c r="BN568" s="1"/>
      <c r="BO568">
        <v>599</v>
      </c>
      <c r="BP568">
        <v>4654734.66</v>
      </c>
      <c r="BQ568">
        <v>4654734.66</v>
      </c>
    </row>
    <row r="569" spans="1:69" x14ac:dyDescent="0.35">
      <c r="A569" s="1" t="s">
        <v>68</v>
      </c>
      <c r="B569" s="1" t="s">
        <v>69</v>
      </c>
      <c r="C569" s="1" t="s">
        <v>70</v>
      </c>
      <c r="D569">
        <v>1</v>
      </c>
      <c r="E569">
        <v>1</v>
      </c>
      <c r="F569" s="2">
        <v>43585.43</v>
      </c>
      <c r="G569" s="3">
        <v>41275</v>
      </c>
      <c r="H569" s="3">
        <v>41639</v>
      </c>
      <c r="I569" s="1" t="s">
        <v>71</v>
      </c>
      <c r="J569">
        <v>4521</v>
      </c>
      <c r="K569">
        <v>0</v>
      </c>
      <c r="L569" s="1" t="s">
        <v>384</v>
      </c>
      <c r="M569" s="1" t="s">
        <v>72</v>
      </c>
      <c r="N569" s="1" t="s">
        <v>134</v>
      </c>
      <c r="O569" s="1" t="s">
        <v>385</v>
      </c>
      <c r="P569" s="1" t="s">
        <v>386</v>
      </c>
      <c r="Q569" s="1" t="s">
        <v>387</v>
      </c>
      <c r="R569">
        <v>103</v>
      </c>
      <c r="S569" s="1" t="s">
        <v>135</v>
      </c>
      <c r="T569" s="1" t="s">
        <v>388</v>
      </c>
      <c r="U569" s="1" t="s">
        <v>135</v>
      </c>
      <c r="V569" s="1"/>
      <c r="W569" s="1"/>
      <c r="X569" s="1"/>
      <c r="Y569" s="1"/>
      <c r="AA569" s="1"/>
      <c r="AC569" s="1"/>
      <c r="AD569" s="1"/>
      <c r="AE569" s="1"/>
      <c r="AN569" s="1"/>
      <c r="AP569" s="1"/>
      <c r="AQ569" s="1"/>
      <c r="AR569" s="1"/>
      <c r="AS569" s="1"/>
      <c r="AT569" s="3"/>
      <c r="AU569" s="3"/>
      <c r="AV569" s="3"/>
      <c r="AW569" s="1"/>
      <c r="AX569" s="1"/>
      <c r="AZ569">
        <v>253</v>
      </c>
      <c r="BA569">
        <v>4654734.66</v>
      </c>
      <c r="BB569" s="1" t="s">
        <v>74</v>
      </c>
      <c r="BC569">
        <v>197</v>
      </c>
      <c r="BD569" s="1" t="s">
        <v>813</v>
      </c>
      <c r="BE569" s="1" t="s">
        <v>466</v>
      </c>
      <c r="BF569">
        <v>654.74</v>
      </c>
      <c r="BG569" s="1" t="s">
        <v>982</v>
      </c>
      <c r="BH569" s="1" t="s">
        <v>99</v>
      </c>
      <c r="BI569">
        <v>0</v>
      </c>
      <c r="BJ569" s="1"/>
      <c r="BL569" s="1"/>
      <c r="BN569" s="1"/>
      <c r="BO569">
        <v>599</v>
      </c>
      <c r="BP569">
        <v>4654734.66</v>
      </c>
      <c r="BQ569">
        <v>4654734.66</v>
      </c>
    </row>
    <row r="570" spans="1:69" x14ac:dyDescent="0.35">
      <c r="A570" s="1" t="s">
        <v>68</v>
      </c>
      <c r="B570" s="1" t="s">
        <v>69</v>
      </c>
      <c r="C570" s="1" t="s">
        <v>70</v>
      </c>
      <c r="D570">
        <v>1</v>
      </c>
      <c r="E570">
        <v>1</v>
      </c>
      <c r="F570" s="2">
        <v>43585.43</v>
      </c>
      <c r="G570" s="3">
        <v>41275</v>
      </c>
      <c r="H570" s="3">
        <v>41639</v>
      </c>
      <c r="I570" s="1" t="s">
        <v>71</v>
      </c>
      <c r="J570">
        <v>4521</v>
      </c>
      <c r="K570">
        <v>0</v>
      </c>
      <c r="L570" s="1" t="s">
        <v>384</v>
      </c>
      <c r="M570" s="1" t="s">
        <v>72</v>
      </c>
      <c r="N570" s="1" t="s">
        <v>134</v>
      </c>
      <c r="O570" s="1" t="s">
        <v>385</v>
      </c>
      <c r="P570" s="1" t="s">
        <v>386</v>
      </c>
      <c r="Q570" s="1" t="s">
        <v>387</v>
      </c>
      <c r="R570">
        <v>103</v>
      </c>
      <c r="S570" s="1" t="s">
        <v>135</v>
      </c>
      <c r="T570" s="1" t="s">
        <v>388</v>
      </c>
      <c r="U570" s="1" t="s">
        <v>135</v>
      </c>
      <c r="V570" s="1"/>
      <c r="W570" s="1"/>
      <c r="X570" s="1"/>
      <c r="Y570" s="1"/>
      <c r="AA570" s="1"/>
      <c r="AC570" s="1"/>
      <c r="AD570" s="1"/>
      <c r="AE570" s="1"/>
      <c r="AN570" s="1"/>
      <c r="AP570" s="1"/>
      <c r="AQ570" s="1"/>
      <c r="AR570" s="1"/>
      <c r="AS570" s="1"/>
      <c r="AT570" s="3"/>
      <c r="AU570" s="3"/>
      <c r="AV570" s="3"/>
      <c r="AW570" s="1"/>
      <c r="AX570" s="1"/>
      <c r="AZ570">
        <v>253</v>
      </c>
      <c r="BA570">
        <v>4654734.66</v>
      </c>
      <c r="BB570" s="1" t="s">
        <v>74</v>
      </c>
      <c r="BC570">
        <v>198</v>
      </c>
      <c r="BD570" s="1" t="s">
        <v>813</v>
      </c>
      <c r="BE570" s="1" t="s">
        <v>99</v>
      </c>
      <c r="BF570">
        <v>0</v>
      </c>
      <c r="BG570" s="1"/>
      <c r="BH570" s="1" t="s">
        <v>429</v>
      </c>
      <c r="BI570">
        <v>805.33</v>
      </c>
      <c r="BJ570" s="1" t="s">
        <v>982</v>
      </c>
      <c r="BL570" s="1"/>
      <c r="BN570" s="1"/>
      <c r="BO570">
        <v>599</v>
      </c>
      <c r="BP570">
        <v>4654734.66</v>
      </c>
      <c r="BQ570">
        <v>4654734.66</v>
      </c>
    </row>
    <row r="571" spans="1:69" x14ac:dyDescent="0.35">
      <c r="A571" s="1" t="s">
        <v>68</v>
      </c>
      <c r="B571" s="1" t="s">
        <v>69</v>
      </c>
      <c r="C571" s="1" t="s">
        <v>70</v>
      </c>
      <c r="D571">
        <v>1</v>
      </c>
      <c r="E571">
        <v>1</v>
      </c>
      <c r="F571" s="2">
        <v>43585.43</v>
      </c>
      <c r="G571" s="3">
        <v>41275</v>
      </c>
      <c r="H571" s="3">
        <v>41639</v>
      </c>
      <c r="I571" s="1" t="s">
        <v>71</v>
      </c>
      <c r="J571">
        <v>4521</v>
      </c>
      <c r="K571">
        <v>0</v>
      </c>
      <c r="L571" s="1" t="s">
        <v>384</v>
      </c>
      <c r="M571" s="1" t="s">
        <v>72</v>
      </c>
      <c r="N571" s="1" t="s">
        <v>134</v>
      </c>
      <c r="O571" s="1" t="s">
        <v>385</v>
      </c>
      <c r="P571" s="1" t="s">
        <v>386</v>
      </c>
      <c r="Q571" s="1" t="s">
        <v>387</v>
      </c>
      <c r="R571">
        <v>103</v>
      </c>
      <c r="S571" s="1" t="s">
        <v>135</v>
      </c>
      <c r="T571" s="1" t="s">
        <v>388</v>
      </c>
      <c r="U571" s="1" t="s">
        <v>135</v>
      </c>
      <c r="V571" s="1"/>
      <c r="W571" s="1"/>
      <c r="X571" s="1"/>
      <c r="Y571" s="1"/>
      <c r="AA571" s="1"/>
      <c r="AC571" s="1"/>
      <c r="AD571" s="1"/>
      <c r="AE571" s="1"/>
      <c r="AN571" s="1"/>
      <c r="AP571" s="1"/>
      <c r="AQ571" s="1"/>
      <c r="AR571" s="1"/>
      <c r="AS571" s="1"/>
      <c r="AT571" s="3"/>
      <c r="AU571" s="3"/>
      <c r="AV571" s="3"/>
      <c r="AW571" s="1"/>
      <c r="AX571" s="1"/>
      <c r="AZ571">
        <v>253</v>
      </c>
      <c r="BA571">
        <v>4654734.66</v>
      </c>
      <c r="BB571" s="1" t="s">
        <v>74</v>
      </c>
      <c r="BC571">
        <v>199</v>
      </c>
      <c r="BD571" s="1" t="s">
        <v>813</v>
      </c>
      <c r="BE571" s="1" t="s">
        <v>452</v>
      </c>
      <c r="BF571">
        <v>150.59</v>
      </c>
      <c r="BG571" s="1" t="s">
        <v>982</v>
      </c>
      <c r="BH571" s="1" t="s">
        <v>99</v>
      </c>
      <c r="BI571">
        <v>0</v>
      </c>
      <c r="BJ571" s="1"/>
      <c r="BL571" s="1"/>
      <c r="BN571" s="1"/>
      <c r="BO571">
        <v>599</v>
      </c>
      <c r="BP571">
        <v>4654734.66</v>
      </c>
      <c r="BQ571">
        <v>4654734.66</v>
      </c>
    </row>
    <row r="572" spans="1:69" x14ac:dyDescent="0.35">
      <c r="A572" s="1" t="s">
        <v>68</v>
      </c>
      <c r="B572" s="1" t="s">
        <v>69</v>
      </c>
      <c r="C572" s="1" t="s">
        <v>70</v>
      </c>
      <c r="D572">
        <v>1</v>
      </c>
      <c r="E572">
        <v>1</v>
      </c>
      <c r="F572" s="2">
        <v>43585.43</v>
      </c>
      <c r="G572" s="3">
        <v>41275</v>
      </c>
      <c r="H572" s="3">
        <v>41639</v>
      </c>
      <c r="I572" s="1" t="s">
        <v>71</v>
      </c>
      <c r="J572">
        <v>4521</v>
      </c>
      <c r="K572">
        <v>0</v>
      </c>
      <c r="L572" s="1" t="s">
        <v>384</v>
      </c>
      <c r="M572" s="1" t="s">
        <v>72</v>
      </c>
      <c r="N572" s="1" t="s">
        <v>134</v>
      </c>
      <c r="O572" s="1" t="s">
        <v>385</v>
      </c>
      <c r="P572" s="1" t="s">
        <v>386</v>
      </c>
      <c r="Q572" s="1" t="s">
        <v>387</v>
      </c>
      <c r="R572">
        <v>103</v>
      </c>
      <c r="S572" s="1" t="s">
        <v>135</v>
      </c>
      <c r="T572" s="1" t="s">
        <v>388</v>
      </c>
      <c r="U572" s="1" t="s">
        <v>135</v>
      </c>
      <c r="V572" s="1"/>
      <c r="W572" s="1"/>
      <c r="X572" s="1"/>
      <c r="Y572" s="1"/>
      <c r="AA572" s="1"/>
      <c r="AC572" s="1"/>
      <c r="AD572" s="1"/>
      <c r="AE572" s="1"/>
      <c r="AN572" s="1"/>
      <c r="AP572" s="1"/>
      <c r="AQ572" s="1"/>
      <c r="AR572" s="1"/>
      <c r="AS572" s="1"/>
      <c r="AT572" s="3"/>
      <c r="AU572" s="3"/>
      <c r="AV572" s="3"/>
      <c r="AW572" s="1"/>
      <c r="AX572" s="1"/>
      <c r="AZ572">
        <v>253</v>
      </c>
      <c r="BA572">
        <v>4654734.66</v>
      </c>
      <c r="BB572" s="1" t="s">
        <v>74</v>
      </c>
      <c r="BC572">
        <v>200</v>
      </c>
      <c r="BD572" s="1" t="s">
        <v>814</v>
      </c>
      <c r="BE572" s="1" t="s">
        <v>394</v>
      </c>
      <c r="BF572">
        <v>2000</v>
      </c>
      <c r="BG572" s="1" t="s">
        <v>1242</v>
      </c>
      <c r="BH572" s="1" t="s">
        <v>99</v>
      </c>
      <c r="BI572">
        <v>0</v>
      </c>
      <c r="BJ572" s="1"/>
      <c r="BL572" s="1"/>
      <c r="BN572" s="1"/>
      <c r="BO572">
        <v>599</v>
      </c>
      <c r="BP572">
        <v>4654734.66</v>
      </c>
      <c r="BQ572">
        <v>4654734.66</v>
      </c>
    </row>
    <row r="573" spans="1:69" x14ac:dyDescent="0.35">
      <c r="A573" s="1" t="s">
        <v>68</v>
      </c>
      <c r="B573" s="1" t="s">
        <v>69</v>
      </c>
      <c r="C573" s="1" t="s">
        <v>70</v>
      </c>
      <c r="D573">
        <v>1</v>
      </c>
      <c r="E573">
        <v>1</v>
      </c>
      <c r="F573" s="2">
        <v>43585.43</v>
      </c>
      <c r="G573" s="3">
        <v>41275</v>
      </c>
      <c r="H573" s="3">
        <v>41639</v>
      </c>
      <c r="I573" s="1" t="s">
        <v>71</v>
      </c>
      <c r="J573">
        <v>4521</v>
      </c>
      <c r="K573">
        <v>0</v>
      </c>
      <c r="L573" s="1" t="s">
        <v>384</v>
      </c>
      <c r="M573" s="1" t="s">
        <v>72</v>
      </c>
      <c r="N573" s="1" t="s">
        <v>134</v>
      </c>
      <c r="O573" s="1" t="s">
        <v>385</v>
      </c>
      <c r="P573" s="1" t="s">
        <v>386</v>
      </c>
      <c r="Q573" s="1" t="s">
        <v>387</v>
      </c>
      <c r="R573">
        <v>103</v>
      </c>
      <c r="S573" s="1" t="s">
        <v>135</v>
      </c>
      <c r="T573" s="1" t="s">
        <v>388</v>
      </c>
      <c r="U573" s="1" t="s">
        <v>135</v>
      </c>
      <c r="V573" s="1"/>
      <c r="W573" s="1"/>
      <c r="X573" s="1"/>
      <c r="Y573" s="1"/>
      <c r="AA573" s="1"/>
      <c r="AC573" s="1"/>
      <c r="AD573" s="1"/>
      <c r="AE573" s="1"/>
      <c r="AN573" s="1"/>
      <c r="AP573" s="1"/>
      <c r="AQ573" s="1"/>
      <c r="AR573" s="1"/>
      <c r="AS573" s="1"/>
      <c r="AT573" s="3"/>
      <c r="AU573" s="3"/>
      <c r="AV573" s="3"/>
      <c r="AW573" s="1"/>
      <c r="AX573" s="1"/>
      <c r="AZ573">
        <v>253</v>
      </c>
      <c r="BA573">
        <v>4654734.66</v>
      </c>
      <c r="BB573" s="1" t="s">
        <v>74</v>
      </c>
      <c r="BC573">
        <v>201</v>
      </c>
      <c r="BD573" s="1" t="s">
        <v>814</v>
      </c>
      <c r="BE573" s="1" t="s">
        <v>99</v>
      </c>
      <c r="BF573">
        <v>0</v>
      </c>
      <c r="BG573" s="1"/>
      <c r="BH573" s="1" t="s">
        <v>392</v>
      </c>
      <c r="BI573">
        <v>2000</v>
      </c>
      <c r="BJ573" s="1" t="s">
        <v>1242</v>
      </c>
      <c r="BL573" s="1"/>
      <c r="BN573" s="1"/>
      <c r="BO573">
        <v>599</v>
      </c>
      <c r="BP573">
        <v>4654734.66</v>
      </c>
      <c r="BQ573">
        <v>4654734.66</v>
      </c>
    </row>
    <row r="574" spans="1:69" x14ac:dyDescent="0.35">
      <c r="A574" s="1" t="s">
        <v>68</v>
      </c>
      <c r="B574" s="1" t="s">
        <v>69</v>
      </c>
      <c r="C574" s="1" t="s">
        <v>70</v>
      </c>
      <c r="D574">
        <v>1</v>
      </c>
      <c r="E574">
        <v>1</v>
      </c>
      <c r="F574" s="2">
        <v>43585.43</v>
      </c>
      <c r="G574" s="3">
        <v>41275</v>
      </c>
      <c r="H574" s="3">
        <v>41639</v>
      </c>
      <c r="I574" s="1" t="s">
        <v>71</v>
      </c>
      <c r="J574">
        <v>4521</v>
      </c>
      <c r="K574">
        <v>0</v>
      </c>
      <c r="L574" s="1" t="s">
        <v>384</v>
      </c>
      <c r="M574" s="1" t="s">
        <v>72</v>
      </c>
      <c r="N574" s="1" t="s">
        <v>134</v>
      </c>
      <c r="O574" s="1" t="s">
        <v>385</v>
      </c>
      <c r="P574" s="1" t="s">
        <v>386</v>
      </c>
      <c r="Q574" s="1" t="s">
        <v>387</v>
      </c>
      <c r="R574">
        <v>103</v>
      </c>
      <c r="S574" s="1" t="s">
        <v>135</v>
      </c>
      <c r="T574" s="1" t="s">
        <v>388</v>
      </c>
      <c r="U574" s="1" t="s">
        <v>135</v>
      </c>
      <c r="V574" s="1"/>
      <c r="W574" s="1"/>
      <c r="X574" s="1"/>
      <c r="Y574" s="1"/>
      <c r="AA574" s="1"/>
      <c r="AC574" s="1"/>
      <c r="AD574" s="1"/>
      <c r="AE574" s="1"/>
      <c r="AN574" s="1"/>
      <c r="AP574" s="1"/>
      <c r="AQ574" s="1"/>
      <c r="AR574" s="1"/>
      <c r="AS574" s="1"/>
      <c r="AT574" s="3"/>
      <c r="AU574" s="3"/>
      <c r="AV574" s="3"/>
      <c r="AW574" s="1"/>
      <c r="AX574" s="1"/>
      <c r="AZ574">
        <v>253</v>
      </c>
      <c r="BA574">
        <v>4654734.66</v>
      </c>
      <c r="BB574" s="1" t="s">
        <v>74</v>
      </c>
      <c r="BC574">
        <v>202</v>
      </c>
      <c r="BD574" s="1" t="s">
        <v>815</v>
      </c>
      <c r="BE574" s="1" t="s">
        <v>456</v>
      </c>
      <c r="BF574">
        <v>300</v>
      </c>
      <c r="BG574" s="1" t="s">
        <v>1238</v>
      </c>
      <c r="BH574" s="1" t="s">
        <v>99</v>
      </c>
      <c r="BI574">
        <v>0</v>
      </c>
      <c r="BJ574" s="1"/>
      <c r="BL574" s="1"/>
      <c r="BN574" s="1"/>
      <c r="BO574">
        <v>599</v>
      </c>
      <c r="BP574">
        <v>4654734.66</v>
      </c>
      <c r="BQ574">
        <v>4654734.66</v>
      </c>
    </row>
    <row r="575" spans="1:69" x14ac:dyDescent="0.35">
      <c r="A575" s="1" t="s">
        <v>68</v>
      </c>
      <c r="B575" s="1" t="s">
        <v>69</v>
      </c>
      <c r="C575" s="1" t="s">
        <v>70</v>
      </c>
      <c r="D575">
        <v>1</v>
      </c>
      <c r="E575">
        <v>1</v>
      </c>
      <c r="F575" s="2">
        <v>43585.43</v>
      </c>
      <c r="G575" s="3">
        <v>41275</v>
      </c>
      <c r="H575" s="3">
        <v>41639</v>
      </c>
      <c r="I575" s="1" t="s">
        <v>71</v>
      </c>
      <c r="J575">
        <v>4521</v>
      </c>
      <c r="K575">
        <v>0</v>
      </c>
      <c r="L575" s="1" t="s">
        <v>384</v>
      </c>
      <c r="M575" s="1" t="s">
        <v>72</v>
      </c>
      <c r="N575" s="1" t="s">
        <v>134</v>
      </c>
      <c r="O575" s="1" t="s">
        <v>385</v>
      </c>
      <c r="P575" s="1" t="s">
        <v>386</v>
      </c>
      <c r="Q575" s="1" t="s">
        <v>387</v>
      </c>
      <c r="R575">
        <v>103</v>
      </c>
      <c r="S575" s="1" t="s">
        <v>135</v>
      </c>
      <c r="T575" s="1" t="s">
        <v>388</v>
      </c>
      <c r="U575" s="1" t="s">
        <v>135</v>
      </c>
      <c r="V575" s="1"/>
      <c r="W575" s="1"/>
      <c r="X575" s="1"/>
      <c r="Y575" s="1"/>
      <c r="AA575" s="1"/>
      <c r="AC575" s="1"/>
      <c r="AD575" s="1"/>
      <c r="AE575" s="1"/>
      <c r="AN575" s="1"/>
      <c r="AP575" s="1"/>
      <c r="AQ575" s="1"/>
      <c r="AR575" s="1"/>
      <c r="AS575" s="1"/>
      <c r="AT575" s="3"/>
      <c r="AU575" s="3"/>
      <c r="AV575" s="3"/>
      <c r="AW575" s="1"/>
      <c r="AX575" s="1"/>
      <c r="AZ575">
        <v>253</v>
      </c>
      <c r="BA575">
        <v>4654734.66</v>
      </c>
      <c r="BB575" s="1" t="s">
        <v>74</v>
      </c>
      <c r="BC575">
        <v>203</v>
      </c>
      <c r="BD575" s="1" t="s">
        <v>815</v>
      </c>
      <c r="BE575" s="1" t="s">
        <v>99</v>
      </c>
      <c r="BF575">
        <v>0</v>
      </c>
      <c r="BG575" s="1"/>
      <c r="BH575" s="1" t="s">
        <v>392</v>
      </c>
      <c r="BI575">
        <v>300</v>
      </c>
      <c r="BJ575" s="1" t="s">
        <v>1238</v>
      </c>
      <c r="BL575" s="1"/>
      <c r="BN575" s="1"/>
      <c r="BO575">
        <v>599</v>
      </c>
      <c r="BP575">
        <v>4654734.66</v>
      </c>
      <c r="BQ575">
        <v>4654734.66</v>
      </c>
    </row>
    <row r="576" spans="1:69" x14ac:dyDescent="0.35">
      <c r="A576" s="1" t="s">
        <v>68</v>
      </c>
      <c r="B576" s="1" t="s">
        <v>69</v>
      </c>
      <c r="C576" s="1" t="s">
        <v>70</v>
      </c>
      <c r="D576">
        <v>1</v>
      </c>
      <c r="E576">
        <v>1</v>
      </c>
      <c r="F576" s="2">
        <v>43585.43</v>
      </c>
      <c r="G576" s="3">
        <v>41275</v>
      </c>
      <c r="H576" s="3">
        <v>41639</v>
      </c>
      <c r="I576" s="1" t="s">
        <v>71</v>
      </c>
      <c r="J576">
        <v>4521</v>
      </c>
      <c r="K576">
        <v>0</v>
      </c>
      <c r="L576" s="1" t="s">
        <v>384</v>
      </c>
      <c r="M576" s="1" t="s">
        <v>72</v>
      </c>
      <c r="N576" s="1" t="s">
        <v>134</v>
      </c>
      <c r="O576" s="1" t="s">
        <v>385</v>
      </c>
      <c r="P576" s="1" t="s">
        <v>386</v>
      </c>
      <c r="Q576" s="1" t="s">
        <v>387</v>
      </c>
      <c r="R576">
        <v>103</v>
      </c>
      <c r="S576" s="1" t="s">
        <v>135</v>
      </c>
      <c r="T576" s="1" t="s">
        <v>388</v>
      </c>
      <c r="U576" s="1" t="s">
        <v>135</v>
      </c>
      <c r="V576" s="1"/>
      <c r="W576" s="1"/>
      <c r="X576" s="1"/>
      <c r="Y576" s="1"/>
      <c r="AA576" s="1"/>
      <c r="AC576" s="1"/>
      <c r="AD576" s="1"/>
      <c r="AE576" s="1"/>
      <c r="AN576" s="1"/>
      <c r="AP576" s="1"/>
      <c r="AQ576" s="1"/>
      <c r="AR576" s="1"/>
      <c r="AS576" s="1"/>
      <c r="AT576" s="3"/>
      <c r="AU576" s="3"/>
      <c r="AV576" s="3"/>
      <c r="AW576" s="1"/>
      <c r="AX576" s="1"/>
      <c r="AZ576">
        <v>253</v>
      </c>
      <c r="BA576">
        <v>4654734.66</v>
      </c>
      <c r="BB576" s="1" t="s">
        <v>74</v>
      </c>
      <c r="BC576">
        <v>204</v>
      </c>
      <c r="BD576" s="1" t="s">
        <v>816</v>
      </c>
      <c r="BE576" s="1" t="s">
        <v>460</v>
      </c>
      <c r="BF576">
        <v>4500</v>
      </c>
      <c r="BG576" s="1" t="s">
        <v>1243</v>
      </c>
      <c r="BH576" s="1" t="s">
        <v>99</v>
      </c>
      <c r="BI576">
        <v>0</v>
      </c>
      <c r="BJ576" s="1"/>
      <c r="BL576" s="1"/>
      <c r="BN576" s="1"/>
      <c r="BO576">
        <v>599</v>
      </c>
      <c r="BP576">
        <v>4654734.66</v>
      </c>
      <c r="BQ576">
        <v>4654734.66</v>
      </c>
    </row>
    <row r="577" spans="1:69" x14ac:dyDescent="0.35">
      <c r="A577" s="1" t="s">
        <v>68</v>
      </c>
      <c r="B577" s="1" t="s">
        <v>69</v>
      </c>
      <c r="C577" s="1" t="s">
        <v>70</v>
      </c>
      <c r="D577">
        <v>1</v>
      </c>
      <c r="E577">
        <v>1</v>
      </c>
      <c r="F577" s="2">
        <v>43585.43</v>
      </c>
      <c r="G577" s="3">
        <v>41275</v>
      </c>
      <c r="H577" s="3">
        <v>41639</v>
      </c>
      <c r="I577" s="1" t="s">
        <v>71</v>
      </c>
      <c r="J577">
        <v>4521</v>
      </c>
      <c r="K577">
        <v>0</v>
      </c>
      <c r="L577" s="1" t="s">
        <v>384</v>
      </c>
      <c r="M577" s="1" t="s">
        <v>72</v>
      </c>
      <c r="N577" s="1" t="s">
        <v>134</v>
      </c>
      <c r="O577" s="1" t="s">
        <v>385</v>
      </c>
      <c r="P577" s="1" t="s">
        <v>386</v>
      </c>
      <c r="Q577" s="1" t="s">
        <v>387</v>
      </c>
      <c r="R577">
        <v>103</v>
      </c>
      <c r="S577" s="1" t="s">
        <v>135</v>
      </c>
      <c r="T577" s="1" t="s">
        <v>388</v>
      </c>
      <c r="U577" s="1" t="s">
        <v>135</v>
      </c>
      <c r="V577" s="1"/>
      <c r="W577" s="1"/>
      <c r="X577" s="1"/>
      <c r="Y577" s="1"/>
      <c r="AA577" s="1"/>
      <c r="AC577" s="1"/>
      <c r="AD577" s="1"/>
      <c r="AE577" s="1"/>
      <c r="AN577" s="1"/>
      <c r="AP577" s="1"/>
      <c r="AQ577" s="1"/>
      <c r="AR577" s="1"/>
      <c r="AS577" s="1"/>
      <c r="AT577" s="3"/>
      <c r="AU577" s="3"/>
      <c r="AV577" s="3"/>
      <c r="AW577" s="1"/>
      <c r="AX577" s="1"/>
      <c r="AZ577">
        <v>253</v>
      </c>
      <c r="BA577">
        <v>4654734.66</v>
      </c>
      <c r="BB577" s="1" t="s">
        <v>74</v>
      </c>
      <c r="BC577">
        <v>205</v>
      </c>
      <c r="BD577" s="1" t="s">
        <v>816</v>
      </c>
      <c r="BE577" s="1" t="s">
        <v>99</v>
      </c>
      <c r="BF577">
        <v>0</v>
      </c>
      <c r="BG577" s="1"/>
      <c r="BH577" s="1" t="s">
        <v>392</v>
      </c>
      <c r="BI577">
        <v>4500</v>
      </c>
      <c r="BJ577" s="1" t="s">
        <v>1243</v>
      </c>
      <c r="BL577" s="1"/>
      <c r="BN577" s="1"/>
      <c r="BO577">
        <v>599</v>
      </c>
      <c r="BP577">
        <v>4654734.66</v>
      </c>
      <c r="BQ577">
        <v>4654734.66</v>
      </c>
    </row>
    <row r="578" spans="1:69" x14ac:dyDescent="0.35">
      <c r="A578" s="1" t="s">
        <v>68</v>
      </c>
      <c r="B578" s="1" t="s">
        <v>69</v>
      </c>
      <c r="C578" s="1" t="s">
        <v>70</v>
      </c>
      <c r="D578">
        <v>1</v>
      </c>
      <c r="E578">
        <v>1</v>
      </c>
      <c r="F578" s="2">
        <v>43585.43</v>
      </c>
      <c r="G578" s="3">
        <v>41275</v>
      </c>
      <c r="H578" s="3">
        <v>41639</v>
      </c>
      <c r="I578" s="1" t="s">
        <v>71</v>
      </c>
      <c r="J578">
        <v>4521</v>
      </c>
      <c r="K578">
        <v>0</v>
      </c>
      <c r="L578" s="1" t="s">
        <v>384</v>
      </c>
      <c r="M578" s="1" t="s">
        <v>72</v>
      </c>
      <c r="N578" s="1" t="s">
        <v>134</v>
      </c>
      <c r="O578" s="1" t="s">
        <v>385</v>
      </c>
      <c r="P578" s="1" t="s">
        <v>386</v>
      </c>
      <c r="Q578" s="1" t="s">
        <v>387</v>
      </c>
      <c r="R578">
        <v>103</v>
      </c>
      <c r="S578" s="1" t="s">
        <v>135</v>
      </c>
      <c r="T578" s="1" t="s">
        <v>388</v>
      </c>
      <c r="U578" s="1" t="s">
        <v>135</v>
      </c>
      <c r="V578" s="1"/>
      <c r="W578" s="1"/>
      <c r="X578" s="1"/>
      <c r="Y578" s="1"/>
      <c r="AA578" s="1"/>
      <c r="AC578" s="1"/>
      <c r="AD578" s="1"/>
      <c r="AE578" s="1"/>
      <c r="AN578" s="1"/>
      <c r="AP578" s="1"/>
      <c r="AQ578" s="1"/>
      <c r="AR578" s="1"/>
      <c r="AS578" s="1"/>
      <c r="AT578" s="3"/>
      <c r="AU578" s="3"/>
      <c r="AV578" s="3"/>
      <c r="AW578" s="1"/>
      <c r="AX578" s="1"/>
      <c r="AZ578">
        <v>253</v>
      </c>
      <c r="BA578">
        <v>4654734.66</v>
      </c>
      <c r="BB578" s="1" t="s">
        <v>74</v>
      </c>
      <c r="BC578">
        <v>206</v>
      </c>
      <c r="BD578" s="1" t="s">
        <v>817</v>
      </c>
      <c r="BE578" s="1" t="s">
        <v>392</v>
      </c>
      <c r="BF578">
        <v>321</v>
      </c>
      <c r="BG578" s="1" t="s">
        <v>1002</v>
      </c>
      <c r="BH578" s="1" t="s">
        <v>99</v>
      </c>
      <c r="BI578">
        <v>0</v>
      </c>
      <c r="BJ578" s="1"/>
      <c r="BL578" s="1"/>
      <c r="BN578" s="1"/>
      <c r="BO578">
        <v>599</v>
      </c>
      <c r="BP578">
        <v>4654734.66</v>
      </c>
      <c r="BQ578">
        <v>4654734.66</v>
      </c>
    </row>
    <row r="579" spans="1:69" x14ac:dyDescent="0.35">
      <c r="A579" s="1" t="s">
        <v>68</v>
      </c>
      <c r="B579" s="1" t="s">
        <v>69</v>
      </c>
      <c r="C579" s="1" t="s">
        <v>70</v>
      </c>
      <c r="D579">
        <v>1</v>
      </c>
      <c r="E579">
        <v>1</v>
      </c>
      <c r="F579" s="2">
        <v>43585.43</v>
      </c>
      <c r="G579" s="3">
        <v>41275</v>
      </c>
      <c r="H579" s="3">
        <v>41639</v>
      </c>
      <c r="I579" s="1" t="s">
        <v>71</v>
      </c>
      <c r="J579">
        <v>4521</v>
      </c>
      <c r="K579">
        <v>0</v>
      </c>
      <c r="L579" s="1" t="s">
        <v>384</v>
      </c>
      <c r="M579" s="1" t="s">
        <v>72</v>
      </c>
      <c r="N579" s="1" t="s">
        <v>134</v>
      </c>
      <c r="O579" s="1" t="s">
        <v>385</v>
      </c>
      <c r="P579" s="1" t="s">
        <v>386</v>
      </c>
      <c r="Q579" s="1" t="s">
        <v>387</v>
      </c>
      <c r="R579">
        <v>103</v>
      </c>
      <c r="S579" s="1" t="s">
        <v>135</v>
      </c>
      <c r="T579" s="1" t="s">
        <v>388</v>
      </c>
      <c r="U579" s="1" t="s">
        <v>135</v>
      </c>
      <c r="V579" s="1"/>
      <c r="W579" s="1"/>
      <c r="X579" s="1"/>
      <c r="Y579" s="1"/>
      <c r="AA579" s="1"/>
      <c r="AC579" s="1"/>
      <c r="AD579" s="1"/>
      <c r="AE579" s="1"/>
      <c r="AN579" s="1"/>
      <c r="AP579" s="1"/>
      <c r="AQ579" s="1"/>
      <c r="AR579" s="1"/>
      <c r="AS579" s="1"/>
      <c r="AT579" s="3"/>
      <c r="AU579" s="3"/>
      <c r="AV579" s="3"/>
      <c r="AW579" s="1"/>
      <c r="AX579" s="1"/>
      <c r="AZ579">
        <v>253</v>
      </c>
      <c r="BA579">
        <v>4654734.66</v>
      </c>
      <c r="BB579" s="1" t="s">
        <v>74</v>
      </c>
      <c r="BC579">
        <v>207</v>
      </c>
      <c r="BD579" s="1" t="s">
        <v>817</v>
      </c>
      <c r="BE579" s="1" t="s">
        <v>99</v>
      </c>
      <c r="BF579">
        <v>0</v>
      </c>
      <c r="BG579" s="1"/>
      <c r="BH579" s="1" t="s">
        <v>453</v>
      </c>
      <c r="BI579">
        <v>321</v>
      </c>
      <c r="BJ579" s="1" t="s">
        <v>1002</v>
      </c>
      <c r="BL579" s="1"/>
      <c r="BN579" s="1"/>
      <c r="BO579">
        <v>599</v>
      </c>
      <c r="BP579">
        <v>4654734.66</v>
      </c>
      <c r="BQ579">
        <v>4654734.66</v>
      </c>
    </row>
    <row r="580" spans="1:69" x14ac:dyDescent="0.35">
      <c r="A580" s="1" t="s">
        <v>68</v>
      </c>
      <c r="B580" s="1" t="s">
        <v>69</v>
      </c>
      <c r="C580" s="1" t="s">
        <v>70</v>
      </c>
      <c r="D580">
        <v>1</v>
      </c>
      <c r="E580">
        <v>1</v>
      </c>
      <c r="F580" s="2">
        <v>43585.43</v>
      </c>
      <c r="G580" s="3">
        <v>41275</v>
      </c>
      <c r="H580" s="3">
        <v>41639</v>
      </c>
      <c r="I580" s="1" t="s">
        <v>71</v>
      </c>
      <c r="J580">
        <v>4521</v>
      </c>
      <c r="K580">
        <v>0</v>
      </c>
      <c r="L580" s="1" t="s">
        <v>384</v>
      </c>
      <c r="M580" s="1" t="s">
        <v>72</v>
      </c>
      <c r="N580" s="1" t="s">
        <v>134</v>
      </c>
      <c r="O580" s="1" t="s">
        <v>385</v>
      </c>
      <c r="P580" s="1" t="s">
        <v>386</v>
      </c>
      <c r="Q580" s="1" t="s">
        <v>387</v>
      </c>
      <c r="R580">
        <v>103</v>
      </c>
      <c r="S580" s="1" t="s">
        <v>135</v>
      </c>
      <c r="T580" s="1" t="s">
        <v>388</v>
      </c>
      <c r="U580" s="1" t="s">
        <v>135</v>
      </c>
      <c r="V580" s="1"/>
      <c r="W580" s="1"/>
      <c r="X580" s="1"/>
      <c r="Y580" s="1"/>
      <c r="AA580" s="1"/>
      <c r="AC580" s="1"/>
      <c r="AD580" s="1"/>
      <c r="AE580" s="1"/>
      <c r="AN580" s="1"/>
      <c r="AP580" s="1"/>
      <c r="AQ580" s="1"/>
      <c r="AR580" s="1"/>
      <c r="AS580" s="1"/>
      <c r="AT580" s="3"/>
      <c r="AU580" s="3"/>
      <c r="AV580" s="3"/>
      <c r="AW580" s="1"/>
      <c r="AX580" s="1"/>
      <c r="AZ580">
        <v>253</v>
      </c>
      <c r="BA580">
        <v>4654734.66</v>
      </c>
      <c r="BB580" s="1" t="s">
        <v>74</v>
      </c>
      <c r="BC580">
        <v>208</v>
      </c>
      <c r="BD580" s="1" t="s">
        <v>818</v>
      </c>
      <c r="BE580" s="1" t="s">
        <v>407</v>
      </c>
      <c r="BF580">
        <v>378.23</v>
      </c>
      <c r="BG580" s="1" t="s">
        <v>1017</v>
      </c>
      <c r="BH580" s="1" t="s">
        <v>99</v>
      </c>
      <c r="BI580">
        <v>0</v>
      </c>
      <c r="BJ580" s="1"/>
      <c r="BL580" s="1"/>
      <c r="BN580" s="1"/>
      <c r="BO580">
        <v>599</v>
      </c>
      <c r="BP580">
        <v>4654734.66</v>
      </c>
      <c r="BQ580">
        <v>4654734.66</v>
      </c>
    </row>
    <row r="581" spans="1:69" x14ac:dyDescent="0.35">
      <c r="A581" s="1" t="s">
        <v>68</v>
      </c>
      <c r="B581" s="1" t="s">
        <v>69</v>
      </c>
      <c r="C581" s="1" t="s">
        <v>70</v>
      </c>
      <c r="D581">
        <v>1</v>
      </c>
      <c r="E581">
        <v>1</v>
      </c>
      <c r="F581" s="2">
        <v>43585.43</v>
      </c>
      <c r="G581" s="3">
        <v>41275</v>
      </c>
      <c r="H581" s="3">
        <v>41639</v>
      </c>
      <c r="I581" s="1" t="s">
        <v>71</v>
      </c>
      <c r="J581">
        <v>4521</v>
      </c>
      <c r="K581">
        <v>0</v>
      </c>
      <c r="L581" s="1" t="s">
        <v>384</v>
      </c>
      <c r="M581" s="1" t="s">
        <v>72</v>
      </c>
      <c r="N581" s="1" t="s">
        <v>134</v>
      </c>
      <c r="O581" s="1" t="s">
        <v>385</v>
      </c>
      <c r="P581" s="1" t="s">
        <v>386</v>
      </c>
      <c r="Q581" s="1" t="s">
        <v>387</v>
      </c>
      <c r="R581">
        <v>103</v>
      </c>
      <c r="S581" s="1" t="s">
        <v>135</v>
      </c>
      <c r="T581" s="1" t="s">
        <v>388</v>
      </c>
      <c r="U581" s="1" t="s">
        <v>135</v>
      </c>
      <c r="V581" s="1"/>
      <c r="W581" s="1"/>
      <c r="X581" s="1"/>
      <c r="Y581" s="1"/>
      <c r="AA581" s="1"/>
      <c r="AC581" s="1"/>
      <c r="AD581" s="1"/>
      <c r="AE581" s="1"/>
      <c r="AN581" s="1"/>
      <c r="AP581" s="1"/>
      <c r="AQ581" s="1"/>
      <c r="AR581" s="1"/>
      <c r="AS581" s="1"/>
      <c r="AT581" s="3"/>
      <c r="AU581" s="3"/>
      <c r="AV581" s="3"/>
      <c r="AW581" s="1"/>
      <c r="AX581" s="1"/>
      <c r="AZ581">
        <v>253</v>
      </c>
      <c r="BA581">
        <v>4654734.66</v>
      </c>
      <c r="BB581" s="1" t="s">
        <v>74</v>
      </c>
      <c r="BC581">
        <v>209</v>
      </c>
      <c r="BD581" s="1" t="s">
        <v>818</v>
      </c>
      <c r="BE581" s="1" t="s">
        <v>99</v>
      </c>
      <c r="BF581">
        <v>0</v>
      </c>
      <c r="BG581" s="1"/>
      <c r="BH581" s="1" t="s">
        <v>489</v>
      </c>
      <c r="BI581">
        <v>307.5</v>
      </c>
      <c r="BJ581" s="1" t="s">
        <v>1017</v>
      </c>
      <c r="BL581" s="1"/>
      <c r="BN581" s="1"/>
      <c r="BO581">
        <v>599</v>
      </c>
      <c r="BP581">
        <v>4654734.66</v>
      </c>
      <c r="BQ581">
        <v>4654734.66</v>
      </c>
    </row>
    <row r="582" spans="1:69" x14ac:dyDescent="0.35">
      <c r="A582" s="1" t="s">
        <v>68</v>
      </c>
      <c r="B582" s="1" t="s">
        <v>69</v>
      </c>
      <c r="C582" s="1" t="s">
        <v>70</v>
      </c>
      <c r="D582">
        <v>1</v>
      </c>
      <c r="E582">
        <v>1</v>
      </c>
      <c r="F582" s="2">
        <v>43585.43</v>
      </c>
      <c r="G582" s="3">
        <v>41275</v>
      </c>
      <c r="H582" s="3">
        <v>41639</v>
      </c>
      <c r="I582" s="1" t="s">
        <v>71</v>
      </c>
      <c r="J582">
        <v>4521</v>
      </c>
      <c r="K582">
        <v>0</v>
      </c>
      <c r="L582" s="1" t="s">
        <v>384</v>
      </c>
      <c r="M582" s="1" t="s">
        <v>72</v>
      </c>
      <c r="N582" s="1" t="s">
        <v>134</v>
      </c>
      <c r="O582" s="1" t="s">
        <v>385</v>
      </c>
      <c r="P582" s="1" t="s">
        <v>386</v>
      </c>
      <c r="Q582" s="1" t="s">
        <v>387</v>
      </c>
      <c r="R582">
        <v>103</v>
      </c>
      <c r="S582" s="1" t="s">
        <v>135</v>
      </c>
      <c r="T582" s="1" t="s">
        <v>388</v>
      </c>
      <c r="U582" s="1" t="s">
        <v>135</v>
      </c>
      <c r="V582" s="1"/>
      <c r="W582" s="1"/>
      <c r="X582" s="1"/>
      <c r="Y582" s="1"/>
      <c r="AA582" s="1"/>
      <c r="AC582" s="1"/>
      <c r="AD582" s="1"/>
      <c r="AE582" s="1"/>
      <c r="AN582" s="1"/>
      <c r="AP582" s="1"/>
      <c r="AQ582" s="1"/>
      <c r="AR582" s="1"/>
      <c r="AS582" s="1"/>
      <c r="AT582" s="3"/>
      <c r="AU582" s="3"/>
      <c r="AV582" s="3"/>
      <c r="AW582" s="1"/>
      <c r="AX582" s="1"/>
      <c r="AZ582">
        <v>253</v>
      </c>
      <c r="BA582">
        <v>4654734.66</v>
      </c>
      <c r="BB582" s="1" t="s">
        <v>74</v>
      </c>
      <c r="BC582">
        <v>210</v>
      </c>
      <c r="BD582" s="1" t="s">
        <v>818</v>
      </c>
      <c r="BE582" s="1" t="s">
        <v>99</v>
      </c>
      <c r="BF582">
        <v>0</v>
      </c>
      <c r="BG582" s="1"/>
      <c r="BH582" s="1" t="s">
        <v>451</v>
      </c>
      <c r="BI582">
        <v>70.73</v>
      </c>
      <c r="BJ582" s="1" t="s">
        <v>1017</v>
      </c>
      <c r="BL582" s="1"/>
      <c r="BN582" s="1"/>
      <c r="BO582">
        <v>599</v>
      </c>
      <c r="BP582">
        <v>4654734.66</v>
      </c>
      <c r="BQ582">
        <v>4654734.66</v>
      </c>
    </row>
    <row r="583" spans="1:69" x14ac:dyDescent="0.35">
      <c r="A583" s="1" t="s">
        <v>68</v>
      </c>
      <c r="B583" s="1" t="s">
        <v>69</v>
      </c>
      <c r="C583" s="1" t="s">
        <v>70</v>
      </c>
      <c r="D583">
        <v>1</v>
      </c>
      <c r="E583">
        <v>1</v>
      </c>
      <c r="F583" s="2">
        <v>43585.43</v>
      </c>
      <c r="G583" s="3">
        <v>41275</v>
      </c>
      <c r="H583" s="3">
        <v>41639</v>
      </c>
      <c r="I583" s="1" t="s">
        <v>71</v>
      </c>
      <c r="J583">
        <v>4521</v>
      </c>
      <c r="K583">
        <v>0</v>
      </c>
      <c r="L583" s="1" t="s">
        <v>384</v>
      </c>
      <c r="M583" s="1" t="s">
        <v>72</v>
      </c>
      <c r="N583" s="1" t="s">
        <v>134</v>
      </c>
      <c r="O583" s="1" t="s">
        <v>385</v>
      </c>
      <c r="P583" s="1" t="s">
        <v>386</v>
      </c>
      <c r="Q583" s="1" t="s">
        <v>387</v>
      </c>
      <c r="R583">
        <v>103</v>
      </c>
      <c r="S583" s="1" t="s">
        <v>135</v>
      </c>
      <c r="T583" s="1" t="s">
        <v>388</v>
      </c>
      <c r="U583" s="1" t="s">
        <v>135</v>
      </c>
      <c r="V583" s="1"/>
      <c r="W583" s="1"/>
      <c r="X583" s="1"/>
      <c r="Y583" s="1"/>
      <c r="AA583" s="1"/>
      <c r="AC583" s="1"/>
      <c r="AD583" s="1"/>
      <c r="AE583" s="1"/>
      <c r="AN583" s="1"/>
      <c r="AP583" s="1"/>
      <c r="AQ583" s="1"/>
      <c r="AR583" s="1"/>
      <c r="AS583" s="1"/>
      <c r="AT583" s="3"/>
      <c r="AU583" s="3"/>
      <c r="AV583" s="3"/>
      <c r="AW583" s="1"/>
      <c r="AX583" s="1"/>
      <c r="AZ583">
        <v>253</v>
      </c>
      <c r="BA583">
        <v>4654734.66</v>
      </c>
      <c r="BB583" s="1" t="s">
        <v>74</v>
      </c>
      <c r="BC583">
        <v>211</v>
      </c>
      <c r="BD583" s="1" t="s">
        <v>819</v>
      </c>
      <c r="BE583" s="1" t="s">
        <v>75</v>
      </c>
      <c r="BF583">
        <v>378.23</v>
      </c>
      <c r="BG583" s="1" t="s">
        <v>1017</v>
      </c>
      <c r="BH583" s="1" t="s">
        <v>99</v>
      </c>
      <c r="BI583">
        <v>0</v>
      </c>
      <c r="BJ583" s="1"/>
      <c r="BL583" s="1"/>
      <c r="BN583" s="1"/>
      <c r="BO583">
        <v>599</v>
      </c>
      <c r="BP583">
        <v>4654734.66</v>
      </c>
      <c r="BQ583">
        <v>4654734.66</v>
      </c>
    </row>
    <row r="584" spans="1:69" x14ac:dyDescent="0.35">
      <c r="A584" s="1" t="s">
        <v>68</v>
      </c>
      <c r="B584" s="1" t="s">
        <v>69</v>
      </c>
      <c r="C584" s="1" t="s">
        <v>70</v>
      </c>
      <c r="D584">
        <v>1</v>
      </c>
      <c r="E584">
        <v>1</v>
      </c>
      <c r="F584" s="2">
        <v>43585.43</v>
      </c>
      <c r="G584" s="3">
        <v>41275</v>
      </c>
      <c r="H584" s="3">
        <v>41639</v>
      </c>
      <c r="I584" s="1" t="s">
        <v>71</v>
      </c>
      <c r="J584">
        <v>4521</v>
      </c>
      <c r="K584">
        <v>0</v>
      </c>
      <c r="L584" s="1" t="s">
        <v>384</v>
      </c>
      <c r="M584" s="1" t="s">
        <v>72</v>
      </c>
      <c r="N584" s="1" t="s">
        <v>134</v>
      </c>
      <c r="O584" s="1" t="s">
        <v>385</v>
      </c>
      <c r="P584" s="1" t="s">
        <v>386</v>
      </c>
      <c r="Q584" s="1" t="s">
        <v>387</v>
      </c>
      <c r="R584">
        <v>103</v>
      </c>
      <c r="S584" s="1" t="s">
        <v>135</v>
      </c>
      <c r="T584" s="1" t="s">
        <v>388</v>
      </c>
      <c r="U584" s="1" t="s">
        <v>135</v>
      </c>
      <c r="V584" s="1"/>
      <c r="W584" s="1"/>
      <c r="X584" s="1"/>
      <c r="Y584" s="1"/>
      <c r="AA584" s="1"/>
      <c r="AC584" s="1"/>
      <c r="AD584" s="1"/>
      <c r="AE584" s="1"/>
      <c r="AN584" s="1"/>
      <c r="AP584" s="1"/>
      <c r="AQ584" s="1"/>
      <c r="AR584" s="1"/>
      <c r="AS584" s="1"/>
      <c r="AT584" s="3"/>
      <c r="AU584" s="3"/>
      <c r="AV584" s="3"/>
      <c r="AW584" s="1"/>
      <c r="AX584" s="1"/>
      <c r="AZ584">
        <v>253</v>
      </c>
      <c r="BA584">
        <v>4654734.66</v>
      </c>
      <c r="BB584" s="1" t="s">
        <v>74</v>
      </c>
      <c r="BC584">
        <v>212</v>
      </c>
      <c r="BD584" s="1" t="s">
        <v>819</v>
      </c>
      <c r="BE584" s="1" t="s">
        <v>99</v>
      </c>
      <c r="BF584">
        <v>0</v>
      </c>
      <c r="BG584" s="1"/>
      <c r="BH584" s="1" t="s">
        <v>485</v>
      </c>
      <c r="BI584">
        <v>200</v>
      </c>
      <c r="BJ584" s="1" t="s">
        <v>1017</v>
      </c>
      <c r="BL584" s="1"/>
      <c r="BN584" s="1"/>
      <c r="BO584">
        <v>599</v>
      </c>
      <c r="BP584">
        <v>4654734.66</v>
      </c>
      <c r="BQ584">
        <v>4654734.66</v>
      </c>
    </row>
    <row r="585" spans="1:69" x14ac:dyDescent="0.35">
      <c r="A585" s="1" t="s">
        <v>68</v>
      </c>
      <c r="B585" s="1" t="s">
        <v>69</v>
      </c>
      <c r="C585" s="1" t="s">
        <v>70</v>
      </c>
      <c r="D585">
        <v>1</v>
      </c>
      <c r="E585">
        <v>1</v>
      </c>
      <c r="F585" s="2">
        <v>43585.43</v>
      </c>
      <c r="G585" s="3">
        <v>41275</v>
      </c>
      <c r="H585" s="3">
        <v>41639</v>
      </c>
      <c r="I585" s="1" t="s">
        <v>71</v>
      </c>
      <c r="J585">
        <v>4521</v>
      </c>
      <c r="K585">
        <v>0</v>
      </c>
      <c r="L585" s="1" t="s">
        <v>384</v>
      </c>
      <c r="M585" s="1" t="s">
        <v>72</v>
      </c>
      <c r="N585" s="1" t="s">
        <v>134</v>
      </c>
      <c r="O585" s="1" t="s">
        <v>385</v>
      </c>
      <c r="P585" s="1" t="s">
        <v>386</v>
      </c>
      <c r="Q585" s="1" t="s">
        <v>387</v>
      </c>
      <c r="R585">
        <v>103</v>
      </c>
      <c r="S585" s="1" t="s">
        <v>135</v>
      </c>
      <c r="T585" s="1" t="s">
        <v>388</v>
      </c>
      <c r="U585" s="1" t="s">
        <v>135</v>
      </c>
      <c r="V585" s="1"/>
      <c r="W585" s="1"/>
      <c r="X585" s="1"/>
      <c r="Y585" s="1"/>
      <c r="AA585" s="1"/>
      <c r="AC585" s="1"/>
      <c r="AD585" s="1"/>
      <c r="AE585" s="1"/>
      <c r="AN585" s="1"/>
      <c r="AP585" s="1"/>
      <c r="AQ585" s="1"/>
      <c r="AR585" s="1"/>
      <c r="AS585" s="1"/>
      <c r="AT585" s="3"/>
      <c r="AU585" s="3"/>
      <c r="AV585" s="3"/>
      <c r="AW585" s="1"/>
      <c r="AX585" s="1"/>
      <c r="AZ585">
        <v>253</v>
      </c>
      <c r="BA585">
        <v>4654734.66</v>
      </c>
      <c r="BB585" s="1" t="s">
        <v>74</v>
      </c>
      <c r="BC585">
        <v>213</v>
      </c>
      <c r="BD585" s="1" t="s">
        <v>819</v>
      </c>
      <c r="BE585" s="1" t="s">
        <v>99</v>
      </c>
      <c r="BF585">
        <v>0</v>
      </c>
      <c r="BG585" s="1"/>
      <c r="BH585" s="1" t="s">
        <v>486</v>
      </c>
      <c r="BI585">
        <v>178.23</v>
      </c>
      <c r="BJ585" s="1" t="s">
        <v>1017</v>
      </c>
      <c r="BL585" s="1"/>
      <c r="BN585" s="1"/>
      <c r="BO585">
        <v>599</v>
      </c>
      <c r="BP585">
        <v>4654734.66</v>
      </c>
      <c r="BQ585">
        <v>4654734.66</v>
      </c>
    </row>
    <row r="586" spans="1:69" x14ac:dyDescent="0.35">
      <c r="A586" s="1" t="s">
        <v>68</v>
      </c>
      <c r="B586" s="1" t="s">
        <v>69</v>
      </c>
      <c r="C586" s="1" t="s">
        <v>70</v>
      </c>
      <c r="D586">
        <v>1</v>
      </c>
      <c r="E586">
        <v>1</v>
      </c>
      <c r="F586" s="2">
        <v>43585.43</v>
      </c>
      <c r="G586" s="3">
        <v>41275</v>
      </c>
      <c r="H586" s="3">
        <v>41639</v>
      </c>
      <c r="I586" s="1" t="s">
        <v>71</v>
      </c>
      <c r="J586">
        <v>4521</v>
      </c>
      <c r="K586">
        <v>0</v>
      </c>
      <c r="L586" s="1" t="s">
        <v>384</v>
      </c>
      <c r="M586" s="1" t="s">
        <v>72</v>
      </c>
      <c r="N586" s="1" t="s">
        <v>134</v>
      </c>
      <c r="O586" s="1" t="s">
        <v>385</v>
      </c>
      <c r="P586" s="1" t="s">
        <v>386</v>
      </c>
      <c r="Q586" s="1" t="s">
        <v>387</v>
      </c>
      <c r="R586">
        <v>103</v>
      </c>
      <c r="S586" s="1" t="s">
        <v>135</v>
      </c>
      <c r="T586" s="1" t="s">
        <v>388</v>
      </c>
      <c r="U586" s="1" t="s">
        <v>135</v>
      </c>
      <c r="V586" s="1"/>
      <c r="W586" s="1"/>
      <c r="X586" s="1"/>
      <c r="Y586" s="1"/>
      <c r="AA586" s="1"/>
      <c r="AC586" s="1"/>
      <c r="AD586" s="1"/>
      <c r="AE586" s="1"/>
      <c r="AN586" s="1"/>
      <c r="AP586" s="1"/>
      <c r="AQ586" s="1"/>
      <c r="AR586" s="1"/>
      <c r="AS586" s="1"/>
      <c r="AT586" s="3"/>
      <c r="AU586" s="3"/>
      <c r="AV586" s="3"/>
      <c r="AW586" s="1"/>
      <c r="AX586" s="1"/>
      <c r="AZ586">
        <v>253</v>
      </c>
      <c r="BA586">
        <v>4654734.66</v>
      </c>
      <c r="BB586" s="1" t="s">
        <v>74</v>
      </c>
      <c r="BC586">
        <v>214</v>
      </c>
      <c r="BD586" s="1" t="s">
        <v>820</v>
      </c>
      <c r="BE586" s="1" t="s">
        <v>402</v>
      </c>
      <c r="BF586">
        <v>3554.7</v>
      </c>
      <c r="BG586" s="1" t="s">
        <v>1027</v>
      </c>
      <c r="BH586" s="1" t="s">
        <v>99</v>
      </c>
      <c r="BI586">
        <v>0</v>
      </c>
      <c r="BJ586" s="1"/>
      <c r="BL586" s="1"/>
      <c r="BN586" s="1"/>
      <c r="BO586">
        <v>599</v>
      </c>
      <c r="BP586">
        <v>4654734.66</v>
      </c>
      <c r="BQ586">
        <v>4654734.66</v>
      </c>
    </row>
    <row r="587" spans="1:69" x14ac:dyDescent="0.35">
      <c r="A587" s="1" t="s">
        <v>68</v>
      </c>
      <c r="B587" s="1" t="s">
        <v>69</v>
      </c>
      <c r="C587" s="1" t="s">
        <v>70</v>
      </c>
      <c r="D587">
        <v>1</v>
      </c>
      <c r="E587">
        <v>1</v>
      </c>
      <c r="F587" s="2">
        <v>43585.43</v>
      </c>
      <c r="G587" s="3">
        <v>41275</v>
      </c>
      <c r="H587" s="3">
        <v>41639</v>
      </c>
      <c r="I587" s="1" t="s">
        <v>71</v>
      </c>
      <c r="J587">
        <v>4521</v>
      </c>
      <c r="K587">
        <v>0</v>
      </c>
      <c r="L587" s="1" t="s">
        <v>384</v>
      </c>
      <c r="M587" s="1" t="s">
        <v>72</v>
      </c>
      <c r="N587" s="1" t="s">
        <v>134</v>
      </c>
      <c r="O587" s="1" t="s">
        <v>385</v>
      </c>
      <c r="P587" s="1" t="s">
        <v>386</v>
      </c>
      <c r="Q587" s="1" t="s">
        <v>387</v>
      </c>
      <c r="R587">
        <v>103</v>
      </c>
      <c r="S587" s="1" t="s">
        <v>135</v>
      </c>
      <c r="T587" s="1" t="s">
        <v>388</v>
      </c>
      <c r="U587" s="1" t="s">
        <v>135</v>
      </c>
      <c r="V587" s="1"/>
      <c r="W587" s="1"/>
      <c r="X587" s="1"/>
      <c r="Y587" s="1"/>
      <c r="AA587" s="1"/>
      <c r="AC587" s="1"/>
      <c r="AD587" s="1"/>
      <c r="AE587" s="1"/>
      <c r="AN587" s="1"/>
      <c r="AP587" s="1"/>
      <c r="AQ587" s="1"/>
      <c r="AR587" s="1"/>
      <c r="AS587" s="1"/>
      <c r="AT587" s="3"/>
      <c r="AU587" s="3"/>
      <c r="AV587" s="3"/>
      <c r="AW587" s="1"/>
      <c r="AX587" s="1"/>
      <c r="AZ587">
        <v>253</v>
      </c>
      <c r="BA587">
        <v>4654734.66</v>
      </c>
      <c r="BB587" s="1" t="s">
        <v>74</v>
      </c>
      <c r="BC587">
        <v>215</v>
      </c>
      <c r="BD587" s="1" t="s">
        <v>820</v>
      </c>
      <c r="BE587" s="1" t="s">
        <v>99</v>
      </c>
      <c r="BF587">
        <v>0</v>
      </c>
      <c r="BG587" s="1"/>
      <c r="BH587" s="1" t="s">
        <v>489</v>
      </c>
      <c r="BI587">
        <v>2890</v>
      </c>
      <c r="BJ587" s="1" t="s">
        <v>1027</v>
      </c>
      <c r="BL587" s="1"/>
      <c r="BN587" s="1"/>
      <c r="BO587">
        <v>599</v>
      </c>
      <c r="BP587">
        <v>4654734.66</v>
      </c>
      <c r="BQ587">
        <v>4654734.66</v>
      </c>
    </row>
    <row r="588" spans="1:69" x14ac:dyDescent="0.35">
      <c r="A588" s="1" t="s">
        <v>68</v>
      </c>
      <c r="B588" s="1" t="s">
        <v>69</v>
      </c>
      <c r="C588" s="1" t="s">
        <v>70</v>
      </c>
      <c r="D588">
        <v>1</v>
      </c>
      <c r="E588">
        <v>1</v>
      </c>
      <c r="F588" s="2">
        <v>43585.43</v>
      </c>
      <c r="G588" s="3">
        <v>41275</v>
      </c>
      <c r="H588" s="3">
        <v>41639</v>
      </c>
      <c r="I588" s="1" t="s">
        <v>71</v>
      </c>
      <c r="J588">
        <v>4521</v>
      </c>
      <c r="K588">
        <v>0</v>
      </c>
      <c r="L588" s="1" t="s">
        <v>384</v>
      </c>
      <c r="M588" s="1" t="s">
        <v>72</v>
      </c>
      <c r="N588" s="1" t="s">
        <v>134</v>
      </c>
      <c r="O588" s="1" t="s">
        <v>385</v>
      </c>
      <c r="P588" s="1" t="s">
        <v>386</v>
      </c>
      <c r="Q588" s="1" t="s">
        <v>387</v>
      </c>
      <c r="R588">
        <v>103</v>
      </c>
      <c r="S588" s="1" t="s">
        <v>135</v>
      </c>
      <c r="T588" s="1" t="s">
        <v>388</v>
      </c>
      <c r="U588" s="1" t="s">
        <v>135</v>
      </c>
      <c r="V588" s="1"/>
      <c r="W588" s="1"/>
      <c r="X588" s="1"/>
      <c r="Y588" s="1"/>
      <c r="AA588" s="1"/>
      <c r="AC588" s="1"/>
      <c r="AD588" s="1"/>
      <c r="AE588" s="1"/>
      <c r="AN588" s="1"/>
      <c r="AP588" s="1"/>
      <c r="AQ588" s="1"/>
      <c r="AR588" s="1"/>
      <c r="AS588" s="1"/>
      <c r="AT588" s="3"/>
      <c r="AU588" s="3"/>
      <c r="AV588" s="3"/>
      <c r="AW588" s="1"/>
      <c r="AX588" s="1"/>
      <c r="AZ588">
        <v>253</v>
      </c>
      <c r="BA588">
        <v>4654734.66</v>
      </c>
      <c r="BB588" s="1" t="s">
        <v>74</v>
      </c>
      <c r="BC588">
        <v>216</v>
      </c>
      <c r="BD588" s="1" t="s">
        <v>820</v>
      </c>
      <c r="BE588" s="1" t="s">
        <v>99</v>
      </c>
      <c r="BF588">
        <v>0</v>
      </c>
      <c r="BG588" s="1"/>
      <c r="BH588" s="1" t="s">
        <v>451</v>
      </c>
      <c r="BI588">
        <v>664.7</v>
      </c>
      <c r="BJ588" s="1" t="s">
        <v>1027</v>
      </c>
      <c r="BL588" s="1"/>
      <c r="BN588" s="1"/>
      <c r="BO588">
        <v>599</v>
      </c>
      <c r="BP588">
        <v>4654734.66</v>
      </c>
      <c r="BQ588">
        <v>4654734.66</v>
      </c>
    </row>
    <row r="589" spans="1:69" x14ac:dyDescent="0.35">
      <c r="A589" s="1" t="s">
        <v>68</v>
      </c>
      <c r="B589" s="1" t="s">
        <v>69</v>
      </c>
      <c r="C589" s="1" t="s">
        <v>70</v>
      </c>
      <c r="D589">
        <v>1</v>
      </c>
      <c r="E589">
        <v>1</v>
      </c>
      <c r="F589" s="2">
        <v>43585.43</v>
      </c>
      <c r="G589" s="3">
        <v>41275</v>
      </c>
      <c r="H589" s="3">
        <v>41639</v>
      </c>
      <c r="I589" s="1" t="s">
        <v>71</v>
      </c>
      <c r="J589">
        <v>4521</v>
      </c>
      <c r="K589">
        <v>0</v>
      </c>
      <c r="L589" s="1" t="s">
        <v>384</v>
      </c>
      <c r="M589" s="1" t="s">
        <v>72</v>
      </c>
      <c r="N589" s="1" t="s">
        <v>134</v>
      </c>
      <c r="O589" s="1" t="s">
        <v>385</v>
      </c>
      <c r="P589" s="1" t="s">
        <v>386</v>
      </c>
      <c r="Q589" s="1" t="s">
        <v>387</v>
      </c>
      <c r="R589">
        <v>103</v>
      </c>
      <c r="S589" s="1" t="s">
        <v>135</v>
      </c>
      <c r="T589" s="1" t="s">
        <v>388</v>
      </c>
      <c r="U589" s="1" t="s">
        <v>135</v>
      </c>
      <c r="V589" s="1"/>
      <c r="W589" s="1"/>
      <c r="X589" s="1"/>
      <c r="Y589" s="1"/>
      <c r="AA589" s="1"/>
      <c r="AC589" s="1"/>
      <c r="AD589" s="1"/>
      <c r="AE589" s="1"/>
      <c r="AN589" s="1"/>
      <c r="AP589" s="1"/>
      <c r="AQ589" s="1"/>
      <c r="AR589" s="1"/>
      <c r="AS589" s="1"/>
      <c r="AT589" s="3"/>
      <c r="AU589" s="3"/>
      <c r="AV589" s="3"/>
      <c r="AW589" s="1"/>
      <c r="AX589" s="1"/>
      <c r="AZ589">
        <v>253</v>
      </c>
      <c r="BA589">
        <v>4654734.66</v>
      </c>
      <c r="BB589" s="1" t="s">
        <v>74</v>
      </c>
      <c r="BC589">
        <v>217</v>
      </c>
      <c r="BD589" s="1" t="s">
        <v>821</v>
      </c>
      <c r="BE589" s="1" t="s">
        <v>403</v>
      </c>
      <c r="BF589">
        <v>824.9</v>
      </c>
      <c r="BG589" s="1" t="s">
        <v>1028</v>
      </c>
      <c r="BH589" s="1" t="s">
        <v>99</v>
      </c>
      <c r="BI589">
        <v>0</v>
      </c>
      <c r="BJ589" s="1"/>
      <c r="BL589" s="1"/>
      <c r="BN589" s="1"/>
      <c r="BO589">
        <v>599</v>
      </c>
      <c r="BP589">
        <v>4654734.66</v>
      </c>
      <c r="BQ589">
        <v>4654734.66</v>
      </c>
    </row>
    <row r="590" spans="1:69" x14ac:dyDescent="0.35">
      <c r="A590" s="1" t="s">
        <v>68</v>
      </c>
      <c r="B590" s="1" t="s">
        <v>69</v>
      </c>
      <c r="C590" s="1" t="s">
        <v>70</v>
      </c>
      <c r="D590">
        <v>1</v>
      </c>
      <c r="E590">
        <v>1</v>
      </c>
      <c r="F590" s="2">
        <v>43585.43</v>
      </c>
      <c r="G590" s="3">
        <v>41275</v>
      </c>
      <c r="H590" s="3">
        <v>41639</v>
      </c>
      <c r="I590" s="1" t="s">
        <v>71</v>
      </c>
      <c r="J590">
        <v>4521</v>
      </c>
      <c r="K590">
        <v>0</v>
      </c>
      <c r="L590" s="1" t="s">
        <v>384</v>
      </c>
      <c r="M590" s="1" t="s">
        <v>72</v>
      </c>
      <c r="N590" s="1" t="s">
        <v>134</v>
      </c>
      <c r="O590" s="1" t="s">
        <v>385</v>
      </c>
      <c r="P590" s="1" t="s">
        <v>386</v>
      </c>
      <c r="Q590" s="1" t="s">
        <v>387</v>
      </c>
      <c r="R590">
        <v>103</v>
      </c>
      <c r="S590" s="1" t="s">
        <v>135</v>
      </c>
      <c r="T590" s="1" t="s">
        <v>388</v>
      </c>
      <c r="U590" s="1" t="s">
        <v>135</v>
      </c>
      <c r="V590" s="1"/>
      <c r="W590" s="1"/>
      <c r="X590" s="1"/>
      <c r="Y590" s="1"/>
      <c r="AA590" s="1"/>
      <c r="AC590" s="1"/>
      <c r="AD590" s="1"/>
      <c r="AE590" s="1"/>
      <c r="AN590" s="1"/>
      <c r="AP590" s="1"/>
      <c r="AQ590" s="1"/>
      <c r="AR590" s="1"/>
      <c r="AS590" s="1"/>
      <c r="AT590" s="3"/>
      <c r="AU590" s="3"/>
      <c r="AV590" s="3"/>
      <c r="AW590" s="1"/>
      <c r="AX590" s="1"/>
      <c r="AZ590">
        <v>253</v>
      </c>
      <c r="BA590">
        <v>4654734.66</v>
      </c>
      <c r="BB590" s="1" t="s">
        <v>74</v>
      </c>
      <c r="BC590">
        <v>218</v>
      </c>
      <c r="BD590" s="1" t="s">
        <v>821</v>
      </c>
      <c r="BE590" s="1" t="s">
        <v>99</v>
      </c>
      <c r="BF590">
        <v>0</v>
      </c>
      <c r="BG590" s="1"/>
      <c r="BH590" s="1" t="s">
        <v>489</v>
      </c>
      <c r="BI590">
        <v>670.65</v>
      </c>
      <c r="BJ590" s="1" t="s">
        <v>1028</v>
      </c>
      <c r="BL590" s="1"/>
      <c r="BN590" s="1"/>
      <c r="BO590">
        <v>599</v>
      </c>
      <c r="BP590">
        <v>4654734.66</v>
      </c>
      <c r="BQ590">
        <v>4654734.66</v>
      </c>
    </row>
    <row r="591" spans="1:69" x14ac:dyDescent="0.35">
      <c r="A591" s="1" t="s">
        <v>68</v>
      </c>
      <c r="B591" s="1" t="s">
        <v>69</v>
      </c>
      <c r="C591" s="1" t="s">
        <v>70</v>
      </c>
      <c r="D591">
        <v>1</v>
      </c>
      <c r="E591">
        <v>1</v>
      </c>
      <c r="F591" s="2">
        <v>43585.43</v>
      </c>
      <c r="G591" s="3">
        <v>41275</v>
      </c>
      <c r="H591" s="3">
        <v>41639</v>
      </c>
      <c r="I591" s="1" t="s">
        <v>71</v>
      </c>
      <c r="J591">
        <v>4521</v>
      </c>
      <c r="K591">
        <v>0</v>
      </c>
      <c r="L591" s="1" t="s">
        <v>384</v>
      </c>
      <c r="M591" s="1" t="s">
        <v>72</v>
      </c>
      <c r="N591" s="1" t="s">
        <v>134</v>
      </c>
      <c r="O591" s="1" t="s">
        <v>385</v>
      </c>
      <c r="P591" s="1" t="s">
        <v>386</v>
      </c>
      <c r="Q591" s="1" t="s">
        <v>387</v>
      </c>
      <c r="R591">
        <v>103</v>
      </c>
      <c r="S591" s="1" t="s">
        <v>135</v>
      </c>
      <c r="T591" s="1" t="s">
        <v>388</v>
      </c>
      <c r="U591" s="1" t="s">
        <v>135</v>
      </c>
      <c r="V591" s="1"/>
      <c r="W591" s="1"/>
      <c r="X591" s="1"/>
      <c r="Y591" s="1"/>
      <c r="AA591" s="1"/>
      <c r="AC591" s="1"/>
      <c r="AD591" s="1"/>
      <c r="AE591" s="1"/>
      <c r="AN591" s="1"/>
      <c r="AP591" s="1"/>
      <c r="AQ591" s="1"/>
      <c r="AR591" s="1"/>
      <c r="AS591" s="1"/>
      <c r="AT591" s="3"/>
      <c r="AU591" s="3"/>
      <c r="AV591" s="3"/>
      <c r="AW591" s="1"/>
      <c r="AX591" s="1"/>
      <c r="AZ591">
        <v>253</v>
      </c>
      <c r="BA591">
        <v>4654734.66</v>
      </c>
      <c r="BB591" s="1" t="s">
        <v>74</v>
      </c>
      <c r="BC591">
        <v>219</v>
      </c>
      <c r="BD591" s="1" t="s">
        <v>821</v>
      </c>
      <c r="BE591" s="1" t="s">
        <v>99</v>
      </c>
      <c r="BF591">
        <v>0</v>
      </c>
      <c r="BG591" s="1"/>
      <c r="BH591" s="1" t="s">
        <v>451</v>
      </c>
      <c r="BI591">
        <v>154.25</v>
      </c>
      <c r="BJ591" s="1" t="s">
        <v>1028</v>
      </c>
      <c r="BL591" s="1"/>
      <c r="BN591" s="1"/>
      <c r="BO591">
        <v>599</v>
      </c>
      <c r="BP591">
        <v>4654734.66</v>
      </c>
      <c r="BQ591">
        <v>4654734.66</v>
      </c>
    </row>
    <row r="592" spans="1:69" x14ac:dyDescent="0.35">
      <c r="A592" s="1" t="s">
        <v>68</v>
      </c>
      <c r="B592" s="1" t="s">
        <v>69</v>
      </c>
      <c r="C592" s="1" t="s">
        <v>70</v>
      </c>
      <c r="D592">
        <v>1</v>
      </c>
      <c r="E592">
        <v>1</v>
      </c>
      <c r="F592" s="2">
        <v>43585.43</v>
      </c>
      <c r="G592" s="3">
        <v>41275</v>
      </c>
      <c r="H592" s="3">
        <v>41639</v>
      </c>
      <c r="I592" s="1" t="s">
        <v>71</v>
      </c>
      <c r="J592">
        <v>4521</v>
      </c>
      <c r="K592">
        <v>0</v>
      </c>
      <c r="L592" s="1" t="s">
        <v>384</v>
      </c>
      <c r="M592" s="1" t="s">
        <v>72</v>
      </c>
      <c r="N592" s="1" t="s">
        <v>134</v>
      </c>
      <c r="O592" s="1" t="s">
        <v>385</v>
      </c>
      <c r="P592" s="1" t="s">
        <v>386</v>
      </c>
      <c r="Q592" s="1" t="s">
        <v>387</v>
      </c>
      <c r="R592">
        <v>103</v>
      </c>
      <c r="S592" s="1" t="s">
        <v>135</v>
      </c>
      <c r="T592" s="1" t="s">
        <v>388</v>
      </c>
      <c r="U592" s="1" t="s">
        <v>135</v>
      </c>
      <c r="V592" s="1"/>
      <c r="W592" s="1"/>
      <c r="X592" s="1"/>
      <c r="Y592" s="1"/>
      <c r="AA592" s="1"/>
      <c r="AC592" s="1"/>
      <c r="AD592" s="1"/>
      <c r="AE592" s="1"/>
      <c r="AN592" s="1"/>
      <c r="AP592" s="1"/>
      <c r="AQ592" s="1"/>
      <c r="AR592" s="1"/>
      <c r="AS592" s="1"/>
      <c r="AT592" s="3"/>
      <c r="AU592" s="3"/>
      <c r="AV592" s="3"/>
      <c r="AW592" s="1"/>
      <c r="AX592" s="1"/>
      <c r="AZ592">
        <v>253</v>
      </c>
      <c r="BA592">
        <v>4654734.66</v>
      </c>
      <c r="BB592" s="1" t="s">
        <v>74</v>
      </c>
      <c r="BC592">
        <v>220</v>
      </c>
      <c r="BD592" s="1" t="s">
        <v>822</v>
      </c>
      <c r="BE592" s="1" t="s">
        <v>404</v>
      </c>
      <c r="BF592">
        <v>153.75</v>
      </c>
      <c r="BG592" s="1" t="s">
        <v>1029</v>
      </c>
      <c r="BH592" s="1" t="s">
        <v>99</v>
      </c>
      <c r="BI592">
        <v>0</v>
      </c>
      <c r="BJ592" s="1"/>
      <c r="BL592" s="1"/>
      <c r="BN592" s="1"/>
      <c r="BO592">
        <v>599</v>
      </c>
      <c r="BP592">
        <v>4654734.66</v>
      </c>
      <c r="BQ592">
        <v>4654734.66</v>
      </c>
    </row>
    <row r="593" spans="1:69" x14ac:dyDescent="0.35">
      <c r="A593" s="1" t="s">
        <v>68</v>
      </c>
      <c r="B593" s="1" t="s">
        <v>69</v>
      </c>
      <c r="C593" s="1" t="s">
        <v>70</v>
      </c>
      <c r="D593">
        <v>1</v>
      </c>
      <c r="E593">
        <v>1</v>
      </c>
      <c r="F593" s="2">
        <v>43585.43</v>
      </c>
      <c r="G593" s="3">
        <v>41275</v>
      </c>
      <c r="H593" s="3">
        <v>41639</v>
      </c>
      <c r="I593" s="1" t="s">
        <v>71</v>
      </c>
      <c r="J593">
        <v>4521</v>
      </c>
      <c r="K593">
        <v>0</v>
      </c>
      <c r="L593" s="1" t="s">
        <v>384</v>
      </c>
      <c r="M593" s="1" t="s">
        <v>72</v>
      </c>
      <c r="N593" s="1" t="s">
        <v>134</v>
      </c>
      <c r="O593" s="1" t="s">
        <v>385</v>
      </c>
      <c r="P593" s="1" t="s">
        <v>386</v>
      </c>
      <c r="Q593" s="1" t="s">
        <v>387</v>
      </c>
      <c r="R593">
        <v>103</v>
      </c>
      <c r="S593" s="1" t="s">
        <v>135</v>
      </c>
      <c r="T593" s="1" t="s">
        <v>388</v>
      </c>
      <c r="U593" s="1" t="s">
        <v>135</v>
      </c>
      <c r="V593" s="1"/>
      <c r="W593" s="1"/>
      <c r="X593" s="1"/>
      <c r="Y593" s="1"/>
      <c r="AA593" s="1"/>
      <c r="AC593" s="1"/>
      <c r="AD593" s="1"/>
      <c r="AE593" s="1"/>
      <c r="AN593" s="1"/>
      <c r="AP593" s="1"/>
      <c r="AQ593" s="1"/>
      <c r="AR593" s="1"/>
      <c r="AS593" s="1"/>
      <c r="AT593" s="3"/>
      <c r="AU593" s="3"/>
      <c r="AV593" s="3"/>
      <c r="AW593" s="1"/>
      <c r="AX593" s="1"/>
      <c r="AZ593">
        <v>253</v>
      </c>
      <c r="BA593">
        <v>4654734.66</v>
      </c>
      <c r="BB593" s="1" t="s">
        <v>74</v>
      </c>
      <c r="BC593">
        <v>221</v>
      </c>
      <c r="BD593" s="1" t="s">
        <v>822</v>
      </c>
      <c r="BE593" s="1" t="s">
        <v>99</v>
      </c>
      <c r="BF593">
        <v>0</v>
      </c>
      <c r="BG593" s="1"/>
      <c r="BH593" s="1" t="s">
        <v>489</v>
      </c>
      <c r="BI593">
        <v>125</v>
      </c>
      <c r="BJ593" s="1" t="s">
        <v>1029</v>
      </c>
      <c r="BL593" s="1"/>
      <c r="BN593" s="1"/>
      <c r="BO593">
        <v>599</v>
      </c>
      <c r="BP593">
        <v>4654734.66</v>
      </c>
      <c r="BQ593">
        <v>4654734.66</v>
      </c>
    </row>
    <row r="594" spans="1:69" x14ac:dyDescent="0.35">
      <c r="A594" s="1" t="s">
        <v>68</v>
      </c>
      <c r="B594" s="1" t="s">
        <v>69</v>
      </c>
      <c r="C594" s="1" t="s">
        <v>70</v>
      </c>
      <c r="D594">
        <v>1</v>
      </c>
      <c r="E594">
        <v>1</v>
      </c>
      <c r="F594" s="2">
        <v>43585.43</v>
      </c>
      <c r="G594" s="3">
        <v>41275</v>
      </c>
      <c r="H594" s="3">
        <v>41639</v>
      </c>
      <c r="I594" s="1" t="s">
        <v>71</v>
      </c>
      <c r="J594">
        <v>4521</v>
      </c>
      <c r="K594">
        <v>0</v>
      </c>
      <c r="L594" s="1" t="s">
        <v>384</v>
      </c>
      <c r="M594" s="1" t="s">
        <v>72</v>
      </c>
      <c r="N594" s="1" t="s">
        <v>134</v>
      </c>
      <c r="O594" s="1" t="s">
        <v>385</v>
      </c>
      <c r="P594" s="1" t="s">
        <v>386</v>
      </c>
      <c r="Q594" s="1" t="s">
        <v>387</v>
      </c>
      <c r="R594">
        <v>103</v>
      </c>
      <c r="S594" s="1" t="s">
        <v>135</v>
      </c>
      <c r="T594" s="1" t="s">
        <v>388</v>
      </c>
      <c r="U594" s="1" t="s">
        <v>135</v>
      </c>
      <c r="V594" s="1"/>
      <c r="W594" s="1"/>
      <c r="X594" s="1"/>
      <c r="Y594" s="1"/>
      <c r="AA594" s="1"/>
      <c r="AC594" s="1"/>
      <c r="AD594" s="1"/>
      <c r="AE594" s="1"/>
      <c r="AN594" s="1"/>
      <c r="AP594" s="1"/>
      <c r="AQ594" s="1"/>
      <c r="AR594" s="1"/>
      <c r="AS594" s="1"/>
      <c r="AT594" s="3"/>
      <c r="AU594" s="3"/>
      <c r="AV594" s="3"/>
      <c r="AW594" s="1"/>
      <c r="AX594" s="1"/>
      <c r="AZ594">
        <v>253</v>
      </c>
      <c r="BA594">
        <v>4654734.66</v>
      </c>
      <c r="BB594" s="1" t="s">
        <v>74</v>
      </c>
      <c r="BC594">
        <v>222</v>
      </c>
      <c r="BD594" s="1" t="s">
        <v>822</v>
      </c>
      <c r="BE594" s="1" t="s">
        <v>99</v>
      </c>
      <c r="BF594">
        <v>0</v>
      </c>
      <c r="BG594" s="1"/>
      <c r="BH594" s="1" t="s">
        <v>451</v>
      </c>
      <c r="BI594">
        <v>28.75</v>
      </c>
      <c r="BJ594" s="1" t="s">
        <v>1029</v>
      </c>
      <c r="BL594" s="1"/>
      <c r="BN594" s="1"/>
      <c r="BO594">
        <v>599</v>
      </c>
      <c r="BP594">
        <v>4654734.66</v>
      </c>
      <c r="BQ594">
        <v>4654734.66</v>
      </c>
    </row>
    <row r="595" spans="1:69" x14ac:dyDescent="0.35">
      <c r="A595" s="1" t="s">
        <v>68</v>
      </c>
      <c r="B595" s="1" t="s">
        <v>69</v>
      </c>
      <c r="C595" s="1" t="s">
        <v>70</v>
      </c>
      <c r="D595">
        <v>1</v>
      </c>
      <c r="E595">
        <v>1</v>
      </c>
      <c r="F595" s="2">
        <v>43585.43</v>
      </c>
      <c r="G595" s="3">
        <v>41275</v>
      </c>
      <c r="H595" s="3">
        <v>41639</v>
      </c>
      <c r="I595" s="1" t="s">
        <v>71</v>
      </c>
      <c r="J595">
        <v>4521</v>
      </c>
      <c r="K595">
        <v>0</v>
      </c>
      <c r="L595" s="1" t="s">
        <v>384</v>
      </c>
      <c r="M595" s="1" t="s">
        <v>72</v>
      </c>
      <c r="N595" s="1" t="s">
        <v>134</v>
      </c>
      <c r="O595" s="1" t="s">
        <v>385</v>
      </c>
      <c r="P595" s="1" t="s">
        <v>386</v>
      </c>
      <c r="Q595" s="1" t="s">
        <v>387</v>
      </c>
      <c r="R595">
        <v>103</v>
      </c>
      <c r="S595" s="1" t="s">
        <v>135</v>
      </c>
      <c r="T595" s="1" t="s">
        <v>388</v>
      </c>
      <c r="U595" s="1" t="s">
        <v>135</v>
      </c>
      <c r="V595" s="1"/>
      <c r="W595" s="1"/>
      <c r="X595" s="1"/>
      <c r="Y595" s="1"/>
      <c r="AA595" s="1"/>
      <c r="AC595" s="1"/>
      <c r="AD595" s="1"/>
      <c r="AE595" s="1"/>
      <c r="AN595" s="1"/>
      <c r="AP595" s="1"/>
      <c r="AQ595" s="1"/>
      <c r="AR595" s="1"/>
      <c r="AS595" s="1"/>
      <c r="AT595" s="3"/>
      <c r="AU595" s="3"/>
      <c r="AV595" s="3"/>
      <c r="AW595" s="1"/>
      <c r="AX595" s="1"/>
      <c r="AZ595">
        <v>253</v>
      </c>
      <c r="BA595">
        <v>4654734.66</v>
      </c>
      <c r="BB595" s="1" t="s">
        <v>74</v>
      </c>
      <c r="BC595">
        <v>223</v>
      </c>
      <c r="BD595" s="1" t="s">
        <v>823</v>
      </c>
      <c r="BE595" s="1" t="s">
        <v>466</v>
      </c>
      <c r="BF595">
        <v>972</v>
      </c>
      <c r="BG595" s="1" t="s">
        <v>982</v>
      </c>
      <c r="BH595" s="1" t="s">
        <v>99</v>
      </c>
      <c r="BI595">
        <v>0</v>
      </c>
      <c r="BJ595" s="1"/>
      <c r="BL595" s="1"/>
      <c r="BN595" s="1"/>
      <c r="BO595">
        <v>599</v>
      </c>
      <c r="BP595">
        <v>4654734.66</v>
      </c>
      <c r="BQ595">
        <v>4654734.66</v>
      </c>
    </row>
    <row r="596" spans="1:69" x14ac:dyDescent="0.35">
      <c r="A596" s="1" t="s">
        <v>68</v>
      </c>
      <c r="B596" s="1" t="s">
        <v>69</v>
      </c>
      <c r="C596" s="1" t="s">
        <v>70</v>
      </c>
      <c r="D596">
        <v>1</v>
      </c>
      <c r="E596">
        <v>1</v>
      </c>
      <c r="F596" s="2">
        <v>43585.43</v>
      </c>
      <c r="G596" s="3">
        <v>41275</v>
      </c>
      <c r="H596" s="3">
        <v>41639</v>
      </c>
      <c r="I596" s="1" t="s">
        <v>71</v>
      </c>
      <c r="J596">
        <v>4521</v>
      </c>
      <c r="K596">
        <v>0</v>
      </c>
      <c r="L596" s="1" t="s">
        <v>384</v>
      </c>
      <c r="M596" s="1" t="s">
        <v>72</v>
      </c>
      <c r="N596" s="1" t="s">
        <v>134</v>
      </c>
      <c r="O596" s="1" t="s">
        <v>385</v>
      </c>
      <c r="P596" s="1" t="s">
        <v>386</v>
      </c>
      <c r="Q596" s="1" t="s">
        <v>387</v>
      </c>
      <c r="R596">
        <v>103</v>
      </c>
      <c r="S596" s="1" t="s">
        <v>135</v>
      </c>
      <c r="T596" s="1" t="s">
        <v>388</v>
      </c>
      <c r="U596" s="1" t="s">
        <v>135</v>
      </c>
      <c r="V596" s="1"/>
      <c r="W596" s="1"/>
      <c r="X596" s="1"/>
      <c r="Y596" s="1"/>
      <c r="AA596" s="1"/>
      <c r="AC596" s="1"/>
      <c r="AD596" s="1"/>
      <c r="AE596" s="1"/>
      <c r="AN596" s="1"/>
      <c r="AP596" s="1"/>
      <c r="AQ596" s="1"/>
      <c r="AR596" s="1"/>
      <c r="AS596" s="1"/>
      <c r="AT596" s="3"/>
      <c r="AU596" s="3"/>
      <c r="AV596" s="3"/>
      <c r="AW596" s="1"/>
      <c r="AX596" s="1"/>
      <c r="AZ596">
        <v>253</v>
      </c>
      <c r="BA596">
        <v>4654734.66</v>
      </c>
      <c r="BB596" s="1" t="s">
        <v>74</v>
      </c>
      <c r="BC596">
        <v>224</v>
      </c>
      <c r="BD596" s="1" t="s">
        <v>823</v>
      </c>
      <c r="BE596" s="1" t="s">
        <v>99</v>
      </c>
      <c r="BF596">
        <v>0</v>
      </c>
      <c r="BG596" s="1"/>
      <c r="BH596" s="1" t="s">
        <v>433</v>
      </c>
      <c r="BI596">
        <v>1195.56</v>
      </c>
      <c r="BJ596" s="1" t="s">
        <v>982</v>
      </c>
      <c r="BL596" s="1"/>
      <c r="BN596" s="1"/>
      <c r="BO596">
        <v>599</v>
      </c>
      <c r="BP596">
        <v>4654734.66</v>
      </c>
      <c r="BQ596">
        <v>4654734.66</v>
      </c>
    </row>
    <row r="597" spans="1:69" x14ac:dyDescent="0.35">
      <c r="A597" s="1" t="s">
        <v>68</v>
      </c>
      <c r="B597" s="1" t="s">
        <v>69</v>
      </c>
      <c r="C597" s="1" t="s">
        <v>70</v>
      </c>
      <c r="D597">
        <v>1</v>
      </c>
      <c r="E597">
        <v>1</v>
      </c>
      <c r="F597" s="2">
        <v>43585.43</v>
      </c>
      <c r="G597" s="3">
        <v>41275</v>
      </c>
      <c r="H597" s="3">
        <v>41639</v>
      </c>
      <c r="I597" s="1" t="s">
        <v>71</v>
      </c>
      <c r="J597">
        <v>4521</v>
      </c>
      <c r="K597">
        <v>0</v>
      </c>
      <c r="L597" s="1" t="s">
        <v>384</v>
      </c>
      <c r="M597" s="1" t="s">
        <v>72</v>
      </c>
      <c r="N597" s="1" t="s">
        <v>134</v>
      </c>
      <c r="O597" s="1" t="s">
        <v>385</v>
      </c>
      <c r="P597" s="1" t="s">
        <v>386</v>
      </c>
      <c r="Q597" s="1" t="s">
        <v>387</v>
      </c>
      <c r="R597">
        <v>103</v>
      </c>
      <c r="S597" s="1" t="s">
        <v>135</v>
      </c>
      <c r="T597" s="1" t="s">
        <v>388</v>
      </c>
      <c r="U597" s="1" t="s">
        <v>135</v>
      </c>
      <c r="V597" s="1"/>
      <c r="W597" s="1"/>
      <c r="X597" s="1"/>
      <c r="Y597" s="1"/>
      <c r="AA597" s="1"/>
      <c r="AC597" s="1"/>
      <c r="AD597" s="1"/>
      <c r="AE597" s="1"/>
      <c r="AN597" s="1"/>
      <c r="AP597" s="1"/>
      <c r="AQ597" s="1"/>
      <c r="AR597" s="1"/>
      <c r="AS597" s="1"/>
      <c r="AT597" s="3"/>
      <c r="AU597" s="3"/>
      <c r="AV597" s="3"/>
      <c r="AW597" s="1"/>
      <c r="AX597" s="1"/>
      <c r="AZ597">
        <v>253</v>
      </c>
      <c r="BA597">
        <v>4654734.66</v>
      </c>
      <c r="BB597" s="1" t="s">
        <v>74</v>
      </c>
      <c r="BC597">
        <v>225</v>
      </c>
      <c r="BD597" s="1" t="s">
        <v>823</v>
      </c>
      <c r="BE597" s="1" t="s">
        <v>452</v>
      </c>
      <c r="BF597">
        <v>223.56</v>
      </c>
      <c r="BG597" s="1" t="s">
        <v>982</v>
      </c>
      <c r="BH597" s="1" t="s">
        <v>99</v>
      </c>
      <c r="BI597">
        <v>0</v>
      </c>
      <c r="BJ597" s="1"/>
      <c r="BL597" s="1"/>
      <c r="BN597" s="1"/>
      <c r="BO597">
        <v>599</v>
      </c>
      <c r="BP597">
        <v>4654734.66</v>
      </c>
      <c r="BQ597">
        <v>4654734.66</v>
      </c>
    </row>
    <row r="598" spans="1:69" x14ac:dyDescent="0.35">
      <c r="A598" s="1" t="s">
        <v>68</v>
      </c>
      <c r="B598" s="1" t="s">
        <v>69</v>
      </c>
      <c r="C598" s="1" t="s">
        <v>70</v>
      </c>
      <c r="D598">
        <v>1</v>
      </c>
      <c r="E598">
        <v>1</v>
      </c>
      <c r="F598" s="2">
        <v>43585.43</v>
      </c>
      <c r="G598" s="3">
        <v>41275</v>
      </c>
      <c r="H598" s="3">
        <v>41639</v>
      </c>
      <c r="I598" s="1" t="s">
        <v>71</v>
      </c>
      <c r="J598">
        <v>4521</v>
      </c>
      <c r="K598">
        <v>0</v>
      </c>
      <c r="L598" s="1" t="s">
        <v>384</v>
      </c>
      <c r="M598" s="1" t="s">
        <v>72</v>
      </c>
      <c r="N598" s="1" t="s">
        <v>134</v>
      </c>
      <c r="O598" s="1" t="s">
        <v>385</v>
      </c>
      <c r="P598" s="1" t="s">
        <v>386</v>
      </c>
      <c r="Q598" s="1" t="s">
        <v>387</v>
      </c>
      <c r="R598">
        <v>103</v>
      </c>
      <c r="S598" s="1" t="s">
        <v>135</v>
      </c>
      <c r="T598" s="1" t="s">
        <v>388</v>
      </c>
      <c r="U598" s="1" t="s">
        <v>135</v>
      </c>
      <c r="V598" s="1"/>
      <c r="W598" s="1"/>
      <c r="X598" s="1"/>
      <c r="Y598" s="1"/>
      <c r="AA598" s="1"/>
      <c r="AC598" s="1"/>
      <c r="AD598" s="1"/>
      <c r="AE598" s="1"/>
      <c r="AN598" s="1"/>
      <c r="AP598" s="1"/>
      <c r="AQ598" s="1"/>
      <c r="AR598" s="1"/>
      <c r="AS598" s="1"/>
      <c r="AT598" s="3"/>
      <c r="AU598" s="3"/>
      <c r="AV598" s="3"/>
      <c r="AW598" s="1"/>
      <c r="AX598" s="1"/>
      <c r="AZ598">
        <v>253</v>
      </c>
      <c r="BA598">
        <v>4654734.66</v>
      </c>
      <c r="BB598" s="1" t="s">
        <v>74</v>
      </c>
      <c r="BC598">
        <v>226</v>
      </c>
      <c r="BD598" s="1" t="s">
        <v>824</v>
      </c>
      <c r="BE598" s="1" t="s">
        <v>466</v>
      </c>
      <c r="BF598">
        <v>4569</v>
      </c>
      <c r="BG598" s="1" t="s">
        <v>982</v>
      </c>
      <c r="BH598" s="1" t="s">
        <v>99</v>
      </c>
      <c r="BI598">
        <v>0</v>
      </c>
      <c r="BJ598" s="1"/>
      <c r="BL598" s="1"/>
      <c r="BN598" s="1"/>
      <c r="BO598">
        <v>599</v>
      </c>
      <c r="BP598">
        <v>4654734.66</v>
      </c>
      <c r="BQ598">
        <v>4654734.66</v>
      </c>
    </row>
    <row r="599" spans="1:69" x14ac:dyDescent="0.35">
      <c r="A599" s="1" t="s">
        <v>68</v>
      </c>
      <c r="B599" s="1" t="s">
        <v>69</v>
      </c>
      <c r="C599" s="1" t="s">
        <v>70</v>
      </c>
      <c r="D599">
        <v>1</v>
      </c>
      <c r="E599">
        <v>1</v>
      </c>
      <c r="F599" s="2">
        <v>43585.43</v>
      </c>
      <c r="G599" s="3">
        <v>41275</v>
      </c>
      <c r="H599" s="3">
        <v>41639</v>
      </c>
      <c r="I599" s="1" t="s">
        <v>71</v>
      </c>
      <c r="J599">
        <v>4521</v>
      </c>
      <c r="K599">
        <v>0</v>
      </c>
      <c r="L599" s="1" t="s">
        <v>384</v>
      </c>
      <c r="M599" s="1" t="s">
        <v>72</v>
      </c>
      <c r="N599" s="1" t="s">
        <v>134</v>
      </c>
      <c r="O599" s="1" t="s">
        <v>385</v>
      </c>
      <c r="P599" s="1" t="s">
        <v>386</v>
      </c>
      <c r="Q599" s="1" t="s">
        <v>387</v>
      </c>
      <c r="R599">
        <v>103</v>
      </c>
      <c r="S599" s="1" t="s">
        <v>135</v>
      </c>
      <c r="T599" s="1" t="s">
        <v>388</v>
      </c>
      <c r="U599" s="1" t="s">
        <v>135</v>
      </c>
      <c r="V599" s="1"/>
      <c r="W599" s="1"/>
      <c r="X599" s="1"/>
      <c r="Y599" s="1"/>
      <c r="AA599" s="1"/>
      <c r="AC599" s="1"/>
      <c r="AD599" s="1"/>
      <c r="AE599" s="1"/>
      <c r="AN599" s="1"/>
      <c r="AP599" s="1"/>
      <c r="AQ599" s="1"/>
      <c r="AR599" s="1"/>
      <c r="AS599" s="1"/>
      <c r="AT599" s="3"/>
      <c r="AU599" s="3"/>
      <c r="AV599" s="3"/>
      <c r="AW599" s="1"/>
      <c r="AX599" s="1"/>
      <c r="AZ599">
        <v>253</v>
      </c>
      <c r="BA599">
        <v>4654734.66</v>
      </c>
      <c r="BB599" s="1" t="s">
        <v>74</v>
      </c>
      <c r="BC599">
        <v>227</v>
      </c>
      <c r="BD599" s="1" t="s">
        <v>824</v>
      </c>
      <c r="BE599" s="1" t="s">
        <v>99</v>
      </c>
      <c r="BF599">
        <v>0</v>
      </c>
      <c r="BG599" s="1"/>
      <c r="BH599" s="1" t="s">
        <v>434</v>
      </c>
      <c r="BI599">
        <v>5619.87</v>
      </c>
      <c r="BJ599" s="1" t="s">
        <v>982</v>
      </c>
      <c r="BL599" s="1"/>
      <c r="BN599" s="1"/>
      <c r="BO599">
        <v>599</v>
      </c>
      <c r="BP599">
        <v>4654734.66</v>
      </c>
      <c r="BQ599">
        <v>4654734.66</v>
      </c>
    </row>
    <row r="600" spans="1:69" x14ac:dyDescent="0.35">
      <c r="A600" s="1" t="s">
        <v>68</v>
      </c>
      <c r="B600" s="1" t="s">
        <v>69</v>
      </c>
      <c r="C600" s="1" t="s">
        <v>70</v>
      </c>
      <c r="D600">
        <v>1</v>
      </c>
      <c r="E600">
        <v>1</v>
      </c>
      <c r="F600" s="2">
        <v>43585.43</v>
      </c>
      <c r="G600" s="3">
        <v>41275</v>
      </c>
      <c r="H600" s="3">
        <v>41639</v>
      </c>
      <c r="I600" s="1" t="s">
        <v>71</v>
      </c>
      <c r="J600">
        <v>4521</v>
      </c>
      <c r="K600">
        <v>0</v>
      </c>
      <c r="L600" s="1" t="s">
        <v>384</v>
      </c>
      <c r="M600" s="1" t="s">
        <v>72</v>
      </c>
      <c r="N600" s="1" t="s">
        <v>134</v>
      </c>
      <c r="O600" s="1" t="s">
        <v>385</v>
      </c>
      <c r="P600" s="1" t="s">
        <v>386</v>
      </c>
      <c r="Q600" s="1" t="s">
        <v>387</v>
      </c>
      <c r="R600">
        <v>103</v>
      </c>
      <c r="S600" s="1" t="s">
        <v>135</v>
      </c>
      <c r="T600" s="1" t="s">
        <v>388</v>
      </c>
      <c r="U600" s="1" t="s">
        <v>135</v>
      </c>
      <c r="V600" s="1"/>
      <c r="W600" s="1"/>
      <c r="X600" s="1"/>
      <c r="Y600" s="1"/>
      <c r="AA600" s="1"/>
      <c r="AC600" s="1"/>
      <c r="AD600" s="1"/>
      <c r="AE600" s="1"/>
      <c r="AN600" s="1"/>
      <c r="AP600" s="1"/>
      <c r="AQ600" s="1"/>
      <c r="AR600" s="1"/>
      <c r="AS600" s="1"/>
      <c r="AT600" s="3"/>
      <c r="AU600" s="3"/>
      <c r="AV600" s="3"/>
      <c r="AW600" s="1"/>
      <c r="AX600" s="1"/>
      <c r="AZ600">
        <v>253</v>
      </c>
      <c r="BA600">
        <v>4654734.66</v>
      </c>
      <c r="BB600" s="1" t="s">
        <v>74</v>
      </c>
      <c r="BC600">
        <v>228</v>
      </c>
      <c r="BD600" s="1" t="s">
        <v>824</v>
      </c>
      <c r="BE600" s="1" t="s">
        <v>452</v>
      </c>
      <c r="BF600">
        <v>1050.8699999999999</v>
      </c>
      <c r="BG600" s="1" t="s">
        <v>982</v>
      </c>
      <c r="BH600" s="1" t="s">
        <v>99</v>
      </c>
      <c r="BI600">
        <v>0</v>
      </c>
      <c r="BJ600" s="1"/>
      <c r="BL600" s="1"/>
      <c r="BN600" s="1"/>
      <c r="BO600">
        <v>599</v>
      </c>
      <c r="BP600">
        <v>4654734.66</v>
      </c>
      <c r="BQ600">
        <v>4654734.66</v>
      </c>
    </row>
    <row r="601" spans="1:69" x14ac:dyDescent="0.35">
      <c r="A601" s="1" t="s">
        <v>68</v>
      </c>
      <c r="B601" s="1" t="s">
        <v>69</v>
      </c>
      <c r="C601" s="1" t="s">
        <v>70</v>
      </c>
      <c r="D601">
        <v>1</v>
      </c>
      <c r="E601">
        <v>1</v>
      </c>
      <c r="F601" s="2">
        <v>43585.43</v>
      </c>
      <c r="G601" s="3">
        <v>41275</v>
      </c>
      <c r="H601" s="3">
        <v>41639</v>
      </c>
      <c r="I601" s="1" t="s">
        <v>71</v>
      </c>
      <c r="J601">
        <v>4521</v>
      </c>
      <c r="K601">
        <v>0</v>
      </c>
      <c r="L601" s="1" t="s">
        <v>384</v>
      </c>
      <c r="M601" s="1" t="s">
        <v>72</v>
      </c>
      <c r="N601" s="1" t="s">
        <v>134</v>
      </c>
      <c r="O601" s="1" t="s">
        <v>385</v>
      </c>
      <c r="P601" s="1" t="s">
        <v>386</v>
      </c>
      <c r="Q601" s="1" t="s">
        <v>387</v>
      </c>
      <c r="R601">
        <v>103</v>
      </c>
      <c r="S601" s="1" t="s">
        <v>135</v>
      </c>
      <c r="T601" s="1" t="s">
        <v>388</v>
      </c>
      <c r="U601" s="1" t="s">
        <v>135</v>
      </c>
      <c r="V601" s="1"/>
      <c r="W601" s="1"/>
      <c r="X601" s="1"/>
      <c r="Y601" s="1"/>
      <c r="AA601" s="1"/>
      <c r="AC601" s="1"/>
      <c r="AD601" s="1"/>
      <c r="AE601" s="1"/>
      <c r="AN601" s="1"/>
      <c r="AP601" s="1"/>
      <c r="AQ601" s="1"/>
      <c r="AR601" s="1"/>
      <c r="AS601" s="1"/>
      <c r="AT601" s="3"/>
      <c r="AU601" s="3"/>
      <c r="AV601" s="3"/>
      <c r="AW601" s="1"/>
      <c r="AX601" s="1"/>
      <c r="AZ601">
        <v>253</v>
      </c>
      <c r="BA601">
        <v>4654734.66</v>
      </c>
      <c r="BB601" s="1" t="s">
        <v>74</v>
      </c>
      <c r="BC601">
        <v>229</v>
      </c>
      <c r="BD601" s="1" t="s">
        <v>825</v>
      </c>
      <c r="BE601" s="1" t="s">
        <v>466</v>
      </c>
      <c r="BF601">
        <v>852</v>
      </c>
      <c r="BG601" s="1" t="s">
        <v>1028</v>
      </c>
      <c r="BH601" s="1" t="s">
        <v>99</v>
      </c>
      <c r="BI601">
        <v>0</v>
      </c>
      <c r="BJ601" s="1"/>
      <c r="BL601" s="1"/>
      <c r="BN601" s="1"/>
      <c r="BO601">
        <v>599</v>
      </c>
      <c r="BP601">
        <v>4654734.66</v>
      </c>
      <c r="BQ601">
        <v>4654734.66</v>
      </c>
    </row>
    <row r="602" spans="1:69" x14ac:dyDescent="0.35">
      <c r="A602" s="1" t="s">
        <v>68</v>
      </c>
      <c r="B602" s="1" t="s">
        <v>69</v>
      </c>
      <c r="C602" s="1" t="s">
        <v>70</v>
      </c>
      <c r="D602">
        <v>1</v>
      </c>
      <c r="E602">
        <v>1</v>
      </c>
      <c r="F602" s="2">
        <v>43585.43</v>
      </c>
      <c r="G602" s="3">
        <v>41275</v>
      </c>
      <c r="H602" s="3">
        <v>41639</v>
      </c>
      <c r="I602" s="1" t="s">
        <v>71</v>
      </c>
      <c r="J602">
        <v>4521</v>
      </c>
      <c r="K602">
        <v>0</v>
      </c>
      <c r="L602" s="1" t="s">
        <v>384</v>
      </c>
      <c r="M602" s="1" t="s">
        <v>72</v>
      </c>
      <c r="N602" s="1" t="s">
        <v>134</v>
      </c>
      <c r="O602" s="1" t="s">
        <v>385</v>
      </c>
      <c r="P602" s="1" t="s">
        <v>386</v>
      </c>
      <c r="Q602" s="1" t="s">
        <v>387</v>
      </c>
      <c r="R602">
        <v>103</v>
      </c>
      <c r="S602" s="1" t="s">
        <v>135</v>
      </c>
      <c r="T602" s="1" t="s">
        <v>388</v>
      </c>
      <c r="U602" s="1" t="s">
        <v>135</v>
      </c>
      <c r="V602" s="1"/>
      <c r="W602" s="1"/>
      <c r="X602" s="1"/>
      <c r="Y602" s="1"/>
      <c r="AA602" s="1"/>
      <c r="AC602" s="1"/>
      <c r="AD602" s="1"/>
      <c r="AE602" s="1"/>
      <c r="AN602" s="1"/>
      <c r="AP602" s="1"/>
      <c r="AQ602" s="1"/>
      <c r="AR602" s="1"/>
      <c r="AS602" s="1"/>
      <c r="AT602" s="3"/>
      <c r="AU602" s="3"/>
      <c r="AV602" s="3"/>
      <c r="AW602" s="1"/>
      <c r="AX602" s="1"/>
      <c r="AZ602">
        <v>253</v>
      </c>
      <c r="BA602">
        <v>4654734.66</v>
      </c>
      <c r="BB602" s="1" t="s">
        <v>74</v>
      </c>
      <c r="BC602">
        <v>230</v>
      </c>
      <c r="BD602" s="1" t="s">
        <v>825</v>
      </c>
      <c r="BE602" s="1" t="s">
        <v>99</v>
      </c>
      <c r="BF602">
        <v>0</v>
      </c>
      <c r="BG602" s="1"/>
      <c r="BH602" s="1" t="s">
        <v>448</v>
      </c>
      <c r="BI602">
        <v>1047.96</v>
      </c>
      <c r="BJ602" s="1" t="s">
        <v>1028</v>
      </c>
      <c r="BL602" s="1"/>
      <c r="BN602" s="1"/>
      <c r="BO602">
        <v>599</v>
      </c>
      <c r="BP602">
        <v>4654734.66</v>
      </c>
      <c r="BQ602">
        <v>4654734.66</v>
      </c>
    </row>
    <row r="603" spans="1:69" x14ac:dyDescent="0.35">
      <c r="A603" s="1" t="s">
        <v>68</v>
      </c>
      <c r="B603" s="1" t="s">
        <v>69</v>
      </c>
      <c r="C603" s="1" t="s">
        <v>70</v>
      </c>
      <c r="D603">
        <v>1</v>
      </c>
      <c r="E603">
        <v>1</v>
      </c>
      <c r="F603" s="2">
        <v>43585.43</v>
      </c>
      <c r="G603" s="3">
        <v>41275</v>
      </c>
      <c r="H603" s="3">
        <v>41639</v>
      </c>
      <c r="I603" s="1" t="s">
        <v>71</v>
      </c>
      <c r="J603">
        <v>4521</v>
      </c>
      <c r="K603">
        <v>0</v>
      </c>
      <c r="L603" s="1" t="s">
        <v>384</v>
      </c>
      <c r="M603" s="1" t="s">
        <v>72</v>
      </c>
      <c r="N603" s="1" t="s">
        <v>134</v>
      </c>
      <c r="O603" s="1" t="s">
        <v>385</v>
      </c>
      <c r="P603" s="1" t="s">
        <v>386</v>
      </c>
      <c r="Q603" s="1" t="s">
        <v>387</v>
      </c>
      <c r="R603">
        <v>103</v>
      </c>
      <c r="S603" s="1" t="s">
        <v>135</v>
      </c>
      <c r="T603" s="1" t="s">
        <v>388</v>
      </c>
      <c r="U603" s="1" t="s">
        <v>135</v>
      </c>
      <c r="V603" s="1"/>
      <c r="W603" s="1"/>
      <c r="X603" s="1"/>
      <c r="Y603" s="1"/>
      <c r="AA603" s="1"/>
      <c r="AC603" s="1"/>
      <c r="AD603" s="1"/>
      <c r="AE603" s="1"/>
      <c r="AN603" s="1"/>
      <c r="AP603" s="1"/>
      <c r="AQ603" s="1"/>
      <c r="AR603" s="1"/>
      <c r="AS603" s="1"/>
      <c r="AT603" s="3"/>
      <c r="AU603" s="3"/>
      <c r="AV603" s="3"/>
      <c r="AW603" s="1"/>
      <c r="AX603" s="1"/>
      <c r="AZ603">
        <v>253</v>
      </c>
      <c r="BA603">
        <v>4654734.66</v>
      </c>
      <c r="BB603" s="1" t="s">
        <v>74</v>
      </c>
      <c r="BC603">
        <v>231</v>
      </c>
      <c r="BD603" s="1" t="s">
        <v>825</v>
      </c>
      <c r="BE603" s="1" t="s">
        <v>452</v>
      </c>
      <c r="BF603">
        <v>195.96</v>
      </c>
      <c r="BG603" s="1" t="s">
        <v>1028</v>
      </c>
      <c r="BH603" s="1" t="s">
        <v>99</v>
      </c>
      <c r="BI603">
        <v>0</v>
      </c>
      <c r="BJ603" s="1"/>
      <c r="BL603" s="1"/>
      <c r="BN603" s="1"/>
      <c r="BO603">
        <v>599</v>
      </c>
      <c r="BP603">
        <v>4654734.66</v>
      </c>
      <c r="BQ603">
        <v>4654734.66</v>
      </c>
    </row>
    <row r="604" spans="1:69" x14ac:dyDescent="0.35">
      <c r="A604" s="1" t="s">
        <v>68</v>
      </c>
      <c r="B604" s="1" t="s">
        <v>69</v>
      </c>
      <c r="C604" s="1" t="s">
        <v>70</v>
      </c>
      <c r="D604">
        <v>1</v>
      </c>
      <c r="E604">
        <v>1</v>
      </c>
      <c r="F604" s="2">
        <v>43585.43</v>
      </c>
      <c r="G604" s="3">
        <v>41275</v>
      </c>
      <c r="H604" s="3">
        <v>41639</v>
      </c>
      <c r="I604" s="1" t="s">
        <v>71</v>
      </c>
      <c r="J604">
        <v>4521</v>
      </c>
      <c r="K604">
        <v>0</v>
      </c>
      <c r="L604" s="1" t="s">
        <v>384</v>
      </c>
      <c r="M604" s="1" t="s">
        <v>72</v>
      </c>
      <c r="N604" s="1" t="s">
        <v>134</v>
      </c>
      <c r="O604" s="1" t="s">
        <v>385</v>
      </c>
      <c r="P604" s="1" t="s">
        <v>386</v>
      </c>
      <c r="Q604" s="1" t="s">
        <v>387</v>
      </c>
      <c r="R604">
        <v>103</v>
      </c>
      <c r="S604" s="1" t="s">
        <v>135</v>
      </c>
      <c r="T604" s="1" t="s">
        <v>388</v>
      </c>
      <c r="U604" s="1" t="s">
        <v>135</v>
      </c>
      <c r="V604" s="1"/>
      <c r="W604" s="1"/>
      <c r="X604" s="1"/>
      <c r="Y604" s="1"/>
      <c r="AA604" s="1"/>
      <c r="AC604" s="1"/>
      <c r="AD604" s="1"/>
      <c r="AE604" s="1"/>
      <c r="AN604" s="1"/>
      <c r="AP604" s="1"/>
      <c r="AQ604" s="1"/>
      <c r="AR604" s="1"/>
      <c r="AS604" s="1"/>
      <c r="AT604" s="3"/>
      <c r="AU604" s="3"/>
      <c r="AV604" s="3"/>
      <c r="AW604" s="1"/>
      <c r="AX604" s="1"/>
      <c r="AZ604">
        <v>253</v>
      </c>
      <c r="BA604">
        <v>4654734.66</v>
      </c>
      <c r="BB604" s="1" t="s">
        <v>74</v>
      </c>
      <c r="BC604">
        <v>232</v>
      </c>
      <c r="BD604" s="1" t="s">
        <v>826</v>
      </c>
      <c r="BE604" s="1" t="s">
        <v>466</v>
      </c>
      <c r="BF604">
        <v>352</v>
      </c>
      <c r="BG604" s="1" t="s">
        <v>982</v>
      </c>
      <c r="BH604" s="1" t="s">
        <v>99</v>
      </c>
      <c r="BI604">
        <v>0</v>
      </c>
      <c r="BJ604" s="1"/>
      <c r="BL604" s="1"/>
      <c r="BN604" s="1"/>
      <c r="BO604">
        <v>599</v>
      </c>
      <c r="BP604">
        <v>4654734.66</v>
      </c>
      <c r="BQ604">
        <v>4654734.66</v>
      </c>
    </row>
    <row r="605" spans="1:69" x14ac:dyDescent="0.35">
      <c r="A605" s="1" t="s">
        <v>68</v>
      </c>
      <c r="B605" s="1" t="s">
        <v>69</v>
      </c>
      <c r="C605" s="1" t="s">
        <v>70</v>
      </c>
      <c r="D605">
        <v>1</v>
      </c>
      <c r="E605">
        <v>1</v>
      </c>
      <c r="F605" s="2">
        <v>43585.43</v>
      </c>
      <c r="G605" s="3">
        <v>41275</v>
      </c>
      <c r="H605" s="3">
        <v>41639</v>
      </c>
      <c r="I605" s="1" t="s">
        <v>71</v>
      </c>
      <c r="J605">
        <v>4521</v>
      </c>
      <c r="K605">
        <v>0</v>
      </c>
      <c r="L605" s="1" t="s">
        <v>384</v>
      </c>
      <c r="M605" s="1" t="s">
        <v>72</v>
      </c>
      <c r="N605" s="1" t="s">
        <v>134</v>
      </c>
      <c r="O605" s="1" t="s">
        <v>385</v>
      </c>
      <c r="P605" s="1" t="s">
        <v>386</v>
      </c>
      <c r="Q605" s="1" t="s">
        <v>387</v>
      </c>
      <c r="R605">
        <v>103</v>
      </c>
      <c r="S605" s="1" t="s">
        <v>135</v>
      </c>
      <c r="T605" s="1" t="s">
        <v>388</v>
      </c>
      <c r="U605" s="1" t="s">
        <v>135</v>
      </c>
      <c r="V605" s="1"/>
      <c r="W605" s="1"/>
      <c r="X605" s="1"/>
      <c r="Y605" s="1"/>
      <c r="AA605" s="1"/>
      <c r="AC605" s="1"/>
      <c r="AD605" s="1"/>
      <c r="AE605" s="1"/>
      <c r="AN605" s="1"/>
      <c r="AP605" s="1"/>
      <c r="AQ605" s="1"/>
      <c r="AR605" s="1"/>
      <c r="AS605" s="1"/>
      <c r="AT605" s="3"/>
      <c r="AU605" s="3"/>
      <c r="AV605" s="3"/>
      <c r="AW605" s="1"/>
      <c r="AX605" s="1"/>
      <c r="AZ605">
        <v>253</v>
      </c>
      <c r="BA605">
        <v>4654734.66</v>
      </c>
      <c r="BB605" s="1" t="s">
        <v>74</v>
      </c>
      <c r="BC605">
        <v>233</v>
      </c>
      <c r="BD605" s="1" t="s">
        <v>826</v>
      </c>
      <c r="BE605" s="1" t="s">
        <v>99</v>
      </c>
      <c r="BF605">
        <v>0</v>
      </c>
      <c r="BG605" s="1"/>
      <c r="BH605" s="1" t="s">
        <v>434</v>
      </c>
      <c r="BI605">
        <v>432.96</v>
      </c>
      <c r="BJ605" s="1" t="s">
        <v>982</v>
      </c>
      <c r="BL605" s="1"/>
      <c r="BN605" s="1"/>
      <c r="BO605">
        <v>599</v>
      </c>
      <c r="BP605">
        <v>4654734.66</v>
      </c>
      <c r="BQ605">
        <v>4654734.66</v>
      </c>
    </row>
    <row r="606" spans="1:69" x14ac:dyDescent="0.35">
      <c r="A606" s="1" t="s">
        <v>68</v>
      </c>
      <c r="B606" s="1" t="s">
        <v>69</v>
      </c>
      <c r="C606" s="1" t="s">
        <v>70</v>
      </c>
      <c r="D606">
        <v>1</v>
      </c>
      <c r="E606">
        <v>1</v>
      </c>
      <c r="F606" s="2">
        <v>43585.43</v>
      </c>
      <c r="G606" s="3">
        <v>41275</v>
      </c>
      <c r="H606" s="3">
        <v>41639</v>
      </c>
      <c r="I606" s="1" t="s">
        <v>71</v>
      </c>
      <c r="J606">
        <v>4521</v>
      </c>
      <c r="K606">
        <v>0</v>
      </c>
      <c r="L606" s="1" t="s">
        <v>384</v>
      </c>
      <c r="M606" s="1" t="s">
        <v>72</v>
      </c>
      <c r="N606" s="1" t="s">
        <v>134</v>
      </c>
      <c r="O606" s="1" t="s">
        <v>385</v>
      </c>
      <c r="P606" s="1" t="s">
        <v>386</v>
      </c>
      <c r="Q606" s="1" t="s">
        <v>387</v>
      </c>
      <c r="R606">
        <v>103</v>
      </c>
      <c r="S606" s="1" t="s">
        <v>135</v>
      </c>
      <c r="T606" s="1" t="s">
        <v>388</v>
      </c>
      <c r="U606" s="1" t="s">
        <v>135</v>
      </c>
      <c r="V606" s="1"/>
      <c r="W606" s="1"/>
      <c r="X606" s="1"/>
      <c r="Y606" s="1"/>
      <c r="AA606" s="1"/>
      <c r="AC606" s="1"/>
      <c r="AD606" s="1"/>
      <c r="AE606" s="1"/>
      <c r="AN606" s="1"/>
      <c r="AP606" s="1"/>
      <c r="AQ606" s="1"/>
      <c r="AR606" s="1"/>
      <c r="AS606" s="1"/>
      <c r="AT606" s="3"/>
      <c r="AU606" s="3"/>
      <c r="AV606" s="3"/>
      <c r="AW606" s="1"/>
      <c r="AX606" s="1"/>
      <c r="AZ606">
        <v>253</v>
      </c>
      <c r="BA606">
        <v>4654734.66</v>
      </c>
      <c r="BB606" s="1" t="s">
        <v>74</v>
      </c>
      <c r="BC606">
        <v>234</v>
      </c>
      <c r="BD606" s="1" t="s">
        <v>826</v>
      </c>
      <c r="BE606" s="1" t="s">
        <v>452</v>
      </c>
      <c r="BF606">
        <v>80.959999999999994</v>
      </c>
      <c r="BG606" s="1" t="s">
        <v>982</v>
      </c>
      <c r="BH606" s="1" t="s">
        <v>99</v>
      </c>
      <c r="BI606">
        <v>0</v>
      </c>
      <c r="BJ606" s="1"/>
      <c r="BL606" s="1"/>
      <c r="BN606" s="1"/>
      <c r="BO606">
        <v>599</v>
      </c>
      <c r="BP606">
        <v>4654734.66</v>
      </c>
      <c r="BQ606">
        <v>4654734.66</v>
      </c>
    </row>
    <row r="607" spans="1:69" x14ac:dyDescent="0.35">
      <c r="A607" s="1" t="s">
        <v>68</v>
      </c>
      <c r="B607" s="1" t="s">
        <v>69</v>
      </c>
      <c r="C607" s="1" t="s">
        <v>70</v>
      </c>
      <c r="D607">
        <v>1</v>
      </c>
      <c r="E607">
        <v>1</v>
      </c>
      <c r="F607" s="2">
        <v>43585.43</v>
      </c>
      <c r="G607" s="3">
        <v>41275</v>
      </c>
      <c r="H607" s="3">
        <v>41639</v>
      </c>
      <c r="I607" s="1" t="s">
        <v>71</v>
      </c>
      <c r="J607">
        <v>4521</v>
      </c>
      <c r="K607">
        <v>0</v>
      </c>
      <c r="L607" s="1" t="s">
        <v>384</v>
      </c>
      <c r="M607" s="1" t="s">
        <v>72</v>
      </c>
      <c r="N607" s="1" t="s">
        <v>134</v>
      </c>
      <c r="O607" s="1" t="s">
        <v>385</v>
      </c>
      <c r="P607" s="1" t="s">
        <v>386</v>
      </c>
      <c r="Q607" s="1" t="s">
        <v>387</v>
      </c>
      <c r="R607">
        <v>103</v>
      </c>
      <c r="S607" s="1" t="s">
        <v>135</v>
      </c>
      <c r="T607" s="1" t="s">
        <v>388</v>
      </c>
      <c r="U607" s="1" t="s">
        <v>135</v>
      </c>
      <c r="V607" s="1"/>
      <c r="W607" s="1"/>
      <c r="X607" s="1"/>
      <c r="Y607" s="1"/>
      <c r="AA607" s="1"/>
      <c r="AC607" s="1"/>
      <c r="AD607" s="1"/>
      <c r="AE607" s="1"/>
      <c r="AN607" s="1"/>
      <c r="AP607" s="1"/>
      <c r="AQ607" s="1"/>
      <c r="AR607" s="1"/>
      <c r="AS607" s="1"/>
      <c r="AT607" s="3"/>
      <c r="AU607" s="3"/>
      <c r="AV607" s="3"/>
      <c r="AW607" s="1"/>
      <c r="AX607" s="1"/>
      <c r="AZ607">
        <v>253</v>
      </c>
      <c r="BA607">
        <v>4654734.66</v>
      </c>
      <c r="BB607" s="1" t="s">
        <v>74</v>
      </c>
      <c r="BC607">
        <v>235</v>
      </c>
      <c r="BD607" s="1" t="s">
        <v>827</v>
      </c>
      <c r="BE607" s="1" t="s">
        <v>466</v>
      </c>
      <c r="BF607">
        <v>7852</v>
      </c>
      <c r="BG607" s="1" t="s">
        <v>1030</v>
      </c>
      <c r="BH607" s="1" t="s">
        <v>99</v>
      </c>
      <c r="BI607">
        <v>0</v>
      </c>
      <c r="BJ607" s="1"/>
      <c r="BL607" s="1"/>
      <c r="BN607" s="1"/>
      <c r="BO607">
        <v>599</v>
      </c>
      <c r="BP607">
        <v>4654734.66</v>
      </c>
      <c r="BQ607">
        <v>4654734.66</v>
      </c>
    </row>
    <row r="608" spans="1:69" x14ac:dyDescent="0.35">
      <c r="A608" s="1" t="s">
        <v>68</v>
      </c>
      <c r="B608" s="1" t="s">
        <v>69</v>
      </c>
      <c r="C608" s="1" t="s">
        <v>70</v>
      </c>
      <c r="D608">
        <v>1</v>
      </c>
      <c r="E608">
        <v>1</v>
      </c>
      <c r="F608" s="2">
        <v>43585.43</v>
      </c>
      <c r="G608" s="3">
        <v>41275</v>
      </c>
      <c r="H608" s="3">
        <v>41639</v>
      </c>
      <c r="I608" s="1" t="s">
        <v>71</v>
      </c>
      <c r="J608">
        <v>4521</v>
      </c>
      <c r="K608">
        <v>0</v>
      </c>
      <c r="L608" s="1" t="s">
        <v>384</v>
      </c>
      <c r="M608" s="1" t="s">
        <v>72</v>
      </c>
      <c r="N608" s="1" t="s">
        <v>134</v>
      </c>
      <c r="O608" s="1" t="s">
        <v>385</v>
      </c>
      <c r="P608" s="1" t="s">
        <v>386</v>
      </c>
      <c r="Q608" s="1" t="s">
        <v>387</v>
      </c>
      <c r="R608">
        <v>103</v>
      </c>
      <c r="S608" s="1" t="s">
        <v>135</v>
      </c>
      <c r="T608" s="1" t="s">
        <v>388</v>
      </c>
      <c r="U608" s="1" t="s">
        <v>135</v>
      </c>
      <c r="V608" s="1"/>
      <c r="W608" s="1"/>
      <c r="X608" s="1"/>
      <c r="Y608" s="1"/>
      <c r="AA608" s="1"/>
      <c r="AC608" s="1"/>
      <c r="AD608" s="1"/>
      <c r="AE608" s="1"/>
      <c r="AN608" s="1"/>
      <c r="AP608" s="1"/>
      <c r="AQ608" s="1"/>
      <c r="AR608" s="1"/>
      <c r="AS608" s="1"/>
      <c r="AT608" s="3"/>
      <c r="AU608" s="3"/>
      <c r="AV608" s="3"/>
      <c r="AW608" s="1"/>
      <c r="AX608" s="1"/>
      <c r="AZ608">
        <v>253</v>
      </c>
      <c r="BA608">
        <v>4654734.66</v>
      </c>
      <c r="BB608" s="1" t="s">
        <v>74</v>
      </c>
      <c r="BC608">
        <v>236</v>
      </c>
      <c r="BD608" s="1" t="s">
        <v>827</v>
      </c>
      <c r="BE608" s="1" t="s">
        <v>99</v>
      </c>
      <c r="BF608">
        <v>0</v>
      </c>
      <c r="BG608" s="1"/>
      <c r="BH608" s="1" t="s">
        <v>427</v>
      </c>
      <c r="BI608">
        <v>9657.9599999999991</v>
      </c>
      <c r="BJ608" s="1" t="s">
        <v>1030</v>
      </c>
      <c r="BL608" s="1"/>
      <c r="BN608" s="1"/>
      <c r="BO608">
        <v>599</v>
      </c>
      <c r="BP608">
        <v>4654734.66</v>
      </c>
      <c r="BQ608">
        <v>4654734.66</v>
      </c>
    </row>
    <row r="609" spans="1:69" x14ac:dyDescent="0.35">
      <c r="A609" s="1" t="s">
        <v>68</v>
      </c>
      <c r="B609" s="1" t="s">
        <v>69</v>
      </c>
      <c r="C609" s="1" t="s">
        <v>70</v>
      </c>
      <c r="D609">
        <v>1</v>
      </c>
      <c r="E609">
        <v>1</v>
      </c>
      <c r="F609" s="2">
        <v>43585.43</v>
      </c>
      <c r="G609" s="3">
        <v>41275</v>
      </c>
      <c r="H609" s="3">
        <v>41639</v>
      </c>
      <c r="I609" s="1" t="s">
        <v>71</v>
      </c>
      <c r="J609">
        <v>4521</v>
      </c>
      <c r="K609">
        <v>0</v>
      </c>
      <c r="L609" s="1" t="s">
        <v>384</v>
      </c>
      <c r="M609" s="1" t="s">
        <v>72</v>
      </c>
      <c r="N609" s="1" t="s">
        <v>134</v>
      </c>
      <c r="O609" s="1" t="s">
        <v>385</v>
      </c>
      <c r="P609" s="1" t="s">
        <v>386</v>
      </c>
      <c r="Q609" s="1" t="s">
        <v>387</v>
      </c>
      <c r="R609">
        <v>103</v>
      </c>
      <c r="S609" s="1" t="s">
        <v>135</v>
      </c>
      <c r="T609" s="1" t="s">
        <v>388</v>
      </c>
      <c r="U609" s="1" t="s">
        <v>135</v>
      </c>
      <c r="V609" s="1"/>
      <c r="W609" s="1"/>
      <c r="X609" s="1"/>
      <c r="Y609" s="1"/>
      <c r="AA609" s="1"/>
      <c r="AC609" s="1"/>
      <c r="AD609" s="1"/>
      <c r="AE609" s="1"/>
      <c r="AN609" s="1"/>
      <c r="AP609" s="1"/>
      <c r="AQ609" s="1"/>
      <c r="AR609" s="1"/>
      <c r="AS609" s="1"/>
      <c r="AT609" s="3"/>
      <c r="AU609" s="3"/>
      <c r="AV609" s="3"/>
      <c r="AW609" s="1"/>
      <c r="AX609" s="1"/>
      <c r="AZ609">
        <v>253</v>
      </c>
      <c r="BA609">
        <v>4654734.66</v>
      </c>
      <c r="BB609" s="1" t="s">
        <v>74</v>
      </c>
      <c r="BC609">
        <v>237</v>
      </c>
      <c r="BD609" s="1" t="s">
        <v>827</v>
      </c>
      <c r="BE609" s="1" t="s">
        <v>452</v>
      </c>
      <c r="BF609">
        <v>1805.96</v>
      </c>
      <c r="BG609" s="1" t="s">
        <v>1030</v>
      </c>
      <c r="BH609" s="1" t="s">
        <v>99</v>
      </c>
      <c r="BI609">
        <v>0</v>
      </c>
      <c r="BJ609" s="1"/>
      <c r="BL609" s="1"/>
      <c r="BN609" s="1"/>
      <c r="BO609">
        <v>599</v>
      </c>
      <c r="BP609">
        <v>4654734.66</v>
      </c>
      <c r="BQ609">
        <v>4654734.66</v>
      </c>
    </row>
    <row r="610" spans="1:69" x14ac:dyDescent="0.35">
      <c r="A610" s="1" t="s">
        <v>68</v>
      </c>
      <c r="B610" s="1" t="s">
        <v>69</v>
      </c>
      <c r="C610" s="1" t="s">
        <v>70</v>
      </c>
      <c r="D610">
        <v>1</v>
      </c>
      <c r="E610">
        <v>1</v>
      </c>
      <c r="F610" s="2">
        <v>43585.43</v>
      </c>
      <c r="G610" s="3">
        <v>41275</v>
      </c>
      <c r="H610" s="3">
        <v>41639</v>
      </c>
      <c r="I610" s="1" t="s">
        <v>71</v>
      </c>
      <c r="J610">
        <v>4521</v>
      </c>
      <c r="K610">
        <v>0</v>
      </c>
      <c r="L610" s="1" t="s">
        <v>384</v>
      </c>
      <c r="M610" s="1" t="s">
        <v>72</v>
      </c>
      <c r="N610" s="1" t="s">
        <v>134</v>
      </c>
      <c r="O610" s="1" t="s">
        <v>385</v>
      </c>
      <c r="P610" s="1" t="s">
        <v>386</v>
      </c>
      <c r="Q610" s="1" t="s">
        <v>387</v>
      </c>
      <c r="R610">
        <v>103</v>
      </c>
      <c r="S610" s="1" t="s">
        <v>135</v>
      </c>
      <c r="T610" s="1" t="s">
        <v>388</v>
      </c>
      <c r="U610" s="1" t="s">
        <v>135</v>
      </c>
      <c r="V610" s="1"/>
      <c r="W610" s="1"/>
      <c r="X610" s="1"/>
      <c r="Y610" s="1"/>
      <c r="AA610" s="1"/>
      <c r="AC610" s="1"/>
      <c r="AD610" s="1"/>
      <c r="AE610" s="1"/>
      <c r="AN610" s="1"/>
      <c r="AP610" s="1"/>
      <c r="AQ610" s="1"/>
      <c r="AR610" s="1"/>
      <c r="AS610" s="1"/>
      <c r="AT610" s="3"/>
      <c r="AU610" s="3"/>
      <c r="AV610" s="3"/>
      <c r="AW610" s="1"/>
      <c r="AX610" s="1"/>
      <c r="AZ610">
        <v>253</v>
      </c>
      <c r="BA610">
        <v>4654734.66</v>
      </c>
      <c r="BB610" s="1" t="s">
        <v>74</v>
      </c>
      <c r="BC610">
        <v>238</v>
      </c>
      <c r="BD610" s="1" t="s">
        <v>828</v>
      </c>
      <c r="BE610" s="1" t="s">
        <v>466</v>
      </c>
      <c r="BF610">
        <v>236</v>
      </c>
      <c r="BG610" s="1" t="s">
        <v>1031</v>
      </c>
      <c r="BH610" s="1" t="s">
        <v>99</v>
      </c>
      <c r="BI610">
        <v>0</v>
      </c>
      <c r="BJ610" s="1"/>
      <c r="BL610" s="1"/>
      <c r="BN610" s="1"/>
      <c r="BO610">
        <v>599</v>
      </c>
      <c r="BP610">
        <v>4654734.66</v>
      </c>
      <c r="BQ610">
        <v>4654734.66</v>
      </c>
    </row>
    <row r="611" spans="1:69" x14ac:dyDescent="0.35">
      <c r="A611" s="1" t="s">
        <v>68</v>
      </c>
      <c r="B611" s="1" t="s">
        <v>69</v>
      </c>
      <c r="C611" s="1" t="s">
        <v>70</v>
      </c>
      <c r="D611">
        <v>1</v>
      </c>
      <c r="E611">
        <v>1</v>
      </c>
      <c r="F611" s="2">
        <v>43585.43</v>
      </c>
      <c r="G611" s="3">
        <v>41275</v>
      </c>
      <c r="H611" s="3">
        <v>41639</v>
      </c>
      <c r="I611" s="1" t="s">
        <v>71</v>
      </c>
      <c r="J611">
        <v>4521</v>
      </c>
      <c r="K611">
        <v>0</v>
      </c>
      <c r="L611" s="1" t="s">
        <v>384</v>
      </c>
      <c r="M611" s="1" t="s">
        <v>72</v>
      </c>
      <c r="N611" s="1" t="s">
        <v>134</v>
      </c>
      <c r="O611" s="1" t="s">
        <v>385</v>
      </c>
      <c r="P611" s="1" t="s">
        <v>386</v>
      </c>
      <c r="Q611" s="1" t="s">
        <v>387</v>
      </c>
      <c r="R611">
        <v>103</v>
      </c>
      <c r="S611" s="1" t="s">
        <v>135</v>
      </c>
      <c r="T611" s="1" t="s">
        <v>388</v>
      </c>
      <c r="U611" s="1" t="s">
        <v>135</v>
      </c>
      <c r="V611" s="1"/>
      <c r="W611" s="1"/>
      <c r="X611" s="1"/>
      <c r="Y611" s="1"/>
      <c r="AA611" s="1"/>
      <c r="AC611" s="1"/>
      <c r="AD611" s="1"/>
      <c r="AE611" s="1"/>
      <c r="AN611" s="1"/>
      <c r="AP611" s="1"/>
      <c r="AQ611" s="1"/>
      <c r="AR611" s="1"/>
      <c r="AS611" s="1"/>
      <c r="AT611" s="3"/>
      <c r="AU611" s="3"/>
      <c r="AV611" s="3"/>
      <c r="AW611" s="1"/>
      <c r="AX611" s="1"/>
      <c r="AZ611">
        <v>253</v>
      </c>
      <c r="BA611">
        <v>4654734.66</v>
      </c>
      <c r="BB611" s="1" t="s">
        <v>74</v>
      </c>
      <c r="BC611">
        <v>239</v>
      </c>
      <c r="BD611" s="1" t="s">
        <v>828</v>
      </c>
      <c r="BE611" s="1" t="s">
        <v>99</v>
      </c>
      <c r="BF611">
        <v>0</v>
      </c>
      <c r="BG611" s="1"/>
      <c r="BH611" s="1" t="s">
        <v>448</v>
      </c>
      <c r="BI611">
        <v>290.27999999999997</v>
      </c>
      <c r="BJ611" s="1" t="s">
        <v>1031</v>
      </c>
      <c r="BL611" s="1"/>
      <c r="BN611" s="1"/>
      <c r="BO611">
        <v>599</v>
      </c>
      <c r="BP611">
        <v>4654734.66</v>
      </c>
      <c r="BQ611">
        <v>4654734.66</v>
      </c>
    </row>
    <row r="612" spans="1:69" x14ac:dyDescent="0.35">
      <c r="A612" s="1" t="s">
        <v>68</v>
      </c>
      <c r="B612" s="1" t="s">
        <v>69</v>
      </c>
      <c r="C612" s="1" t="s">
        <v>70</v>
      </c>
      <c r="D612">
        <v>1</v>
      </c>
      <c r="E612">
        <v>1</v>
      </c>
      <c r="F612" s="2">
        <v>43585.43</v>
      </c>
      <c r="G612" s="3">
        <v>41275</v>
      </c>
      <c r="H612" s="3">
        <v>41639</v>
      </c>
      <c r="I612" s="1" t="s">
        <v>71</v>
      </c>
      <c r="J612">
        <v>4521</v>
      </c>
      <c r="K612">
        <v>0</v>
      </c>
      <c r="L612" s="1" t="s">
        <v>384</v>
      </c>
      <c r="M612" s="1" t="s">
        <v>72</v>
      </c>
      <c r="N612" s="1" t="s">
        <v>134</v>
      </c>
      <c r="O612" s="1" t="s">
        <v>385</v>
      </c>
      <c r="P612" s="1" t="s">
        <v>386</v>
      </c>
      <c r="Q612" s="1" t="s">
        <v>387</v>
      </c>
      <c r="R612">
        <v>103</v>
      </c>
      <c r="S612" s="1" t="s">
        <v>135</v>
      </c>
      <c r="T612" s="1" t="s">
        <v>388</v>
      </c>
      <c r="U612" s="1" t="s">
        <v>135</v>
      </c>
      <c r="V612" s="1"/>
      <c r="W612" s="1"/>
      <c r="X612" s="1"/>
      <c r="Y612" s="1"/>
      <c r="AA612" s="1"/>
      <c r="AC612" s="1"/>
      <c r="AD612" s="1"/>
      <c r="AE612" s="1"/>
      <c r="AN612" s="1"/>
      <c r="AP612" s="1"/>
      <c r="AQ612" s="1"/>
      <c r="AR612" s="1"/>
      <c r="AS612" s="1"/>
      <c r="AT612" s="3"/>
      <c r="AU612" s="3"/>
      <c r="AV612" s="3"/>
      <c r="AW612" s="1"/>
      <c r="AX612" s="1"/>
      <c r="AZ612">
        <v>253</v>
      </c>
      <c r="BA612">
        <v>4654734.66</v>
      </c>
      <c r="BB612" s="1" t="s">
        <v>74</v>
      </c>
      <c r="BC612">
        <v>240</v>
      </c>
      <c r="BD612" s="1" t="s">
        <v>828</v>
      </c>
      <c r="BE612" s="1" t="s">
        <v>452</v>
      </c>
      <c r="BF612">
        <v>54.28</v>
      </c>
      <c r="BG612" s="1" t="s">
        <v>1031</v>
      </c>
      <c r="BH612" s="1" t="s">
        <v>99</v>
      </c>
      <c r="BI612">
        <v>0</v>
      </c>
      <c r="BJ612" s="1"/>
      <c r="BL612" s="1"/>
      <c r="BN612" s="1"/>
      <c r="BO612">
        <v>599</v>
      </c>
      <c r="BP612">
        <v>4654734.66</v>
      </c>
      <c r="BQ612">
        <v>4654734.66</v>
      </c>
    </row>
    <row r="613" spans="1:69" x14ac:dyDescent="0.35">
      <c r="A613" s="1" t="s">
        <v>68</v>
      </c>
      <c r="B613" s="1" t="s">
        <v>69</v>
      </c>
      <c r="C613" s="1" t="s">
        <v>70</v>
      </c>
      <c r="D613">
        <v>1</v>
      </c>
      <c r="E613">
        <v>1</v>
      </c>
      <c r="F613" s="2">
        <v>43585.43</v>
      </c>
      <c r="G613" s="3">
        <v>41275</v>
      </c>
      <c r="H613" s="3">
        <v>41639</v>
      </c>
      <c r="I613" s="1" t="s">
        <v>71</v>
      </c>
      <c r="J613">
        <v>4521</v>
      </c>
      <c r="K613">
        <v>0</v>
      </c>
      <c r="L613" s="1" t="s">
        <v>384</v>
      </c>
      <c r="M613" s="1" t="s">
        <v>72</v>
      </c>
      <c r="N613" s="1" t="s">
        <v>134</v>
      </c>
      <c r="O613" s="1" t="s">
        <v>385</v>
      </c>
      <c r="P613" s="1" t="s">
        <v>386</v>
      </c>
      <c r="Q613" s="1" t="s">
        <v>387</v>
      </c>
      <c r="R613">
        <v>103</v>
      </c>
      <c r="S613" s="1" t="s">
        <v>135</v>
      </c>
      <c r="T613" s="1" t="s">
        <v>388</v>
      </c>
      <c r="U613" s="1" t="s">
        <v>135</v>
      </c>
      <c r="V613" s="1"/>
      <c r="W613" s="1"/>
      <c r="X613" s="1"/>
      <c r="Y613" s="1"/>
      <c r="AA613" s="1"/>
      <c r="AC613" s="1"/>
      <c r="AD613" s="1"/>
      <c r="AE613" s="1"/>
      <c r="AN613" s="1"/>
      <c r="AP613" s="1"/>
      <c r="AQ613" s="1"/>
      <c r="AR613" s="1"/>
      <c r="AS613" s="1"/>
      <c r="AT613" s="3"/>
      <c r="AU613" s="3"/>
      <c r="AV613" s="3"/>
      <c r="AW613" s="1"/>
      <c r="AX613" s="1"/>
      <c r="AZ613">
        <v>253</v>
      </c>
      <c r="BA613">
        <v>4654734.66</v>
      </c>
      <c r="BB613" s="1" t="s">
        <v>74</v>
      </c>
      <c r="BC613">
        <v>241</v>
      </c>
      <c r="BD613" s="1" t="s">
        <v>829</v>
      </c>
      <c r="BE613" s="1" t="s">
        <v>466</v>
      </c>
      <c r="BF613">
        <v>1632</v>
      </c>
      <c r="BG613" s="1" t="s">
        <v>1032</v>
      </c>
      <c r="BH613" s="1" t="s">
        <v>99</v>
      </c>
      <c r="BI613">
        <v>0</v>
      </c>
      <c r="BJ613" s="1"/>
      <c r="BL613" s="1"/>
      <c r="BN613" s="1"/>
      <c r="BO613">
        <v>599</v>
      </c>
      <c r="BP613">
        <v>4654734.66</v>
      </c>
      <c r="BQ613">
        <v>4654734.66</v>
      </c>
    </row>
    <row r="614" spans="1:69" x14ac:dyDescent="0.35">
      <c r="A614" s="1" t="s">
        <v>68</v>
      </c>
      <c r="B614" s="1" t="s">
        <v>69</v>
      </c>
      <c r="C614" s="1" t="s">
        <v>70</v>
      </c>
      <c r="D614">
        <v>1</v>
      </c>
      <c r="E614">
        <v>1</v>
      </c>
      <c r="F614" s="2">
        <v>43585.43</v>
      </c>
      <c r="G614" s="3">
        <v>41275</v>
      </c>
      <c r="H614" s="3">
        <v>41639</v>
      </c>
      <c r="I614" s="1" t="s">
        <v>71</v>
      </c>
      <c r="J614">
        <v>4521</v>
      </c>
      <c r="K614">
        <v>0</v>
      </c>
      <c r="L614" s="1" t="s">
        <v>384</v>
      </c>
      <c r="M614" s="1" t="s">
        <v>72</v>
      </c>
      <c r="N614" s="1" t="s">
        <v>134</v>
      </c>
      <c r="O614" s="1" t="s">
        <v>385</v>
      </c>
      <c r="P614" s="1" t="s">
        <v>386</v>
      </c>
      <c r="Q614" s="1" t="s">
        <v>387</v>
      </c>
      <c r="R614">
        <v>103</v>
      </c>
      <c r="S614" s="1" t="s">
        <v>135</v>
      </c>
      <c r="T614" s="1" t="s">
        <v>388</v>
      </c>
      <c r="U614" s="1" t="s">
        <v>135</v>
      </c>
      <c r="V614" s="1"/>
      <c r="W614" s="1"/>
      <c r="X614" s="1"/>
      <c r="Y614" s="1"/>
      <c r="AA614" s="1"/>
      <c r="AC614" s="1"/>
      <c r="AD614" s="1"/>
      <c r="AE614" s="1"/>
      <c r="AN614" s="1"/>
      <c r="AP614" s="1"/>
      <c r="AQ614" s="1"/>
      <c r="AR614" s="1"/>
      <c r="AS614" s="1"/>
      <c r="AT614" s="3"/>
      <c r="AU614" s="3"/>
      <c r="AV614" s="3"/>
      <c r="AW614" s="1"/>
      <c r="AX614" s="1"/>
      <c r="AZ614">
        <v>253</v>
      </c>
      <c r="BA614">
        <v>4654734.66</v>
      </c>
      <c r="BB614" s="1" t="s">
        <v>74</v>
      </c>
      <c r="BC614">
        <v>242</v>
      </c>
      <c r="BD614" s="1" t="s">
        <v>829</v>
      </c>
      <c r="BE614" s="1" t="s">
        <v>99</v>
      </c>
      <c r="BF614">
        <v>0</v>
      </c>
      <c r="BG614" s="1"/>
      <c r="BH614" s="1" t="s">
        <v>431</v>
      </c>
      <c r="BI614">
        <v>2007.36</v>
      </c>
      <c r="BJ614" s="1" t="s">
        <v>1032</v>
      </c>
      <c r="BL614" s="1"/>
      <c r="BN614" s="1"/>
      <c r="BO614">
        <v>599</v>
      </c>
      <c r="BP614">
        <v>4654734.66</v>
      </c>
      <c r="BQ614">
        <v>4654734.66</v>
      </c>
    </row>
    <row r="615" spans="1:69" x14ac:dyDescent="0.35">
      <c r="A615" s="1" t="s">
        <v>68</v>
      </c>
      <c r="B615" s="1" t="s">
        <v>69</v>
      </c>
      <c r="C615" s="1" t="s">
        <v>70</v>
      </c>
      <c r="D615">
        <v>1</v>
      </c>
      <c r="E615">
        <v>1</v>
      </c>
      <c r="F615" s="2">
        <v>43585.43</v>
      </c>
      <c r="G615" s="3">
        <v>41275</v>
      </c>
      <c r="H615" s="3">
        <v>41639</v>
      </c>
      <c r="I615" s="1" t="s">
        <v>71</v>
      </c>
      <c r="J615">
        <v>4521</v>
      </c>
      <c r="K615">
        <v>0</v>
      </c>
      <c r="L615" s="1" t="s">
        <v>384</v>
      </c>
      <c r="M615" s="1" t="s">
        <v>72</v>
      </c>
      <c r="N615" s="1" t="s">
        <v>134</v>
      </c>
      <c r="O615" s="1" t="s">
        <v>385</v>
      </c>
      <c r="P615" s="1" t="s">
        <v>386</v>
      </c>
      <c r="Q615" s="1" t="s">
        <v>387</v>
      </c>
      <c r="R615">
        <v>103</v>
      </c>
      <c r="S615" s="1" t="s">
        <v>135</v>
      </c>
      <c r="T615" s="1" t="s">
        <v>388</v>
      </c>
      <c r="U615" s="1" t="s">
        <v>135</v>
      </c>
      <c r="V615" s="1"/>
      <c r="W615" s="1"/>
      <c r="X615" s="1"/>
      <c r="Y615" s="1"/>
      <c r="AA615" s="1"/>
      <c r="AC615" s="1"/>
      <c r="AD615" s="1"/>
      <c r="AE615" s="1"/>
      <c r="AN615" s="1"/>
      <c r="AP615" s="1"/>
      <c r="AQ615" s="1"/>
      <c r="AR615" s="1"/>
      <c r="AS615" s="1"/>
      <c r="AT615" s="3"/>
      <c r="AU615" s="3"/>
      <c r="AV615" s="3"/>
      <c r="AW615" s="1"/>
      <c r="AX615" s="1"/>
      <c r="AZ615">
        <v>253</v>
      </c>
      <c r="BA615">
        <v>4654734.66</v>
      </c>
      <c r="BB615" s="1" t="s">
        <v>74</v>
      </c>
      <c r="BC615">
        <v>243</v>
      </c>
      <c r="BD615" s="1" t="s">
        <v>829</v>
      </c>
      <c r="BE615" s="1" t="s">
        <v>452</v>
      </c>
      <c r="BF615">
        <v>375.36</v>
      </c>
      <c r="BG615" s="1" t="s">
        <v>1032</v>
      </c>
      <c r="BH615" s="1" t="s">
        <v>99</v>
      </c>
      <c r="BI615">
        <v>0</v>
      </c>
      <c r="BJ615" s="1"/>
      <c r="BL615" s="1"/>
      <c r="BN615" s="1"/>
      <c r="BO615">
        <v>599</v>
      </c>
      <c r="BP615">
        <v>4654734.66</v>
      </c>
      <c r="BQ615">
        <v>4654734.66</v>
      </c>
    </row>
    <row r="616" spans="1:69" x14ac:dyDescent="0.35">
      <c r="A616" s="1" t="s">
        <v>68</v>
      </c>
      <c r="B616" s="1" t="s">
        <v>69</v>
      </c>
      <c r="C616" s="1" t="s">
        <v>70</v>
      </c>
      <c r="D616">
        <v>1</v>
      </c>
      <c r="E616">
        <v>1</v>
      </c>
      <c r="F616" s="2">
        <v>43585.43</v>
      </c>
      <c r="G616" s="3">
        <v>41275</v>
      </c>
      <c r="H616" s="3">
        <v>41639</v>
      </c>
      <c r="I616" s="1" t="s">
        <v>71</v>
      </c>
      <c r="J616">
        <v>4521</v>
      </c>
      <c r="K616">
        <v>0</v>
      </c>
      <c r="L616" s="1" t="s">
        <v>384</v>
      </c>
      <c r="M616" s="1" t="s">
        <v>72</v>
      </c>
      <c r="N616" s="1" t="s">
        <v>134</v>
      </c>
      <c r="O616" s="1" t="s">
        <v>385</v>
      </c>
      <c r="P616" s="1" t="s">
        <v>386</v>
      </c>
      <c r="Q616" s="1" t="s">
        <v>387</v>
      </c>
      <c r="R616">
        <v>103</v>
      </c>
      <c r="S616" s="1" t="s">
        <v>135</v>
      </c>
      <c r="T616" s="1" t="s">
        <v>388</v>
      </c>
      <c r="U616" s="1" t="s">
        <v>135</v>
      </c>
      <c r="V616" s="1"/>
      <c r="W616" s="1"/>
      <c r="X616" s="1"/>
      <c r="Y616" s="1"/>
      <c r="AA616" s="1"/>
      <c r="AC616" s="1"/>
      <c r="AD616" s="1"/>
      <c r="AE616" s="1"/>
      <c r="AN616" s="1"/>
      <c r="AP616" s="1"/>
      <c r="AQ616" s="1"/>
      <c r="AR616" s="1"/>
      <c r="AS616" s="1"/>
      <c r="AT616" s="3"/>
      <c r="AU616" s="3"/>
      <c r="AV616" s="3"/>
      <c r="AW616" s="1"/>
      <c r="AX616" s="1"/>
      <c r="AZ616">
        <v>253</v>
      </c>
      <c r="BA616">
        <v>4654734.66</v>
      </c>
      <c r="BB616" s="1" t="s">
        <v>74</v>
      </c>
      <c r="BC616">
        <v>244</v>
      </c>
      <c r="BD616" s="1" t="s">
        <v>830</v>
      </c>
      <c r="BE616" s="1" t="s">
        <v>403</v>
      </c>
      <c r="BF616">
        <v>32</v>
      </c>
      <c r="BG616" s="1" t="s">
        <v>1009</v>
      </c>
      <c r="BH616" s="1" t="s">
        <v>99</v>
      </c>
      <c r="BI616">
        <v>0</v>
      </c>
      <c r="BJ616" s="1"/>
      <c r="BL616" s="1"/>
      <c r="BN616" s="1"/>
      <c r="BO616">
        <v>599</v>
      </c>
      <c r="BP616">
        <v>4654734.66</v>
      </c>
      <c r="BQ616">
        <v>4654734.66</v>
      </c>
    </row>
    <row r="617" spans="1:69" x14ac:dyDescent="0.35">
      <c r="A617" s="1" t="s">
        <v>68</v>
      </c>
      <c r="B617" s="1" t="s">
        <v>69</v>
      </c>
      <c r="C617" s="1" t="s">
        <v>70</v>
      </c>
      <c r="D617">
        <v>1</v>
      </c>
      <c r="E617">
        <v>1</v>
      </c>
      <c r="F617" s="2">
        <v>43585.43</v>
      </c>
      <c r="G617" s="3">
        <v>41275</v>
      </c>
      <c r="H617" s="3">
        <v>41639</v>
      </c>
      <c r="I617" s="1" t="s">
        <v>71</v>
      </c>
      <c r="J617">
        <v>4521</v>
      </c>
      <c r="K617">
        <v>0</v>
      </c>
      <c r="L617" s="1" t="s">
        <v>384</v>
      </c>
      <c r="M617" s="1" t="s">
        <v>72</v>
      </c>
      <c r="N617" s="1" t="s">
        <v>134</v>
      </c>
      <c r="O617" s="1" t="s">
        <v>385</v>
      </c>
      <c r="P617" s="1" t="s">
        <v>386</v>
      </c>
      <c r="Q617" s="1" t="s">
        <v>387</v>
      </c>
      <c r="R617">
        <v>103</v>
      </c>
      <c r="S617" s="1" t="s">
        <v>135</v>
      </c>
      <c r="T617" s="1" t="s">
        <v>388</v>
      </c>
      <c r="U617" s="1" t="s">
        <v>135</v>
      </c>
      <c r="V617" s="1"/>
      <c r="W617" s="1"/>
      <c r="X617" s="1"/>
      <c r="Y617" s="1"/>
      <c r="AA617" s="1"/>
      <c r="AC617" s="1"/>
      <c r="AD617" s="1"/>
      <c r="AE617" s="1"/>
      <c r="AN617" s="1"/>
      <c r="AP617" s="1"/>
      <c r="AQ617" s="1"/>
      <c r="AR617" s="1"/>
      <c r="AS617" s="1"/>
      <c r="AT617" s="3"/>
      <c r="AU617" s="3"/>
      <c r="AV617" s="3"/>
      <c r="AW617" s="1"/>
      <c r="AX617" s="1"/>
      <c r="AZ617">
        <v>253</v>
      </c>
      <c r="BA617">
        <v>4654734.66</v>
      </c>
      <c r="BB617" s="1" t="s">
        <v>74</v>
      </c>
      <c r="BC617">
        <v>245</v>
      </c>
      <c r="BD617" s="1" t="s">
        <v>830</v>
      </c>
      <c r="BE617" s="1" t="s">
        <v>99</v>
      </c>
      <c r="BF617">
        <v>0</v>
      </c>
      <c r="BG617" s="1"/>
      <c r="BH617" s="1" t="s">
        <v>392</v>
      </c>
      <c r="BI617">
        <v>32</v>
      </c>
      <c r="BJ617" s="1" t="s">
        <v>1009</v>
      </c>
      <c r="BL617" s="1"/>
      <c r="BN617" s="1"/>
      <c r="BO617">
        <v>599</v>
      </c>
      <c r="BP617">
        <v>4654734.66</v>
      </c>
      <c r="BQ617">
        <v>4654734.66</v>
      </c>
    </row>
    <row r="618" spans="1:69" x14ac:dyDescent="0.35">
      <c r="A618" s="1" t="s">
        <v>68</v>
      </c>
      <c r="B618" s="1" t="s">
        <v>69</v>
      </c>
      <c r="C618" s="1" t="s">
        <v>70</v>
      </c>
      <c r="D618">
        <v>1</v>
      </c>
      <c r="E618">
        <v>1</v>
      </c>
      <c r="F618" s="2">
        <v>43585.43</v>
      </c>
      <c r="G618" s="3">
        <v>41275</v>
      </c>
      <c r="H618" s="3">
        <v>41639</v>
      </c>
      <c r="I618" s="1" t="s">
        <v>71</v>
      </c>
      <c r="J618">
        <v>4521</v>
      </c>
      <c r="K618">
        <v>0</v>
      </c>
      <c r="L618" s="1" t="s">
        <v>384</v>
      </c>
      <c r="M618" s="1" t="s">
        <v>72</v>
      </c>
      <c r="N618" s="1" t="s">
        <v>134</v>
      </c>
      <c r="O618" s="1" t="s">
        <v>385</v>
      </c>
      <c r="P618" s="1" t="s">
        <v>386</v>
      </c>
      <c r="Q618" s="1" t="s">
        <v>387</v>
      </c>
      <c r="R618">
        <v>103</v>
      </c>
      <c r="S618" s="1" t="s">
        <v>135</v>
      </c>
      <c r="T618" s="1" t="s">
        <v>388</v>
      </c>
      <c r="U618" s="1" t="s">
        <v>135</v>
      </c>
      <c r="V618" s="1"/>
      <c r="W618" s="1"/>
      <c r="X618" s="1"/>
      <c r="Y618" s="1"/>
      <c r="AA618" s="1"/>
      <c r="AC618" s="1"/>
      <c r="AD618" s="1"/>
      <c r="AE618" s="1"/>
      <c r="AN618" s="1"/>
      <c r="AP618" s="1"/>
      <c r="AQ618" s="1"/>
      <c r="AR618" s="1"/>
      <c r="AS618" s="1"/>
      <c r="AT618" s="3"/>
      <c r="AU618" s="3"/>
      <c r="AV618" s="3"/>
      <c r="AW618" s="1"/>
      <c r="AX618" s="1"/>
      <c r="AZ618">
        <v>253</v>
      </c>
      <c r="BA618">
        <v>4654734.66</v>
      </c>
      <c r="BB618" s="1" t="s">
        <v>74</v>
      </c>
      <c r="BC618">
        <v>246</v>
      </c>
      <c r="BD618" s="1" t="s">
        <v>831</v>
      </c>
      <c r="BE618" s="1" t="s">
        <v>402</v>
      </c>
      <c r="BF618">
        <v>12142.56</v>
      </c>
      <c r="BG618" s="1" t="s">
        <v>1033</v>
      </c>
      <c r="BH618" s="1" t="s">
        <v>99</v>
      </c>
      <c r="BI618">
        <v>0</v>
      </c>
      <c r="BJ618" s="1"/>
      <c r="BL618" s="1"/>
      <c r="BN618" s="1"/>
      <c r="BO618">
        <v>599</v>
      </c>
      <c r="BP618">
        <v>4654734.66</v>
      </c>
      <c r="BQ618">
        <v>4654734.66</v>
      </c>
    </row>
    <row r="619" spans="1:69" x14ac:dyDescent="0.35">
      <c r="A619" s="1" t="s">
        <v>68</v>
      </c>
      <c r="B619" s="1" t="s">
        <v>69</v>
      </c>
      <c r="C619" s="1" t="s">
        <v>70</v>
      </c>
      <c r="D619">
        <v>1</v>
      </c>
      <c r="E619">
        <v>1</v>
      </c>
      <c r="F619" s="2">
        <v>43585.43</v>
      </c>
      <c r="G619" s="3">
        <v>41275</v>
      </c>
      <c r="H619" s="3">
        <v>41639</v>
      </c>
      <c r="I619" s="1" t="s">
        <v>71</v>
      </c>
      <c r="J619">
        <v>4521</v>
      </c>
      <c r="K619">
        <v>0</v>
      </c>
      <c r="L619" s="1" t="s">
        <v>384</v>
      </c>
      <c r="M619" s="1" t="s">
        <v>72</v>
      </c>
      <c r="N619" s="1" t="s">
        <v>134</v>
      </c>
      <c r="O619" s="1" t="s">
        <v>385</v>
      </c>
      <c r="P619" s="1" t="s">
        <v>386</v>
      </c>
      <c r="Q619" s="1" t="s">
        <v>387</v>
      </c>
      <c r="R619">
        <v>103</v>
      </c>
      <c r="S619" s="1" t="s">
        <v>135</v>
      </c>
      <c r="T619" s="1" t="s">
        <v>388</v>
      </c>
      <c r="U619" s="1" t="s">
        <v>135</v>
      </c>
      <c r="V619" s="1"/>
      <c r="W619" s="1"/>
      <c r="X619" s="1"/>
      <c r="Y619" s="1"/>
      <c r="AA619" s="1"/>
      <c r="AC619" s="1"/>
      <c r="AD619" s="1"/>
      <c r="AE619" s="1"/>
      <c r="AN619" s="1"/>
      <c r="AP619" s="1"/>
      <c r="AQ619" s="1"/>
      <c r="AR619" s="1"/>
      <c r="AS619" s="1"/>
      <c r="AT619" s="3"/>
      <c r="AU619" s="3"/>
      <c r="AV619" s="3"/>
      <c r="AW619" s="1"/>
      <c r="AX619" s="1"/>
      <c r="AZ619">
        <v>253</v>
      </c>
      <c r="BA619">
        <v>4654734.66</v>
      </c>
      <c r="BB619" s="1" t="s">
        <v>74</v>
      </c>
      <c r="BC619">
        <v>247</v>
      </c>
      <c r="BD619" s="1" t="s">
        <v>831</v>
      </c>
      <c r="BE619" s="1" t="s">
        <v>99</v>
      </c>
      <c r="BF619">
        <v>0</v>
      </c>
      <c r="BG619" s="1"/>
      <c r="BH619" s="1" t="s">
        <v>487</v>
      </c>
      <c r="BI619">
        <v>9872</v>
      </c>
      <c r="BJ619" s="1" t="s">
        <v>1033</v>
      </c>
      <c r="BL619" s="1"/>
      <c r="BN619" s="1"/>
      <c r="BO619">
        <v>599</v>
      </c>
      <c r="BP619">
        <v>4654734.66</v>
      </c>
      <c r="BQ619">
        <v>4654734.66</v>
      </c>
    </row>
    <row r="620" spans="1:69" x14ac:dyDescent="0.35">
      <c r="A620" s="1" t="s">
        <v>68</v>
      </c>
      <c r="B620" s="1" t="s">
        <v>69</v>
      </c>
      <c r="C620" s="1" t="s">
        <v>70</v>
      </c>
      <c r="D620">
        <v>1</v>
      </c>
      <c r="E620">
        <v>1</v>
      </c>
      <c r="F620" s="2">
        <v>43585.43</v>
      </c>
      <c r="G620" s="3">
        <v>41275</v>
      </c>
      <c r="H620" s="3">
        <v>41639</v>
      </c>
      <c r="I620" s="1" t="s">
        <v>71</v>
      </c>
      <c r="J620">
        <v>4521</v>
      </c>
      <c r="K620">
        <v>0</v>
      </c>
      <c r="L620" s="1" t="s">
        <v>384</v>
      </c>
      <c r="M620" s="1" t="s">
        <v>72</v>
      </c>
      <c r="N620" s="1" t="s">
        <v>134</v>
      </c>
      <c r="O620" s="1" t="s">
        <v>385</v>
      </c>
      <c r="P620" s="1" t="s">
        <v>386</v>
      </c>
      <c r="Q620" s="1" t="s">
        <v>387</v>
      </c>
      <c r="R620">
        <v>103</v>
      </c>
      <c r="S620" s="1" t="s">
        <v>135</v>
      </c>
      <c r="T620" s="1" t="s">
        <v>388</v>
      </c>
      <c r="U620" s="1" t="s">
        <v>135</v>
      </c>
      <c r="V620" s="1"/>
      <c r="W620" s="1"/>
      <c r="X620" s="1"/>
      <c r="Y620" s="1"/>
      <c r="AA620" s="1"/>
      <c r="AC620" s="1"/>
      <c r="AD620" s="1"/>
      <c r="AE620" s="1"/>
      <c r="AN620" s="1"/>
      <c r="AP620" s="1"/>
      <c r="AQ620" s="1"/>
      <c r="AR620" s="1"/>
      <c r="AS620" s="1"/>
      <c r="AT620" s="3"/>
      <c r="AU620" s="3"/>
      <c r="AV620" s="3"/>
      <c r="AW620" s="1"/>
      <c r="AX620" s="1"/>
      <c r="AZ620">
        <v>253</v>
      </c>
      <c r="BA620">
        <v>4654734.66</v>
      </c>
      <c r="BB620" s="1" t="s">
        <v>74</v>
      </c>
      <c r="BC620">
        <v>248</v>
      </c>
      <c r="BD620" s="1" t="s">
        <v>831</v>
      </c>
      <c r="BE620" s="1" t="s">
        <v>99</v>
      </c>
      <c r="BF620">
        <v>0</v>
      </c>
      <c r="BG620" s="1"/>
      <c r="BH620" s="1" t="s">
        <v>451</v>
      </c>
      <c r="BI620">
        <v>2270.56</v>
      </c>
      <c r="BJ620" s="1" t="s">
        <v>1033</v>
      </c>
      <c r="BL620" s="1"/>
      <c r="BN620" s="1"/>
      <c r="BO620">
        <v>599</v>
      </c>
      <c r="BP620">
        <v>4654734.66</v>
      </c>
      <c r="BQ620">
        <v>4654734.66</v>
      </c>
    </row>
    <row r="621" spans="1:69" x14ac:dyDescent="0.35">
      <c r="A621" s="1" t="s">
        <v>68</v>
      </c>
      <c r="B621" s="1" t="s">
        <v>69</v>
      </c>
      <c r="C621" s="1" t="s">
        <v>70</v>
      </c>
      <c r="D621">
        <v>1</v>
      </c>
      <c r="E621">
        <v>1</v>
      </c>
      <c r="F621" s="2">
        <v>43585.43</v>
      </c>
      <c r="G621" s="3">
        <v>41275</v>
      </c>
      <c r="H621" s="3">
        <v>41639</v>
      </c>
      <c r="I621" s="1" t="s">
        <v>71</v>
      </c>
      <c r="J621">
        <v>4521</v>
      </c>
      <c r="K621">
        <v>0</v>
      </c>
      <c r="L621" s="1" t="s">
        <v>384</v>
      </c>
      <c r="M621" s="1" t="s">
        <v>72</v>
      </c>
      <c r="N621" s="1" t="s">
        <v>134</v>
      </c>
      <c r="O621" s="1" t="s">
        <v>385</v>
      </c>
      <c r="P621" s="1" t="s">
        <v>386</v>
      </c>
      <c r="Q621" s="1" t="s">
        <v>387</v>
      </c>
      <c r="R621">
        <v>103</v>
      </c>
      <c r="S621" s="1" t="s">
        <v>135</v>
      </c>
      <c r="T621" s="1" t="s">
        <v>388</v>
      </c>
      <c r="U621" s="1" t="s">
        <v>135</v>
      </c>
      <c r="V621" s="1"/>
      <c r="W621" s="1"/>
      <c r="X621" s="1"/>
      <c r="Y621" s="1"/>
      <c r="AA621" s="1"/>
      <c r="AC621" s="1"/>
      <c r="AD621" s="1"/>
      <c r="AE621" s="1"/>
      <c r="AN621" s="1"/>
      <c r="AP621" s="1"/>
      <c r="AQ621" s="1"/>
      <c r="AR621" s="1"/>
      <c r="AS621" s="1"/>
      <c r="AT621" s="3"/>
      <c r="AU621" s="3"/>
      <c r="AV621" s="3"/>
      <c r="AW621" s="1"/>
      <c r="AX621" s="1"/>
      <c r="AZ621">
        <v>253</v>
      </c>
      <c r="BA621">
        <v>4654734.66</v>
      </c>
      <c r="BB621" s="1" t="s">
        <v>74</v>
      </c>
      <c r="BC621">
        <v>249</v>
      </c>
      <c r="BD621" s="1" t="s">
        <v>832</v>
      </c>
      <c r="BE621" s="1" t="s">
        <v>493</v>
      </c>
      <c r="BF621">
        <v>409.84</v>
      </c>
      <c r="BG621" s="1" t="s">
        <v>1033</v>
      </c>
      <c r="BH621" s="1" t="s">
        <v>99</v>
      </c>
      <c r="BI621">
        <v>0</v>
      </c>
      <c r="BJ621" s="1"/>
      <c r="BL621" s="1"/>
      <c r="BN621" s="1"/>
      <c r="BO621">
        <v>599</v>
      </c>
      <c r="BP621">
        <v>4654734.66</v>
      </c>
      <c r="BQ621">
        <v>4654734.66</v>
      </c>
    </row>
    <row r="622" spans="1:69" x14ac:dyDescent="0.35">
      <c r="A622" s="1" t="s">
        <v>68</v>
      </c>
      <c r="B622" s="1" t="s">
        <v>69</v>
      </c>
      <c r="C622" s="1" t="s">
        <v>70</v>
      </c>
      <c r="D622">
        <v>1</v>
      </c>
      <c r="E622">
        <v>1</v>
      </c>
      <c r="F622" s="2">
        <v>43585.43</v>
      </c>
      <c r="G622" s="3">
        <v>41275</v>
      </c>
      <c r="H622" s="3">
        <v>41639</v>
      </c>
      <c r="I622" s="1" t="s">
        <v>71</v>
      </c>
      <c r="J622">
        <v>4521</v>
      </c>
      <c r="K622">
        <v>0</v>
      </c>
      <c r="L622" s="1" t="s">
        <v>384</v>
      </c>
      <c r="M622" s="1" t="s">
        <v>72</v>
      </c>
      <c r="N622" s="1" t="s">
        <v>134</v>
      </c>
      <c r="O622" s="1" t="s">
        <v>385</v>
      </c>
      <c r="P622" s="1" t="s">
        <v>386</v>
      </c>
      <c r="Q622" s="1" t="s">
        <v>387</v>
      </c>
      <c r="R622">
        <v>103</v>
      </c>
      <c r="S622" s="1" t="s">
        <v>135</v>
      </c>
      <c r="T622" s="1" t="s">
        <v>388</v>
      </c>
      <c r="U622" s="1" t="s">
        <v>135</v>
      </c>
      <c r="V622" s="1"/>
      <c r="W622" s="1"/>
      <c r="X622" s="1"/>
      <c r="Y622" s="1"/>
      <c r="AA622" s="1"/>
      <c r="AC622" s="1"/>
      <c r="AD622" s="1"/>
      <c r="AE622" s="1"/>
      <c r="AN622" s="1"/>
      <c r="AP622" s="1"/>
      <c r="AQ622" s="1"/>
      <c r="AR622" s="1"/>
      <c r="AS622" s="1"/>
      <c r="AT622" s="3"/>
      <c r="AU622" s="3"/>
      <c r="AV622" s="3"/>
      <c r="AW622" s="1"/>
      <c r="AX622" s="1"/>
      <c r="AZ622">
        <v>253</v>
      </c>
      <c r="BA622">
        <v>4654734.66</v>
      </c>
      <c r="BB622" s="1" t="s">
        <v>74</v>
      </c>
      <c r="BC622">
        <v>250</v>
      </c>
      <c r="BD622" s="1" t="s">
        <v>832</v>
      </c>
      <c r="BE622" s="1" t="s">
        <v>99</v>
      </c>
      <c r="BF622">
        <v>0</v>
      </c>
      <c r="BG622" s="1"/>
      <c r="BH622" s="1" t="s">
        <v>487</v>
      </c>
      <c r="BI622">
        <v>409.84</v>
      </c>
      <c r="BJ622" s="1" t="s">
        <v>1033</v>
      </c>
      <c r="BL622" s="1"/>
      <c r="BN622" s="1"/>
      <c r="BO622">
        <v>599</v>
      </c>
      <c r="BP622">
        <v>4654734.66</v>
      </c>
      <c r="BQ622">
        <v>4654734.66</v>
      </c>
    </row>
    <row r="623" spans="1:69" x14ac:dyDescent="0.35">
      <c r="A623" s="1" t="s">
        <v>68</v>
      </c>
      <c r="B623" s="1" t="s">
        <v>69</v>
      </c>
      <c r="C623" s="1" t="s">
        <v>70</v>
      </c>
      <c r="D623">
        <v>1</v>
      </c>
      <c r="E623">
        <v>1</v>
      </c>
      <c r="F623" s="2">
        <v>43585.43</v>
      </c>
      <c r="G623" s="3">
        <v>41275</v>
      </c>
      <c r="H623" s="3">
        <v>41639</v>
      </c>
      <c r="I623" s="1" t="s">
        <v>71</v>
      </c>
      <c r="J623">
        <v>4521</v>
      </c>
      <c r="K623">
        <v>0</v>
      </c>
      <c r="L623" s="1" t="s">
        <v>384</v>
      </c>
      <c r="M623" s="1" t="s">
        <v>72</v>
      </c>
      <c r="N623" s="1" t="s">
        <v>134</v>
      </c>
      <c r="O623" s="1" t="s">
        <v>385</v>
      </c>
      <c r="P623" s="1" t="s">
        <v>386</v>
      </c>
      <c r="Q623" s="1" t="s">
        <v>387</v>
      </c>
      <c r="R623">
        <v>103</v>
      </c>
      <c r="S623" s="1" t="s">
        <v>135</v>
      </c>
      <c r="T623" s="1" t="s">
        <v>388</v>
      </c>
      <c r="U623" s="1" t="s">
        <v>135</v>
      </c>
      <c r="V623" s="1"/>
      <c r="W623" s="1"/>
      <c r="X623" s="1"/>
      <c r="Y623" s="1"/>
      <c r="AA623" s="1"/>
      <c r="AC623" s="1"/>
      <c r="AD623" s="1"/>
      <c r="AE623" s="1"/>
      <c r="AN623" s="1"/>
      <c r="AP623" s="1"/>
      <c r="AQ623" s="1"/>
      <c r="AR623" s="1"/>
      <c r="AS623" s="1"/>
      <c r="AT623" s="3"/>
      <c r="AU623" s="3"/>
      <c r="AV623" s="3"/>
      <c r="AW623" s="1"/>
      <c r="AX623" s="1"/>
      <c r="AZ623">
        <v>253</v>
      </c>
      <c r="BA623">
        <v>4654734.66</v>
      </c>
      <c r="BB623" s="1" t="s">
        <v>74</v>
      </c>
      <c r="BC623">
        <v>251</v>
      </c>
      <c r="BD623" s="1" t="s">
        <v>833</v>
      </c>
      <c r="BE623" s="1" t="s">
        <v>410</v>
      </c>
      <c r="BF623">
        <v>3075</v>
      </c>
      <c r="BG623" s="1" t="s">
        <v>1034</v>
      </c>
      <c r="BH623" s="1" t="s">
        <v>99</v>
      </c>
      <c r="BI623">
        <v>0</v>
      </c>
      <c r="BJ623" s="1"/>
      <c r="BL623" s="1"/>
      <c r="BN623" s="1"/>
      <c r="BO623">
        <v>599</v>
      </c>
      <c r="BP623">
        <v>4654734.66</v>
      </c>
      <c r="BQ623">
        <v>4654734.66</v>
      </c>
    </row>
    <row r="624" spans="1:69" x14ac:dyDescent="0.35">
      <c r="A624" s="1" t="s">
        <v>68</v>
      </c>
      <c r="B624" s="1" t="s">
        <v>69</v>
      </c>
      <c r="C624" s="1" t="s">
        <v>70</v>
      </c>
      <c r="D624">
        <v>1</v>
      </c>
      <c r="E624">
        <v>1</v>
      </c>
      <c r="F624" s="2">
        <v>43585.43</v>
      </c>
      <c r="G624" s="3">
        <v>41275</v>
      </c>
      <c r="H624" s="3">
        <v>41639</v>
      </c>
      <c r="I624" s="1" t="s">
        <v>71</v>
      </c>
      <c r="J624">
        <v>4521</v>
      </c>
      <c r="K624">
        <v>0</v>
      </c>
      <c r="L624" s="1" t="s">
        <v>384</v>
      </c>
      <c r="M624" s="1" t="s">
        <v>72</v>
      </c>
      <c r="N624" s="1" t="s">
        <v>134</v>
      </c>
      <c r="O624" s="1" t="s">
        <v>385</v>
      </c>
      <c r="P624" s="1" t="s">
        <v>386</v>
      </c>
      <c r="Q624" s="1" t="s">
        <v>387</v>
      </c>
      <c r="R624">
        <v>103</v>
      </c>
      <c r="S624" s="1" t="s">
        <v>135</v>
      </c>
      <c r="T624" s="1" t="s">
        <v>388</v>
      </c>
      <c r="U624" s="1" t="s">
        <v>135</v>
      </c>
      <c r="V624" s="1"/>
      <c r="W624" s="1"/>
      <c r="X624" s="1"/>
      <c r="Y624" s="1"/>
      <c r="AA624" s="1"/>
      <c r="AC624" s="1"/>
      <c r="AD624" s="1"/>
      <c r="AE624" s="1"/>
      <c r="AN624" s="1"/>
      <c r="AP624" s="1"/>
      <c r="AQ624" s="1"/>
      <c r="AR624" s="1"/>
      <c r="AS624" s="1"/>
      <c r="AT624" s="3"/>
      <c r="AU624" s="3"/>
      <c r="AV624" s="3"/>
      <c r="AW624" s="1"/>
      <c r="AX624" s="1"/>
      <c r="AZ624">
        <v>253</v>
      </c>
      <c r="BA624">
        <v>4654734.66</v>
      </c>
      <c r="BB624" s="1" t="s">
        <v>74</v>
      </c>
      <c r="BC624">
        <v>252</v>
      </c>
      <c r="BD624" s="1" t="s">
        <v>833</v>
      </c>
      <c r="BE624" s="1" t="s">
        <v>99</v>
      </c>
      <c r="BF624">
        <v>0</v>
      </c>
      <c r="BG624" s="1"/>
      <c r="BH624" s="1" t="s">
        <v>487</v>
      </c>
      <c r="BI624">
        <v>2500</v>
      </c>
      <c r="BJ624" s="1" t="s">
        <v>1034</v>
      </c>
      <c r="BL624" s="1"/>
      <c r="BN624" s="1"/>
      <c r="BO624">
        <v>599</v>
      </c>
      <c r="BP624">
        <v>4654734.66</v>
      </c>
      <c r="BQ624">
        <v>4654734.66</v>
      </c>
    </row>
    <row r="625" spans="1:69" x14ac:dyDescent="0.35">
      <c r="A625" s="1" t="s">
        <v>68</v>
      </c>
      <c r="B625" s="1" t="s">
        <v>69</v>
      </c>
      <c r="C625" s="1" t="s">
        <v>70</v>
      </c>
      <c r="D625">
        <v>1</v>
      </c>
      <c r="E625">
        <v>1</v>
      </c>
      <c r="F625" s="2">
        <v>43585.43</v>
      </c>
      <c r="G625" s="3">
        <v>41275</v>
      </c>
      <c r="H625" s="3">
        <v>41639</v>
      </c>
      <c r="I625" s="1" t="s">
        <v>71</v>
      </c>
      <c r="J625">
        <v>4521</v>
      </c>
      <c r="K625">
        <v>0</v>
      </c>
      <c r="L625" s="1" t="s">
        <v>384</v>
      </c>
      <c r="M625" s="1" t="s">
        <v>72</v>
      </c>
      <c r="N625" s="1" t="s">
        <v>134</v>
      </c>
      <c r="O625" s="1" t="s">
        <v>385</v>
      </c>
      <c r="P625" s="1" t="s">
        <v>386</v>
      </c>
      <c r="Q625" s="1" t="s">
        <v>387</v>
      </c>
      <c r="R625">
        <v>103</v>
      </c>
      <c r="S625" s="1" t="s">
        <v>135</v>
      </c>
      <c r="T625" s="1" t="s">
        <v>388</v>
      </c>
      <c r="U625" s="1" t="s">
        <v>135</v>
      </c>
      <c r="V625" s="1"/>
      <c r="W625" s="1"/>
      <c r="X625" s="1"/>
      <c r="Y625" s="1"/>
      <c r="AA625" s="1"/>
      <c r="AC625" s="1"/>
      <c r="AD625" s="1"/>
      <c r="AE625" s="1"/>
      <c r="AN625" s="1"/>
      <c r="AP625" s="1"/>
      <c r="AQ625" s="1"/>
      <c r="AR625" s="1"/>
      <c r="AS625" s="1"/>
      <c r="AT625" s="3"/>
      <c r="AU625" s="3"/>
      <c r="AV625" s="3"/>
      <c r="AW625" s="1"/>
      <c r="AX625" s="1"/>
      <c r="AZ625">
        <v>253</v>
      </c>
      <c r="BA625">
        <v>4654734.66</v>
      </c>
      <c r="BB625" s="1" t="s">
        <v>74</v>
      </c>
      <c r="BC625">
        <v>253</v>
      </c>
      <c r="BD625" s="1" t="s">
        <v>833</v>
      </c>
      <c r="BE625" s="1" t="s">
        <v>99</v>
      </c>
      <c r="BF625">
        <v>0</v>
      </c>
      <c r="BG625" s="1"/>
      <c r="BH625" s="1" t="s">
        <v>451</v>
      </c>
      <c r="BI625">
        <v>575</v>
      </c>
      <c r="BJ625" s="1" t="s">
        <v>1034</v>
      </c>
      <c r="BL625" s="1"/>
      <c r="BN625" s="1"/>
      <c r="BO625">
        <v>599</v>
      </c>
      <c r="BP625">
        <v>4654734.66</v>
      </c>
      <c r="BQ625">
        <v>4654734.66</v>
      </c>
    </row>
    <row r="626" spans="1:69" x14ac:dyDescent="0.35">
      <c r="A626" s="1" t="s">
        <v>68</v>
      </c>
      <c r="B626" s="1" t="s">
        <v>69</v>
      </c>
      <c r="C626" s="1" t="s">
        <v>70</v>
      </c>
      <c r="D626">
        <v>1</v>
      </c>
      <c r="E626">
        <v>1</v>
      </c>
      <c r="F626" s="2">
        <v>43585.43</v>
      </c>
      <c r="G626" s="3">
        <v>41275</v>
      </c>
      <c r="H626" s="3">
        <v>41639</v>
      </c>
      <c r="I626" s="1" t="s">
        <v>71</v>
      </c>
      <c r="J626">
        <v>4521</v>
      </c>
      <c r="K626">
        <v>0</v>
      </c>
      <c r="L626" s="1" t="s">
        <v>384</v>
      </c>
      <c r="M626" s="1" t="s">
        <v>72</v>
      </c>
      <c r="N626" s="1" t="s">
        <v>134</v>
      </c>
      <c r="O626" s="1" t="s">
        <v>385</v>
      </c>
      <c r="P626" s="1" t="s">
        <v>386</v>
      </c>
      <c r="Q626" s="1" t="s">
        <v>387</v>
      </c>
      <c r="R626">
        <v>103</v>
      </c>
      <c r="S626" s="1" t="s">
        <v>135</v>
      </c>
      <c r="T626" s="1" t="s">
        <v>388</v>
      </c>
      <c r="U626" s="1" t="s">
        <v>135</v>
      </c>
      <c r="V626" s="1"/>
      <c r="W626" s="1"/>
      <c r="X626" s="1"/>
      <c r="Y626" s="1"/>
      <c r="AA626" s="1"/>
      <c r="AC626" s="1"/>
      <c r="AD626" s="1"/>
      <c r="AE626" s="1"/>
      <c r="AN626" s="1"/>
      <c r="AP626" s="1"/>
      <c r="AQ626" s="1"/>
      <c r="AR626" s="1"/>
      <c r="AS626" s="1"/>
      <c r="AT626" s="3"/>
      <c r="AU626" s="3"/>
      <c r="AV626" s="3"/>
      <c r="AW626" s="1"/>
      <c r="AX626" s="1"/>
      <c r="AZ626">
        <v>253</v>
      </c>
      <c r="BA626">
        <v>4654734.66</v>
      </c>
      <c r="BB626" s="1" t="s">
        <v>74</v>
      </c>
      <c r="BC626">
        <v>254</v>
      </c>
      <c r="BD626" s="1" t="s">
        <v>834</v>
      </c>
      <c r="BE626" s="1" t="s">
        <v>455</v>
      </c>
      <c r="BF626">
        <v>22.12</v>
      </c>
      <c r="BG626" s="1" t="s">
        <v>1002</v>
      </c>
      <c r="BH626" s="1" t="s">
        <v>99</v>
      </c>
      <c r="BI626">
        <v>0</v>
      </c>
      <c r="BJ626" s="1"/>
      <c r="BL626" s="1"/>
      <c r="BN626" s="1"/>
      <c r="BO626">
        <v>599</v>
      </c>
      <c r="BP626">
        <v>4654734.66</v>
      </c>
      <c r="BQ626">
        <v>4654734.66</v>
      </c>
    </row>
    <row r="627" spans="1:69" x14ac:dyDescent="0.35">
      <c r="A627" s="1" t="s">
        <v>68</v>
      </c>
      <c r="B627" s="1" t="s">
        <v>69</v>
      </c>
      <c r="C627" s="1" t="s">
        <v>70</v>
      </c>
      <c r="D627">
        <v>1</v>
      </c>
      <c r="E627">
        <v>1</v>
      </c>
      <c r="F627" s="2">
        <v>43585.43</v>
      </c>
      <c r="G627" s="3">
        <v>41275</v>
      </c>
      <c r="H627" s="3">
        <v>41639</v>
      </c>
      <c r="I627" s="1" t="s">
        <v>71</v>
      </c>
      <c r="J627">
        <v>4521</v>
      </c>
      <c r="K627">
        <v>0</v>
      </c>
      <c r="L627" s="1" t="s">
        <v>384</v>
      </c>
      <c r="M627" s="1" t="s">
        <v>72</v>
      </c>
      <c r="N627" s="1" t="s">
        <v>134</v>
      </c>
      <c r="O627" s="1" t="s">
        <v>385</v>
      </c>
      <c r="P627" s="1" t="s">
        <v>386</v>
      </c>
      <c r="Q627" s="1" t="s">
        <v>387</v>
      </c>
      <c r="R627">
        <v>103</v>
      </c>
      <c r="S627" s="1" t="s">
        <v>135</v>
      </c>
      <c r="T627" s="1" t="s">
        <v>388</v>
      </c>
      <c r="U627" s="1" t="s">
        <v>135</v>
      </c>
      <c r="V627" s="1"/>
      <c r="W627" s="1"/>
      <c r="X627" s="1"/>
      <c r="Y627" s="1"/>
      <c r="AA627" s="1"/>
      <c r="AC627" s="1"/>
      <c r="AD627" s="1"/>
      <c r="AE627" s="1"/>
      <c r="AN627" s="1"/>
      <c r="AP627" s="1"/>
      <c r="AQ627" s="1"/>
      <c r="AR627" s="1"/>
      <c r="AS627" s="1"/>
      <c r="AT627" s="3"/>
      <c r="AU627" s="3"/>
      <c r="AV627" s="3"/>
      <c r="AW627" s="1"/>
      <c r="AX627" s="1"/>
      <c r="AZ627">
        <v>253</v>
      </c>
      <c r="BA627">
        <v>4654734.66</v>
      </c>
      <c r="BB627" s="1" t="s">
        <v>74</v>
      </c>
      <c r="BC627">
        <v>255</v>
      </c>
      <c r="BD627" s="1" t="s">
        <v>834</v>
      </c>
      <c r="BE627" s="1" t="s">
        <v>99</v>
      </c>
      <c r="BF627">
        <v>0</v>
      </c>
      <c r="BG627" s="1"/>
      <c r="BH627" s="1" t="s">
        <v>392</v>
      </c>
      <c r="BI627">
        <v>22.12</v>
      </c>
      <c r="BJ627" s="1" t="s">
        <v>1002</v>
      </c>
      <c r="BL627" s="1"/>
      <c r="BN627" s="1"/>
      <c r="BO627">
        <v>599</v>
      </c>
      <c r="BP627">
        <v>4654734.66</v>
      </c>
      <c r="BQ627">
        <v>4654734.66</v>
      </c>
    </row>
    <row r="628" spans="1:69" x14ac:dyDescent="0.35">
      <c r="A628" s="1" t="s">
        <v>68</v>
      </c>
      <c r="B628" s="1" t="s">
        <v>69</v>
      </c>
      <c r="C628" s="1" t="s">
        <v>70</v>
      </c>
      <c r="D628">
        <v>1</v>
      </c>
      <c r="E628">
        <v>1</v>
      </c>
      <c r="F628" s="2">
        <v>43585.43</v>
      </c>
      <c r="G628" s="3">
        <v>41275</v>
      </c>
      <c r="H628" s="3">
        <v>41639</v>
      </c>
      <c r="I628" s="1" t="s">
        <v>71</v>
      </c>
      <c r="J628">
        <v>4521</v>
      </c>
      <c r="K628">
        <v>0</v>
      </c>
      <c r="L628" s="1" t="s">
        <v>384</v>
      </c>
      <c r="M628" s="1" t="s">
        <v>72</v>
      </c>
      <c r="N628" s="1" t="s">
        <v>134</v>
      </c>
      <c r="O628" s="1" t="s">
        <v>385</v>
      </c>
      <c r="P628" s="1" t="s">
        <v>386</v>
      </c>
      <c r="Q628" s="1" t="s">
        <v>387</v>
      </c>
      <c r="R628">
        <v>103</v>
      </c>
      <c r="S628" s="1" t="s">
        <v>135</v>
      </c>
      <c r="T628" s="1" t="s">
        <v>388</v>
      </c>
      <c r="U628" s="1" t="s">
        <v>135</v>
      </c>
      <c r="V628" s="1"/>
      <c r="W628" s="1"/>
      <c r="X628" s="1"/>
      <c r="Y628" s="1"/>
      <c r="AA628" s="1"/>
      <c r="AC628" s="1"/>
      <c r="AD628" s="1"/>
      <c r="AE628" s="1"/>
      <c r="AN628" s="1"/>
      <c r="AP628" s="1"/>
      <c r="AQ628" s="1"/>
      <c r="AR628" s="1"/>
      <c r="AS628" s="1"/>
      <c r="AT628" s="3"/>
      <c r="AU628" s="3"/>
      <c r="AV628" s="3"/>
      <c r="AW628" s="1"/>
      <c r="AX628" s="1"/>
      <c r="AZ628">
        <v>253</v>
      </c>
      <c r="BA628">
        <v>4654734.66</v>
      </c>
      <c r="BB628" s="1" t="s">
        <v>74</v>
      </c>
      <c r="BC628">
        <v>256</v>
      </c>
      <c r="BD628" s="1" t="s">
        <v>835</v>
      </c>
      <c r="BE628" s="1" t="s">
        <v>457</v>
      </c>
      <c r="BF628">
        <v>325.12</v>
      </c>
      <c r="BG628" s="1" t="s">
        <v>1244</v>
      </c>
      <c r="BH628" s="1" t="s">
        <v>99</v>
      </c>
      <c r="BI628">
        <v>0</v>
      </c>
      <c r="BJ628" s="1"/>
      <c r="BL628" s="1"/>
      <c r="BN628" s="1"/>
      <c r="BO628">
        <v>599</v>
      </c>
      <c r="BP628">
        <v>4654734.66</v>
      </c>
      <c r="BQ628">
        <v>4654734.66</v>
      </c>
    </row>
    <row r="629" spans="1:69" x14ac:dyDescent="0.35">
      <c r="A629" s="1" t="s">
        <v>68</v>
      </c>
      <c r="B629" s="1" t="s">
        <v>69</v>
      </c>
      <c r="C629" s="1" t="s">
        <v>70</v>
      </c>
      <c r="D629">
        <v>1</v>
      </c>
      <c r="E629">
        <v>1</v>
      </c>
      <c r="F629" s="2">
        <v>43585.43</v>
      </c>
      <c r="G629" s="3">
        <v>41275</v>
      </c>
      <c r="H629" s="3">
        <v>41639</v>
      </c>
      <c r="I629" s="1" t="s">
        <v>71</v>
      </c>
      <c r="J629">
        <v>4521</v>
      </c>
      <c r="K629">
        <v>0</v>
      </c>
      <c r="L629" s="1" t="s">
        <v>384</v>
      </c>
      <c r="M629" s="1" t="s">
        <v>72</v>
      </c>
      <c r="N629" s="1" t="s">
        <v>134</v>
      </c>
      <c r="O629" s="1" t="s">
        <v>385</v>
      </c>
      <c r="P629" s="1" t="s">
        <v>386</v>
      </c>
      <c r="Q629" s="1" t="s">
        <v>387</v>
      </c>
      <c r="R629">
        <v>103</v>
      </c>
      <c r="S629" s="1" t="s">
        <v>135</v>
      </c>
      <c r="T629" s="1" t="s">
        <v>388</v>
      </c>
      <c r="U629" s="1" t="s">
        <v>135</v>
      </c>
      <c r="V629" s="1"/>
      <c r="W629" s="1"/>
      <c r="X629" s="1"/>
      <c r="Y629" s="1"/>
      <c r="AA629" s="1"/>
      <c r="AC629" s="1"/>
      <c r="AD629" s="1"/>
      <c r="AE629" s="1"/>
      <c r="AN629" s="1"/>
      <c r="AP629" s="1"/>
      <c r="AQ629" s="1"/>
      <c r="AR629" s="1"/>
      <c r="AS629" s="1"/>
      <c r="AT629" s="3"/>
      <c r="AU629" s="3"/>
      <c r="AV629" s="3"/>
      <c r="AW629" s="1"/>
      <c r="AX629" s="1"/>
      <c r="AZ629">
        <v>253</v>
      </c>
      <c r="BA629">
        <v>4654734.66</v>
      </c>
      <c r="BB629" s="1" t="s">
        <v>74</v>
      </c>
      <c r="BC629">
        <v>257</v>
      </c>
      <c r="BD629" s="1" t="s">
        <v>835</v>
      </c>
      <c r="BE629" s="1" t="s">
        <v>99</v>
      </c>
      <c r="BF629">
        <v>0</v>
      </c>
      <c r="BG629" s="1"/>
      <c r="BH629" s="1" t="s">
        <v>392</v>
      </c>
      <c r="BI629">
        <v>325.12</v>
      </c>
      <c r="BJ629" s="1" t="s">
        <v>1244</v>
      </c>
      <c r="BL629" s="1"/>
      <c r="BN629" s="1"/>
      <c r="BO629">
        <v>599</v>
      </c>
      <c r="BP629">
        <v>4654734.66</v>
      </c>
      <c r="BQ629">
        <v>4654734.66</v>
      </c>
    </row>
    <row r="630" spans="1:69" x14ac:dyDescent="0.35">
      <c r="A630" s="1" t="s">
        <v>68</v>
      </c>
      <c r="B630" s="1" t="s">
        <v>69</v>
      </c>
      <c r="C630" s="1" t="s">
        <v>70</v>
      </c>
      <c r="D630">
        <v>1</v>
      </c>
      <c r="E630">
        <v>1</v>
      </c>
      <c r="F630" s="2">
        <v>43585.43</v>
      </c>
      <c r="G630" s="3">
        <v>41275</v>
      </c>
      <c r="H630" s="3">
        <v>41639</v>
      </c>
      <c r="I630" s="1" t="s">
        <v>71</v>
      </c>
      <c r="J630">
        <v>4521</v>
      </c>
      <c r="K630">
        <v>0</v>
      </c>
      <c r="L630" s="1" t="s">
        <v>384</v>
      </c>
      <c r="M630" s="1" t="s">
        <v>72</v>
      </c>
      <c r="N630" s="1" t="s">
        <v>134</v>
      </c>
      <c r="O630" s="1" t="s">
        <v>385</v>
      </c>
      <c r="P630" s="1" t="s">
        <v>386</v>
      </c>
      <c r="Q630" s="1" t="s">
        <v>387</v>
      </c>
      <c r="R630">
        <v>103</v>
      </c>
      <c r="S630" s="1" t="s">
        <v>135</v>
      </c>
      <c r="T630" s="1" t="s">
        <v>388</v>
      </c>
      <c r="U630" s="1" t="s">
        <v>135</v>
      </c>
      <c r="V630" s="1"/>
      <c r="W630" s="1"/>
      <c r="X630" s="1"/>
      <c r="Y630" s="1"/>
      <c r="AA630" s="1"/>
      <c r="AC630" s="1"/>
      <c r="AD630" s="1"/>
      <c r="AE630" s="1"/>
      <c r="AN630" s="1"/>
      <c r="AP630" s="1"/>
      <c r="AQ630" s="1"/>
      <c r="AR630" s="1"/>
      <c r="AS630" s="1"/>
      <c r="AT630" s="3"/>
      <c r="AU630" s="3"/>
      <c r="AV630" s="3"/>
      <c r="AW630" s="1"/>
      <c r="AX630" s="1"/>
      <c r="AZ630">
        <v>253</v>
      </c>
      <c r="BA630">
        <v>4654734.66</v>
      </c>
      <c r="BB630" s="1" t="s">
        <v>74</v>
      </c>
      <c r="BC630">
        <v>258</v>
      </c>
      <c r="BD630" s="1" t="s">
        <v>836</v>
      </c>
      <c r="BE630" s="1" t="s">
        <v>473</v>
      </c>
      <c r="BF630">
        <v>23.12</v>
      </c>
      <c r="BG630" s="1" t="s">
        <v>1245</v>
      </c>
      <c r="BH630" s="1" t="s">
        <v>99</v>
      </c>
      <c r="BI630">
        <v>0</v>
      </c>
      <c r="BJ630" s="1"/>
      <c r="BL630" s="1"/>
      <c r="BN630" s="1"/>
      <c r="BO630">
        <v>599</v>
      </c>
      <c r="BP630">
        <v>4654734.66</v>
      </c>
      <c r="BQ630">
        <v>4654734.66</v>
      </c>
    </row>
    <row r="631" spans="1:69" x14ac:dyDescent="0.35">
      <c r="A631" s="1" t="s">
        <v>68</v>
      </c>
      <c r="B631" s="1" t="s">
        <v>69</v>
      </c>
      <c r="C631" s="1" t="s">
        <v>70</v>
      </c>
      <c r="D631">
        <v>1</v>
      </c>
      <c r="E631">
        <v>1</v>
      </c>
      <c r="F631" s="2">
        <v>43585.43</v>
      </c>
      <c r="G631" s="3">
        <v>41275</v>
      </c>
      <c r="H631" s="3">
        <v>41639</v>
      </c>
      <c r="I631" s="1" t="s">
        <v>71</v>
      </c>
      <c r="J631">
        <v>4521</v>
      </c>
      <c r="K631">
        <v>0</v>
      </c>
      <c r="L631" s="1" t="s">
        <v>384</v>
      </c>
      <c r="M631" s="1" t="s">
        <v>72</v>
      </c>
      <c r="N631" s="1" t="s">
        <v>134</v>
      </c>
      <c r="O631" s="1" t="s">
        <v>385</v>
      </c>
      <c r="P631" s="1" t="s">
        <v>386</v>
      </c>
      <c r="Q631" s="1" t="s">
        <v>387</v>
      </c>
      <c r="R631">
        <v>103</v>
      </c>
      <c r="S631" s="1" t="s">
        <v>135</v>
      </c>
      <c r="T631" s="1" t="s">
        <v>388</v>
      </c>
      <c r="U631" s="1" t="s">
        <v>135</v>
      </c>
      <c r="V631" s="1"/>
      <c r="W631" s="1"/>
      <c r="X631" s="1"/>
      <c r="Y631" s="1"/>
      <c r="AA631" s="1"/>
      <c r="AC631" s="1"/>
      <c r="AD631" s="1"/>
      <c r="AE631" s="1"/>
      <c r="AN631" s="1"/>
      <c r="AP631" s="1"/>
      <c r="AQ631" s="1"/>
      <c r="AR631" s="1"/>
      <c r="AS631" s="1"/>
      <c r="AT631" s="3"/>
      <c r="AU631" s="3"/>
      <c r="AV631" s="3"/>
      <c r="AW631" s="1"/>
      <c r="AX631" s="1"/>
      <c r="AZ631">
        <v>253</v>
      </c>
      <c r="BA631">
        <v>4654734.66</v>
      </c>
      <c r="BB631" s="1" t="s">
        <v>74</v>
      </c>
      <c r="BC631">
        <v>259</v>
      </c>
      <c r="BD631" s="1" t="s">
        <v>836</v>
      </c>
      <c r="BE631" s="1" t="s">
        <v>99</v>
      </c>
      <c r="BF631">
        <v>0</v>
      </c>
      <c r="BG631" s="1"/>
      <c r="BH631" s="1" t="s">
        <v>392</v>
      </c>
      <c r="BI631">
        <v>23.12</v>
      </c>
      <c r="BJ631" s="1" t="s">
        <v>1245</v>
      </c>
      <c r="BL631" s="1"/>
      <c r="BN631" s="1"/>
      <c r="BO631">
        <v>599</v>
      </c>
      <c r="BP631">
        <v>4654734.66</v>
      </c>
      <c r="BQ631">
        <v>4654734.66</v>
      </c>
    </row>
    <row r="632" spans="1:69" x14ac:dyDescent="0.35">
      <c r="A632" s="1" t="s">
        <v>68</v>
      </c>
      <c r="B632" s="1" t="s">
        <v>69</v>
      </c>
      <c r="C632" s="1" t="s">
        <v>70</v>
      </c>
      <c r="D632">
        <v>1</v>
      </c>
      <c r="E632">
        <v>1</v>
      </c>
      <c r="F632" s="2">
        <v>43585.43</v>
      </c>
      <c r="G632" s="3">
        <v>41275</v>
      </c>
      <c r="H632" s="3">
        <v>41639</v>
      </c>
      <c r="I632" s="1" t="s">
        <v>71</v>
      </c>
      <c r="J632">
        <v>4521</v>
      </c>
      <c r="K632">
        <v>0</v>
      </c>
      <c r="L632" s="1" t="s">
        <v>384</v>
      </c>
      <c r="M632" s="1" t="s">
        <v>72</v>
      </c>
      <c r="N632" s="1" t="s">
        <v>134</v>
      </c>
      <c r="O632" s="1" t="s">
        <v>385</v>
      </c>
      <c r="P632" s="1" t="s">
        <v>386</v>
      </c>
      <c r="Q632" s="1" t="s">
        <v>387</v>
      </c>
      <c r="R632">
        <v>103</v>
      </c>
      <c r="S632" s="1" t="s">
        <v>135</v>
      </c>
      <c r="T632" s="1" t="s">
        <v>388</v>
      </c>
      <c r="U632" s="1" t="s">
        <v>135</v>
      </c>
      <c r="V632" s="1"/>
      <c r="W632" s="1"/>
      <c r="X632" s="1"/>
      <c r="Y632" s="1"/>
      <c r="AA632" s="1"/>
      <c r="AC632" s="1"/>
      <c r="AD632" s="1"/>
      <c r="AE632" s="1"/>
      <c r="AN632" s="1"/>
      <c r="AP632" s="1"/>
      <c r="AQ632" s="1"/>
      <c r="AR632" s="1"/>
      <c r="AS632" s="1"/>
      <c r="AT632" s="3"/>
      <c r="AU632" s="3"/>
      <c r="AV632" s="3"/>
      <c r="AW632" s="1"/>
      <c r="AX632" s="1"/>
      <c r="AZ632">
        <v>253</v>
      </c>
      <c r="BA632">
        <v>4654734.66</v>
      </c>
      <c r="BB632" s="1" t="s">
        <v>74</v>
      </c>
      <c r="BC632">
        <v>260</v>
      </c>
      <c r="BD632" s="1" t="s">
        <v>837</v>
      </c>
      <c r="BE632" s="1" t="s">
        <v>473</v>
      </c>
      <c r="BF632">
        <v>15.12</v>
      </c>
      <c r="BG632" s="1" t="s">
        <v>1245</v>
      </c>
      <c r="BH632" s="1" t="s">
        <v>99</v>
      </c>
      <c r="BI632">
        <v>0</v>
      </c>
      <c r="BJ632" s="1"/>
      <c r="BL632" s="1"/>
      <c r="BN632" s="1"/>
      <c r="BO632">
        <v>599</v>
      </c>
      <c r="BP632">
        <v>4654734.66</v>
      </c>
      <c r="BQ632">
        <v>4654734.66</v>
      </c>
    </row>
    <row r="633" spans="1:69" x14ac:dyDescent="0.35">
      <c r="A633" s="1" t="s">
        <v>68</v>
      </c>
      <c r="B633" s="1" t="s">
        <v>69</v>
      </c>
      <c r="C633" s="1" t="s">
        <v>70</v>
      </c>
      <c r="D633">
        <v>1</v>
      </c>
      <c r="E633">
        <v>1</v>
      </c>
      <c r="F633" s="2">
        <v>43585.43</v>
      </c>
      <c r="G633" s="3">
        <v>41275</v>
      </c>
      <c r="H633" s="3">
        <v>41639</v>
      </c>
      <c r="I633" s="1" t="s">
        <v>71</v>
      </c>
      <c r="J633">
        <v>4521</v>
      </c>
      <c r="K633">
        <v>0</v>
      </c>
      <c r="L633" s="1" t="s">
        <v>384</v>
      </c>
      <c r="M633" s="1" t="s">
        <v>72</v>
      </c>
      <c r="N633" s="1" t="s">
        <v>134</v>
      </c>
      <c r="O633" s="1" t="s">
        <v>385</v>
      </c>
      <c r="P633" s="1" t="s">
        <v>386</v>
      </c>
      <c r="Q633" s="1" t="s">
        <v>387</v>
      </c>
      <c r="R633">
        <v>103</v>
      </c>
      <c r="S633" s="1" t="s">
        <v>135</v>
      </c>
      <c r="T633" s="1" t="s">
        <v>388</v>
      </c>
      <c r="U633" s="1" t="s">
        <v>135</v>
      </c>
      <c r="V633" s="1"/>
      <c r="W633" s="1"/>
      <c r="X633" s="1"/>
      <c r="Y633" s="1"/>
      <c r="AA633" s="1"/>
      <c r="AC633" s="1"/>
      <c r="AD633" s="1"/>
      <c r="AE633" s="1"/>
      <c r="AN633" s="1"/>
      <c r="AP633" s="1"/>
      <c r="AQ633" s="1"/>
      <c r="AR633" s="1"/>
      <c r="AS633" s="1"/>
      <c r="AT633" s="3"/>
      <c r="AU633" s="3"/>
      <c r="AV633" s="3"/>
      <c r="AW633" s="1"/>
      <c r="AX633" s="1"/>
      <c r="AZ633">
        <v>253</v>
      </c>
      <c r="BA633">
        <v>4654734.66</v>
      </c>
      <c r="BB633" s="1" t="s">
        <v>74</v>
      </c>
      <c r="BC633">
        <v>261</v>
      </c>
      <c r="BD633" s="1" t="s">
        <v>837</v>
      </c>
      <c r="BE633" s="1" t="s">
        <v>99</v>
      </c>
      <c r="BF633">
        <v>0</v>
      </c>
      <c r="BG633" s="1"/>
      <c r="BH633" s="1" t="s">
        <v>392</v>
      </c>
      <c r="BI633">
        <v>15.12</v>
      </c>
      <c r="BJ633" s="1" t="s">
        <v>1245</v>
      </c>
      <c r="BL633" s="1"/>
      <c r="BN633" s="1"/>
      <c r="BO633">
        <v>599</v>
      </c>
      <c r="BP633">
        <v>4654734.66</v>
      </c>
      <c r="BQ633">
        <v>4654734.66</v>
      </c>
    </row>
    <row r="634" spans="1:69" x14ac:dyDescent="0.35">
      <c r="A634" s="1" t="s">
        <v>68</v>
      </c>
      <c r="B634" s="1" t="s">
        <v>69</v>
      </c>
      <c r="C634" s="1" t="s">
        <v>70</v>
      </c>
      <c r="D634">
        <v>1</v>
      </c>
      <c r="E634">
        <v>1</v>
      </c>
      <c r="F634" s="2">
        <v>43585.43</v>
      </c>
      <c r="G634" s="3">
        <v>41275</v>
      </c>
      <c r="H634" s="3">
        <v>41639</v>
      </c>
      <c r="I634" s="1" t="s">
        <v>71</v>
      </c>
      <c r="J634">
        <v>4521</v>
      </c>
      <c r="K634">
        <v>0</v>
      </c>
      <c r="L634" s="1" t="s">
        <v>384</v>
      </c>
      <c r="M634" s="1" t="s">
        <v>72</v>
      </c>
      <c r="N634" s="1" t="s">
        <v>134</v>
      </c>
      <c r="O634" s="1" t="s">
        <v>385</v>
      </c>
      <c r="P634" s="1" t="s">
        <v>386</v>
      </c>
      <c r="Q634" s="1" t="s">
        <v>387</v>
      </c>
      <c r="R634">
        <v>103</v>
      </c>
      <c r="S634" s="1" t="s">
        <v>135</v>
      </c>
      <c r="T634" s="1" t="s">
        <v>388</v>
      </c>
      <c r="U634" s="1" t="s">
        <v>135</v>
      </c>
      <c r="V634" s="1"/>
      <c r="W634" s="1"/>
      <c r="X634" s="1"/>
      <c r="Y634" s="1"/>
      <c r="AA634" s="1"/>
      <c r="AC634" s="1"/>
      <c r="AD634" s="1"/>
      <c r="AE634" s="1"/>
      <c r="AN634" s="1"/>
      <c r="AP634" s="1"/>
      <c r="AQ634" s="1"/>
      <c r="AR634" s="1"/>
      <c r="AS634" s="1"/>
      <c r="AT634" s="3"/>
      <c r="AU634" s="3"/>
      <c r="AV634" s="3"/>
      <c r="AW634" s="1"/>
      <c r="AX634" s="1"/>
      <c r="AZ634">
        <v>253</v>
      </c>
      <c r="BA634">
        <v>4654734.66</v>
      </c>
      <c r="BB634" s="1" t="s">
        <v>74</v>
      </c>
      <c r="BC634">
        <v>262</v>
      </c>
      <c r="BD634" s="1" t="s">
        <v>838</v>
      </c>
      <c r="BE634" s="1" t="s">
        <v>473</v>
      </c>
      <c r="BF634">
        <v>35</v>
      </c>
      <c r="BG634" s="1" t="s">
        <v>1245</v>
      </c>
      <c r="BH634" s="1" t="s">
        <v>99</v>
      </c>
      <c r="BI634">
        <v>0</v>
      </c>
      <c r="BJ634" s="1"/>
      <c r="BL634" s="1"/>
      <c r="BN634" s="1"/>
      <c r="BO634">
        <v>599</v>
      </c>
      <c r="BP634">
        <v>4654734.66</v>
      </c>
      <c r="BQ634">
        <v>4654734.66</v>
      </c>
    </row>
    <row r="635" spans="1:69" x14ac:dyDescent="0.35">
      <c r="A635" s="1" t="s">
        <v>68</v>
      </c>
      <c r="B635" s="1" t="s">
        <v>69</v>
      </c>
      <c r="C635" s="1" t="s">
        <v>70</v>
      </c>
      <c r="D635">
        <v>1</v>
      </c>
      <c r="E635">
        <v>1</v>
      </c>
      <c r="F635" s="2">
        <v>43585.43</v>
      </c>
      <c r="G635" s="3">
        <v>41275</v>
      </c>
      <c r="H635" s="3">
        <v>41639</v>
      </c>
      <c r="I635" s="1" t="s">
        <v>71</v>
      </c>
      <c r="J635">
        <v>4521</v>
      </c>
      <c r="K635">
        <v>0</v>
      </c>
      <c r="L635" s="1" t="s">
        <v>384</v>
      </c>
      <c r="M635" s="1" t="s">
        <v>72</v>
      </c>
      <c r="N635" s="1" t="s">
        <v>134</v>
      </c>
      <c r="O635" s="1" t="s">
        <v>385</v>
      </c>
      <c r="P635" s="1" t="s">
        <v>386</v>
      </c>
      <c r="Q635" s="1" t="s">
        <v>387</v>
      </c>
      <c r="R635">
        <v>103</v>
      </c>
      <c r="S635" s="1" t="s">
        <v>135</v>
      </c>
      <c r="T635" s="1" t="s">
        <v>388</v>
      </c>
      <c r="U635" s="1" t="s">
        <v>135</v>
      </c>
      <c r="V635" s="1"/>
      <c r="W635" s="1"/>
      <c r="X635" s="1"/>
      <c r="Y635" s="1"/>
      <c r="AA635" s="1"/>
      <c r="AC635" s="1"/>
      <c r="AD635" s="1"/>
      <c r="AE635" s="1"/>
      <c r="AN635" s="1"/>
      <c r="AP635" s="1"/>
      <c r="AQ635" s="1"/>
      <c r="AR635" s="1"/>
      <c r="AS635" s="1"/>
      <c r="AT635" s="3"/>
      <c r="AU635" s="3"/>
      <c r="AV635" s="3"/>
      <c r="AW635" s="1"/>
      <c r="AX635" s="1"/>
      <c r="AZ635">
        <v>253</v>
      </c>
      <c r="BA635">
        <v>4654734.66</v>
      </c>
      <c r="BB635" s="1" t="s">
        <v>74</v>
      </c>
      <c r="BC635">
        <v>263</v>
      </c>
      <c r="BD635" s="1" t="s">
        <v>838</v>
      </c>
      <c r="BE635" s="1" t="s">
        <v>99</v>
      </c>
      <c r="BF635">
        <v>0</v>
      </c>
      <c r="BG635" s="1"/>
      <c r="BH635" s="1" t="s">
        <v>392</v>
      </c>
      <c r="BI635">
        <v>35</v>
      </c>
      <c r="BJ635" s="1" t="s">
        <v>1245</v>
      </c>
      <c r="BL635" s="1"/>
      <c r="BN635" s="1"/>
      <c r="BO635">
        <v>599</v>
      </c>
      <c r="BP635">
        <v>4654734.66</v>
      </c>
      <c r="BQ635">
        <v>4654734.66</v>
      </c>
    </row>
    <row r="636" spans="1:69" x14ac:dyDescent="0.35">
      <c r="A636" s="1" t="s">
        <v>68</v>
      </c>
      <c r="B636" s="1" t="s">
        <v>69</v>
      </c>
      <c r="C636" s="1" t="s">
        <v>70</v>
      </c>
      <c r="D636">
        <v>1</v>
      </c>
      <c r="E636">
        <v>1</v>
      </c>
      <c r="F636" s="2">
        <v>43585.43</v>
      </c>
      <c r="G636" s="3">
        <v>41275</v>
      </c>
      <c r="H636" s="3">
        <v>41639</v>
      </c>
      <c r="I636" s="1" t="s">
        <v>71</v>
      </c>
      <c r="J636">
        <v>4521</v>
      </c>
      <c r="K636">
        <v>0</v>
      </c>
      <c r="L636" s="1" t="s">
        <v>384</v>
      </c>
      <c r="M636" s="1" t="s">
        <v>72</v>
      </c>
      <c r="N636" s="1" t="s">
        <v>134</v>
      </c>
      <c r="O636" s="1" t="s">
        <v>385</v>
      </c>
      <c r="P636" s="1" t="s">
        <v>386</v>
      </c>
      <c r="Q636" s="1" t="s">
        <v>387</v>
      </c>
      <c r="R636">
        <v>103</v>
      </c>
      <c r="S636" s="1" t="s">
        <v>135</v>
      </c>
      <c r="T636" s="1" t="s">
        <v>388</v>
      </c>
      <c r="U636" s="1" t="s">
        <v>135</v>
      </c>
      <c r="V636" s="1"/>
      <c r="W636" s="1"/>
      <c r="X636" s="1"/>
      <c r="Y636" s="1"/>
      <c r="AA636" s="1"/>
      <c r="AC636" s="1"/>
      <c r="AD636" s="1"/>
      <c r="AE636" s="1"/>
      <c r="AN636" s="1"/>
      <c r="AP636" s="1"/>
      <c r="AQ636" s="1"/>
      <c r="AR636" s="1"/>
      <c r="AS636" s="1"/>
      <c r="AT636" s="3"/>
      <c r="AU636" s="3"/>
      <c r="AV636" s="3"/>
      <c r="AW636" s="1"/>
      <c r="AX636" s="1"/>
      <c r="AZ636">
        <v>253</v>
      </c>
      <c r="BA636">
        <v>4654734.66</v>
      </c>
      <c r="BB636" s="1" t="s">
        <v>74</v>
      </c>
      <c r="BC636">
        <v>264</v>
      </c>
      <c r="BD636" s="1" t="s">
        <v>839</v>
      </c>
      <c r="BE636" s="1" t="s">
        <v>473</v>
      </c>
      <c r="BF636">
        <v>110.5</v>
      </c>
      <c r="BG636" s="1" t="s">
        <v>1245</v>
      </c>
      <c r="BH636" s="1" t="s">
        <v>99</v>
      </c>
      <c r="BI636">
        <v>0</v>
      </c>
      <c r="BJ636" s="1"/>
      <c r="BL636" s="1"/>
      <c r="BN636" s="1"/>
      <c r="BO636">
        <v>599</v>
      </c>
      <c r="BP636">
        <v>4654734.66</v>
      </c>
      <c r="BQ636">
        <v>4654734.66</v>
      </c>
    </row>
    <row r="637" spans="1:69" x14ac:dyDescent="0.35">
      <c r="A637" s="1" t="s">
        <v>68</v>
      </c>
      <c r="B637" s="1" t="s">
        <v>69</v>
      </c>
      <c r="C637" s="1" t="s">
        <v>70</v>
      </c>
      <c r="D637">
        <v>1</v>
      </c>
      <c r="E637">
        <v>1</v>
      </c>
      <c r="F637" s="2">
        <v>43585.43</v>
      </c>
      <c r="G637" s="3">
        <v>41275</v>
      </c>
      <c r="H637" s="3">
        <v>41639</v>
      </c>
      <c r="I637" s="1" t="s">
        <v>71</v>
      </c>
      <c r="J637">
        <v>4521</v>
      </c>
      <c r="K637">
        <v>0</v>
      </c>
      <c r="L637" s="1" t="s">
        <v>384</v>
      </c>
      <c r="M637" s="1" t="s">
        <v>72</v>
      </c>
      <c r="N637" s="1" t="s">
        <v>134</v>
      </c>
      <c r="O637" s="1" t="s">
        <v>385</v>
      </c>
      <c r="P637" s="1" t="s">
        <v>386</v>
      </c>
      <c r="Q637" s="1" t="s">
        <v>387</v>
      </c>
      <c r="R637">
        <v>103</v>
      </c>
      <c r="S637" s="1" t="s">
        <v>135</v>
      </c>
      <c r="T637" s="1" t="s">
        <v>388</v>
      </c>
      <c r="U637" s="1" t="s">
        <v>135</v>
      </c>
      <c r="V637" s="1"/>
      <c r="W637" s="1"/>
      <c r="X637" s="1"/>
      <c r="Y637" s="1"/>
      <c r="AA637" s="1"/>
      <c r="AC637" s="1"/>
      <c r="AD637" s="1"/>
      <c r="AE637" s="1"/>
      <c r="AN637" s="1"/>
      <c r="AP637" s="1"/>
      <c r="AQ637" s="1"/>
      <c r="AR637" s="1"/>
      <c r="AS637" s="1"/>
      <c r="AT637" s="3"/>
      <c r="AU637" s="3"/>
      <c r="AV637" s="3"/>
      <c r="AW637" s="1"/>
      <c r="AX637" s="1"/>
      <c r="AZ637">
        <v>253</v>
      </c>
      <c r="BA637">
        <v>4654734.66</v>
      </c>
      <c r="BB637" s="1" t="s">
        <v>74</v>
      </c>
      <c r="BC637">
        <v>265</v>
      </c>
      <c r="BD637" s="1" t="s">
        <v>839</v>
      </c>
      <c r="BE637" s="1" t="s">
        <v>99</v>
      </c>
      <c r="BF637">
        <v>0</v>
      </c>
      <c r="BG637" s="1"/>
      <c r="BH637" s="1" t="s">
        <v>392</v>
      </c>
      <c r="BI637">
        <v>110.5</v>
      </c>
      <c r="BJ637" s="1" t="s">
        <v>1245</v>
      </c>
      <c r="BL637" s="1"/>
      <c r="BN637" s="1"/>
      <c r="BO637">
        <v>599</v>
      </c>
      <c r="BP637">
        <v>4654734.66</v>
      </c>
      <c r="BQ637">
        <v>4654734.66</v>
      </c>
    </row>
    <row r="638" spans="1:69" x14ac:dyDescent="0.35">
      <c r="A638" s="1" t="s">
        <v>68</v>
      </c>
      <c r="B638" s="1" t="s">
        <v>69</v>
      </c>
      <c r="C638" s="1" t="s">
        <v>70</v>
      </c>
      <c r="D638">
        <v>1</v>
      </c>
      <c r="E638">
        <v>1</v>
      </c>
      <c r="F638" s="2">
        <v>43585.43</v>
      </c>
      <c r="G638" s="3">
        <v>41275</v>
      </c>
      <c r="H638" s="3">
        <v>41639</v>
      </c>
      <c r="I638" s="1" t="s">
        <v>71</v>
      </c>
      <c r="J638">
        <v>4521</v>
      </c>
      <c r="K638">
        <v>0</v>
      </c>
      <c r="L638" s="1" t="s">
        <v>384</v>
      </c>
      <c r="M638" s="1" t="s">
        <v>72</v>
      </c>
      <c r="N638" s="1" t="s">
        <v>134</v>
      </c>
      <c r="O638" s="1" t="s">
        <v>385</v>
      </c>
      <c r="P638" s="1" t="s">
        <v>386</v>
      </c>
      <c r="Q638" s="1" t="s">
        <v>387</v>
      </c>
      <c r="R638">
        <v>103</v>
      </c>
      <c r="S638" s="1" t="s">
        <v>135</v>
      </c>
      <c r="T638" s="1" t="s">
        <v>388</v>
      </c>
      <c r="U638" s="1" t="s">
        <v>135</v>
      </c>
      <c r="V638" s="1"/>
      <c r="W638" s="1"/>
      <c r="X638" s="1"/>
      <c r="Y638" s="1"/>
      <c r="AA638" s="1"/>
      <c r="AC638" s="1"/>
      <c r="AD638" s="1"/>
      <c r="AE638" s="1"/>
      <c r="AN638" s="1"/>
      <c r="AP638" s="1"/>
      <c r="AQ638" s="1"/>
      <c r="AR638" s="1"/>
      <c r="AS638" s="1"/>
      <c r="AT638" s="3"/>
      <c r="AU638" s="3"/>
      <c r="AV638" s="3"/>
      <c r="AW638" s="1"/>
      <c r="AX638" s="1"/>
      <c r="AZ638">
        <v>253</v>
      </c>
      <c r="BA638">
        <v>4654734.66</v>
      </c>
      <c r="BB638" s="1" t="s">
        <v>74</v>
      </c>
      <c r="BC638">
        <v>266</v>
      </c>
      <c r="BD638" s="1" t="s">
        <v>840</v>
      </c>
      <c r="BE638" s="1" t="s">
        <v>473</v>
      </c>
      <c r="BF638">
        <v>65</v>
      </c>
      <c r="BG638" s="1" t="s">
        <v>1245</v>
      </c>
      <c r="BH638" s="1" t="s">
        <v>99</v>
      </c>
      <c r="BI638">
        <v>0</v>
      </c>
      <c r="BJ638" s="1"/>
      <c r="BL638" s="1"/>
      <c r="BN638" s="1"/>
      <c r="BO638">
        <v>599</v>
      </c>
      <c r="BP638">
        <v>4654734.66</v>
      </c>
      <c r="BQ638">
        <v>4654734.66</v>
      </c>
    </row>
    <row r="639" spans="1:69" x14ac:dyDescent="0.35">
      <c r="A639" s="1" t="s">
        <v>68</v>
      </c>
      <c r="B639" s="1" t="s">
        <v>69</v>
      </c>
      <c r="C639" s="1" t="s">
        <v>70</v>
      </c>
      <c r="D639">
        <v>1</v>
      </c>
      <c r="E639">
        <v>1</v>
      </c>
      <c r="F639" s="2">
        <v>43585.43</v>
      </c>
      <c r="G639" s="3">
        <v>41275</v>
      </c>
      <c r="H639" s="3">
        <v>41639</v>
      </c>
      <c r="I639" s="1" t="s">
        <v>71</v>
      </c>
      <c r="J639">
        <v>4521</v>
      </c>
      <c r="K639">
        <v>0</v>
      </c>
      <c r="L639" s="1" t="s">
        <v>384</v>
      </c>
      <c r="M639" s="1" t="s">
        <v>72</v>
      </c>
      <c r="N639" s="1" t="s">
        <v>134</v>
      </c>
      <c r="O639" s="1" t="s">
        <v>385</v>
      </c>
      <c r="P639" s="1" t="s">
        <v>386</v>
      </c>
      <c r="Q639" s="1" t="s">
        <v>387</v>
      </c>
      <c r="R639">
        <v>103</v>
      </c>
      <c r="S639" s="1" t="s">
        <v>135</v>
      </c>
      <c r="T639" s="1" t="s">
        <v>388</v>
      </c>
      <c r="U639" s="1" t="s">
        <v>135</v>
      </c>
      <c r="V639" s="1"/>
      <c r="W639" s="1"/>
      <c r="X639" s="1"/>
      <c r="Y639" s="1"/>
      <c r="AA639" s="1"/>
      <c r="AC639" s="1"/>
      <c r="AD639" s="1"/>
      <c r="AE639" s="1"/>
      <c r="AN639" s="1"/>
      <c r="AP639" s="1"/>
      <c r="AQ639" s="1"/>
      <c r="AR639" s="1"/>
      <c r="AS639" s="1"/>
      <c r="AT639" s="3"/>
      <c r="AU639" s="3"/>
      <c r="AV639" s="3"/>
      <c r="AW639" s="1"/>
      <c r="AX639" s="1"/>
      <c r="AZ639">
        <v>253</v>
      </c>
      <c r="BA639">
        <v>4654734.66</v>
      </c>
      <c r="BB639" s="1" t="s">
        <v>74</v>
      </c>
      <c r="BC639">
        <v>267</v>
      </c>
      <c r="BD639" s="1" t="s">
        <v>840</v>
      </c>
      <c r="BE639" s="1" t="s">
        <v>99</v>
      </c>
      <c r="BF639">
        <v>0</v>
      </c>
      <c r="BG639" s="1"/>
      <c r="BH639" s="1" t="s">
        <v>392</v>
      </c>
      <c r="BI639">
        <v>65</v>
      </c>
      <c r="BJ639" s="1" t="s">
        <v>1245</v>
      </c>
      <c r="BL639" s="1"/>
      <c r="BN639" s="1"/>
      <c r="BO639">
        <v>599</v>
      </c>
      <c r="BP639">
        <v>4654734.66</v>
      </c>
      <c r="BQ639">
        <v>4654734.66</v>
      </c>
    </row>
    <row r="640" spans="1:69" x14ac:dyDescent="0.35">
      <c r="A640" s="1" t="s">
        <v>68</v>
      </c>
      <c r="B640" s="1" t="s">
        <v>69</v>
      </c>
      <c r="C640" s="1" t="s">
        <v>70</v>
      </c>
      <c r="D640">
        <v>1</v>
      </c>
      <c r="E640">
        <v>1</v>
      </c>
      <c r="F640" s="2">
        <v>43585.43</v>
      </c>
      <c r="G640" s="3">
        <v>41275</v>
      </c>
      <c r="H640" s="3">
        <v>41639</v>
      </c>
      <c r="I640" s="1" t="s">
        <v>71</v>
      </c>
      <c r="J640">
        <v>4521</v>
      </c>
      <c r="K640">
        <v>0</v>
      </c>
      <c r="L640" s="1" t="s">
        <v>384</v>
      </c>
      <c r="M640" s="1" t="s">
        <v>72</v>
      </c>
      <c r="N640" s="1" t="s">
        <v>134</v>
      </c>
      <c r="O640" s="1" t="s">
        <v>385</v>
      </c>
      <c r="P640" s="1" t="s">
        <v>386</v>
      </c>
      <c r="Q640" s="1" t="s">
        <v>387</v>
      </c>
      <c r="R640">
        <v>103</v>
      </c>
      <c r="S640" s="1" t="s">
        <v>135</v>
      </c>
      <c r="T640" s="1" t="s">
        <v>388</v>
      </c>
      <c r="U640" s="1" t="s">
        <v>135</v>
      </c>
      <c r="V640" s="1"/>
      <c r="W640" s="1"/>
      <c r="X640" s="1"/>
      <c r="Y640" s="1"/>
      <c r="AA640" s="1"/>
      <c r="AC640" s="1"/>
      <c r="AD640" s="1"/>
      <c r="AE640" s="1"/>
      <c r="AN640" s="1"/>
      <c r="AP640" s="1"/>
      <c r="AQ640" s="1"/>
      <c r="AR640" s="1"/>
      <c r="AS640" s="1"/>
      <c r="AT640" s="3"/>
      <c r="AU640" s="3"/>
      <c r="AV640" s="3"/>
      <c r="AW640" s="1"/>
      <c r="AX640" s="1"/>
      <c r="AZ640">
        <v>253</v>
      </c>
      <c r="BA640">
        <v>4654734.66</v>
      </c>
      <c r="BB640" s="1" t="s">
        <v>74</v>
      </c>
      <c r="BC640">
        <v>268</v>
      </c>
      <c r="BD640" s="1" t="s">
        <v>841</v>
      </c>
      <c r="BE640" s="1" t="s">
        <v>473</v>
      </c>
      <c r="BF640">
        <v>35</v>
      </c>
      <c r="BG640" s="1" t="s">
        <v>1245</v>
      </c>
      <c r="BH640" s="1" t="s">
        <v>99</v>
      </c>
      <c r="BI640">
        <v>0</v>
      </c>
      <c r="BJ640" s="1"/>
      <c r="BL640" s="1"/>
      <c r="BN640" s="1"/>
      <c r="BO640">
        <v>599</v>
      </c>
      <c r="BP640">
        <v>4654734.66</v>
      </c>
      <c r="BQ640">
        <v>4654734.66</v>
      </c>
    </row>
    <row r="641" spans="1:69" x14ac:dyDescent="0.35">
      <c r="A641" s="1" t="s">
        <v>68</v>
      </c>
      <c r="B641" s="1" t="s">
        <v>69</v>
      </c>
      <c r="C641" s="1" t="s">
        <v>70</v>
      </c>
      <c r="D641">
        <v>1</v>
      </c>
      <c r="E641">
        <v>1</v>
      </c>
      <c r="F641" s="2">
        <v>43585.43</v>
      </c>
      <c r="G641" s="3">
        <v>41275</v>
      </c>
      <c r="H641" s="3">
        <v>41639</v>
      </c>
      <c r="I641" s="1" t="s">
        <v>71</v>
      </c>
      <c r="J641">
        <v>4521</v>
      </c>
      <c r="K641">
        <v>0</v>
      </c>
      <c r="L641" s="1" t="s">
        <v>384</v>
      </c>
      <c r="M641" s="1" t="s">
        <v>72</v>
      </c>
      <c r="N641" s="1" t="s">
        <v>134</v>
      </c>
      <c r="O641" s="1" t="s">
        <v>385</v>
      </c>
      <c r="P641" s="1" t="s">
        <v>386</v>
      </c>
      <c r="Q641" s="1" t="s">
        <v>387</v>
      </c>
      <c r="R641">
        <v>103</v>
      </c>
      <c r="S641" s="1" t="s">
        <v>135</v>
      </c>
      <c r="T641" s="1" t="s">
        <v>388</v>
      </c>
      <c r="U641" s="1" t="s">
        <v>135</v>
      </c>
      <c r="V641" s="1"/>
      <c r="W641" s="1"/>
      <c r="X641" s="1"/>
      <c r="Y641" s="1"/>
      <c r="AA641" s="1"/>
      <c r="AC641" s="1"/>
      <c r="AD641" s="1"/>
      <c r="AE641" s="1"/>
      <c r="AN641" s="1"/>
      <c r="AP641" s="1"/>
      <c r="AQ641" s="1"/>
      <c r="AR641" s="1"/>
      <c r="AS641" s="1"/>
      <c r="AT641" s="3"/>
      <c r="AU641" s="3"/>
      <c r="AV641" s="3"/>
      <c r="AW641" s="1"/>
      <c r="AX641" s="1"/>
      <c r="AZ641">
        <v>253</v>
      </c>
      <c r="BA641">
        <v>4654734.66</v>
      </c>
      <c r="BB641" s="1" t="s">
        <v>74</v>
      </c>
      <c r="BC641">
        <v>269</v>
      </c>
      <c r="BD641" s="1" t="s">
        <v>841</v>
      </c>
      <c r="BE641" s="1" t="s">
        <v>99</v>
      </c>
      <c r="BF641">
        <v>0</v>
      </c>
      <c r="BG641" s="1"/>
      <c r="BH641" s="1" t="s">
        <v>392</v>
      </c>
      <c r="BI641">
        <v>35</v>
      </c>
      <c r="BJ641" s="1" t="s">
        <v>1245</v>
      </c>
      <c r="BL641" s="1"/>
      <c r="BN641" s="1"/>
      <c r="BO641">
        <v>599</v>
      </c>
      <c r="BP641">
        <v>4654734.66</v>
      </c>
      <c r="BQ641">
        <v>4654734.66</v>
      </c>
    </row>
    <row r="642" spans="1:69" x14ac:dyDescent="0.35">
      <c r="A642" s="1" t="s">
        <v>68</v>
      </c>
      <c r="B642" s="1" t="s">
        <v>69</v>
      </c>
      <c r="C642" s="1" t="s">
        <v>70</v>
      </c>
      <c r="D642">
        <v>1</v>
      </c>
      <c r="E642">
        <v>1</v>
      </c>
      <c r="F642" s="2">
        <v>43585.43</v>
      </c>
      <c r="G642" s="3">
        <v>41275</v>
      </c>
      <c r="H642" s="3">
        <v>41639</v>
      </c>
      <c r="I642" s="1" t="s">
        <v>71</v>
      </c>
      <c r="J642">
        <v>4521</v>
      </c>
      <c r="K642">
        <v>0</v>
      </c>
      <c r="L642" s="1" t="s">
        <v>384</v>
      </c>
      <c r="M642" s="1" t="s">
        <v>72</v>
      </c>
      <c r="N642" s="1" t="s">
        <v>134</v>
      </c>
      <c r="O642" s="1" t="s">
        <v>385</v>
      </c>
      <c r="P642" s="1" t="s">
        <v>386</v>
      </c>
      <c r="Q642" s="1" t="s">
        <v>387</v>
      </c>
      <c r="R642">
        <v>103</v>
      </c>
      <c r="S642" s="1" t="s">
        <v>135</v>
      </c>
      <c r="T642" s="1" t="s">
        <v>388</v>
      </c>
      <c r="U642" s="1" t="s">
        <v>135</v>
      </c>
      <c r="V642" s="1"/>
      <c r="W642" s="1"/>
      <c r="X642" s="1"/>
      <c r="Y642" s="1"/>
      <c r="AA642" s="1"/>
      <c r="AC642" s="1"/>
      <c r="AD642" s="1"/>
      <c r="AE642" s="1"/>
      <c r="AN642" s="1"/>
      <c r="AP642" s="1"/>
      <c r="AQ642" s="1"/>
      <c r="AR642" s="1"/>
      <c r="AS642" s="1"/>
      <c r="AT642" s="3"/>
      <c r="AU642" s="3"/>
      <c r="AV642" s="3"/>
      <c r="AW642" s="1"/>
      <c r="AX642" s="1"/>
      <c r="AZ642">
        <v>253</v>
      </c>
      <c r="BA642">
        <v>4654734.66</v>
      </c>
      <c r="BB642" s="1" t="s">
        <v>74</v>
      </c>
      <c r="BC642">
        <v>270</v>
      </c>
      <c r="BD642" s="1" t="s">
        <v>842</v>
      </c>
      <c r="BE642" s="1" t="s">
        <v>473</v>
      </c>
      <c r="BF642">
        <v>55.5</v>
      </c>
      <c r="BG642" s="1" t="s">
        <v>1245</v>
      </c>
      <c r="BH642" s="1" t="s">
        <v>99</v>
      </c>
      <c r="BI642">
        <v>0</v>
      </c>
      <c r="BJ642" s="1"/>
      <c r="BL642" s="1"/>
      <c r="BN642" s="1"/>
      <c r="BO642">
        <v>599</v>
      </c>
      <c r="BP642">
        <v>4654734.66</v>
      </c>
      <c r="BQ642">
        <v>4654734.66</v>
      </c>
    </row>
    <row r="643" spans="1:69" x14ac:dyDescent="0.35">
      <c r="A643" s="1" t="s">
        <v>68</v>
      </c>
      <c r="B643" s="1" t="s">
        <v>69</v>
      </c>
      <c r="C643" s="1" t="s">
        <v>70</v>
      </c>
      <c r="D643">
        <v>1</v>
      </c>
      <c r="E643">
        <v>1</v>
      </c>
      <c r="F643" s="2">
        <v>43585.43</v>
      </c>
      <c r="G643" s="3">
        <v>41275</v>
      </c>
      <c r="H643" s="3">
        <v>41639</v>
      </c>
      <c r="I643" s="1" t="s">
        <v>71</v>
      </c>
      <c r="J643">
        <v>4521</v>
      </c>
      <c r="K643">
        <v>0</v>
      </c>
      <c r="L643" s="1" t="s">
        <v>384</v>
      </c>
      <c r="M643" s="1" t="s">
        <v>72</v>
      </c>
      <c r="N643" s="1" t="s">
        <v>134</v>
      </c>
      <c r="O643" s="1" t="s">
        <v>385</v>
      </c>
      <c r="P643" s="1" t="s">
        <v>386</v>
      </c>
      <c r="Q643" s="1" t="s">
        <v>387</v>
      </c>
      <c r="R643">
        <v>103</v>
      </c>
      <c r="S643" s="1" t="s">
        <v>135</v>
      </c>
      <c r="T643" s="1" t="s">
        <v>388</v>
      </c>
      <c r="U643" s="1" t="s">
        <v>135</v>
      </c>
      <c r="V643" s="1"/>
      <c r="W643" s="1"/>
      <c r="X643" s="1"/>
      <c r="Y643" s="1"/>
      <c r="AA643" s="1"/>
      <c r="AC643" s="1"/>
      <c r="AD643" s="1"/>
      <c r="AE643" s="1"/>
      <c r="AN643" s="1"/>
      <c r="AP643" s="1"/>
      <c r="AQ643" s="1"/>
      <c r="AR643" s="1"/>
      <c r="AS643" s="1"/>
      <c r="AT643" s="3"/>
      <c r="AU643" s="3"/>
      <c r="AV643" s="3"/>
      <c r="AW643" s="1"/>
      <c r="AX643" s="1"/>
      <c r="AZ643">
        <v>253</v>
      </c>
      <c r="BA643">
        <v>4654734.66</v>
      </c>
      <c r="BB643" s="1" t="s">
        <v>74</v>
      </c>
      <c r="BC643">
        <v>271</v>
      </c>
      <c r="BD643" s="1" t="s">
        <v>842</v>
      </c>
      <c r="BE643" s="1" t="s">
        <v>99</v>
      </c>
      <c r="BF643">
        <v>0</v>
      </c>
      <c r="BG643" s="1"/>
      <c r="BH643" s="1" t="s">
        <v>392</v>
      </c>
      <c r="BI643">
        <v>55.5</v>
      </c>
      <c r="BJ643" s="1" t="s">
        <v>1245</v>
      </c>
      <c r="BL643" s="1"/>
      <c r="BN643" s="1"/>
      <c r="BO643">
        <v>599</v>
      </c>
      <c r="BP643">
        <v>4654734.66</v>
      </c>
      <c r="BQ643">
        <v>4654734.66</v>
      </c>
    </row>
    <row r="644" spans="1:69" x14ac:dyDescent="0.35">
      <c r="A644" s="1" t="s">
        <v>68</v>
      </c>
      <c r="B644" s="1" t="s">
        <v>69</v>
      </c>
      <c r="C644" s="1" t="s">
        <v>70</v>
      </c>
      <c r="D644">
        <v>1</v>
      </c>
      <c r="E644">
        <v>1</v>
      </c>
      <c r="F644" s="2">
        <v>43585.43</v>
      </c>
      <c r="G644" s="3">
        <v>41275</v>
      </c>
      <c r="H644" s="3">
        <v>41639</v>
      </c>
      <c r="I644" s="1" t="s">
        <v>71</v>
      </c>
      <c r="J644">
        <v>4521</v>
      </c>
      <c r="K644">
        <v>0</v>
      </c>
      <c r="L644" s="1" t="s">
        <v>384</v>
      </c>
      <c r="M644" s="1" t="s">
        <v>72</v>
      </c>
      <c r="N644" s="1" t="s">
        <v>134</v>
      </c>
      <c r="O644" s="1" t="s">
        <v>385</v>
      </c>
      <c r="P644" s="1" t="s">
        <v>386</v>
      </c>
      <c r="Q644" s="1" t="s">
        <v>387</v>
      </c>
      <c r="R644">
        <v>103</v>
      </c>
      <c r="S644" s="1" t="s">
        <v>135</v>
      </c>
      <c r="T644" s="1" t="s">
        <v>388</v>
      </c>
      <c r="U644" s="1" t="s">
        <v>135</v>
      </c>
      <c r="V644" s="1"/>
      <c r="W644" s="1"/>
      <c r="X644" s="1"/>
      <c r="Y644" s="1"/>
      <c r="AA644" s="1"/>
      <c r="AC644" s="1"/>
      <c r="AD644" s="1"/>
      <c r="AE644" s="1"/>
      <c r="AN644" s="1"/>
      <c r="AP644" s="1"/>
      <c r="AQ644" s="1"/>
      <c r="AR644" s="1"/>
      <c r="AS644" s="1"/>
      <c r="AT644" s="3"/>
      <c r="AU644" s="3"/>
      <c r="AV644" s="3"/>
      <c r="AW644" s="1"/>
      <c r="AX644" s="1"/>
      <c r="AZ644">
        <v>253</v>
      </c>
      <c r="BA644">
        <v>4654734.66</v>
      </c>
      <c r="BB644" s="1" t="s">
        <v>74</v>
      </c>
      <c r="BC644">
        <v>272</v>
      </c>
      <c r="BD644" s="1" t="s">
        <v>843</v>
      </c>
      <c r="BE644" s="1" t="s">
        <v>392</v>
      </c>
      <c r="BF644">
        <v>500</v>
      </c>
      <c r="BG644" s="1" t="s">
        <v>1246</v>
      </c>
      <c r="BH644" s="1" t="s">
        <v>99</v>
      </c>
      <c r="BI644">
        <v>0</v>
      </c>
      <c r="BJ644" s="1"/>
      <c r="BL644" s="1"/>
      <c r="BN644" s="1"/>
      <c r="BO644">
        <v>599</v>
      </c>
      <c r="BP644">
        <v>4654734.66</v>
      </c>
      <c r="BQ644">
        <v>4654734.66</v>
      </c>
    </row>
    <row r="645" spans="1:69" x14ac:dyDescent="0.35">
      <c r="A645" s="1" t="s">
        <v>68</v>
      </c>
      <c r="B645" s="1" t="s">
        <v>69</v>
      </c>
      <c r="C645" s="1" t="s">
        <v>70</v>
      </c>
      <c r="D645">
        <v>1</v>
      </c>
      <c r="E645">
        <v>1</v>
      </c>
      <c r="F645" s="2">
        <v>43585.43</v>
      </c>
      <c r="G645" s="3">
        <v>41275</v>
      </c>
      <c r="H645" s="3">
        <v>41639</v>
      </c>
      <c r="I645" s="1" t="s">
        <v>71</v>
      </c>
      <c r="J645">
        <v>4521</v>
      </c>
      <c r="K645">
        <v>0</v>
      </c>
      <c r="L645" s="1" t="s">
        <v>384</v>
      </c>
      <c r="M645" s="1" t="s">
        <v>72</v>
      </c>
      <c r="N645" s="1" t="s">
        <v>134</v>
      </c>
      <c r="O645" s="1" t="s">
        <v>385</v>
      </c>
      <c r="P645" s="1" t="s">
        <v>386</v>
      </c>
      <c r="Q645" s="1" t="s">
        <v>387</v>
      </c>
      <c r="R645">
        <v>103</v>
      </c>
      <c r="S645" s="1" t="s">
        <v>135</v>
      </c>
      <c r="T645" s="1" t="s">
        <v>388</v>
      </c>
      <c r="U645" s="1" t="s">
        <v>135</v>
      </c>
      <c r="V645" s="1"/>
      <c r="W645" s="1"/>
      <c r="X645" s="1"/>
      <c r="Y645" s="1"/>
      <c r="AA645" s="1"/>
      <c r="AC645" s="1"/>
      <c r="AD645" s="1"/>
      <c r="AE645" s="1"/>
      <c r="AN645" s="1"/>
      <c r="AP645" s="1"/>
      <c r="AQ645" s="1"/>
      <c r="AR645" s="1"/>
      <c r="AS645" s="1"/>
      <c r="AT645" s="3"/>
      <c r="AU645" s="3"/>
      <c r="AV645" s="3"/>
      <c r="AW645" s="1"/>
      <c r="AX645" s="1"/>
      <c r="AZ645">
        <v>253</v>
      </c>
      <c r="BA645">
        <v>4654734.66</v>
      </c>
      <c r="BB645" s="1" t="s">
        <v>74</v>
      </c>
      <c r="BC645">
        <v>273</v>
      </c>
      <c r="BD645" s="1" t="s">
        <v>843</v>
      </c>
      <c r="BE645" s="1" t="s">
        <v>99</v>
      </c>
      <c r="BF645">
        <v>0</v>
      </c>
      <c r="BG645" s="1"/>
      <c r="BH645" s="1" t="s">
        <v>458</v>
      </c>
      <c r="BI645">
        <v>500</v>
      </c>
      <c r="BJ645" s="1" t="s">
        <v>1246</v>
      </c>
      <c r="BL645" s="1"/>
      <c r="BN645" s="1"/>
      <c r="BO645">
        <v>599</v>
      </c>
      <c r="BP645">
        <v>4654734.66</v>
      </c>
      <c r="BQ645">
        <v>4654734.66</v>
      </c>
    </row>
    <row r="646" spans="1:69" x14ac:dyDescent="0.35">
      <c r="A646" s="1" t="s">
        <v>68</v>
      </c>
      <c r="B646" s="1" t="s">
        <v>69</v>
      </c>
      <c r="C646" s="1" t="s">
        <v>70</v>
      </c>
      <c r="D646">
        <v>1</v>
      </c>
      <c r="E646">
        <v>1</v>
      </c>
      <c r="F646" s="2">
        <v>43585.43</v>
      </c>
      <c r="G646" s="3">
        <v>41275</v>
      </c>
      <c r="H646" s="3">
        <v>41639</v>
      </c>
      <c r="I646" s="1" t="s">
        <v>71</v>
      </c>
      <c r="J646">
        <v>4521</v>
      </c>
      <c r="K646">
        <v>0</v>
      </c>
      <c r="L646" s="1" t="s">
        <v>384</v>
      </c>
      <c r="M646" s="1" t="s">
        <v>72</v>
      </c>
      <c r="N646" s="1" t="s">
        <v>134</v>
      </c>
      <c r="O646" s="1" t="s">
        <v>385</v>
      </c>
      <c r="P646" s="1" t="s">
        <v>386</v>
      </c>
      <c r="Q646" s="1" t="s">
        <v>387</v>
      </c>
      <c r="R646">
        <v>103</v>
      </c>
      <c r="S646" s="1" t="s">
        <v>135</v>
      </c>
      <c r="T646" s="1" t="s">
        <v>388</v>
      </c>
      <c r="U646" s="1" t="s">
        <v>135</v>
      </c>
      <c r="V646" s="1"/>
      <c r="W646" s="1"/>
      <c r="X646" s="1"/>
      <c r="Y646" s="1"/>
      <c r="AA646" s="1"/>
      <c r="AC646" s="1"/>
      <c r="AD646" s="1"/>
      <c r="AE646" s="1"/>
      <c r="AN646" s="1"/>
      <c r="AP646" s="1"/>
      <c r="AQ646" s="1"/>
      <c r="AR646" s="1"/>
      <c r="AS646" s="1"/>
      <c r="AT646" s="3"/>
      <c r="AU646" s="3"/>
      <c r="AV646" s="3"/>
      <c r="AW646" s="1"/>
      <c r="AX646" s="1"/>
      <c r="AZ646">
        <v>253</v>
      </c>
      <c r="BA646">
        <v>4654734.66</v>
      </c>
      <c r="BB646" s="1" t="s">
        <v>74</v>
      </c>
      <c r="BC646">
        <v>274</v>
      </c>
      <c r="BD646" s="1" t="s">
        <v>844</v>
      </c>
      <c r="BE646" s="1" t="s">
        <v>481</v>
      </c>
      <c r="BF646">
        <v>339.24</v>
      </c>
      <c r="BG646" s="1" t="s">
        <v>1245</v>
      </c>
      <c r="BH646" s="1" t="s">
        <v>99</v>
      </c>
      <c r="BI646">
        <v>0</v>
      </c>
      <c r="BJ646" s="1"/>
      <c r="BL646" s="1"/>
      <c r="BN646" s="1"/>
      <c r="BO646">
        <v>599</v>
      </c>
      <c r="BP646">
        <v>4654734.66</v>
      </c>
      <c r="BQ646">
        <v>4654734.66</v>
      </c>
    </row>
    <row r="647" spans="1:69" x14ac:dyDescent="0.35">
      <c r="A647" s="1" t="s">
        <v>68</v>
      </c>
      <c r="B647" s="1" t="s">
        <v>69</v>
      </c>
      <c r="C647" s="1" t="s">
        <v>70</v>
      </c>
      <c r="D647">
        <v>1</v>
      </c>
      <c r="E647">
        <v>1</v>
      </c>
      <c r="F647" s="2">
        <v>43585.43</v>
      </c>
      <c r="G647" s="3">
        <v>41275</v>
      </c>
      <c r="H647" s="3">
        <v>41639</v>
      </c>
      <c r="I647" s="1" t="s">
        <v>71</v>
      </c>
      <c r="J647">
        <v>4521</v>
      </c>
      <c r="K647">
        <v>0</v>
      </c>
      <c r="L647" s="1" t="s">
        <v>384</v>
      </c>
      <c r="M647" s="1" t="s">
        <v>72</v>
      </c>
      <c r="N647" s="1" t="s">
        <v>134</v>
      </c>
      <c r="O647" s="1" t="s">
        <v>385</v>
      </c>
      <c r="P647" s="1" t="s">
        <v>386</v>
      </c>
      <c r="Q647" s="1" t="s">
        <v>387</v>
      </c>
      <c r="R647">
        <v>103</v>
      </c>
      <c r="S647" s="1" t="s">
        <v>135</v>
      </c>
      <c r="T647" s="1" t="s">
        <v>388</v>
      </c>
      <c r="U647" s="1" t="s">
        <v>135</v>
      </c>
      <c r="V647" s="1"/>
      <c r="W647" s="1"/>
      <c r="X647" s="1"/>
      <c r="Y647" s="1"/>
      <c r="AA647" s="1"/>
      <c r="AC647" s="1"/>
      <c r="AD647" s="1"/>
      <c r="AE647" s="1"/>
      <c r="AN647" s="1"/>
      <c r="AP647" s="1"/>
      <c r="AQ647" s="1"/>
      <c r="AR647" s="1"/>
      <c r="AS647" s="1"/>
      <c r="AT647" s="3"/>
      <c r="AU647" s="3"/>
      <c r="AV647" s="3"/>
      <c r="AW647" s="1"/>
      <c r="AX647" s="1"/>
      <c r="AZ647">
        <v>253</v>
      </c>
      <c r="BA647">
        <v>4654734.66</v>
      </c>
      <c r="BB647" s="1" t="s">
        <v>74</v>
      </c>
      <c r="BC647">
        <v>275</v>
      </c>
      <c r="BD647" s="1" t="s">
        <v>844</v>
      </c>
      <c r="BE647" s="1" t="s">
        <v>99</v>
      </c>
      <c r="BF647">
        <v>0</v>
      </c>
      <c r="BG647" s="1"/>
      <c r="BH647" s="1" t="s">
        <v>136</v>
      </c>
      <c r="BI647">
        <v>339.24</v>
      </c>
      <c r="BJ647" s="1" t="s">
        <v>1245</v>
      </c>
      <c r="BL647" s="1"/>
      <c r="BN647" s="1"/>
      <c r="BO647">
        <v>599</v>
      </c>
      <c r="BP647">
        <v>4654734.66</v>
      </c>
      <c r="BQ647">
        <v>4654734.66</v>
      </c>
    </row>
    <row r="648" spans="1:69" x14ac:dyDescent="0.35">
      <c r="A648" s="1" t="s">
        <v>68</v>
      </c>
      <c r="B648" s="1" t="s">
        <v>69</v>
      </c>
      <c r="C648" s="1" t="s">
        <v>70</v>
      </c>
      <c r="D648">
        <v>1</v>
      </c>
      <c r="E648">
        <v>1</v>
      </c>
      <c r="F648" s="2">
        <v>43585.43</v>
      </c>
      <c r="G648" s="3">
        <v>41275</v>
      </c>
      <c r="H648" s="3">
        <v>41639</v>
      </c>
      <c r="I648" s="1" t="s">
        <v>71</v>
      </c>
      <c r="J648">
        <v>4521</v>
      </c>
      <c r="K648">
        <v>0</v>
      </c>
      <c r="L648" s="1" t="s">
        <v>384</v>
      </c>
      <c r="M648" s="1" t="s">
        <v>72</v>
      </c>
      <c r="N648" s="1" t="s">
        <v>134</v>
      </c>
      <c r="O648" s="1" t="s">
        <v>385</v>
      </c>
      <c r="P648" s="1" t="s">
        <v>386</v>
      </c>
      <c r="Q648" s="1" t="s">
        <v>387</v>
      </c>
      <c r="R648">
        <v>103</v>
      </c>
      <c r="S648" s="1" t="s">
        <v>135</v>
      </c>
      <c r="T648" s="1" t="s">
        <v>388</v>
      </c>
      <c r="U648" s="1" t="s">
        <v>135</v>
      </c>
      <c r="V648" s="1"/>
      <c r="W648" s="1"/>
      <c r="X648" s="1"/>
      <c r="Y648" s="1"/>
      <c r="AA648" s="1"/>
      <c r="AC648" s="1"/>
      <c r="AD648" s="1"/>
      <c r="AE648" s="1"/>
      <c r="AN648" s="1"/>
      <c r="AP648" s="1"/>
      <c r="AQ648" s="1"/>
      <c r="AR648" s="1"/>
      <c r="AS648" s="1"/>
      <c r="AT648" s="3"/>
      <c r="AU648" s="3"/>
      <c r="AV648" s="3"/>
      <c r="AW648" s="1"/>
      <c r="AX648" s="1"/>
      <c r="AZ648">
        <v>253</v>
      </c>
      <c r="BA648">
        <v>4654734.66</v>
      </c>
      <c r="BB648" s="1" t="s">
        <v>74</v>
      </c>
      <c r="BC648">
        <v>276</v>
      </c>
      <c r="BD648" s="1" t="s">
        <v>845</v>
      </c>
      <c r="BE648" s="1" t="s">
        <v>452</v>
      </c>
      <c r="BF648">
        <v>3450</v>
      </c>
      <c r="BG648" s="1" t="s">
        <v>1247</v>
      </c>
      <c r="BH648" s="1" t="s">
        <v>99</v>
      </c>
      <c r="BI648">
        <v>0</v>
      </c>
      <c r="BJ648" s="1"/>
      <c r="BL648" s="1"/>
      <c r="BN648" s="1"/>
      <c r="BO648">
        <v>599</v>
      </c>
      <c r="BP648">
        <v>4654734.66</v>
      </c>
      <c r="BQ648">
        <v>4654734.66</v>
      </c>
    </row>
    <row r="649" spans="1:69" x14ac:dyDescent="0.35">
      <c r="A649" s="1" t="s">
        <v>68</v>
      </c>
      <c r="B649" s="1" t="s">
        <v>69</v>
      </c>
      <c r="C649" s="1" t="s">
        <v>70</v>
      </c>
      <c r="D649">
        <v>1</v>
      </c>
      <c r="E649">
        <v>1</v>
      </c>
      <c r="F649" s="2">
        <v>43585.43</v>
      </c>
      <c r="G649" s="3">
        <v>41275</v>
      </c>
      <c r="H649" s="3">
        <v>41639</v>
      </c>
      <c r="I649" s="1" t="s">
        <v>71</v>
      </c>
      <c r="J649">
        <v>4521</v>
      </c>
      <c r="K649">
        <v>0</v>
      </c>
      <c r="L649" s="1" t="s">
        <v>384</v>
      </c>
      <c r="M649" s="1" t="s">
        <v>72</v>
      </c>
      <c r="N649" s="1" t="s">
        <v>134</v>
      </c>
      <c r="O649" s="1" t="s">
        <v>385</v>
      </c>
      <c r="P649" s="1" t="s">
        <v>386</v>
      </c>
      <c r="Q649" s="1" t="s">
        <v>387</v>
      </c>
      <c r="R649">
        <v>103</v>
      </c>
      <c r="S649" s="1" t="s">
        <v>135</v>
      </c>
      <c r="T649" s="1" t="s">
        <v>388</v>
      </c>
      <c r="U649" s="1" t="s">
        <v>135</v>
      </c>
      <c r="V649" s="1"/>
      <c r="W649" s="1"/>
      <c r="X649" s="1"/>
      <c r="Y649" s="1"/>
      <c r="AA649" s="1"/>
      <c r="AC649" s="1"/>
      <c r="AD649" s="1"/>
      <c r="AE649" s="1"/>
      <c r="AN649" s="1"/>
      <c r="AP649" s="1"/>
      <c r="AQ649" s="1"/>
      <c r="AR649" s="1"/>
      <c r="AS649" s="1"/>
      <c r="AT649" s="3"/>
      <c r="AU649" s="3"/>
      <c r="AV649" s="3"/>
      <c r="AW649" s="1"/>
      <c r="AX649" s="1"/>
      <c r="AZ649">
        <v>253</v>
      </c>
      <c r="BA649">
        <v>4654734.66</v>
      </c>
      <c r="BB649" s="1" t="s">
        <v>74</v>
      </c>
      <c r="BC649">
        <v>277</v>
      </c>
      <c r="BD649" s="1" t="s">
        <v>845</v>
      </c>
      <c r="BE649" s="1" t="s">
        <v>99</v>
      </c>
      <c r="BF649">
        <v>0</v>
      </c>
      <c r="BG649" s="1"/>
      <c r="BH649" s="1" t="s">
        <v>468</v>
      </c>
      <c r="BI649">
        <v>18450</v>
      </c>
      <c r="BJ649" s="1" t="s">
        <v>1247</v>
      </c>
      <c r="BL649" s="1"/>
      <c r="BN649" s="1"/>
      <c r="BO649">
        <v>599</v>
      </c>
      <c r="BP649">
        <v>4654734.66</v>
      </c>
      <c r="BQ649">
        <v>4654734.66</v>
      </c>
    </row>
    <row r="650" spans="1:69" x14ac:dyDescent="0.35">
      <c r="A650" s="1" t="s">
        <v>68</v>
      </c>
      <c r="B650" s="1" t="s">
        <v>69</v>
      </c>
      <c r="C650" s="1" t="s">
        <v>70</v>
      </c>
      <c r="D650">
        <v>1</v>
      </c>
      <c r="E650">
        <v>1</v>
      </c>
      <c r="F650" s="2">
        <v>43585.43</v>
      </c>
      <c r="G650" s="3">
        <v>41275</v>
      </c>
      <c r="H650" s="3">
        <v>41639</v>
      </c>
      <c r="I650" s="1" t="s">
        <v>71</v>
      </c>
      <c r="J650">
        <v>4521</v>
      </c>
      <c r="K650">
        <v>0</v>
      </c>
      <c r="L650" s="1" t="s">
        <v>384</v>
      </c>
      <c r="M650" s="1" t="s">
        <v>72</v>
      </c>
      <c r="N650" s="1" t="s">
        <v>134</v>
      </c>
      <c r="O650" s="1" t="s">
        <v>385</v>
      </c>
      <c r="P650" s="1" t="s">
        <v>386</v>
      </c>
      <c r="Q650" s="1" t="s">
        <v>387</v>
      </c>
      <c r="R650">
        <v>103</v>
      </c>
      <c r="S650" s="1" t="s">
        <v>135</v>
      </c>
      <c r="T650" s="1" t="s">
        <v>388</v>
      </c>
      <c r="U650" s="1" t="s">
        <v>135</v>
      </c>
      <c r="V650" s="1"/>
      <c r="W650" s="1"/>
      <c r="X650" s="1"/>
      <c r="Y650" s="1"/>
      <c r="AA650" s="1"/>
      <c r="AC650" s="1"/>
      <c r="AD650" s="1"/>
      <c r="AE650" s="1"/>
      <c r="AN650" s="1"/>
      <c r="AP650" s="1"/>
      <c r="AQ650" s="1"/>
      <c r="AR650" s="1"/>
      <c r="AS650" s="1"/>
      <c r="AT650" s="3"/>
      <c r="AU650" s="3"/>
      <c r="AV650" s="3"/>
      <c r="AW650" s="1"/>
      <c r="AX650" s="1"/>
      <c r="AZ650">
        <v>253</v>
      </c>
      <c r="BA650">
        <v>4654734.66</v>
      </c>
      <c r="BB650" s="1" t="s">
        <v>74</v>
      </c>
      <c r="BC650">
        <v>278</v>
      </c>
      <c r="BD650" s="1" t="s">
        <v>845</v>
      </c>
      <c r="BE650" s="1" t="s">
        <v>473</v>
      </c>
      <c r="BF650">
        <v>15000</v>
      </c>
      <c r="BG650" s="1" t="s">
        <v>1247</v>
      </c>
      <c r="BH650" s="1" t="s">
        <v>99</v>
      </c>
      <c r="BI650">
        <v>0</v>
      </c>
      <c r="BJ650" s="1"/>
      <c r="BL650" s="1"/>
      <c r="BN650" s="1"/>
      <c r="BO650">
        <v>599</v>
      </c>
      <c r="BP650">
        <v>4654734.66</v>
      </c>
      <c r="BQ650">
        <v>4654734.66</v>
      </c>
    </row>
    <row r="651" spans="1:69" x14ac:dyDescent="0.35">
      <c r="A651" s="1" t="s">
        <v>68</v>
      </c>
      <c r="B651" s="1" t="s">
        <v>69</v>
      </c>
      <c r="C651" s="1" t="s">
        <v>70</v>
      </c>
      <c r="D651">
        <v>1</v>
      </c>
      <c r="E651">
        <v>1</v>
      </c>
      <c r="F651" s="2">
        <v>43585.43</v>
      </c>
      <c r="G651" s="3">
        <v>41275</v>
      </c>
      <c r="H651" s="3">
        <v>41639</v>
      </c>
      <c r="I651" s="1" t="s">
        <v>71</v>
      </c>
      <c r="J651">
        <v>4521</v>
      </c>
      <c r="K651">
        <v>0</v>
      </c>
      <c r="L651" s="1" t="s">
        <v>384</v>
      </c>
      <c r="M651" s="1" t="s">
        <v>72</v>
      </c>
      <c r="N651" s="1" t="s">
        <v>134</v>
      </c>
      <c r="O651" s="1" t="s">
        <v>385</v>
      </c>
      <c r="P651" s="1" t="s">
        <v>386</v>
      </c>
      <c r="Q651" s="1" t="s">
        <v>387</v>
      </c>
      <c r="R651">
        <v>103</v>
      </c>
      <c r="S651" s="1" t="s">
        <v>135</v>
      </c>
      <c r="T651" s="1" t="s">
        <v>388</v>
      </c>
      <c r="U651" s="1" t="s">
        <v>135</v>
      </c>
      <c r="V651" s="1"/>
      <c r="W651" s="1"/>
      <c r="X651" s="1"/>
      <c r="Y651" s="1"/>
      <c r="AA651" s="1"/>
      <c r="AC651" s="1"/>
      <c r="AD651" s="1"/>
      <c r="AE651" s="1"/>
      <c r="AN651" s="1"/>
      <c r="AP651" s="1"/>
      <c r="AQ651" s="1"/>
      <c r="AR651" s="1"/>
      <c r="AS651" s="1"/>
      <c r="AT651" s="3"/>
      <c r="AU651" s="3"/>
      <c r="AV651" s="3"/>
      <c r="AW651" s="1"/>
      <c r="AX651" s="1"/>
      <c r="AZ651">
        <v>253</v>
      </c>
      <c r="BA651">
        <v>4654734.66</v>
      </c>
      <c r="BB651" s="1" t="s">
        <v>74</v>
      </c>
      <c r="BC651">
        <v>279</v>
      </c>
      <c r="BD651" s="1" t="s">
        <v>846</v>
      </c>
      <c r="BE651" s="1" t="s">
        <v>480</v>
      </c>
      <c r="BF651">
        <v>15000</v>
      </c>
      <c r="BG651" s="1" t="s">
        <v>1247</v>
      </c>
      <c r="BH651" s="1" t="s">
        <v>99</v>
      </c>
      <c r="BI651">
        <v>0</v>
      </c>
      <c r="BJ651" s="1"/>
      <c r="BL651" s="1"/>
      <c r="BN651" s="1"/>
      <c r="BO651">
        <v>599</v>
      </c>
      <c r="BP651">
        <v>4654734.66</v>
      </c>
      <c r="BQ651">
        <v>4654734.66</v>
      </c>
    </row>
    <row r="652" spans="1:69" x14ac:dyDescent="0.35">
      <c r="A652" s="1" t="s">
        <v>68</v>
      </c>
      <c r="B652" s="1" t="s">
        <v>69</v>
      </c>
      <c r="C652" s="1" t="s">
        <v>70</v>
      </c>
      <c r="D652">
        <v>1</v>
      </c>
      <c r="E652">
        <v>1</v>
      </c>
      <c r="F652" s="2">
        <v>43585.43</v>
      </c>
      <c r="G652" s="3">
        <v>41275</v>
      </c>
      <c r="H652" s="3">
        <v>41639</v>
      </c>
      <c r="I652" s="1" t="s">
        <v>71</v>
      </c>
      <c r="J652">
        <v>4521</v>
      </c>
      <c r="K652">
        <v>0</v>
      </c>
      <c r="L652" s="1" t="s">
        <v>384</v>
      </c>
      <c r="M652" s="1" t="s">
        <v>72</v>
      </c>
      <c r="N652" s="1" t="s">
        <v>134</v>
      </c>
      <c r="O652" s="1" t="s">
        <v>385</v>
      </c>
      <c r="P652" s="1" t="s">
        <v>386</v>
      </c>
      <c r="Q652" s="1" t="s">
        <v>387</v>
      </c>
      <c r="R652">
        <v>103</v>
      </c>
      <c r="S652" s="1" t="s">
        <v>135</v>
      </c>
      <c r="T652" s="1" t="s">
        <v>388</v>
      </c>
      <c r="U652" s="1" t="s">
        <v>135</v>
      </c>
      <c r="V652" s="1"/>
      <c r="W652" s="1"/>
      <c r="X652" s="1"/>
      <c r="Y652" s="1"/>
      <c r="AA652" s="1"/>
      <c r="AC652" s="1"/>
      <c r="AD652" s="1"/>
      <c r="AE652" s="1"/>
      <c r="AN652" s="1"/>
      <c r="AP652" s="1"/>
      <c r="AQ652" s="1"/>
      <c r="AR652" s="1"/>
      <c r="AS652" s="1"/>
      <c r="AT652" s="3"/>
      <c r="AU652" s="3"/>
      <c r="AV652" s="3"/>
      <c r="AW652" s="1"/>
      <c r="AX652" s="1"/>
      <c r="AZ652">
        <v>253</v>
      </c>
      <c r="BA652">
        <v>4654734.66</v>
      </c>
      <c r="BB652" s="1" t="s">
        <v>74</v>
      </c>
      <c r="BC652">
        <v>280</v>
      </c>
      <c r="BD652" s="1" t="s">
        <v>846</v>
      </c>
      <c r="BE652" s="1" t="s">
        <v>99</v>
      </c>
      <c r="BF652">
        <v>0</v>
      </c>
      <c r="BG652" s="1"/>
      <c r="BH652" s="1" t="s">
        <v>136</v>
      </c>
      <c r="BI652">
        <v>15000</v>
      </c>
      <c r="BJ652" s="1" t="s">
        <v>1247</v>
      </c>
      <c r="BL652" s="1"/>
      <c r="BN652" s="1"/>
      <c r="BO652">
        <v>599</v>
      </c>
      <c r="BP652">
        <v>4654734.66</v>
      </c>
      <c r="BQ652">
        <v>4654734.66</v>
      </c>
    </row>
    <row r="653" spans="1:69" x14ac:dyDescent="0.35">
      <c r="A653" s="1" t="s">
        <v>68</v>
      </c>
      <c r="B653" s="1" t="s">
        <v>69</v>
      </c>
      <c r="C653" s="1" t="s">
        <v>70</v>
      </c>
      <c r="D653">
        <v>1</v>
      </c>
      <c r="E653">
        <v>1</v>
      </c>
      <c r="F653" s="2">
        <v>43585.43</v>
      </c>
      <c r="G653" s="3">
        <v>41275</v>
      </c>
      <c r="H653" s="3">
        <v>41639</v>
      </c>
      <c r="I653" s="1" t="s">
        <v>71</v>
      </c>
      <c r="J653">
        <v>4521</v>
      </c>
      <c r="K653">
        <v>0</v>
      </c>
      <c r="L653" s="1" t="s">
        <v>384</v>
      </c>
      <c r="M653" s="1" t="s">
        <v>72</v>
      </c>
      <c r="N653" s="1" t="s">
        <v>134</v>
      </c>
      <c r="O653" s="1" t="s">
        <v>385</v>
      </c>
      <c r="P653" s="1" t="s">
        <v>386</v>
      </c>
      <c r="Q653" s="1" t="s">
        <v>387</v>
      </c>
      <c r="R653">
        <v>103</v>
      </c>
      <c r="S653" s="1" t="s">
        <v>135</v>
      </c>
      <c r="T653" s="1" t="s">
        <v>388</v>
      </c>
      <c r="U653" s="1" t="s">
        <v>135</v>
      </c>
      <c r="V653" s="1"/>
      <c r="W653" s="1"/>
      <c r="X653" s="1"/>
      <c r="Y653" s="1"/>
      <c r="AA653" s="1"/>
      <c r="AC653" s="1"/>
      <c r="AD653" s="1"/>
      <c r="AE653" s="1"/>
      <c r="AN653" s="1"/>
      <c r="AP653" s="1"/>
      <c r="AQ653" s="1"/>
      <c r="AR653" s="1"/>
      <c r="AS653" s="1"/>
      <c r="AT653" s="3"/>
      <c r="AU653" s="3"/>
      <c r="AV653" s="3"/>
      <c r="AW653" s="1"/>
      <c r="AX653" s="1"/>
      <c r="AZ653">
        <v>253</v>
      </c>
      <c r="BA653">
        <v>4654734.66</v>
      </c>
      <c r="BB653" s="1" t="s">
        <v>74</v>
      </c>
      <c r="BC653">
        <v>281</v>
      </c>
      <c r="BD653" s="1" t="s">
        <v>847</v>
      </c>
      <c r="BE653" s="1" t="s">
        <v>402</v>
      </c>
      <c r="BF653">
        <v>2898.86</v>
      </c>
      <c r="BG653" s="1" t="s">
        <v>1037</v>
      </c>
      <c r="BH653" s="1" t="s">
        <v>99</v>
      </c>
      <c r="BI653">
        <v>0</v>
      </c>
      <c r="BJ653" s="1"/>
      <c r="BL653" s="1"/>
      <c r="BN653" s="1"/>
      <c r="BO653">
        <v>599</v>
      </c>
      <c r="BP653">
        <v>4654734.66</v>
      </c>
      <c r="BQ653">
        <v>4654734.66</v>
      </c>
    </row>
    <row r="654" spans="1:69" x14ac:dyDescent="0.35">
      <c r="A654" s="1" t="s">
        <v>68</v>
      </c>
      <c r="B654" s="1" t="s">
        <v>69</v>
      </c>
      <c r="C654" s="1" t="s">
        <v>70</v>
      </c>
      <c r="D654">
        <v>1</v>
      </c>
      <c r="E654">
        <v>1</v>
      </c>
      <c r="F654" s="2">
        <v>43585.43</v>
      </c>
      <c r="G654" s="3">
        <v>41275</v>
      </c>
      <c r="H654" s="3">
        <v>41639</v>
      </c>
      <c r="I654" s="1" t="s">
        <v>71</v>
      </c>
      <c r="J654">
        <v>4521</v>
      </c>
      <c r="K654">
        <v>0</v>
      </c>
      <c r="L654" s="1" t="s">
        <v>384</v>
      </c>
      <c r="M654" s="1" t="s">
        <v>72</v>
      </c>
      <c r="N654" s="1" t="s">
        <v>134</v>
      </c>
      <c r="O654" s="1" t="s">
        <v>385</v>
      </c>
      <c r="P654" s="1" t="s">
        <v>386</v>
      </c>
      <c r="Q654" s="1" t="s">
        <v>387</v>
      </c>
      <c r="R654">
        <v>103</v>
      </c>
      <c r="S654" s="1" t="s">
        <v>135</v>
      </c>
      <c r="T654" s="1" t="s">
        <v>388</v>
      </c>
      <c r="U654" s="1" t="s">
        <v>135</v>
      </c>
      <c r="V654" s="1"/>
      <c r="W654" s="1"/>
      <c r="X654" s="1"/>
      <c r="Y654" s="1"/>
      <c r="AA654" s="1"/>
      <c r="AC654" s="1"/>
      <c r="AD654" s="1"/>
      <c r="AE654" s="1"/>
      <c r="AN654" s="1"/>
      <c r="AP654" s="1"/>
      <c r="AQ654" s="1"/>
      <c r="AR654" s="1"/>
      <c r="AS654" s="1"/>
      <c r="AT654" s="3"/>
      <c r="AU654" s="3"/>
      <c r="AV654" s="3"/>
      <c r="AW654" s="1"/>
      <c r="AX654" s="1"/>
      <c r="AZ654">
        <v>253</v>
      </c>
      <c r="BA654">
        <v>4654734.66</v>
      </c>
      <c r="BB654" s="1" t="s">
        <v>74</v>
      </c>
      <c r="BC654">
        <v>282</v>
      </c>
      <c r="BD654" s="1" t="s">
        <v>847</v>
      </c>
      <c r="BE654" s="1" t="s">
        <v>99</v>
      </c>
      <c r="BF654">
        <v>0</v>
      </c>
      <c r="BG654" s="1"/>
      <c r="BH654" s="1" t="s">
        <v>489</v>
      </c>
      <c r="BI654">
        <v>2356.8000000000002</v>
      </c>
      <c r="BJ654" s="1" t="s">
        <v>1037</v>
      </c>
      <c r="BL654" s="1"/>
      <c r="BN654" s="1"/>
      <c r="BO654">
        <v>599</v>
      </c>
      <c r="BP654">
        <v>4654734.66</v>
      </c>
      <c r="BQ654">
        <v>4654734.66</v>
      </c>
    </row>
    <row r="655" spans="1:69" x14ac:dyDescent="0.35">
      <c r="A655" s="1" t="s">
        <v>68</v>
      </c>
      <c r="B655" s="1" t="s">
        <v>69</v>
      </c>
      <c r="C655" s="1" t="s">
        <v>70</v>
      </c>
      <c r="D655">
        <v>1</v>
      </c>
      <c r="E655">
        <v>1</v>
      </c>
      <c r="F655" s="2">
        <v>43585.43</v>
      </c>
      <c r="G655" s="3">
        <v>41275</v>
      </c>
      <c r="H655" s="3">
        <v>41639</v>
      </c>
      <c r="I655" s="1" t="s">
        <v>71</v>
      </c>
      <c r="J655">
        <v>4521</v>
      </c>
      <c r="K655">
        <v>0</v>
      </c>
      <c r="L655" s="1" t="s">
        <v>384</v>
      </c>
      <c r="M655" s="1" t="s">
        <v>72</v>
      </c>
      <c r="N655" s="1" t="s">
        <v>134</v>
      </c>
      <c r="O655" s="1" t="s">
        <v>385</v>
      </c>
      <c r="P655" s="1" t="s">
        <v>386</v>
      </c>
      <c r="Q655" s="1" t="s">
        <v>387</v>
      </c>
      <c r="R655">
        <v>103</v>
      </c>
      <c r="S655" s="1" t="s">
        <v>135</v>
      </c>
      <c r="T655" s="1" t="s">
        <v>388</v>
      </c>
      <c r="U655" s="1" t="s">
        <v>135</v>
      </c>
      <c r="V655" s="1"/>
      <c r="W655" s="1"/>
      <c r="X655" s="1"/>
      <c r="Y655" s="1"/>
      <c r="AA655" s="1"/>
      <c r="AC655" s="1"/>
      <c r="AD655" s="1"/>
      <c r="AE655" s="1"/>
      <c r="AN655" s="1"/>
      <c r="AP655" s="1"/>
      <c r="AQ655" s="1"/>
      <c r="AR655" s="1"/>
      <c r="AS655" s="1"/>
      <c r="AT655" s="3"/>
      <c r="AU655" s="3"/>
      <c r="AV655" s="3"/>
      <c r="AW655" s="1"/>
      <c r="AX655" s="1"/>
      <c r="AZ655">
        <v>253</v>
      </c>
      <c r="BA655">
        <v>4654734.66</v>
      </c>
      <c r="BB655" s="1" t="s">
        <v>74</v>
      </c>
      <c r="BC655">
        <v>283</v>
      </c>
      <c r="BD655" s="1" t="s">
        <v>847</v>
      </c>
      <c r="BE655" s="1" t="s">
        <v>99</v>
      </c>
      <c r="BF655">
        <v>0</v>
      </c>
      <c r="BG655" s="1"/>
      <c r="BH655" s="1" t="s">
        <v>451</v>
      </c>
      <c r="BI655">
        <v>542.05999999999995</v>
      </c>
      <c r="BJ655" s="1" t="s">
        <v>1037</v>
      </c>
      <c r="BL655" s="1"/>
      <c r="BN655" s="1"/>
      <c r="BO655">
        <v>599</v>
      </c>
      <c r="BP655">
        <v>4654734.66</v>
      </c>
      <c r="BQ655">
        <v>4654734.66</v>
      </c>
    </row>
    <row r="656" spans="1:69" x14ac:dyDescent="0.35">
      <c r="A656" s="1" t="s">
        <v>68</v>
      </c>
      <c r="B656" s="1" t="s">
        <v>69</v>
      </c>
      <c r="C656" s="1" t="s">
        <v>70</v>
      </c>
      <c r="D656">
        <v>1</v>
      </c>
      <c r="E656">
        <v>1</v>
      </c>
      <c r="F656" s="2">
        <v>43585.43</v>
      </c>
      <c r="G656" s="3">
        <v>41275</v>
      </c>
      <c r="H656" s="3">
        <v>41639</v>
      </c>
      <c r="I656" s="1" t="s">
        <v>71</v>
      </c>
      <c r="J656">
        <v>4521</v>
      </c>
      <c r="K656">
        <v>0</v>
      </c>
      <c r="L656" s="1" t="s">
        <v>384</v>
      </c>
      <c r="M656" s="1" t="s">
        <v>72</v>
      </c>
      <c r="N656" s="1" t="s">
        <v>134</v>
      </c>
      <c r="O656" s="1" t="s">
        <v>385</v>
      </c>
      <c r="P656" s="1" t="s">
        <v>386</v>
      </c>
      <c r="Q656" s="1" t="s">
        <v>387</v>
      </c>
      <c r="R656">
        <v>103</v>
      </c>
      <c r="S656" s="1" t="s">
        <v>135</v>
      </c>
      <c r="T656" s="1" t="s">
        <v>388</v>
      </c>
      <c r="U656" s="1" t="s">
        <v>135</v>
      </c>
      <c r="V656" s="1"/>
      <c r="W656" s="1"/>
      <c r="X656" s="1"/>
      <c r="Y656" s="1"/>
      <c r="AA656" s="1"/>
      <c r="AC656" s="1"/>
      <c r="AD656" s="1"/>
      <c r="AE656" s="1"/>
      <c r="AN656" s="1"/>
      <c r="AP656" s="1"/>
      <c r="AQ656" s="1"/>
      <c r="AR656" s="1"/>
      <c r="AS656" s="1"/>
      <c r="AT656" s="3"/>
      <c r="AU656" s="3"/>
      <c r="AV656" s="3"/>
      <c r="AW656" s="1"/>
      <c r="AX656" s="1"/>
      <c r="AZ656">
        <v>253</v>
      </c>
      <c r="BA656">
        <v>4654734.66</v>
      </c>
      <c r="BB656" s="1" t="s">
        <v>74</v>
      </c>
      <c r="BC656">
        <v>284</v>
      </c>
      <c r="BD656" s="1" t="s">
        <v>848</v>
      </c>
      <c r="BE656" s="1" t="s">
        <v>466</v>
      </c>
      <c r="BF656">
        <v>526</v>
      </c>
      <c r="BG656" s="1" t="s">
        <v>1038</v>
      </c>
      <c r="BH656" s="1" t="s">
        <v>99</v>
      </c>
      <c r="BI656">
        <v>0</v>
      </c>
      <c r="BJ656" s="1"/>
      <c r="BL656" s="1"/>
      <c r="BN656" s="1"/>
      <c r="BO656">
        <v>599</v>
      </c>
      <c r="BP656">
        <v>4654734.66</v>
      </c>
      <c r="BQ656">
        <v>4654734.66</v>
      </c>
    </row>
    <row r="657" spans="1:69" x14ac:dyDescent="0.35">
      <c r="A657" s="1" t="s">
        <v>68</v>
      </c>
      <c r="B657" s="1" t="s">
        <v>69</v>
      </c>
      <c r="C657" s="1" t="s">
        <v>70</v>
      </c>
      <c r="D657">
        <v>1</v>
      </c>
      <c r="E657">
        <v>1</v>
      </c>
      <c r="F657" s="2">
        <v>43585.43</v>
      </c>
      <c r="G657" s="3">
        <v>41275</v>
      </c>
      <c r="H657" s="3">
        <v>41639</v>
      </c>
      <c r="I657" s="1" t="s">
        <v>71</v>
      </c>
      <c r="J657">
        <v>4521</v>
      </c>
      <c r="K657">
        <v>0</v>
      </c>
      <c r="L657" s="1" t="s">
        <v>384</v>
      </c>
      <c r="M657" s="1" t="s">
        <v>72</v>
      </c>
      <c r="N657" s="1" t="s">
        <v>134</v>
      </c>
      <c r="O657" s="1" t="s">
        <v>385</v>
      </c>
      <c r="P657" s="1" t="s">
        <v>386</v>
      </c>
      <c r="Q657" s="1" t="s">
        <v>387</v>
      </c>
      <c r="R657">
        <v>103</v>
      </c>
      <c r="S657" s="1" t="s">
        <v>135</v>
      </c>
      <c r="T657" s="1" t="s">
        <v>388</v>
      </c>
      <c r="U657" s="1" t="s">
        <v>135</v>
      </c>
      <c r="V657" s="1"/>
      <c r="W657" s="1"/>
      <c r="X657" s="1"/>
      <c r="Y657" s="1"/>
      <c r="AA657" s="1"/>
      <c r="AC657" s="1"/>
      <c r="AD657" s="1"/>
      <c r="AE657" s="1"/>
      <c r="AN657" s="1"/>
      <c r="AP657" s="1"/>
      <c r="AQ657" s="1"/>
      <c r="AR657" s="1"/>
      <c r="AS657" s="1"/>
      <c r="AT657" s="3"/>
      <c r="AU657" s="3"/>
      <c r="AV657" s="3"/>
      <c r="AW657" s="1"/>
      <c r="AX657" s="1"/>
      <c r="AZ657">
        <v>253</v>
      </c>
      <c r="BA657">
        <v>4654734.66</v>
      </c>
      <c r="BB657" s="1" t="s">
        <v>74</v>
      </c>
      <c r="BC657">
        <v>285</v>
      </c>
      <c r="BD657" s="1" t="s">
        <v>848</v>
      </c>
      <c r="BE657" s="1" t="s">
        <v>99</v>
      </c>
      <c r="BF657">
        <v>0</v>
      </c>
      <c r="BG657" s="1"/>
      <c r="BH657" s="1" t="s">
        <v>426</v>
      </c>
      <c r="BI657">
        <v>646.98</v>
      </c>
      <c r="BJ657" s="1" t="s">
        <v>1038</v>
      </c>
      <c r="BL657" s="1"/>
      <c r="BN657" s="1"/>
      <c r="BO657">
        <v>599</v>
      </c>
      <c r="BP657">
        <v>4654734.66</v>
      </c>
      <c r="BQ657">
        <v>4654734.66</v>
      </c>
    </row>
    <row r="658" spans="1:69" x14ac:dyDescent="0.35">
      <c r="A658" s="1" t="s">
        <v>68</v>
      </c>
      <c r="B658" s="1" t="s">
        <v>69</v>
      </c>
      <c r="C658" s="1" t="s">
        <v>70</v>
      </c>
      <c r="D658">
        <v>1</v>
      </c>
      <c r="E658">
        <v>1</v>
      </c>
      <c r="F658" s="2">
        <v>43585.43</v>
      </c>
      <c r="G658" s="3">
        <v>41275</v>
      </c>
      <c r="H658" s="3">
        <v>41639</v>
      </c>
      <c r="I658" s="1" t="s">
        <v>71</v>
      </c>
      <c r="J658">
        <v>4521</v>
      </c>
      <c r="K658">
        <v>0</v>
      </c>
      <c r="L658" s="1" t="s">
        <v>384</v>
      </c>
      <c r="M658" s="1" t="s">
        <v>72</v>
      </c>
      <c r="N658" s="1" t="s">
        <v>134</v>
      </c>
      <c r="O658" s="1" t="s">
        <v>385</v>
      </c>
      <c r="P658" s="1" t="s">
        <v>386</v>
      </c>
      <c r="Q658" s="1" t="s">
        <v>387</v>
      </c>
      <c r="R658">
        <v>103</v>
      </c>
      <c r="S658" s="1" t="s">
        <v>135</v>
      </c>
      <c r="T658" s="1" t="s">
        <v>388</v>
      </c>
      <c r="U658" s="1" t="s">
        <v>135</v>
      </c>
      <c r="V658" s="1"/>
      <c r="W658" s="1"/>
      <c r="X658" s="1"/>
      <c r="Y658" s="1"/>
      <c r="AA658" s="1"/>
      <c r="AC658" s="1"/>
      <c r="AD658" s="1"/>
      <c r="AE658" s="1"/>
      <c r="AN658" s="1"/>
      <c r="AP658" s="1"/>
      <c r="AQ658" s="1"/>
      <c r="AR658" s="1"/>
      <c r="AS658" s="1"/>
      <c r="AT658" s="3"/>
      <c r="AU658" s="3"/>
      <c r="AV658" s="3"/>
      <c r="AW658" s="1"/>
      <c r="AX658" s="1"/>
      <c r="AZ658">
        <v>253</v>
      </c>
      <c r="BA658">
        <v>4654734.66</v>
      </c>
      <c r="BB658" s="1" t="s">
        <v>74</v>
      </c>
      <c r="BC658">
        <v>286</v>
      </c>
      <c r="BD658" s="1" t="s">
        <v>848</v>
      </c>
      <c r="BE658" s="1" t="s">
        <v>452</v>
      </c>
      <c r="BF658">
        <v>120.98</v>
      </c>
      <c r="BG658" s="1" t="s">
        <v>1038</v>
      </c>
      <c r="BH658" s="1" t="s">
        <v>99</v>
      </c>
      <c r="BI658">
        <v>0</v>
      </c>
      <c r="BJ658" s="1"/>
      <c r="BL658" s="1"/>
      <c r="BN658" s="1"/>
      <c r="BO658">
        <v>599</v>
      </c>
      <c r="BP658">
        <v>4654734.66</v>
      </c>
      <c r="BQ658">
        <v>4654734.66</v>
      </c>
    </row>
    <row r="659" spans="1:69" x14ac:dyDescent="0.35">
      <c r="A659" s="1" t="s">
        <v>68</v>
      </c>
      <c r="B659" s="1" t="s">
        <v>69</v>
      </c>
      <c r="C659" s="1" t="s">
        <v>70</v>
      </c>
      <c r="D659">
        <v>1</v>
      </c>
      <c r="E659">
        <v>1</v>
      </c>
      <c r="F659" s="2">
        <v>43585.43</v>
      </c>
      <c r="G659" s="3">
        <v>41275</v>
      </c>
      <c r="H659" s="3">
        <v>41639</v>
      </c>
      <c r="I659" s="1" t="s">
        <v>71</v>
      </c>
      <c r="J659">
        <v>4521</v>
      </c>
      <c r="K659">
        <v>0</v>
      </c>
      <c r="L659" s="1" t="s">
        <v>384</v>
      </c>
      <c r="M659" s="1" t="s">
        <v>72</v>
      </c>
      <c r="N659" s="1" t="s">
        <v>134</v>
      </c>
      <c r="O659" s="1" t="s">
        <v>385</v>
      </c>
      <c r="P659" s="1" t="s">
        <v>386</v>
      </c>
      <c r="Q659" s="1" t="s">
        <v>387</v>
      </c>
      <c r="R659">
        <v>103</v>
      </c>
      <c r="S659" s="1" t="s">
        <v>135</v>
      </c>
      <c r="T659" s="1" t="s">
        <v>388</v>
      </c>
      <c r="U659" s="1" t="s">
        <v>135</v>
      </c>
      <c r="V659" s="1"/>
      <c r="W659" s="1"/>
      <c r="X659" s="1"/>
      <c r="Y659" s="1"/>
      <c r="AA659" s="1"/>
      <c r="AC659" s="1"/>
      <c r="AD659" s="1"/>
      <c r="AE659" s="1"/>
      <c r="AN659" s="1"/>
      <c r="AP659" s="1"/>
      <c r="AQ659" s="1"/>
      <c r="AR659" s="1"/>
      <c r="AS659" s="1"/>
      <c r="AT659" s="3"/>
      <c r="AU659" s="3"/>
      <c r="AV659" s="3"/>
      <c r="AW659" s="1"/>
      <c r="AX659" s="1"/>
      <c r="AZ659">
        <v>253</v>
      </c>
      <c r="BA659">
        <v>4654734.66</v>
      </c>
      <c r="BB659" s="1" t="s">
        <v>74</v>
      </c>
      <c r="BC659">
        <v>287</v>
      </c>
      <c r="BD659" s="1" t="s">
        <v>849</v>
      </c>
      <c r="BE659" s="1" t="s">
        <v>472</v>
      </c>
      <c r="BF659">
        <v>747.98</v>
      </c>
      <c r="BG659" s="1" t="s">
        <v>1039</v>
      </c>
      <c r="BH659" s="1" t="s">
        <v>99</v>
      </c>
      <c r="BI659">
        <v>0</v>
      </c>
      <c r="BJ659" s="1"/>
      <c r="BL659" s="1"/>
      <c r="BN659" s="1"/>
      <c r="BO659">
        <v>599</v>
      </c>
      <c r="BP659">
        <v>4654734.66</v>
      </c>
      <c r="BQ659">
        <v>4654734.66</v>
      </c>
    </row>
    <row r="660" spans="1:69" x14ac:dyDescent="0.35">
      <c r="A660" s="1" t="s">
        <v>68</v>
      </c>
      <c r="B660" s="1" t="s">
        <v>69</v>
      </c>
      <c r="C660" s="1" t="s">
        <v>70</v>
      </c>
      <c r="D660">
        <v>1</v>
      </c>
      <c r="E660">
        <v>1</v>
      </c>
      <c r="F660" s="2">
        <v>43585.43</v>
      </c>
      <c r="G660" s="3">
        <v>41275</v>
      </c>
      <c r="H660" s="3">
        <v>41639</v>
      </c>
      <c r="I660" s="1" t="s">
        <v>71</v>
      </c>
      <c r="J660">
        <v>4521</v>
      </c>
      <c r="K660">
        <v>0</v>
      </c>
      <c r="L660" s="1" t="s">
        <v>384</v>
      </c>
      <c r="M660" s="1" t="s">
        <v>72</v>
      </c>
      <c r="N660" s="1" t="s">
        <v>134</v>
      </c>
      <c r="O660" s="1" t="s">
        <v>385</v>
      </c>
      <c r="P660" s="1" t="s">
        <v>386</v>
      </c>
      <c r="Q660" s="1" t="s">
        <v>387</v>
      </c>
      <c r="R660">
        <v>103</v>
      </c>
      <c r="S660" s="1" t="s">
        <v>135</v>
      </c>
      <c r="T660" s="1" t="s">
        <v>388</v>
      </c>
      <c r="U660" s="1" t="s">
        <v>135</v>
      </c>
      <c r="V660" s="1"/>
      <c r="W660" s="1"/>
      <c r="X660" s="1"/>
      <c r="Y660" s="1"/>
      <c r="AA660" s="1"/>
      <c r="AC660" s="1"/>
      <c r="AD660" s="1"/>
      <c r="AE660" s="1"/>
      <c r="AN660" s="1"/>
      <c r="AP660" s="1"/>
      <c r="AQ660" s="1"/>
      <c r="AR660" s="1"/>
      <c r="AS660" s="1"/>
      <c r="AT660" s="3"/>
      <c r="AU660" s="3"/>
      <c r="AV660" s="3"/>
      <c r="AW660" s="1"/>
      <c r="AX660" s="1"/>
      <c r="AZ660">
        <v>253</v>
      </c>
      <c r="BA660">
        <v>4654734.66</v>
      </c>
      <c r="BB660" s="1" t="s">
        <v>74</v>
      </c>
      <c r="BC660">
        <v>288</v>
      </c>
      <c r="BD660" s="1" t="s">
        <v>849</v>
      </c>
      <c r="BE660" s="1" t="s">
        <v>99</v>
      </c>
      <c r="BF660">
        <v>0</v>
      </c>
      <c r="BG660" s="1"/>
      <c r="BH660" s="1" t="s">
        <v>389</v>
      </c>
      <c r="BI660">
        <v>747.98</v>
      </c>
      <c r="BJ660" s="1" t="s">
        <v>1039</v>
      </c>
      <c r="BL660" s="1"/>
      <c r="BN660" s="1"/>
      <c r="BO660">
        <v>599</v>
      </c>
      <c r="BP660">
        <v>4654734.66</v>
      </c>
      <c r="BQ660">
        <v>4654734.66</v>
      </c>
    </row>
    <row r="661" spans="1:69" x14ac:dyDescent="0.35">
      <c r="A661" s="1" t="s">
        <v>68</v>
      </c>
      <c r="B661" s="1" t="s">
        <v>69</v>
      </c>
      <c r="C661" s="1" t="s">
        <v>70</v>
      </c>
      <c r="D661">
        <v>1</v>
      </c>
      <c r="E661">
        <v>1</v>
      </c>
      <c r="F661" s="2">
        <v>43585.43</v>
      </c>
      <c r="G661" s="3">
        <v>41275</v>
      </c>
      <c r="H661" s="3">
        <v>41639</v>
      </c>
      <c r="I661" s="1" t="s">
        <v>71</v>
      </c>
      <c r="J661">
        <v>4521</v>
      </c>
      <c r="K661">
        <v>0</v>
      </c>
      <c r="L661" s="1" t="s">
        <v>384</v>
      </c>
      <c r="M661" s="1" t="s">
        <v>72</v>
      </c>
      <c r="N661" s="1" t="s">
        <v>134</v>
      </c>
      <c r="O661" s="1" t="s">
        <v>385</v>
      </c>
      <c r="P661" s="1" t="s">
        <v>386</v>
      </c>
      <c r="Q661" s="1" t="s">
        <v>387</v>
      </c>
      <c r="R661">
        <v>103</v>
      </c>
      <c r="S661" s="1" t="s">
        <v>135</v>
      </c>
      <c r="T661" s="1" t="s">
        <v>388</v>
      </c>
      <c r="U661" s="1" t="s">
        <v>135</v>
      </c>
      <c r="V661" s="1"/>
      <c r="W661" s="1"/>
      <c r="X661" s="1"/>
      <c r="Y661" s="1"/>
      <c r="AA661" s="1"/>
      <c r="AC661" s="1"/>
      <c r="AD661" s="1"/>
      <c r="AE661" s="1"/>
      <c r="AN661" s="1"/>
      <c r="AP661" s="1"/>
      <c r="AQ661" s="1"/>
      <c r="AR661" s="1"/>
      <c r="AS661" s="1"/>
      <c r="AT661" s="3"/>
      <c r="AU661" s="3"/>
      <c r="AV661" s="3"/>
      <c r="AW661" s="1"/>
      <c r="AX661" s="1"/>
      <c r="AZ661">
        <v>253</v>
      </c>
      <c r="BA661">
        <v>4654734.66</v>
      </c>
      <c r="BB661" s="1" t="s">
        <v>74</v>
      </c>
      <c r="BC661">
        <v>289</v>
      </c>
      <c r="BD661" s="1" t="s">
        <v>850</v>
      </c>
      <c r="BE661" s="1" t="s">
        <v>472</v>
      </c>
      <c r="BF661">
        <v>884</v>
      </c>
      <c r="BG661" s="1" t="s">
        <v>1039</v>
      </c>
      <c r="BH661" s="1" t="s">
        <v>99</v>
      </c>
      <c r="BI661">
        <v>0</v>
      </c>
      <c r="BJ661" s="1"/>
      <c r="BL661" s="1"/>
      <c r="BN661" s="1"/>
      <c r="BO661">
        <v>599</v>
      </c>
      <c r="BP661">
        <v>4654734.66</v>
      </c>
      <c r="BQ661">
        <v>4654734.66</v>
      </c>
    </row>
    <row r="662" spans="1:69" x14ac:dyDescent="0.35">
      <c r="A662" s="1" t="s">
        <v>68</v>
      </c>
      <c r="B662" s="1" t="s">
        <v>69</v>
      </c>
      <c r="C662" s="1" t="s">
        <v>70</v>
      </c>
      <c r="D662">
        <v>1</v>
      </c>
      <c r="E662">
        <v>1</v>
      </c>
      <c r="F662" s="2">
        <v>43585.43</v>
      </c>
      <c r="G662" s="3">
        <v>41275</v>
      </c>
      <c r="H662" s="3">
        <v>41639</v>
      </c>
      <c r="I662" s="1" t="s">
        <v>71</v>
      </c>
      <c r="J662">
        <v>4521</v>
      </c>
      <c r="K662">
        <v>0</v>
      </c>
      <c r="L662" s="1" t="s">
        <v>384</v>
      </c>
      <c r="M662" s="1" t="s">
        <v>72</v>
      </c>
      <c r="N662" s="1" t="s">
        <v>134</v>
      </c>
      <c r="O662" s="1" t="s">
        <v>385</v>
      </c>
      <c r="P662" s="1" t="s">
        <v>386</v>
      </c>
      <c r="Q662" s="1" t="s">
        <v>387</v>
      </c>
      <c r="R662">
        <v>103</v>
      </c>
      <c r="S662" s="1" t="s">
        <v>135</v>
      </c>
      <c r="T662" s="1" t="s">
        <v>388</v>
      </c>
      <c r="U662" s="1" t="s">
        <v>135</v>
      </c>
      <c r="V662" s="1"/>
      <c r="W662" s="1"/>
      <c r="X662" s="1"/>
      <c r="Y662" s="1"/>
      <c r="AA662" s="1"/>
      <c r="AC662" s="1"/>
      <c r="AD662" s="1"/>
      <c r="AE662" s="1"/>
      <c r="AN662" s="1"/>
      <c r="AP662" s="1"/>
      <c r="AQ662" s="1"/>
      <c r="AR662" s="1"/>
      <c r="AS662" s="1"/>
      <c r="AT662" s="3"/>
      <c r="AU662" s="3"/>
      <c r="AV662" s="3"/>
      <c r="AW662" s="1"/>
      <c r="AX662" s="1"/>
      <c r="AZ662">
        <v>253</v>
      </c>
      <c r="BA662">
        <v>4654734.66</v>
      </c>
      <c r="BB662" s="1" t="s">
        <v>74</v>
      </c>
      <c r="BC662">
        <v>290</v>
      </c>
      <c r="BD662" s="1" t="s">
        <v>850</v>
      </c>
      <c r="BE662" s="1" t="s">
        <v>99</v>
      </c>
      <c r="BF662">
        <v>0</v>
      </c>
      <c r="BG662" s="1"/>
      <c r="BH662" s="1" t="s">
        <v>390</v>
      </c>
      <c r="BI662">
        <v>884</v>
      </c>
      <c r="BJ662" s="1" t="s">
        <v>1039</v>
      </c>
      <c r="BL662" s="1"/>
      <c r="BN662" s="1"/>
      <c r="BO662">
        <v>599</v>
      </c>
      <c r="BP662">
        <v>4654734.66</v>
      </c>
      <c r="BQ662">
        <v>4654734.66</v>
      </c>
    </row>
    <row r="663" spans="1:69" x14ac:dyDescent="0.35">
      <c r="A663" s="1" t="s">
        <v>68</v>
      </c>
      <c r="B663" s="1" t="s">
        <v>69</v>
      </c>
      <c r="C663" s="1" t="s">
        <v>70</v>
      </c>
      <c r="D663">
        <v>1</v>
      </c>
      <c r="E663">
        <v>1</v>
      </c>
      <c r="F663" s="2">
        <v>43585.43</v>
      </c>
      <c r="G663" s="3">
        <v>41275</v>
      </c>
      <c r="H663" s="3">
        <v>41639</v>
      </c>
      <c r="I663" s="1" t="s">
        <v>71</v>
      </c>
      <c r="J663">
        <v>4521</v>
      </c>
      <c r="K663">
        <v>0</v>
      </c>
      <c r="L663" s="1" t="s">
        <v>384</v>
      </c>
      <c r="M663" s="1" t="s">
        <v>72</v>
      </c>
      <c r="N663" s="1" t="s">
        <v>134</v>
      </c>
      <c r="O663" s="1" t="s">
        <v>385</v>
      </c>
      <c r="P663" s="1" t="s">
        <v>386</v>
      </c>
      <c r="Q663" s="1" t="s">
        <v>387</v>
      </c>
      <c r="R663">
        <v>103</v>
      </c>
      <c r="S663" s="1" t="s">
        <v>135</v>
      </c>
      <c r="T663" s="1" t="s">
        <v>388</v>
      </c>
      <c r="U663" s="1" t="s">
        <v>135</v>
      </c>
      <c r="V663" s="1"/>
      <c r="W663" s="1"/>
      <c r="X663" s="1"/>
      <c r="Y663" s="1"/>
      <c r="AA663" s="1"/>
      <c r="AC663" s="1"/>
      <c r="AD663" s="1"/>
      <c r="AE663" s="1"/>
      <c r="AN663" s="1"/>
      <c r="AP663" s="1"/>
      <c r="AQ663" s="1"/>
      <c r="AR663" s="1"/>
      <c r="AS663" s="1"/>
      <c r="AT663" s="3"/>
      <c r="AU663" s="3"/>
      <c r="AV663" s="3"/>
      <c r="AW663" s="1"/>
      <c r="AX663" s="1"/>
      <c r="AZ663">
        <v>253</v>
      </c>
      <c r="BA663">
        <v>4654734.66</v>
      </c>
      <c r="BB663" s="1" t="s">
        <v>74</v>
      </c>
      <c r="BC663">
        <v>291</v>
      </c>
      <c r="BD663" s="1" t="s">
        <v>851</v>
      </c>
      <c r="BE663" s="1" t="s">
        <v>472</v>
      </c>
      <c r="BF663">
        <v>1232.5</v>
      </c>
      <c r="BG663" s="1" t="s">
        <v>1039</v>
      </c>
      <c r="BH663" s="1" t="s">
        <v>99</v>
      </c>
      <c r="BI663">
        <v>0</v>
      </c>
      <c r="BJ663" s="1"/>
      <c r="BL663" s="1"/>
      <c r="BN663" s="1"/>
      <c r="BO663">
        <v>599</v>
      </c>
      <c r="BP663">
        <v>4654734.66</v>
      </c>
      <c r="BQ663">
        <v>4654734.66</v>
      </c>
    </row>
    <row r="664" spans="1:69" x14ac:dyDescent="0.35">
      <c r="A664" s="1" t="s">
        <v>68</v>
      </c>
      <c r="B664" s="1" t="s">
        <v>69</v>
      </c>
      <c r="C664" s="1" t="s">
        <v>70</v>
      </c>
      <c r="D664">
        <v>1</v>
      </c>
      <c r="E664">
        <v>1</v>
      </c>
      <c r="F664" s="2">
        <v>43585.43</v>
      </c>
      <c r="G664" s="3">
        <v>41275</v>
      </c>
      <c r="H664" s="3">
        <v>41639</v>
      </c>
      <c r="I664" s="1" t="s">
        <v>71</v>
      </c>
      <c r="J664">
        <v>4521</v>
      </c>
      <c r="K664">
        <v>0</v>
      </c>
      <c r="L664" s="1" t="s">
        <v>384</v>
      </c>
      <c r="M664" s="1" t="s">
        <v>72</v>
      </c>
      <c r="N664" s="1" t="s">
        <v>134</v>
      </c>
      <c r="O664" s="1" t="s">
        <v>385</v>
      </c>
      <c r="P664" s="1" t="s">
        <v>386</v>
      </c>
      <c r="Q664" s="1" t="s">
        <v>387</v>
      </c>
      <c r="R664">
        <v>103</v>
      </c>
      <c r="S664" s="1" t="s">
        <v>135</v>
      </c>
      <c r="T664" s="1" t="s">
        <v>388</v>
      </c>
      <c r="U664" s="1" t="s">
        <v>135</v>
      </c>
      <c r="V664" s="1"/>
      <c r="W664" s="1"/>
      <c r="X664" s="1"/>
      <c r="Y664" s="1"/>
      <c r="AA664" s="1"/>
      <c r="AC664" s="1"/>
      <c r="AD664" s="1"/>
      <c r="AE664" s="1"/>
      <c r="AN664" s="1"/>
      <c r="AP664" s="1"/>
      <c r="AQ664" s="1"/>
      <c r="AR664" s="1"/>
      <c r="AS664" s="1"/>
      <c r="AT664" s="3"/>
      <c r="AU664" s="3"/>
      <c r="AV664" s="3"/>
      <c r="AW664" s="1"/>
      <c r="AX664" s="1"/>
      <c r="AZ664">
        <v>253</v>
      </c>
      <c r="BA664">
        <v>4654734.66</v>
      </c>
      <c r="BB664" s="1" t="s">
        <v>74</v>
      </c>
      <c r="BC664">
        <v>292</v>
      </c>
      <c r="BD664" s="1" t="s">
        <v>851</v>
      </c>
      <c r="BE664" s="1" t="s">
        <v>99</v>
      </c>
      <c r="BF664">
        <v>0</v>
      </c>
      <c r="BG664" s="1"/>
      <c r="BH664" s="1" t="s">
        <v>391</v>
      </c>
      <c r="BI664">
        <v>1232.5</v>
      </c>
      <c r="BJ664" s="1" t="s">
        <v>1039</v>
      </c>
      <c r="BL664" s="1"/>
      <c r="BN664" s="1"/>
      <c r="BO664">
        <v>599</v>
      </c>
      <c r="BP664">
        <v>4654734.66</v>
      </c>
      <c r="BQ664">
        <v>4654734.66</v>
      </c>
    </row>
    <row r="665" spans="1:69" x14ac:dyDescent="0.35">
      <c r="A665" s="1" t="s">
        <v>68</v>
      </c>
      <c r="B665" s="1" t="s">
        <v>69</v>
      </c>
      <c r="C665" s="1" t="s">
        <v>70</v>
      </c>
      <c r="D665">
        <v>1</v>
      </c>
      <c r="E665">
        <v>1</v>
      </c>
      <c r="F665" s="2">
        <v>43585.43</v>
      </c>
      <c r="G665" s="3">
        <v>41275</v>
      </c>
      <c r="H665" s="3">
        <v>41639</v>
      </c>
      <c r="I665" s="1" t="s">
        <v>71</v>
      </c>
      <c r="J665">
        <v>4521</v>
      </c>
      <c r="K665">
        <v>0</v>
      </c>
      <c r="L665" s="1" t="s">
        <v>384</v>
      </c>
      <c r="M665" s="1" t="s">
        <v>72</v>
      </c>
      <c r="N665" s="1" t="s">
        <v>134</v>
      </c>
      <c r="O665" s="1" t="s">
        <v>385</v>
      </c>
      <c r="P665" s="1" t="s">
        <v>386</v>
      </c>
      <c r="Q665" s="1" t="s">
        <v>387</v>
      </c>
      <c r="R665">
        <v>103</v>
      </c>
      <c r="S665" s="1" t="s">
        <v>135</v>
      </c>
      <c r="T665" s="1" t="s">
        <v>388</v>
      </c>
      <c r="U665" s="1" t="s">
        <v>135</v>
      </c>
      <c r="V665" s="1"/>
      <c r="W665" s="1"/>
      <c r="X665" s="1"/>
      <c r="Y665" s="1"/>
      <c r="AA665" s="1"/>
      <c r="AC665" s="1"/>
      <c r="AD665" s="1"/>
      <c r="AE665" s="1"/>
      <c r="AN665" s="1"/>
      <c r="AP665" s="1"/>
      <c r="AQ665" s="1"/>
      <c r="AR665" s="1"/>
      <c r="AS665" s="1"/>
      <c r="AT665" s="3"/>
      <c r="AU665" s="3"/>
      <c r="AV665" s="3"/>
      <c r="AW665" s="1"/>
      <c r="AX665" s="1"/>
      <c r="AZ665">
        <v>253</v>
      </c>
      <c r="BA665">
        <v>4654734.66</v>
      </c>
      <c r="BB665" s="1" t="s">
        <v>74</v>
      </c>
      <c r="BC665">
        <v>293</v>
      </c>
      <c r="BD665" s="1" t="s">
        <v>852</v>
      </c>
      <c r="BE665" s="1" t="s">
        <v>479</v>
      </c>
      <c r="BF665">
        <v>2864.48</v>
      </c>
      <c r="BG665" s="1" t="s">
        <v>1039</v>
      </c>
      <c r="BH665" s="1" t="s">
        <v>99</v>
      </c>
      <c r="BI665">
        <v>0</v>
      </c>
      <c r="BJ665" s="1"/>
      <c r="BL665" s="1"/>
      <c r="BN665" s="1"/>
      <c r="BO665">
        <v>599</v>
      </c>
      <c r="BP665">
        <v>4654734.66</v>
      </c>
      <c r="BQ665">
        <v>4654734.66</v>
      </c>
    </row>
    <row r="666" spans="1:69" x14ac:dyDescent="0.35">
      <c r="A666" s="1" t="s">
        <v>68</v>
      </c>
      <c r="B666" s="1" t="s">
        <v>69</v>
      </c>
      <c r="C666" s="1" t="s">
        <v>70</v>
      </c>
      <c r="D666">
        <v>1</v>
      </c>
      <c r="E666">
        <v>1</v>
      </c>
      <c r="F666" s="2">
        <v>43585.43</v>
      </c>
      <c r="G666" s="3">
        <v>41275</v>
      </c>
      <c r="H666" s="3">
        <v>41639</v>
      </c>
      <c r="I666" s="1" t="s">
        <v>71</v>
      </c>
      <c r="J666">
        <v>4521</v>
      </c>
      <c r="K666">
        <v>0</v>
      </c>
      <c r="L666" s="1" t="s">
        <v>384</v>
      </c>
      <c r="M666" s="1" t="s">
        <v>72</v>
      </c>
      <c r="N666" s="1" t="s">
        <v>134</v>
      </c>
      <c r="O666" s="1" t="s">
        <v>385</v>
      </c>
      <c r="P666" s="1" t="s">
        <v>386</v>
      </c>
      <c r="Q666" s="1" t="s">
        <v>387</v>
      </c>
      <c r="R666">
        <v>103</v>
      </c>
      <c r="S666" s="1" t="s">
        <v>135</v>
      </c>
      <c r="T666" s="1" t="s">
        <v>388</v>
      </c>
      <c r="U666" s="1" t="s">
        <v>135</v>
      </c>
      <c r="V666" s="1"/>
      <c r="W666" s="1"/>
      <c r="X666" s="1"/>
      <c r="Y666" s="1"/>
      <c r="AA666" s="1"/>
      <c r="AC666" s="1"/>
      <c r="AD666" s="1"/>
      <c r="AE666" s="1"/>
      <c r="AN666" s="1"/>
      <c r="AP666" s="1"/>
      <c r="AQ666" s="1"/>
      <c r="AR666" s="1"/>
      <c r="AS666" s="1"/>
      <c r="AT666" s="3"/>
      <c r="AU666" s="3"/>
      <c r="AV666" s="3"/>
      <c r="AW666" s="1"/>
      <c r="AX666" s="1"/>
      <c r="AZ666">
        <v>253</v>
      </c>
      <c r="BA666">
        <v>4654734.66</v>
      </c>
      <c r="BB666" s="1" t="s">
        <v>74</v>
      </c>
      <c r="BC666">
        <v>294</v>
      </c>
      <c r="BD666" s="1" t="s">
        <v>852</v>
      </c>
      <c r="BE666" s="1" t="s">
        <v>99</v>
      </c>
      <c r="BF666">
        <v>0</v>
      </c>
      <c r="BG666" s="1"/>
      <c r="BH666" s="1" t="s">
        <v>136</v>
      </c>
      <c r="BI666">
        <v>2864.48</v>
      </c>
      <c r="BJ666" s="1" t="s">
        <v>1039</v>
      </c>
      <c r="BL666" s="1"/>
      <c r="BN666" s="1"/>
      <c r="BO666">
        <v>599</v>
      </c>
      <c r="BP666">
        <v>4654734.66</v>
      </c>
      <c r="BQ666">
        <v>4654734.66</v>
      </c>
    </row>
    <row r="667" spans="1:69" x14ac:dyDescent="0.35">
      <c r="A667" s="1" t="s">
        <v>68</v>
      </c>
      <c r="B667" s="1" t="s">
        <v>69</v>
      </c>
      <c r="C667" s="1" t="s">
        <v>70</v>
      </c>
      <c r="D667">
        <v>1</v>
      </c>
      <c r="E667">
        <v>1</v>
      </c>
      <c r="F667" s="2">
        <v>43585.43</v>
      </c>
      <c r="G667" s="3">
        <v>41275</v>
      </c>
      <c r="H667" s="3">
        <v>41639</v>
      </c>
      <c r="I667" s="1" t="s">
        <v>71</v>
      </c>
      <c r="J667">
        <v>4521</v>
      </c>
      <c r="K667">
        <v>0</v>
      </c>
      <c r="L667" s="1" t="s">
        <v>384</v>
      </c>
      <c r="M667" s="1" t="s">
        <v>72</v>
      </c>
      <c r="N667" s="1" t="s">
        <v>134</v>
      </c>
      <c r="O667" s="1" t="s">
        <v>385</v>
      </c>
      <c r="P667" s="1" t="s">
        <v>386</v>
      </c>
      <c r="Q667" s="1" t="s">
        <v>387</v>
      </c>
      <c r="R667">
        <v>103</v>
      </c>
      <c r="S667" s="1" t="s">
        <v>135</v>
      </c>
      <c r="T667" s="1" t="s">
        <v>388</v>
      </c>
      <c r="U667" s="1" t="s">
        <v>135</v>
      </c>
      <c r="V667" s="1"/>
      <c r="W667" s="1"/>
      <c r="X667" s="1"/>
      <c r="Y667" s="1"/>
      <c r="AA667" s="1"/>
      <c r="AC667" s="1"/>
      <c r="AD667" s="1"/>
      <c r="AE667" s="1"/>
      <c r="AN667" s="1"/>
      <c r="AP667" s="1"/>
      <c r="AQ667" s="1"/>
      <c r="AR667" s="1"/>
      <c r="AS667" s="1"/>
      <c r="AT667" s="3"/>
      <c r="AU667" s="3"/>
      <c r="AV667" s="3"/>
      <c r="AW667" s="1"/>
      <c r="AX667" s="1"/>
      <c r="AZ667">
        <v>253</v>
      </c>
      <c r="BA667">
        <v>4654734.66</v>
      </c>
      <c r="BB667" s="1" t="s">
        <v>74</v>
      </c>
      <c r="BC667">
        <v>295</v>
      </c>
      <c r="BD667" s="1" t="s">
        <v>853</v>
      </c>
      <c r="BE667" s="1" t="s">
        <v>480</v>
      </c>
      <c r="BF667">
        <v>884</v>
      </c>
      <c r="BG667" s="1" t="s">
        <v>1039</v>
      </c>
      <c r="BH667" s="1" t="s">
        <v>99</v>
      </c>
      <c r="BI667">
        <v>0</v>
      </c>
      <c r="BJ667" s="1"/>
      <c r="BL667" s="1"/>
      <c r="BN667" s="1"/>
      <c r="BO667">
        <v>599</v>
      </c>
      <c r="BP667">
        <v>4654734.66</v>
      </c>
      <c r="BQ667">
        <v>4654734.66</v>
      </c>
    </row>
    <row r="668" spans="1:69" x14ac:dyDescent="0.35">
      <c r="A668" s="1" t="s">
        <v>68</v>
      </c>
      <c r="B668" s="1" t="s">
        <v>69</v>
      </c>
      <c r="C668" s="1" t="s">
        <v>70</v>
      </c>
      <c r="D668">
        <v>1</v>
      </c>
      <c r="E668">
        <v>1</v>
      </c>
      <c r="F668" s="2">
        <v>43585.43</v>
      </c>
      <c r="G668" s="3">
        <v>41275</v>
      </c>
      <c r="H668" s="3">
        <v>41639</v>
      </c>
      <c r="I668" s="1" t="s">
        <v>71</v>
      </c>
      <c r="J668">
        <v>4521</v>
      </c>
      <c r="K668">
        <v>0</v>
      </c>
      <c r="L668" s="1" t="s">
        <v>384</v>
      </c>
      <c r="M668" s="1" t="s">
        <v>72</v>
      </c>
      <c r="N668" s="1" t="s">
        <v>134</v>
      </c>
      <c r="O668" s="1" t="s">
        <v>385</v>
      </c>
      <c r="P668" s="1" t="s">
        <v>386</v>
      </c>
      <c r="Q668" s="1" t="s">
        <v>387</v>
      </c>
      <c r="R668">
        <v>103</v>
      </c>
      <c r="S668" s="1" t="s">
        <v>135</v>
      </c>
      <c r="T668" s="1" t="s">
        <v>388</v>
      </c>
      <c r="U668" s="1" t="s">
        <v>135</v>
      </c>
      <c r="V668" s="1"/>
      <c r="W668" s="1"/>
      <c r="X668" s="1"/>
      <c r="Y668" s="1"/>
      <c r="AA668" s="1"/>
      <c r="AC668" s="1"/>
      <c r="AD668" s="1"/>
      <c r="AE668" s="1"/>
      <c r="AN668" s="1"/>
      <c r="AP668" s="1"/>
      <c r="AQ668" s="1"/>
      <c r="AR668" s="1"/>
      <c r="AS668" s="1"/>
      <c r="AT668" s="3"/>
      <c r="AU668" s="3"/>
      <c r="AV668" s="3"/>
      <c r="AW668" s="1"/>
      <c r="AX668" s="1"/>
      <c r="AZ668">
        <v>253</v>
      </c>
      <c r="BA668">
        <v>4654734.66</v>
      </c>
      <c r="BB668" s="1" t="s">
        <v>74</v>
      </c>
      <c r="BC668">
        <v>296</v>
      </c>
      <c r="BD668" s="1" t="s">
        <v>853</v>
      </c>
      <c r="BE668" s="1" t="s">
        <v>99</v>
      </c>
      <c r="BF668">
        <v>0</v>
      </c>
      <c r="BG668" s="1"/>
      <c r="BH668" s="1" t="s">
        <v>136</v>
      </c>
      <c r="BI668">
        <v>884</v>
      </c>
      <c r="BJ668" s="1" t="s">
        <v>1039</v>
      </c>
      <c r="BL668" s="1"/>
      <c r="BN668" s="1"/>
      <c r="BO668">
        <v>599</v>
      </c>
      <c r="BP668">
        <v>4654734.66</v>
      </c>
      <c r="BQ668">
        <v>4654734.66</v>
      </c>
    </row>
    <row r="669" spans="1:69" x14ac:dyDescent="0.35">
      <c r="A669" s="1" t="s">
        <v>68</v>
      </c>
      <c r="B669" s="1" t="s">
        <v>69</v>
      </c>
      <c r="C669" s="1" t="s">
        <v>70</v>
      </c>
      <c r="D669">
        <v>1</v>
      </c>
      <c r="E669">
        <v>1</v>
      </c>
      <c r="F669" s="2">
        <v>43585.43</v>
      </c>
      <c r="G669" s="3">
        <v>41275</v>
      </c>
      <c r="H669" s="3">
        <v>41639</v>
      </c>
      <c r="I669" s="1" t="s">
        <v>71</v>
      </c>
      <c r="J669">
        <v>4521</v>
      </c>
      <c r="K669">
        <v>0</v>
      </c>
      <c r="L669" s="1" t="s">
        <v>384</v>
      </c>
      <c r="M669" s="1" t="s">
        <v>72</v>
      </c>
      <c r="N669" s="1" t="s">
        <v>134</v>
      </c>
      <c r="O669" s="1" t="s">
        <v>385</v>
      </c>
      <c r="P669" s="1" t="s">
        <v>386</v>
      </c>
      <c r="Q669" s="1" t="s">
        <v>387</v>
      </c>
      <c r="R669">
        <v>103</v>
      </c>
      <c r="S669" s="1" t="s">
        <v>135</v>
      </c>
      <c r="T669" s="1" t="s">
        <v>388</v>
      </c>
      <c r="U669" s="1" t="s">
        <v>135</v>
      </c>
      <c r="V669" s="1"/>
      <c r="W669" s="1"/>
      <c r="X669" s="1"/>
      <c r="Y669" s="1"/>
      <c r="AA669" s="1"/>
      <c r="AC669" s="1"/>
      <c r="AD669" s="1"/>
      <c r="AE669" s="1"/>
      <c r="AN669" s="1"/>
      <c r="AP669" s="1"/>
      <c r="AQ669" s="1"/>
      <c r="AR669" s="1"/>
      <c r="AS669" s="1"/>
      <c r="AT669" s="3"/>
      <c r="AU669" s="3"/>
      <c r="AV669" s="3"/>
      <c r="AW669" s="1"/>
      <c r="AX669" s="1"/>
      <c r="AZ669">
        <v>253</v>
      </c>
      <c r="BA669">
        <v>4654734.66</v>
      </c>
      <c r="BB669" s="1" t="s">
        <v>74</v>
      </c>
      <c r="BC669">
        <v>297</v>
      </c>
      <c r="BD669" s="1" t="s">
        <v>854</v>
      </c>
      <c r="BE669" s="1" t="s">
        <v>479</v>
      </c>
      <c r="BF669">
        <v>1232.5</v>
      </c>
      <c r="BG669" s="1" t="s">
        <v>1039</v>
      </c>
      <c r="BH669" s="1" t="s">
        <v>99</v>
      </c>
      <c r="BI669">
        <v>0</v>
      </c>
      <c r="BJ669" s="1"/>
      <c r="BL669" s="1"/>
      <c r="BN669" s="1"/>
      <c r="BO669">
        <v>599</v>
      </c>
      <c r="BP669">
        <v>4654734.66</v>
      </c>
      <c r="BQ669">
        <v>4654734.66</v>
      </c>
    </row>
    <row r="670" spans="1:69" x14ac:dyDescent="0.35">
      <c r="A670" s="1" t="s">
        <v>68</v>
      </c>
      <c r="B670" s="1" t="s">
        <v>69</v>
      </c>
      <c r="C670" s="1" t="s">
        <v>70</v>
      </c>
      <c r="D670">
        <v>1</v>
      </c>
      <c r="E670">
        <v>1</v>
      </c>
      <c r="F670" s="2">
        <v>43585.43</v>
      </c>
      <c r="G670" s="3">
        <v>41275</v>
      </c>
      <c r="H670" s="3">
        <v>41639</v>
      </c>
      <c r="I670" s="1" t="s">
        <v>71</v>
      </c>
      <c r="J670">
        <v>4521</v>
      </c>
      <c r="K670">
        <v>0</v>
      </c>
      <c r="L670" s="1" t="s">
        <v>384</v>
      </c>
      <c r="M670" s="1" t="s">
        <v>72</v>
      </c>
      <c r="N670" s="1" t="s">
        <v>134</v>
      </c>
      <c r="O670" s="1" t="s">
        <v>385</v>
      </c>
      <c r="P670" s="1" t="s">
        <v>386</v>
      </c>
      <c r="Q670" s="1" t="s">
        <v>387</v>
      </c>
      <c r="R670">
        <v>103</v>
      </c>
      <c r="S670" s="1" t="s">
        <v>135</v>
      </c>
      <c r="T670" s="1" t="s">
        <v>388</v>
      </c>
      <c r="U670" s="1" t="s">
        <v>135</v>
      </c>
      <c r="V670" s="1"/>
      <c r="W670" s="1"/>
      <c r="X670" s="1"/>
      <c r="Y670" s="1"/>
      <c r="AA670" s="1"/>
      <c r="AC670" s="1"/>
      <c r="AD670" s="1"/>
      <c r="AE670" s="1"/>
      <c r="AN670" s="1"/>
      <c r="AP670" s="1"/>
      <c r="AQ670" s="1"/>
      <c r="AR670" s="1"/>
      <c r="AS670" s="1"/>
      <c r="AT670" s="3"/>
      <c r="AU670" s="3"/>
      <c r="AV670" s="3"/>
      <c r="AW670" s="1"/>
      <c r="AX670" s="1"/>
      <c r="AZ670">
        <v>253</v>
      </c>
      <c r="BA670">
        <v>4654734.66</v>
      </c>
      <c r="BB670" s="1" t="s">
        <v>74</v>
      </c>
      <c r="BC670">
        <v>298</v>
      </c>
      <c r="BD670" s="1" t="s">
        <v>854</v>
      </c>
      <c r="BE670" s="1" t="s">
        <v>99</v>
      </c>
      <c r="BF670">
        <v>0</v>
      </c>
      <c r="BG670" s="1"/>
      <c r="BH670" s="1" t="s">
        <v>136</v>
      </c>
      <c r="BI670">
        <v>1232.5</v>
      </c>
      <c r="BJ670" s="1" t="s">
        <v>1039</v>
      </c>
      <c r="BL670" s="1"/>
      <c r="BN670" s="1"/>
      <c r="BO670">
        <v>599</v>
      </c>
      <c r="BP670">
        <v>4654734.66</v>
      </c>
      <c r="BQ670">
        <v>4654734.66</v>
      </c>
    </row>
    <row r="671" spans="1:69" x14ac:dyDescent="0.35">
      <c r="A671" s="1" t="s">
        <v>68</v>
      </c>
      <c r="B671" s="1" t="s">
        <v>69</v>
      </c>
      <c r="C671" s="1" t="s">
        <v>70</v>
      </c>
      <c r="D671">
        <v>1</v>
      </c>
      <c r="E671">
        <v>1</v>
      </c>
      <c r="F671" s="2">
        <v>43585.43</v>
      </c>
      <c r="G671" s="3">
        <v>41275</v>
      </c>
      <c r="H671" s="3">
        <v>41639</v>
      </c>
      <c r="I671" s="1" t="s">
        <v>71</v>
      </c>
      <c r="J671">
        <v>4521</v>
      </c>
      <c r="K671">
        <v>0</v>
      </c>
      <c r="L671" s="1" t="s">
        <v>384</v>
      </c>
      <c r="M671" s="1" t="s">
        <v>72</v>
      </c>
      <c r="N671" s="1" t="s">
        <v>134</v>
      </c>
      <c r="O671" s="1" t="s">
        <v>385</v>
      </c>
      <c r="P671" s="1" t="s">
        <v>386</v>
      </c>
      <c r="Q671" s="1" t="s">
        <v>387</v>
      </c>
      <c r="R671">
        <v>103</v>
      </c>
      <c r="S671" s="1" t="s">
        <v>135</v>
      </c>
      <c r="T671" s="1" t="s">
        <v>388</v>
      </c>
      <c r="U671" s="1" t="s">
        <v>135</v>
      </c>
      <c r="V671" s="1"/>
      <c r="W671" s="1"/>
      <c r="X671" s="1"/>
      <c r="Y671" s="1"/>
      <c r="AA671" s="1"/>
      <c r="AC671" s="1"/>
      <c r="AD671" s="1"/>
      <c r="AE671" s="1"/>
      <c r="AN671" s="1"/>
      <c r="AP671" s="1"/>
      <c r="AQ671" s="1"/>
      <c r="AR671" s="1"/>
      <c r="AS671" s="1"/>
      <c r="AT671" s="3"/>
      <c r="AU671" s="3"/>
      <c r="AV671" s="3"/>
      <c r="AW671" s="1"/>
      <c r="AX671" s="1"/>
      <c r="AZ671">
        <v>253</v>
      </c>
      <c r="BA671">
        <v>4654734.66</v>
      </c>
      <c r="BB671" s="1" t="s">
        <v>74</v>
      </c>
      <c r="BC671">
        <v>299</v>
      </c>
      <c r="BD671" s="1" t="s">
        <v>855</v>
      </c>
      <c r="BE671" s="1" t="s">
        <v>468</v>
      </c>
      <c r="BF671">
        <v>15000</v>
      </c>
      <c r="BG671" s="1" t="s">
        <v>1040</v>
      </c>
      <c r="BH671" s="1" t="s">
        <v>99</v>
      </c>
      <c r="BI671">
        <v>0</v>
      </c>
      <c r="BJ671" s="1"/>
      <c r="BL671" s="1"/>
      <c r="BN671" s="1"/>
      <c r="BO671">
        <v>599</v>
      </c>
      <c r="BP671">
        <v>4654734.66</v>
      </c>
      <c r="BQ671">
        <v>4654734.66</v>
      </c>
    </row>
    <row r="672" spans="1:69" x14ac:dyDescent="0.35">
      <c r="A672" s="1" t="s">
        <v>68</v>
      </c>
      <c r="B672" s="1" t="s">
        <v>69</v>
      </c>
      <c r="C672" s="1" t="s">
        <v>70</v>
      </c>
      <c r="D672">
        <v>1</v>
      </c>
      <c r="E672">
        <v>1</v>
      </c>
      <c r="F672" s="2">
        <v>43585.43</v>
      </c>
      <c r="G672" s="3">
        <v>41275</v>
      </c>
      <c r="H672" s="3">
        <v>41639</v>
      </c>
      <c r="I672" s="1" t="s">
        <v>71</v>
      </c>
      <c r="J672">
        <v>4521</v>
      </c>
      <c r="K672">
        <v>0</v>
      </c>
      <c r="L672" s="1" t="s">
        <v>384</v>
      </c>
      <c r="M672" s="1" t="s">
        <v>72</v>
      </c>
      <c r="N672" s="1" t="s">
        <v>134</v>
      </c>
      <c r="O672" s="1" t="s">
        <v>385</v>
      </c>
      <c r="P672" s="1" t="s">
        <v>386</v>
      </c>
      <c r="Q672" s="1" t="s">
        <v>387</v>
      </c>
      <c r="R672">
        <v>103</v>
      </c>
      <c r="S672" s="1" t="s">
        <v>135</v>
      </c>
      <c r="T672" s="1" t="s">
        <v>388</v>
      </c>
      <c r="U672" s="1" t="s">
        <v>135</v>
      </c>
      <c r="V672" s="1"/>
      <c r="W672" s="1"/>
      <c r="X672" s="1"/>
      <c r="Y672" s="1"/>
      <c r="AA672" s="1"/>
      <c r="AC672" s="1"/>
      <c r="AD672" s="1"/>
      <c r="AE672" s="1"/>
      <c r="AN672" s="1"/>
      <c r="AP672" s="1"/>
      <c r="AQ672" s="1"/>
      <c r="AR672" s="1"/>
      <c r="AS672" s="1"/>
      <c r="AT672" s="3"/>
      <c r="AU672" s="3"/>
      <c r="AV672" s="3"/>
      <c r="AW672" s="1"/>
      <c r="AX672" s="1"/>
      <c r="AZ672">
        <v>253</v>
      </c>
      <c r="BA672">
        <v>4654734.66</v>
      </c>
      <c r="BB672" s="1" t="s">
        <v>74</v>
      </c>
      <c r="BC672">
        <v>300</v>
      </c>
      <c r="BD672" s="1" t="s">
        <v>855</v>
      </c>
      <c r="BE672" s="1" t="s">
        <v>99</v>
      </c>
      <c r="BF672">
        <v>0</v>
      </c>
      <c r="BG672" s="1"/>
      <c r="BH672" s="1" t="s">
        <v>430</v>
      </c>
      <c r="BI672">
        <v>18450</v>
      </c>
      <c r="BJ672" s="1" t="s">
        <v>1040</v>
      </c>
      <c r="BL672" s="1"/>
      <c r="BN672" s="1"/>
      <c r="BO672">
        <v>599</v>
      </c>
      <c r="BP672">
        <v>4654734.66</v>
      </c>
      <c r="BQ672">
        <v>4654734.66</v>
      </c>
    </row>
    <row r="673" spans="1:69" x14ac:dyDescent="0.35">
      <c r="A673" s="1" t="s">
        <v>68</v>
      </c>
      <c r="B673" s="1" t="s">
        <v>69</v>
      </c>
      <c r="C673" s="1" t="s">
        <v>70</v>
      </c>
      <c r="D673">
        <v>1</v>
      </c>
      <c r="E673">
        <v>1</v>
      </c>
      <c r="F673" s="2">
        <v>43585.43</v>
      </c>
      <c r="G673" s="3">
        <v>41275</v>
      </c>
      <c r="H673" s="3">
        <v>41639</v>
      </c>
      <c r="I673" s="1" t="s">
        <v>71</v>
      </c>
      <c r="J673">
        <v>4521</v>
      </c>
      <c r="K673">
        <v>0</v>
      </c>
      <c r="L673" s="1" t="s">
        <v>384</v>
      </c>
      <c r="M673" s="1" t="s">
        <v>72</v>
      </c>
      <c r="N673" s="1" t="s">
        <v>134</v>
      </c>
      <c r="O673" s="1" t="s">
        <v>385</v>
      </c>
      <c r="P673" s="1" t="s">
        <v>386</v>
      </c>
      <c r="Q673" s="1" t="s">
        <v>387</v>
      </c>
      <c r="R673">
        <v>103</v>
      </c>
      <c r="S673" s="1" t="s">
        <v>135</v>
      </c>
      <c r="T673" s="1" t="s">
        <v>388</v>
      </c>
      <c r="U673" s="1" t="s">
        <v>135</v>
      </c>
      <c r="V673" s="1"/>
      <c r="W673" s="1"/>
      <c r="X673" s="1"/>
      <c r="Y673" s="1"/>
      <c r="AA673" s="1"/>
      <c r="AC673" s="1"/>
      <c r="AD673" s="1"/>
      <c r="AE673" s="1"/>
      <c r="AN673" s="1"/>
      <c r="AP673" s="1"/>
      <c r="AQ673" s="1"/>
      <c r="AR673" s="1"/>
      <c r="AS673" s="1"/>
      <c r="AT673" s="3"/>
      <c r="AU673" s="3"/>
      <c r="AV673" s="3"/>
      <c r="AW673" s="1"/>
      <c r="AX673" s="1"/>
      <c r="AZ673">
        <v>253</v>
      </c>
      <c r="BA673">
        <v>4654734.66</v>
      </c>
      <c r="BB673" s="1" t="s">
        <v>74</v>
      </c>
      <c r="BC673">
        <v>301</v>
      </c>
      <c r="BD673" s="1" t="s">
        <v>855</v>
      </c>
      <c r="BE673" s="1" t="s">
        <v>452</v>
      </c>
      <c r="BF673">
        <v>3450</v>
      </c>
      <c r="BG673" s="1" t="s">
        <v>1040</v>
      </c>
      <c r="BH673" s="1" t="s">
        <v>99</v>
      </c>
      <c r="BI673">
        <v>0</v>
      </c>
      <c r="BJ673" s="1"/>
      <c r="BL673" s="1"/>
      <c r="BN673" s="1"/>
      <c r="BO673">
        <v>599</v>
      </c>
      <c r="BP673">
        <v>4654734.66</v>
      </c>
      <c r="BQ673">
        <v>4654734.66</v>
      </c>
    </row>
    <row r="674" spans="1:69" x14ac:dyDescent="0.35">
      <c r="A674" s="1" t="s">
        <v>68</v>
      </c>
      <c r="B674" s="1" t="s">
        <v>69</v>
      </c>
      <c r="C674" s="1" t="s">
        <v>70</v>
      </c>
      <c r="D674">
        <v>1</v>
      </c>
      <c r="E674">
        <v>1</v>
      </c>
      <c r="F674" s="2">
        <v>43585.43</v>
      </c>
      <c r="G674" s="3">
        <v>41275</v>
      </c>
      <c r="H674" s="3">
        <v>41639</v>
      </c>
      <c r="I674" s="1" t="s">
        <v>71</v>
      </c>
      <c r="J674">
        <v>4521</v>
      </c>
      <c r="K674">
        <v>0</v>
      </c>
      <c r="L674" s="1" t="s">
        <v>384</v>
      </c>
      <c r="M674" s="1" t="s">
        <v>72</v>
      </c>
      <c r="N674" s="1" t="s">
        <v>134</v>
      </c>
      <c r="O674" s="1" t="s">
        <v>385</v>
      </c>
      <c r="P674" s="1" t="s">
        <v>386</v>
      </c>
      <c r="Q674" s="1" t="s">
        <v>387</v>
      </c>
      <c r="R674">
        <v>103</v>
      </c>
      <c r="S674" s="1" t="s">
        <v>135</v>
      </c>
      <c r="T674" s="1" t="s">
        <v>388</v>
      </c>
      <c r="U674" s="1" t="s">
        <v>135</v>
      </c>
      <c r="V674" s="1"/>
      <c r="W674" s="1"/>
      <c r="X674" s="1"/>
      <c r="Y674" s="1"/>
      <c r="AA674" s="1"/>
      <c r="AC674" s="1"/>
      <c r="AD674" s="1"/>
      <c r="AE674" s="1"/>
      <c r="AN674" s="1"/>
      <c r="AP674" s="1"/>
      <c r="AQ674" s="1"/>
      <c r="AR674" s="1"/>
      <c r="AS674" s="1"/>
      <c r="AT674" s="3"/>
      <c r="AU674" s="3"/>
      <c r="AV674" s="3"/>
      <c r="AW674" s="1"/>
      <c r="AX674" s="1"/>
      <c r="AZ674">
        <v>253</v>
      </c>
      <c r="BA674">
        <v>4654734.66</v>
      </c>
      <c r="BB674" s="1" t="s">
        <v>74</v>
      </c>
      <c r="BC674">
        <v>302</v>
      </c>
      <c r="BD674" s="1" t="s">
        <v>856</v>
      </c>
      <c r="BE674" s="1" t="s">
        <v>414</v>
      </c>
      <c r="BF674">
        <v>405.77</v>
      </c>
      <c r="BG674" s="1" t="s">
        <v>1041</v>
      </c>
      <c r="BH674" s="1" t="s">
        <v>99</v>
      </c>
      <c r="BI674">
        <v>0</v>
      </c>
      <c r="BJ674" s="1"/>
      <c r="BK674">
        <v>97.59</v>
      </c>
      <c r="BL674" s="1" t="s">
        <v>1295</v>
      </c>
      <c r="BN674" s="1"/>
      <c r="BO674">
        <v>599</v>
      </c>
      <c r="BP674">
        <v>4654734.66</v>
      </c>
      <c r="BQ674">
        <v>4654734.66</v>
      </c>
    </row>
    <row r="675" spans="1:69" x14ac:dyDescent="0.35">
      <c r="A675" s="1" t="s">
        <v>68</v>
      </c>
      <c r="B675" s="1" t="s">
        <v>69</v>
      </c>
      <c r="C675" s="1" t="s">
        <v>70</v>
      </c>
      <c r="D675">
        <v>1</v>
      </c>
      <c r="E675">
        <v>1</v>
      </c>
      <c r="F675" s="2">
        <v>43585.43</v>
      </c>
      <c r="G675" s="3">
        <v>41275</v>
      </c>
      <c r="H675" s="3">
        <v>41639</v>
      </c>
      <c r="I675" s="1" t="s">
        <v>71</v>
      </c>
      <c r="J675">
        <v>4521</v>
      </c>
      <c r="K675">
        <v>0</v>
      </c>
      <c r="L675" s="1" t="s">
        <v>384</v>
      </c>
      <c r="M675" s="1" t="s">
        <v>72</v>
      </c>
      <c r="N675" s="1" t="s">
        <v>134</v>
      </c>
      <c r="O675" s="1" t="s">
        <v>385</v>
      </c>
      <c r="P675" s="1" t="s">
        <v>386</v>
      </c>
      <c r="Q675" s="1" t="s">
        <v>387</v>
      </c>
      <c r="R675">
        <v>103</v>
      </c>
      <c r="S675" s="1" t="s">
        <v>135</v>
      </c>
      <c r="T675" s="1" t="s">
        <v>388</v>
      </c>
      <c r="U675" s="1" t="s">
        <v>135</v>
      </c>
      <c r="V675" s="1"/>
      <c r="W675" s="1"/>
      <c r="X675" s="1"/>
      <c r="Y675" s="1"/>
      <c r="AA675" s="1"/>
      <c r="AC675" s="1"/>
      <c r="AD675" s="1"/>
      <c r="AE675" s="1"/>
      <c r="AN675" s="1"/>
      <c r="AP675" s="1"/>
      <c r="AQ675" s="1"/>
      <c r="AR675" s="1"/>
      <c r="AS675" s="1"/>
      <c r="AT675" s="3"/>
      <c r="AU675" s="3"/>
      <c r="AV675" s="3"/>
      <c r="AW675" s="1"/>
      <c r="AX675" s="1"/>
      <c r="AZ675">
        <v>253</v>
      </c>
      <c r="BA675">
        <v>4654734.66</v>
      </c>
      <c r="BB675" s="1" t="s">
        <v>74</v>
      </c>
      <c r="BC675">
        <v>303</v>
      </c>
      <c r="BD675" s="1" t="s">
        <v>856</v>
      </c>
      <c r="BE675" s="1" t="s">
        <v>99</v>
      </c>
      <c r="BF675">
        <v>0</v>
      </c>
      <c r="BG675" s="1"/>
      <c r="BH675" s="1" t="s">
        <v>489</v>
      </c>
      <c r="BI675">
        <v>342.82</v>
      </c>
      <c r="BJ675" s="1" t="s">
        <v>1041</v>
      </c>
      <c r="BL675" s="1"/>
      <c r="BM675">
        <v>82.45</v>
      </c>
      <c r="BN675" s="1" t="s">
        <v>1295</v>
      </c>
      <c r="BO675">
        <v>599</v>
      </c>
      <c r="BP675">
        <v>4654734.66</v>
      </c>
      <c r="BQ675">
        <v>4654734.66</v>
      </c>
    </row>
    <row r="676" spans="1:69" x14ac:dyDescent="0.35">
      <c r="A676" s="1" t="s">
        <v>68</v>
      </c>
      <c r="B676" s="1" t="s">
        <v>69</v>
      </c>
      <c r="C676" s="1" t="s">
        <v>70</v>
      </c>
      <c r="D676">
        <v>1</v>
      </c>
      <c r="E676">
        <v>1</v>
      </c>
      <c r="F676" s="2">
        <v>43585.43</v>
      </c>
      <c r="G676" s="3">
        <v>41275</v>
      </c>
      <c r="H676" s="3">
        <v>41639</v>
      </c>
      <c r="I676" s="1" t="s">
        <v>71</v>
      </c>
      <c r="J676">
        <v>4521</v>
      </c>
      <c r="K676">
        <v>0</v>
      </c>
      <c r="L676" s="1" t="s">
        <v>384</v>
      </c>
      <c r="M676" s="1" t="s">
        <v>72</v>
      </c>
      <c r="N676" s="1" t="s">
        <v>134</v>
      </c>
      <c r="O676" s="1" t="s">
        <v>385</v>
      </c>
      <c r="P676" s="1" t="s">
        <v>386</v>
      </c>
      <c r="Q676" s="1" t="s">
        <v>387</v>
      </c>
      <c r="R676">
        <v>103</v>
      </c>
      <c r="S676" s="1" t="s">
        <v>135</v>
      </c>
      <c r="T676" s="1" t="s">
        <v>388</v>
      </c>
      <c r="U676" s="1" t="s">
        <v>135</v>
      </c>
      <c r="V676" s="1"/>
      <c r="W676" s="1"/>
      <c r="X676" s="1"/>
      <c r="Y676" s="1"/>
      <c r="AA676" s="1"/>
      <c r="AC676" s="1"/>
      <c r="AD676" s="1"/>
      <c r="AE676" s="1"/>
      <c r="AN676" s="1"/>
      <c r="AP676" s="1"/>
      <c r="AQ676" s="1"/>
      <c r="AR676" s="1"/>
      <c r="AS676" s="1"/>
      <c r="AT676" s="3"/>
      <c r="AU676" s="3"/>
      <c r="AV676" s="3"/>
      <c r="AW676" s="1"/>
      <c r="AX676" s="1"/>
      <c r="AZ676">
        <v>253</v>
      </c>
      <c r="BA676">
        <v>4654734.66</v>
      </c>
      <c r="BB676" s="1" t="s">
        <v>74</v>
      </c>
      <c r="BC676">
        <v>304</v>
      </c>
      <c r="BD676" s="1" t="s">
        <v>856</v>
      </c>
      <c r="BE676" s="1" t="s">
        <v>99</v>
      </c>
      <c r="BF676">
        <v>0</v>
      </c>
      <c r="BG676" s="1"/>
      <c r="BH676" s="1" t="s">
        <v>451</v>
      </c>
      <c r="BI676">
        <v>62.93</v>
      </c>
      <c r="BJ676" s="1" t="s">
        <v>1041</v>
      </c>
      <c r="BL676" s="1"/>
      <c r="BM676">
        <v>15.14</v>
      </c>
      <c r="BN676" s="1" t="s">
        <v>1295</v>
      </c>
      <c r="BO676">
        <v>599</v>
      </c>
      <c r="BP676">
        <v>4654734.66</v>
      </c>
      <c r="BQ676">
        <v>4654734.66</v>
      </c>
    </row>
    <row r="677" spans="1:69" x14ac:dyDescent="0.35">
      <c r="A677" s="1" t="s">
        <v>68</v>
      </c>
      <c r="B677" s="1" t="s">
        <v>69</v>
      </c>
      <c r="C677" s="1" t="s">
        <v>70</v>
      </c>
      <c r="D677">
        <v>1</v>
      </c>
      <c r="E677">
        <v>1</v>
      </c>
      <c r="F677" s="2">
        <v>43585.43</v>
      </c>
      <c r="G677" s="3">
        <v>41275</v>
      </c>
      <c r="H677" s="3">
        <v>41639</v>
      </c>
      <c r="I677" s="1" t="s">
        <v>71</v>
      </c>
      <c r="J677">
        <v>4521</v>
      </c>
      <c r="K677">
        <v>0</v>
      </c>
      <c r="L677" s="1" t="s">
        <v>384</v>
      </c>
      <c r="M677" s="1" t="s">
        <v>72</v>
      </c>
      <c r="N677" s="1" t="s">
        <v>134</v>
      </c>
      <c r="O677" s="1" t="s">
        <v>385</v>
      </c>
      <c r="P677" s="1" t="s">
        <v>386</v>
      </c>
      <c r="Q677" s="1" t="s">
        <v>387</v>
      </c>
      <c r="R677">
        <v>103</v>
      </c>
      <c r="S677" s="1" t="s">
        <v>135</v>
      </c>
      <c r="T677" s="1" t="s">
        <v>388</v>
      </c>
      <c r="U677" s="1" t="s">
        <v>135</v>
      </c>
      <c r="V677" s="1"/>
      <c r="W677" s="1"/>
      <c r="X677" s="1"/>
      <c r="Y677" s="1"/>
      <c r="AA677" s="1"/>
      <c r="AC677" s="1"/>
      <c r="AD677" s="1"/>
      <c r="AE677" s="1"/>
      <c r="AN677" s="1"/>
      <c r="AP677" s="1"/>
      <c r="AQ677" s="1"/>
      <c r="AR677" s="1"/>
      <c r="AS677" s="1"/>
      <c r="AT677" s="3"/>
      <c r="AU677" s="3"/>
      <c r="AV677" s="3"/>
      <c r="AW677" s="1"/>
      <c r="AX677" s="1"/>
      <c r="AZ677">
        <v>253</v>
      </c>
      <c r="BA677">
        <v>4654734.66</v>
      </c>
      <c r="BB677" s="1" t="s">
        <v>74</v>
      </c>
      <c r="BC677">
        <v>305</v>
      </c>
      <c r="BD677" s="1" t="s">
        <v>856</v>
      </c>
      <c r="BE677" s="1" t="s">
        <v>99</v>
      </c>
      <c r="BF677">
        <v>0</v>
      </c>
      <c r="BG677" s="1"/>
      <c r="BH677" s="1" t="s">
        <v>492</v>
      </c>
      <c r="BI677">
        <v>0.02</v>
      </c>
      <c r="BJ677" s="1" t="s">
        <v>85</v>
      </c>
      <c r="BL677" s="1"/>
      <c r="BN677" s="1"/>
      <c r="BO677">
        <v>599</v>
      </c>
      <c r="BP677">
        <v>4654734.66</v>
      </c>
      <c r="BQ677">
        <v>4654734.66</v>
      </c>
    </row>
    <row r="678" spans="1:69" x14ac:dyDescent="0.35">
      <c r="A678" s="1" t="s">
        <v>68</v>
      </c>
      <c r="B678" s="1" t="s">
        <v>69</v>
      </c>
      <c r="C678" s="1" t="s">
        <v>70</v>
      </c>
      <c r="D678">
        <v>1</v>
      </c>
      <c r="E678">
        <v>1</v>
      </c>
      <c r="F678" s="2">
        <v>43585.43</v>
      </c>
      <c r="G678" s="3">
        <v>41275</v>
      </c>
      <c r="H678" s="3">
        <v>41639</v>
      </c>
      <c r="I678" s="1" t="s">
        <v>71</v>
      </c>
      <c r="J678">
        <v>4521</v>
      </c>
      <c r="K678">
        <v>0</v>
      </c>
      <c r="L678" s="1" t="s">
        <v>384</v>
      </c>
      <c r="M678" s="1" t="s">
        <v>72</v>
      </c>
      <c r="N678" s="1" t="s">
        <v>134</v>
      </c>
      <c r="O678" s="1" t="s">
        <v>385</v>
      </c>
      <c r="P678" s="1" t="s">
        <v>386</v>
      </c>
      <c r="Q678" s="1" t="s">
        <v>387</v>
      </c>
      <c r="R678">
        <v>103</v>
      </c>
      <c r="S678" s="1" t="s">
        <v>135</v>
      </c>
      <c r="T678" s="1" t="s">
        <v>388</v>
      </c>
      <c r="U678" s="1" t="s">
        <v>135</v>
      </c>
      <c r="V678" s="1"/>
      <c r="W678" s="1"/>
      <c r="X678" s="1"/>
      <c r="Y678" s="1"/>
      <c r="AA678" s="1"/>
      <c r="AC678" s="1"/>
      <c r="AD678" s="1"/>
      <c r="AE678" s="1"/>
      <c r="AN678" s="1"/>
      <c r="AP678" s="1"/>
      <c r="AQ678" s="1"/>
      <c r="AR678" s="1"/>
      <c r="AS678" s="1"/>
      <c r="AT678" s="3"/>
      <c r="AU678" s="3"/>
      <c r="AV678" s="3"/>
      <c r="AW678" s="1"/>
      <c r="AX678" s="1"/>
      <c r="AZ678">
        <v>253</v>
      </c>
      <c r="BA678">
        <v>4654734.66</v>
      </c>
      <c r="BB678" s="1" t="s">
        <v>74</v>
      </c>
      <c r="BC678">
        <v>306</v>
      </c>
      <c r="BD678" s="1" t="s">
        <v>857</v>
      </c>
      <c r="BE678" s="1" t="s">
        <v>445</v>
      </c>
      <c r="BF678">
        <v>4157.8999999999996</v>
      </c>
      <c r="BG678" s="1" t="s">
        <v>1042</v>
      </c>
      <c r="BH678" s="1" t="s">
        <v>99</v>
      </c>
      <c r="BI678">
        <v>0</v>
      </c>
      <c r="BJ678" s="1"/>
      <c r="BK678">
        <v>1000</v>
      </c>
      <c r="BL678" s="1" t="s">
        <v>1295</v>
      </c>
      <c r="BN678" s="1"/>
      <c r="BO678">
        <v>599</v>
      </c>
      <c r="BP678">
        <v>4654734.66</v>
      </c>
      <c r="BQ678">
        <v>4654734.66</v>
      </c>
    </row>
    <row r="679" spans="1:69" x14ac:dyDescent="0.35">
      <c r="A679" s="1" t="s">
        <v>68</v>
      </c>
      <c r="B679" s="1" t="s">
        <v>69</v>
      </c>
      <c r="C679" s="1" t="s">
        <v>70</v>
      </c>
      <c r="D679">
        <v>1</v>
      </c>
      <c r="E679">
        <v>1</v>
      </c>
      <c r="F679" s="2">
        <v>43585.43</v>
      </c>
      <c r="G679" s="3">
        <v>41275</v>
      </c>
      <c r="H679" s="3">
        <v>41639</v>
      </c>
      <c r="I679" s="1" t="s">
        <v>71</v>
      </c>
      <c r="J679">
        <v>4521</v>
      </c>
      <c r="K679">
        <v>0</v>
      </c>
      <c r="L679" s="1" t="s">
        <v>384</v>
      </c>
      <c r="M679" s="1" t="s">
        <v>72</v>
      </c>
      <c r="N679" s="1" t="s">
        <v>134</v>
      </c>
      <c r="O679" s="1" t="s">
        <v>385</v>
      </c>
      <c r="P679" s="1" t="s">
        <v>386</v>
      </c>
      <c r="Q679" s="1" t="s">
        <v>387</v>
      </c>
      <c r="R679">
        <v>103</v>
      </c>
      <c r="S679" s="1" t="s">
        <v>135</v>
      </c>
      <c r="T679" s="1" t="s">
        <v>388</v>
      </c>
      <c r="U679" s="1" t="s">
        <v>135</v>
      </c>
      <c r="V679" s="1"/>
      <c r="W679" s="1"/>
      <c r="X679" s="1"/>
      <c r="Y679" s="1"/>
      <c r="AA679" s="1"/>
      <c r="AC679" s="1"/>
      <c r="AD679" s="1"/>
      <c r="AE679" s="1"/>
      <c r="AN679" s="1"/>
      <c r="AP679" s="1"/>
      <c r="AQ679" s="1"/>
      <c r="AR679" s="1"/>
      <c r="AS679" s="1"/>
      <c r="AT679" s="3"/>
      <c r="AU679" s="3"/>
      <c r="AV679" s="3"/>
      <c r="AW679" s="1"/>
      <c r="AX679" s="1"/>
      <c r="AZ679">
        <v>253</v>
      </c>
      <c r="BA679">
        <v>4654734.66</v>
      </c>
      <c r="BB679" s="1" t="s">
        <v>74</v>
      </c>
      <c r="BC679">
        <v>307</v>
      </c>
      <c r="BD679" s="1" t="s">
        <v>857</v>
      </c>
      <c r="BE679" s="1" t="s">
        <v>99</v>
      </c>
      <c r="BF679">
        <v>0</v>
      </c>
      <c r="BG679" s="1"/>
      <c r="BH679" s="1" t="s">
        <v>487</v>
      </c>
      <c r="BI679">
        <v>4157.8999999999996</v>
      </c>
      <c r="BJ679" s="1" t="s">
        <v>1042</v>
      </c>
      <c r="BL679" s="1"/>
      <c r="BM679">
        <v>1000</v>
      </c>
      <c r="BN679" s="1" t="s">
        <v>1295</v>
      </c>
      <c r="BO679">
        <v>599</v>
      </c>
      <c r="BP679">
        <v>4654734.66</v>
      </c>
      <c r="BQ679">
        <v>4654734.66</v>
      </c>
    </row>
    <row r="680" spans="1:69" x14ac:dyDescent="0.35">
      <c r="A680" s="1" t="s">
        <v>68</v>
      </c>
      <c r="B680" s="1" t="s">
        <v>69</v>
      </c>
      <c r="C680" s="1" t="s">
        <v>70</v>
      </c>
      <c r="D680">
        <v>1</v>
      </c>
      <c r="E680">
        <v>1</v>
      </c>
      <c r="F680" s="2">
        <v>43585.43</v>
      </c>
      <c r="G680" s="3">
        <v>41275</v>
      </c>
      <c r="H680" s="3">
        <v>41639</v>
      </c>
      <c r="I680" s="1" t="s">
        <v>71</v>
      </c>
      <c r="J680">
        <v>4521</v>
      </c>
      <c r="K680">
        <v>0</v>
      </c>
      <c r="L680" s="1" t="s">
        <v>384</v>
      </c>
      <c r="M680" s="1" t="s">
        <v>72</v>
      </c>
      <c r="N680" s="1" t="s">
        <v>134</v>
      </c>
      <c r="O680" s="1" t="s">
        <v>385</v>
      </c>
      <c r="P680" s="1" t="s">
        <v>386</v>
      </c>
      <c r="Q680" s="1" t="s">
        <v>387</v>
      </c>
      <c r="R680">
        <v>103</v>
      </c>
      <c r="S680" s="1" t="s">
        <v>135</v>
      </c>
      <c r="T680" s="1" t="s">
        <v>388</v>
      </c>
      <c r="U680" s="1" t="s">
        <v>135</v>
      </c>
      <c r="V680" s="1"/>
      <c r="W680" s="1"/>
      <c r="X680" s="1"/>
      <c r="Y680" s="1"/>
      <c r="AA680" s="1"/>
      <c r="AC680" s="1"/>
      <c r="AD680" s="1"/>
      <c r="AE680" s="1"/>
      <c r="AN680" s="1"/>
      <c r="AP680" s="1"/>
      <c r="AQ680" s="1"/>
      <c r="AR680" s="1"/>
      <c r="AS680" s="1"/>
      <c r="AT680" s="3"/>
      <c r="AU680" s="3"/>
      <c r="AV680" s="3"/>
      <c r="AW680" s="1"/>
      <c r="AX680" s="1"/>
      <c r="AZ680">
        <v>253</v>
      </c>
      <c r="BA680">
        <v>4654734.66</v>
      </c>
      <c r="BB680" s="1" t="s">
        <v>74</v>
      </c>
      <c r="BC680">
        <v>308</v>
      </c>
      <c r="BD680" s="1" t="s">
        <v>858</v>
      </c>
      <c r="BE680" s="1" t="s">
        <v>443</v>
      </c>
      <c r="BF680">
        <v>4915.1000000000004</v>
      </c>
      <c r="BG680" s="1" t="s">
        <v>1042</v>
      </c>
      <c r="BH680" s="1" t="s">
        <v>99</v>
      </c>
      <c r="BI680">
        <v>0</v>
      </c>
      <c r="BJ680" s="1"/>
      <c r="BK680">
        <v>1000</v>
      </c>
      <c r="BL680" s="1" t="s">
        <v>1296</v>
      </c>
      <c r="BN680" s="1"/>
      <c r="BO680">
        <v>599</v>
      </c>
      <c r="BP680">
        <v>4654734.66</v>
      </c>
      <c r="BQ680">
        <v>4654734.66</v>
      </c>
    </row>
    <row r="681" spans="1:69" x14ac:dyDescent="0.35">
      <c r="A681" s="1" t="s">
        <v>68</v>
      </c>
      <c r="B681" s="1" t="s">
        <v>69</v>
      </c>
      <c r="C681" s="1" t="s">
        <v>70</v>
      </c>
      <c r="D681">
        <v>1</v>
      </c>
      <c r="E681">
        <v>1</v>
      </c>
      <c r="F681" s="2">
        <v>43585.43</v>
      </c>
      <c r="G681" s="3">
        <v>41275</v>
      </c>
      <c r="H681" s="3">
        <v>41639</v>
      </c>
      <c r="I681" s="1" t="s">
        <v>71</v>
      </c>
      <c r="J681">
        <v>4521</v>
      </c>
      <c r="K681">
        <v>0</v>
      </c>
      <c r="L681" s="1" t="s">
        <v>384</v>
      </c>
      <c r="M681" s="1" t="s">
        <v>72</v>
      </c>
      <c r="N681" s="1" t="s">
        <v>134</v>
      </c>
      <c r="O681" s="1" t="s">
        <v>385</v>
      </c>
      <c r="P681" s="1" t="s">
        <v>386</v>
      </c>
      <c r="Q681" s="1" t="s">
        <v>387</v>
      </c>
      <c r="R681">
        <v>103</v>
      </c>
      <c r="S681" s="1" t="s">
        <v>135</v>
      </c>
      <c r="T681" s="1" t="s">
        <v>388</v>
      </c>
      <c r="U681" s="1" t="s">
        <v>135</v>
      </c>
      <c r="V681" s="1"/>
      <c r="W681" s="1"/>
      <c r="X681" s="1"/>
      <c r="Y681" s="1"/>
      <c r="AA681" s="1"/>
      <c r="AC681" s="1"/>
      <c r="AD681" s="1"/>
      <c r="AE681" s="1"/>
      <c r="AN681" s="1"/>
      <c r="AP681" s="1"/>
      <c r="AQ681" s="1"/>
      <c r="AR681" s="1"/>
      <c r="AS681" s="1"/>
      <c r="AT681" s="3"/>
      <c r="AU681" s="3"/>
      <c r="AV681" s="3"/>
      <c r="AW681" s="1"/>
      <c r="AX681" s="1"/>
      <c r="AZ681">
        <v>253</v>
      </c>
      <c r="BA681">
        <v>4654734.66</v>
      </c>
      <c r="BB681" s="1" t="s">
        <v>74</v>
      </c>
      <c r="BC681">
        <v>309</v>
      </c>
      <c r="BD681" s="1" t="s">
        <v>858</v>
      </c>
      <c r="BE681" s="1" t="s">
        <v>99</v>
      </c>
      <c r="BF681">
        <v>0</v>
      </c>
      <c r="BG681" s="1"/>
      <c r="BH681" s="1" t="s">
        <v>488</v>
      </c>
      <c r="BI681">
        <v>4915.1000000000004</v>
      </c>
      <c r="BJ681" s="1" t="s">
        <v>1042</v>
      </c>
      <c r="BL681" s="1"/>
      <c r="BM681">
        <v>1000</v>
      </c>
      <c r="BN681" s="1" t="s">
        <v>1296</v>
      </c>
      <c r="BO681">
        <v>599</v>
      </c>
      <c r="BP681">
        <v>4654734.66</v>
      </c>
      <c r="BQ681">
        <v>4654734.66</v>
      </c>
    </row>
    <row r="682" spans="1:69" x14ac:dyDescent="0.35">
      <c r="A682" s="1" t="s">
        <v>68</v>
      </c>
      <c r="B682" s="1" t="s">
        <v>69</v>
      </c>
      <c r="C682" s="1" t="s">
        <v>70</v>
      </c>
      <c r="D682">
        <v>1</v>
      </c>
      <c r="E682">
        <v>1</v>
      </c>
      <c r="F682" s="2">
        <v>43585.43</v>
      </c>
      <c r="G682" s="3">
        <v>41275</v>
      </c>
      <c r="H682" s="3">
        <v>41639</v>
      </c>
      <c r="I682" s="1" t="s">
        <v>71</v>
      </c>
      <c r="J682">
        <v>4521</v>
      </c>
      <c r="K682">
        <v>0</v>
      </c>
      <c r="L682" s="1" t="s">
        <v>384</v>
      </c>
      <c r="M682" s="1" t="s">
        <v>72</v>
      </c>
      <c r="N682" s="1" t="s">
        <v>134</v>
      </c>
      <c r="O682" s="1" t="s">
        <v>385</v>
      </c>
      <c r="P682" s="1" t="s">
        <v>386</v>
      </c>
      <c r="Q682" s="1" t="s">
        <v>387</v>
      </c>
      <c r="R682">
        <v>103</v>
      </c>
      <c r="S682" s="1" t="s">
        <v>135</v>
      </c>
      <c r="T682" s="1" t="s">
        <v>388</v>
      </c>
      <c r="U682" s="1" t="s">
        <v>135</v>
      </c>
      <c r="V682" s="1"/>
      <c r="W682" s="1"/>
      <c r="X682" s="1"/>
      <c r="Y682" s="1"/>
      <c r="AA682" s="1"/>
      <c r="AC682" s="1"/>
      <c r="AD682" s="1"/>
      <c r="AE682" s="1"/>
      <c r="AN682" s="1"/>
      <c r="AP682" s="1"/>
      <c r="AQ682" s="1"/>
      <c r="AR682" s="1"/>
      <c r="AS682" s="1"/>
      <c r="AT682" s="3"/>
      <c r="AU682" s="3"/>
      <c r="AV682" s="3"/>
      <c r="AW682" s="1"/>
      <c r="AX682" s="1"/>
      <c r="AZ682">
        <v>253</v>
      </c>
      <c r="BA682">
        <v>4654734.66</v>
      </c>
      <c r="BB682" s="1" t="s">
        <v>74</v>
      </c>
      <c r="BC682">
        <v>310</v>
      </c>
      <c r="BD682" s="1" t="s">
        <v>859</v>
      </c>
      <c r="BE682" s="1" t="s">
        <v>394</v>
      </c>
      <c r="BF682">
        <v>500000</v>
      </c>
      <c r="BG682" s="1" t="s">
        <v>1249</v>
      </c>
      <c r="BH682" s="1" t="s">
        <v>99</v>
      </c>
      <c r="BI682">
        <v>0</v>
      </c>
      <c r="BJ682" s="1"/>
      <c r="BL682" s="1"/>
      <c r="BN682" s="1"/>
      <c r="BO682">
        <v>599</v>
      </c>
      <c r="BP682">
        <v>4654734.66</v>
      </c>
      <c r="BQ682">
        <v>4654734.66</v>
      </c>
    </row>
    <row r="683" spans="1:69" x14ac:dyDescent="0.35">
      <c r="A683" s="1" t="s">
        <v>68</v>
      </c>
      <c r="B683" s="1" t="s">
        <v>69</v>
      </c>
      <c r="C683" s="1" t="s">
        <v>70</v>
      </c>
      <c r="D683">
        <v>1</v>
      </c>
      <c r="E683">
        <v>1</v>
      </c>
      <c r="F683" s="2">
        <v>43585.43</v>
      </c>
      <c r="G683" s="3">
        <v>41275</v>
      </c>
      <c r="H683" s="3">
        <v>41639</v>
      </c>
      <c r="I683" s="1" t="s">
        <v>71</v>
      </c>
      <c r="J683">
        <v>4521</v>
      </c>
      <c r="K683">
        <v>0</v>
      </c>
      <c r="L683" s="1" t="s">
        <v>384</v>
      </c>
      <c r="M683" s="1" t="s">
        <v>72</v>
      </c>
      <c r="N683" s="1" t="s">
        <v>134</v>
      </c>
      <c r="O683" s="1" t="s">
        <v>385</v>
      </c>
      <c r="P683" s="1" t="s">
        <v>386</v>
      </c>
      <c r="Q683" s="1" t="s">
        <v>387</v>
      </c>
      <c r="R683">
        <v>103</v>
      </c>
      <c r="S683" s="1" t="s">
        <v>135</v>
      </c>
      <c r="T683" s="1" t="s">
        <v>388</v>
      </c>
      <c r="U683" s="1" t="s">
        <v>135</v>
      </c>
      <c r="V683" s="1"/>
      <c r="W683" s="1"/>
      <c r="X683" s="1"/>
      <c r="Y683" s="1"/>
      <c r="AA683" s="1"/>
      <c r="AC683" s="1"/>
      <c r="AD683" s="1"/>
      <c r="AE683" s="1"/>
      <c r="AN683" s="1"/>
      <c r="AP683" s="1"/>
      <c r="AQ683" s="1"/>
      <c r="AR683" s="1"/>
      <c r="AS683" s="1"/>
      <c r="AT683" s="3"/>
      <c r="AU683" s="3"/>
      <c r="AV683" s="3"/>
      <c r="AW683" s="1"/>
      <c r="AX683" s="1"/>
      <c r="AZ683">
        <v>253</v>
      </c>
      <c r="BA683">
        <v>4654734.66</v>
      </c>
      <c r="BB683" s="1" t="s">
        <v>74</v>
      </c>
      <c r="BC683">
        <v>311</v>
      </c>
      <c r="BD683" s="1" t="s">
        <v>859</v>
      </c>
      <c r="BE683" s="1" t="s">
        <v>99</v>
      </c>
      <c r="BF683">
        <v>0</v>
      </c>
      <c r="BG683" s="1"/>
      <c r="BH683" s="1" t="s">
        <v>397</v>
      </c>
      <c r="BI683">
        <v>500000</v>
      </c>
      <c r="BJ683" s="1" t="s">
        <v>1249</v>
      </c>
      <c r="BL683" s="1"/>
      <c r="BN683" s="1"/>
      <c r="BO683">
        <v>599</v>
      </c>
      <c r="BP683">
        <v>4654734.66</v>
      </c>
      <c r="BQ683">
        <v>4654734.66</v>
      </c>
    </row>
    <row r="684" spans="1:69" x14ac:dyDescent="0.35">
      <c r="A684" s="1" t="s">
        <v>68</v>
      </c>
      <c r="B684" s="1" t="s">
        <v>69</v>
      </c>
      <c r="C684" s="1" t="s">
        <v>70</v>
      </c>
      <c r="D684">
        <v>1</v>
      </c>
      <c r="E684">
        <v>1</v>
      </c>
      <c r="F684" s="2">
        <v>43585.43</v>
      </c>
      <c r="G684" s="3">
        <v>41275</v>
      </c>
      <c r="H684" s="3">
        <v>41639</v>
      </c>
      <c r="I684" s="1" t="s">
        <v>71</v>
      </c>
      <c r="J684">
        <v>4521</v>
      </c>
      <c r="K684">
        <v>0</v>
      </c>
      <c r="L684" s="1" t="s">
        <v>384</v>
      </c>
      <c r="M684" s="1" t="s">
        <v>72</v>
      </c>
      <c r="N684" s="1" t="s">
        <v>134</v>
      </c>
      <c r="O684" s="1" t="s">
        <v>385</v>
      </c>
      <c r="P684" s="1" t="s">
        <v>386</v>
      </c>
      <c r="Q684" s="1" t="s">
        <v>387</v>
      </c>
      <c r="R684">
        <v>103</v>
      </c>
      <c r="S684" s="1" t="s">
        <v>135</v>
      </c>
      <c r="T684" s="1" t="s">
        <v>388</v>
      </c>
      <c r="U684" s="1" t="s">
        <v>135</v>
      </c>
      <c r="V684" s="1"/>
      <c r="W684" s="1"/>
      <c r="X684" s="1"/>
      <c r="Y684" s="1"/>
      <c r="AA684" s="1"/>
      <c r="AC684" s="1"/>
      <c r="AD684" s="1"/>
      <c r="AE684" s="1"/>
      <c r="AN684" s="1"/>
      <c r="AP684" s="1"/>
      <c r="AQ684" s="1"/>
      <c r="AR684" s="1"/>
      <c r="AS684" s="1"/>
      <c r="AT684" s="3"/>
      <c r="AU684" s="3"/>
      <c r="AV684" s="3"/>
      <c r="AW684" s="1"/>
      <c r="AX684" s="1"/>
      <c r="AZ684">
        <v>253</v>
      </c>
      <c r="BA684">
        <v>4654734.66</v>
      </c>
      <c r="BB684" s="1" t="s">
        <v>74</v>
      </c>
      <c r="BC684">
        <v>312</v>
      </c>
      <c r="BD684" s="1" t="s">
        <v>860</v>
      </c>
      <c r="BE684" s="1" t="s">
        <v>430</v>
      </c>
      <c r="BF684">
        <v>92250</v>
      </c>
      <c r="BG684" s="1" t="s">
        <v>1250</v>
      </c>
      <c r="BH684" s="1" t="s">
        <v>99</v>
      </c>
      <c r="BI684">
        <v>0</v>
      </c>
      <c r="BJ684" s="1"/>
      <c r="BL684" s="1"/>
      <c r="BN684" s="1"/>
      <c r="BO684">
        <v>599</v>
      </c>
      <c r="BP684">
        <v>4654734.66</v>
      </c>
      <c r="BQ684">
        <v>4654734.66</v>
      </c>
    </row>
    <row r="685" spans="1:69" x14ac:dyDescent="0.35">
      <c r="A685" s="1" t="s">
        <v>68</v>
      </c>
      <c r="B685" s="1" t="s">
        <v>69</v>
      </c>
      <c r="C685" s="1" t="s">
        <v>70</v>
      </c>
      <c r="D685">
        <v>1</v>
      </c>
      <c r="E685">
        <v>1</v>
      </c>
      <c r="F685" s="2">
        <v>43585.43</v>
      </c>
      <c r="G685" s="3">
        <v>41275</v>
      </c>
      <c r="H685" s="3">
        <v>41639</v>
      </c>
      <c r="I685" s="1" t="s">
        <v>71</v>
      </c>
      <c r="J685">
        <v>4521</v>
      </c>
      <c r="K685">
        <v>0</v>
      </c>
      <c r="L685" s="1" t="s">
        <v>384</v>
      </c>
      <c r="M685" s="1" t="s">
        <v>72</v>
      </c>
      <c r="N685" s="1" t="s">
        <v>134</v>
      </c>
      <c r="O685" s="1" t="s">
        <v>385</v>
      </c>
      <c r="P685" s="1" t="s">
        <v>386</v>
      </c>
      <c r="Q685" s="1" t="s">
        <v>387</v>
      </c>
      <c r="R685">
        <v>103</v>
      </c>
      <c r="S685" s="1" t="s">
        <v>135</v>
      </c>
      <c r="T685" s="1" t="s">
        <v>388</v>
      </c>
      <c r="U685" s="1" t="s">
        <v>135</v>
      </c>
      <c r="V685" s="1"/>
      <c r="W685" s="1"/>
      <c r="X685" s="1"/>
      <c r="Y685" s="1"/>
      <c r="AA685" s="1"/>
      <c r="AC685" s="1"/>
      <c r="AD685" s="1"/>
      <c r="AE685" s="1"/>
      <c r="AN685" s="1"/>
      <c r="AP685" s="1"/>
      <c r="AQ685" s="1"/>
      <c r="AR685" s="1"/>
      <c r="AS685" s="1"/>
      <c r="AT685" s="3"/>
      <c r="AU685" s="3"/>
      <c r="AV685" s="3"/>
      <c r="AW685" s="1"/>
      <c r="AX685" s="1"/>
      <c r="AZ685">
        <v>253</v>
      </c>
      <c r="BA685">
        <v>4654734.66</v>
      </c>
      <c r="BB685" s="1" t="s">
        <v>74</v>
      </c>
      <c r="BC685">
        <v>313</v>
      </c>
      <c r="BD685" s="1" t="s">
        <v>860</v>
      </c>
      <c r="BE685" s="1" t="s">
        <v>99</v>
      </c>
      <c r="BF685">
        <v>0</v>
      </c>
      <c r="BG685" s="1"/>
      <c r="BH685" s="1" t="s">
        <v>394</v>
      </c>
      <c r="BI685">
        <v>92250</v>
      </c>
      <c r="BJ685" s="1" t="s">
        <v>1250</v>
      </c>
      <c r="BL685" s="1"/>
      <c r="BN685" s="1"/>
      <c r="BO685">
        <v>599</v>
      </c>
      <c r="BP685">
        <v>4654734.66</v>
      </c>
      <c r="BQ685">
        <v>4654734.66</v>
      </c>
    </row>
    <row r="686" spans="1:69" x14ac:dyDescent="0.35">
      <c r="A686" s="1" t="s">
        <v>68</v>
      </c>
      <c r="B686" s="1" t="s">
        <v>69</v>
      </c>
      <c r="C686" s="1" t="s">
        <v>70</v>
      </c>
      <c r="D686">
        <v>1</v>
      </c>
      <c r="E686">
        <v>1</v>
      </c>
      <c r="F686" s="2">
        <v>43585.43</v>
      </c>
      <c r="G686" s="3">
        <v>41275</v>
      </c>
      <c r="H686" s="3">
        <v>41639</v>
      </c>
      <c r="I686" s="1" t="s">
        <v>71</v>
      </c>
      <c r="J686">
        <v>4521</v>
      </c>
      <c r="K686">
        <v>0</v>
      </c>
      <c r="L686" s="1" t="s">
        <v>384</v>
      </c>
      <c r="M686" s="1" t="s">
        <v>72</v>
      </c>
      <c r="N686" s="1" t="s">
        <v>134</v>
      </c>
      <c r="O686" s="1" t="s">
        <v>385</v>
      </c>
      <c r="P686" s="1" t="s">
        <v>386</v>
      </c>
      <c r="Q686" s="1" t="s">
        <v>387</v>
      </c>
      <c r="R686">
        <v>103</v>
      </c>
      <c r="S686" s="1" t="s">
        <v>135</v>
      </c>
      <c r="T686" s="1" t="s">
        <v>388</v>
      </c>
      <c r="U686" s="1" t="s">
        <v>135</v>
      </c>
      <c r="V686" s="1"/>
      <c r="W686" s="1"/>
      <c r="X686" s="1"/>
      <c r="Y686" s="1"/>
      <c r="AA686" s="1"/>
      <c r="AC686" s="1"/>
      <c r="AD686" s="1"/>
      <c r="AE686" s="1"/>
      <c r="AN686" s="1"/>
      <c r="AP686" s="1"/>
      <c r="AQ686" s="1"/>
      <c r="AR686" s="1"/>
      <c r="AS686" s="1"/>
      <c r="AT686" s="3"/>
      <c r="AU686" s="3"/>
      <c r="AV686" s="3"/>
      <c r="AW686" s="1"/>
      <c r="AX686" s="1"/>
      <c r="AZ686">
        <v>253</v>
      </c>
      <c r="BA686">
        <v>4654734.66</v>
      </c>
      <c r="BB686" s="1" t="s">
        <v>74</v>
      </c>
      <c r="BC686">
        <v>314</v>
      </c>
      <c r="BD686" s="1" t="s">
        <v>861</v>
      </c>
      <c r="BE686" s="1" t="s">
        <v>439</v>
      </c>
      <c r="BF686">
        <v>38990</v>
      </c>
      <c r="BG686" s="1" t="s">
        <v>1251</v>
      </c>
      <c r="BH686" s="1" t="s">
        <v>99</v>
      </c>
      <c r="BI686">
        <v>0</v>
      </c>
      <c r="BJ686" s="1"/>
      <c r="BL686" s="1"/>
      <c r="BN686" s="1"/>
      <c r="BO686">
        <v>599</v>
      </c>
      <c r="BP686">
        <v>4654734.66</v>
      </c>
      <c r="BQ686">
        <v>4654734.66</v>
      </c>
    </row>
    <row r="687" spans="1:69" x14ac:dyDescent="0.35">
      <c r="A687" s="1" t="s">
        <v>68</v>
      </c>
      <c r="B687" s="1" t="s">
        <v>69</v>
      </c>
      <c r="C687" s="1" t="s">
        <v>70</v>
      </c>
      <c r="D687">
        <v>1</v>
      </c>
      <c r="E687">
        <v>1</v>
      </c>
      <c r="F687" s="2">
        <v>43585.43</v>
      </c>
      <c r="G687" s="3">
        <v>41275</v>
      </c>
      <c r="H687" s="3">
        <v>41639</v>
      </c>
      <c r="I687" s="1" t="s">
        <v>71</v>
      </c>
      <c r="J687">
        <v>4521</v>
      </c>
      <c r="K687">
        <v>0</v>
      </c>
      <c r="L687" s="1" t="s">
        <v>384</v>
      </c>
      <c r="M687" s="1" t="s">
        <v>72</v>
      </c>
      <c r="N687" s="1" t="s">
        <v>134</v>
      </c>
      <c r="O687" s="1" t="s">
        <v>385</v>
      </c>
      <c r="P687" s="1" t="s">
        <v>386</v>
      </c>
      <c r="Q687" s="1" t="s">
        <v>387</v>
      </c>
      <c r="R687">
        <v>103</v>
      </c>
      <c r="S687" s="1" t="s">
        <v>135</v>
      </c>
      <c r="T687" s="1" t="s">
        <v>388</v>
      </c>
      <c r="U687" s="1" t="s">
        <v>135</v>
      </c>
      <c r="V687" s="1"/>
      <c r="W687" s="1"/>
      <c r="X687" s="1"/>
      <c r="Y687" s="1"/>
      <c r="AA687" s="1"/>
      <c r="AC687" s="1"/>
      <c r="AD687" s="1"/>
      <c r="AE687" s="1"/>
      <c r="AN687" s="1"/>
      <c r="AP687" s="1"/>
      <c r="AQ687" s="1"/>
      <c r="AR687" s="1"/>
      <c r="AS687" s="1"/>
      <c r="AT687" s="3"/>
      <c r="AU687" s="3"/>
      <c r="AV687" s="3"/>
      <c r="AW687" s="1"/>
      <c r="AX687" s="1"/>
      <c r="AZ687">
        <v>253</v>
      </c>
      <c r="BA687">
        <v>4654734.66</v>
      </c>
      <c r="BB687" s="1" t="s">
        <v>74</v>
      </c>
      <c r="BC687">
        <v>315</v>
      </c>
      <c r="BD687" s="1" t="s">
        <v>861</v>
      </c>
      <c r="BE687" s="1" t="s">
        <v>99</v>
      </c>
      <c r="BF687">
        <v>0</v>
      </c>
      <c r="BG687" s="1"/>
      <c r="BH687" s="1" t="s">
        <v>394</v>
      </c>
      <c r="BI687">
        <v>38990</v>
      </c>
      <c r="BJ687" s="1" t="s">
        <v>1251</v>
      </c>
      <c r="BL687" s="1"/>
      <c r="BN687" s="1"/>
      <c r="BO687">
        <v>599</v>
      </c>
      <c r="BP687">
        <v>4654734.66</v>
      </c>
      <c r="BQ687">
        <v>4654734.66</v>
      </c>
    </row>
    <row r="688" spans="1:69" x14ac:dyDescent="0.35">
      <c r="A688" s="1" t="s">
        <v>68</v>
      </c>
      <c r="B688" s="1" t="s">
        <v>69</v>
      </c>
      <c r="C688" s="1" t="s">
        <v>70</v>
      </c>
      <c r="D688">
        <v>1</v>
      </c>
      <c r="E688">
        <v>1</v>
      </c>
      <c r="F688" s="2">
        <v>43585.43</v>
      </c>
      <c r="G688" s="3">
        <v>41275</v>
      </c>
      <c r="H688" s="3">
        <v>41639</v>
      </c>
      <c r="I688" s="1" t="s">
        <v>71</v>
      </c>
      <c r="J688">
        <v>4521</v>
      </c>
      <c r="K688">
        <v>0</v>
      </c>
      <c r="L688" s="1" t="s">
        <v>384</v>
      </c>
      <c r="M688" s="1" t="s">
        <v>72</v>
      </c>
      <c r="N688" s="1" t="s">
        <v>134</v>
      </c>
      <c r="O688" s="1" t="s">
        <v>385</v>
      </c>
      <c r="P688" s="1" t="s">
        <v>386</v>
      </c>
      <c r="Q688" s="1" t="s">
        <v>387</v>
      </c>
      <c r="R688">
        <v>103</v>
      </c>
      <c r="S688" s="1" t="s">
        <v>135</v>
      </c>
      <c r="T688" s="1" t="s">
        <v>388</v>
      </c>
      <c r="U688" s="1" t="s">
        <v>135</v>
      </c>
      <c r="V688" s="1"/>
      <c r="W688" s="1"/>
      <c r="X688" s="1"/>
      <c r="Y688" s="1"/>
      <c r="AA688" s="1"/>
      <c r="AC688" s="1"/>
      <c r="AD688" s="1"/>
      <c r="AE688" s="1"/>
      <c r="AN688" s="1"/>
      <c r="AP688" s="1"/>
      <c r="AQ688" s="1"/>
      <c r="AR688" s="1"/>
      <c r="AS688" s="1"/>
      <c r="AT688" s="3"/>
      <c r="AU688" s="3"/>
      <c r="AV688" s="3"/>
      <c r="AW688" s="1"/>
      <c r="AX688" s="1"/>
      <c r="AZ688">
        <v>253</v>
      </c>
      <c r="BA688">
        <v>4654734.66</v>
      </c>
      <c r="BB688" s="1" t="s">
        <v>74</v>
      </c>
      <c r="BC688">
        <v>316</v>
      </c>
      <c r="BD688" s="1" t="s">
        <v>862</v>
      </c>
      <c r="BE688" s="1" t="s">
        <v>440</v>
      </c>
      <c r="BF688">
        <v>159000</v>
      </c>
      <c r="BG688" s="1" t="s">
        <v>1252</v>
      </c>
      <c r="BH688" s="1" t="s">
        <v>99</v>
      </c>
      <c r="BI688">
        <v>0</v>
      </c>
      <c r="BJ688" s="1"/>
      <c r="BL688" s="1"/>
      <c r="BN688" s="1"/>
      <c r="BO688">
        <v>599</v>
      </c>
      <c r="BP688">
        <v>4654734.66</v>
      </c>
      <c r="BQ688">
        <v>4654734.66</v>
      </c>
    </row>
    <row r="689" spans="1:69" x14ac:dyDescent="0.35">
      <c r="A689" s="1" t="s">
        <v>68</v>
      </c>
      <c r="B689" s="1" t="s">
        <v>69</v>
      </c>
      <c r="C689" s="1" t="s">
        <v>70</v>
      </c>
      <c r="D689">
        <v>1</v>
      </c>
      <c r="E689">
        <v>1</v>
      </c>
      <c r="F689" s="2">
        <v>43585.43</v>
      </c>
      <c r="G689" s="3">
        <v>41275</v>
      </c>
      <c r="H689" s="3">
        <v>41639</v>
      </c>
      <c r="I689" s="1" t="s">
        <v>71</v>
      </c>
      <c r="J689">
        <v>4521</v>
      </c>
      <c r="K689">
        <v>0</v>
      </c>
      <c r="L689" s="1" t="s">
        <v>384</v>
      </c>
      <c r="M689" s="1" t="s">
        <v>72</v>
      </c>
      <c r="N689" s="1" t="s">
        <v>134</v>
      </c>
      <c r="O689" s="1" t="s">
        <v>385</v>
      </c>
      <c r="P689" s="1" t="s">
        <v>386</v>
      </c>
      <c r="Q689" s="1" t="s">
        <v>387</v>
      </c>
      <c r="R689">
        <v>103</v>
      </c>
      <c r="S689" s="1" t="s">
        <v>135</v>
      </c>
      <c r="T689" s="1" t="s">
        <v>388</v>
      </c>
      <c r="U689" s="1" t="s">
        <v>135</v>
      </c>
      <c r="V689" s="1"/>
      <c r="W689" s="1"/>
      <c r="X689" s="1"/>
      <c r="Y689" s="1"/>
      <c r="AA689" s="1"/>
      <c r="AC689" s="1"/>
      <c r="AD689" s="1"/>
      <c r="AE689" s="1"/>
      <c r="AN689" s="1"/>
      <c r="AP689" s="1"/>
      <c r="AQ689" s="1"/>
      <c r="AR689" s="1"/>
      <c r="AS689" s="1"/>
      <c r="AT689" s="3"/>
      <c r="AU689" s="3"/>
      <c r="AV689" s="3"/>
      <c r="AW689" s="1"/>
      <c r="AX689" s="1"/>
      <c r="AZ689">
        <v>253</v>
      </c>
      <c r="BA689">
        <v>4654734.66</v>
      </c>
      <c r="BB689" s="1" t="s">
        <v>74</v>
      </c>
      <c r="BC689">
        <v>317</v>
      </c>
      <c r="BD689" s="1" t="s">
        <v>862</v>
      </c>
      <c r="BE689" s="1" t="s">
        <v>99</v>
      </c>
      <c r="BF689">
        <v>0</v>
      </c>
      <c r="BG689" s="1"/>
      <c r="BH689" s="1" t="s">
        <v>394</v>
      </c>
      <c r="BI689">
        <v>159000</v>
      </c>
      <c r="BJ689" s="1" t="s">
        <v>1252</v>
      </c>
      <c r="BL689" s="1"/>
      <c r="BN689" s="1"/>
      <c r="BO689">
        <v>599</v>
      </c>
      <c r="BP689">
        <v>4654734.66</v>
      </c>
      <c r="BQ689">
        <v>4654734.66</v>
      </c>
    </row>
    <row r="690" spans="1:69" x14ac:dyDescent="0.35">
      <c r="A690" s="1" t="s">
        <v>68</v>
      </c>
      <c r="B690" s="1" t="s">
        <v>69</v>
      </c>
      <c r="C690" s="1" t="s">
        <v>70</v>
      </c>
      <c r="D690">
        <v>1</v>
      </c>
      <c r="E690">
        <v>1</v>
      </c>
      <c r="F690" s="2">
        <v>43585.43</v>
      </c>
      <c r="G690" s="3">
        <v>41275</v>
      </c>
      <c r="H690" s="3">
        <v>41639</v>
      </c>
      <c r="I690" s="1" t="s">
        <v>71</v>
      </c>
      <c r="J690">
        <v>4521</v>
      </c>
      <c r="K690">
        <v>0</v>
      </c>
      <c r="L690" s="1" t="s">
        <v>384</v>
      </c>
      <c r="M690" s="1" t="s">
        <v>72</v>
      </c>
      <c r="N690" s="1" t="s">
        <v>134</v>
      </c>
      <c r="O690" s="1" t="s">
        <v>385</v>
      </c>
      <c r="P690" s="1" t="s">
        <v>386</v>
      </c>
      <c r="Q690" s="1" t="s">
        <v>387</v>
      </c>
      <c r="R690">
        <v>103</v>
      </c>
      <c r="S690" s="1" t="s">
        <v>135</v>
      </c>
      <c r="T690" s="1" t="s">
        <v>388</v>
      </c>
      <c r="U690" s="1" t="s">
        <v>135</v>
      </c>
      <c r="V690" s="1"/>
      <c r="W690" s="1"/>
      <c r="X690" s="1"/>
      <c r="Y690" s="1"/>
      <c r="AA690" s="1"/>
      <c r="AC690" s="1"/>
      <c r="AD690" s="1"/>
      <c r="AE690" s="1"/>
      <c r="AN690" s="1"/>
      <c r="AP690" s="1"/>
      <c r="AQ690" s="1"/>
      <c r="AR690" s="1"/>
      <c r="AS690" s="1"/>
      <c r="AT690" s="3"/>
      <c r="AU690" s="3"/>
      <c r="AV690" s="3"/>
      <c r="AW690" s="1"/>
      <c r="AX690" s="1"/>
      <c r="AZ690">
        <v>253</v>
      </c>
      <c r="BA690">
        <v>4654734.66</v>
      </c>
      <c r="BB690" s="1" t="s">
        <v>74</v>
      </c>
      <c r="BC690">
        <v>318</v>
      </c>
      <c r="BD690" s="1" t="s">
        <v>863</v>
      </c>
      <c r="BE690" s="1" t="s">
        <v>394</v>
      </c>
      <c r="BF690">
        <v>100000</v>
      </c>
      <c r="BG690" s="1" t="s">
        <v>1253</v>
      </c>
      <c r="BH690" s="1" t="s">
        <v>99</v>
      </c>
      <c r="BI690">
        <v>0</v>
      </c>
      <c r="BJ690" s="1"/>
      <c r="BL690" s="1"/>
      <c r="BN690" s="1"/>
      <c r="BO690">
        <v>599</v>
      </c>
      <c r="BP690">
        <v>4654734.66</v>
      </c>
      <c r="BQ690">
        <v>4654734.66</v>
      </c>
    </row>
    <row r="691" spans="1:69" x14ac:dyDescent="0.35">
      <c r="A691" s="1" t="s">
        <v>68</v>
      </c>
      <c r="B691" s="1" t="s">
        <v>69</v>
      </c>
      <c r="C691" s="1" t="s">
        <v>70</v>
      </c>
      <c r="D691">
        <v>1</v>
      </c>
      <c r="E691">
        <v>1</v>
      </c>
      <c r="F691" s="2">
        <v>43585.43</v>
      </c>
      <c r="G691" s="3">
        <v>41275</v>
      </c>
      <c r="H691" s="3">
        <v>41639</v>
      </c>
      <c r="I691" s="1" t="s">
        <v>71</v>
      </c>
      <c r="J691">
        <v>4521</v>
      </c>
      <c r="K691">
        <v>0</v>
      </c>
      <c r="L691" s="1" t="s">
        <v>384</v>
      </c>
      <c r="M691" s="1" t="s">
        <v>72</v>
      </c>
      <c r="N691" s="1" t="s">
        <v>134</v>
      </c>
      <c r="O691" s="1" t="s">
        <v>385</v>
      </c>
      <c r="P691" s="1" t="s">
        <v>386</v>
      </c>
      <c r="Q691" s="1" t="s">
        <v>387</v>
      </c>
      <c r="R691">
        <v>103</v>
      </c>
      <c r="S691" s="1" t="s">
        <v>135</v>
      </c>
      <c r="T691" s="1" t="s">
        <v>388</v>
      </c>
      <c r="U691" s="1" t="s">
        <v>135</v>
      </c>
      <c r="V691" s="1"/>
      <c r="W691" s="1"/>
      <c r="X691" s="1"/>
      <c r="Y691" s="1"/>
      <c r="AA691" s="1"/>
      <c r="AC691" s="1"/>
      <c r="AD691" s="1"/>
      <c r="AE691" s="1"/>
      <c r="AN691" s="1"/>
      <c r="AP691" s="1"/>
      <c r="AQ691" s="1"/>
      <c r="AR691" s="1"/>
      <c r="AS691" s="1"/>
      <c r="AT691" s="3"/>
      <c r="AU691" s="3"/>
      <c r="AV691" s="3"/>
      <c r="AW691" s="1"/>
      <c r="AX691" s="1"/>
      <c r="AZ691">
        <v>253</v>
      </c>
      <c r="BA691">
        <v>4654734.66</v>
      </c>
      <c r="BB691" s="1" t="s">
        <v>74</v>
      </c>
      <c r="BC691">
        <v>319</v>
      </c>
      <c r="BD691" s="1" t="s">
        <v>863</v>
      </c>
      <c r="BE691" s="1" t="s">
        <v>99</v>
      </c>
      <c r="BF691">
        <v>0</v>
      </c>
      <c r="BG691" s="1"/>
      <c r="BH691" s="1" t="s">
        <v>464</v>
      </c>
      <c r="BI691">
        <v>100000</v>
      </c>
      <c r="BJ691" s="1" t="s">
        <v>1253</v>
      </c>
      <c r="BL691" s="1"/>
      <c r="BN691" s="1"/>
      <c r="BO691">
        <v>599</v>
      </c>
      <c r="BP691">
        <v>4654734.66</v>
      </c>
      <c r="BQ691">
        <v>4654734.66</v>
      </c>
    </row>
    <row r="692" spans="1:69" x14ac:dyDescent="0.35">
      <c r="A692" s="1" t="s">
        <v>68</v>
      </c>
      <c r="B692" s="1" t="s">
        <v>69</v>
      </c>
      <c r="C692" s="1" t="s">
        <v>70</v>
      </c>
      <c r="D692">
        <v>1</v>
      </c>
      <c r="E692">
        <v>1</v>
      </c>
      <c r="F692" s="2">
        <v>43585.43</v>
      </c>
      <c r="G692" s="3">
        <v>41275</v>
      </c>
      <c r="H692" s="3">
        <v>41639</v>
      </c>
      <c r="I692" s="1" t="s">
        <v>71</v>
      </c>
      <c r="J692">
        <v>4521</v>
      </c>
      <c r="K692">
        <v>0</v>
      </c>
      <c r="L692" s="1" t="s">
        <v>384</v>
      </c>
      <c r="M692" s="1" t="s">
        <v>72</v>
      </c>
      <c r="N692" s="1" t="s">
        <v>134</v>
      </c>
      <c r="O692" s="1" t="s">
        <v>385</v>
      </c>
      <c r="P692" s="1" t="s">
        <v>386</v>
      </c>
      <c r="Q692" s="1" t="s">
        <v>387</v>
      </c>
      <c r="R692">
        <v>103</v>
      </c>
      <c r="S692" s="1" t="s">
        <v>135</v>
      </c>
      <c r="T692" s="1" t="s">
        <v>388</v>
      </c>
      <c r="U692" s="1" t="s">
        <v>135</v>
      </c>
      <c r="V692" s="1"/>
      <c r="W692" s="1"/>
      <c r="X692" s="1"/>
      <c r="Y692" s="1"/>
      <c r="AA692" s="1"/>
      <c r="AC692" s="1"/>
      <c r="AD692" s="1"/>
      <c r="AE692" s="1"/>
      <c r="AN692" s="1"/>
      <c r="AP692" s="1"/>
      <c r="AQ692" s="1"/>
      <c r="AR692" s="1"/>
      <c r="AS692" s="1"/>
      <c r="AT692" s="3"/>
      <c r="AU692" s="3"/>
      <c r="AV692" s="3"/>
      <c r="AW692" s="1"/>
      <c r="AX692" s="1"/>
      <c r="AZ692">
        <v>253</v>
      </c>
      <c r="BA692">
        <v>4654734.66</v>
      </c>
      <c r="BB692" s="1" t="s">
        <v>74</v>
      </c>
      <c r="BC692">
        <v>320</v>
      </c>
      <c r="BD692" s="1" t="s">
        <v>864</v>
      </c>
      <c r="BE692" s="1" t="s">
        <v>407</v>
      </c>
      <c r="BF692">
        <v>28905</v>
      </c>
      <c r="BG692" s="1" t="s">
        <v>619</v>
      </c>
      <c r="BH692" s="1" t="s">
        <v>99</v>
      </c>
      <c r="BI692">
        <v>0</v>
      </c>
      <c r="BJ692" s="1"/>
      <c r="BL692" s="1"/>
      <c r="BN692" s="1"/>
      <c r="BO692">
        <v>599</v>
      </c>
      <c r="BP692">
        <v>4654734.66</v>
      </c>
      <c r="BQ692">
        <v>4654734.66</v>
      </c>
    </row>
    <row r="693" spans="1:69" x14ac:dyDescent="0.35">
      <c r="A693" s="1" t="s">
        <v>68</v>
      </c>
      <c r="B693" s="1" t="s">
        <v>69</v>
      </c>
      <c r="C693" s="1" t="s">
        <v>70</v>
      </c>
      <c r="D693">
        <v>1</v>
      </c>
      <c r="E693">
        <v>1</v>
      </c>
      <c r="F693" s="2">
        <v>43585.43</v>
      </c>
      <c r="G693" s="3">
        <v>41275</v>
      </c>
      <c r="H693" s="3">
        <v>41639</v>
      </c>
      <c r="I693" s="1" t="s">
        <v>71</v>
      </c>
      <c r="J693">
        <v>4521</v>
      </c>
      <c r="K693">
        <v>0</v>
      </c>
      <c r="L693" s="1" t="s">
        <v>384</v>
      </c>
      <c r="M693" s="1" t="s">
        <v>72</v>
      </c>
      <c r="N693" s="1" t="s">
        <v>134</v>
      </c>
      <c r="O693" s="1" t="s">
        <v>385</v>
      </c>
      <c r="P693" s="1" t="s">
        <v>386</v>
      </c>
      <c r="Q693" s="1" t="s">
        <v>387</v>
      </c>
      <c r="R693">
        <v>103</v>
      </c>
      <c r="S693" s="1" t="s">
        <v>135</v>
      </c>
      <c r="T693" s="1" t="s">
        <v>388</v>
      </c>
      <c r="U693" s="1" t="s">
        <v>135</v>
      </c>
      <c r="V693" s="1"/>
      <c r="W693" s="1"/>
      <c r="X693" s="1"/>
      <c r="Y693" s="1"/>
      <c r="AA693" s="1"/>
      <c r="AC693" s="1"/>
      <c r="AD693" s="1"/>
      <c r="AE693" s="1"/>
      <c r="AN693" s="1"/>
      <c r="AP693" s="1"/>
      <c r="AQ693" s="1"/>
      <c r="AR693" s="1"/>
      <c r="AS693" s="1"/>
      <c r="AT693" s="3"/>
      <c r="AU693" s="3"/>
      <c r="AV693" s="3"/>
      <c r="AW693" s="1"/>
      <c r="AX693" s="1"/>
      <c r="AZ693">
        <v>253</v>
      </c>
      <c r="BA693">
        <v>4654734.66</v>
      </c>
      <c r="BB693" s="1" t="s">
        <v>74</v>
      </c>
      <c r="BC693">
        <v>321</v>
      </c>
      <c r="BD693" s="1" t="s">
        <v>864</v>
      </c>
      <c r="BE693" s="1" t="s">
        <v>99</v>
      </c>
      <c r="BF693">
        <v>0</v>
      </c>
      <c r="BG693" s="1"/>
      <c r="BH693" s="1" t="s">
        <v>489</v>
      </c>
      <c r="BI693">
        <v>23500</v>
      </c>
      <c r="BJ693" s="1" t="s">
        <v>619</v>
      </c>
      <c r="BL693" s="1"/>
      <c r="BN693" s="1"/>
      <c r="BO693">
        <v>599</v>
      </c>
      <c r="BP693">
        <v>4654734.66</v>
      </c>
      <c r="BQ693">
        <v>4654734.66</v>
      </c>
    </row>
    <row r="694" spans="1:69" x14ac:dyDescent="0.35">
      <c r="A694" s="1" t="s">
        <v>68</v>
      </c>
      <c r="B694" s="1" t="s">
        <v>69</v>
      </c>
      <c r="C694" s="1" t="s">
        <v>70</v>
      </c>
      <c r="D694">
        <v>1</v>
      </c>
      <c r="E694">
        <v>1</v>
      </c>
      <c r="F694" s="2">
        <v>43585.43</v>
      </c>
      <c r="G694" s="3">
        <v>41275</v>
      </c>
      <c r="H694" s="3">
        <v>41639</v>
      </c>
      <c r="I694" s="1" t="s">
        <v>71</v>
      </c>
      <c r="J694">
        <v>4521</v>
      </c>
      <c r="K694">
        <v>0</v>
      </c>
      <c r="L694" s="1" t="s">
        <v>384</v>
      </c>
      <c r="M694" s="1" t="s">
        <v>72</v>
      </c>
      <c r="N694" s="1" t="s">
        <v>134</v>
      </c>
      <c r="O694" s="1" t="s">
        <v>385</v>
      </c>
      <c r="P694" s="1" t="s">
        <v>386</v>
      </c>
      <c r="Q694" s="1" t="s">
        <v>387</v>
      </c>
      <c r="R694">
        <v>103</v>
      </c>
      <c r="S694" s="1" t="s">
        <v>135</v>
      </c>
      <c r="T694" s="1" t="s">
        <v>388</v>
      </c>
      <c r="U694" s="1" t="s">
        <v>135</v>
      </c>
      <c r="V694" s="1"/>
      <c r="W694" s="1"/>
      <c r="X694" s="1"/>
      <c r="Y694" s="1"/>
      <c r="AA694" s="1"/>
      <c r="AC694" s="1"/>
      <c r="AD694" s="1"/>
      <c r="AE694" s="1"/>
      <c r="AN694" s="1"/>
      <c r="AP694" s="1"/>
      <c r="AQ694" s="1"/>
      <c r="AR694" s="1"/>
      <c r="AS694" s="1"/>
      <c r="AT694" s="3"/>
      <c r="AU694" s="3"/>
      <c r="AV694" s="3"/>
      <c r="AW694" s="1"/>
      <c r="AX694" s="1"/>
      <c r="AZ694">
        <v>253</v>
      </c>
      <c r="BA694">
        <v>4654734.66</v>
      </c>
      <c r="BB694" s="1" t="s">
        <v>74</v>
      </c>
      <c r="BC694">
        <v>322</v>
      </c>
      <c r="BD694" s="1" t="s">
        <v>864</v>
      </c>
      <c r="BE694" s="1" t="s">
        <v>99</v>
      </c>
      <c r="BF694">
        <v>0</v>
      </c>
      <c r="BG694" s="1"/>
      <c r="BH694" s="1" t="s">
        <v>451</v>
      </c>
      <c r="BI694">
        <v>5405</v>
      </c>
      <c r="BJ694" s="1" t="s">
        <v>619</v>
      </c>
      <c r="BL694" s="1"/>
      <c r="BN694" s="1"/>
      <c r="BO694">
        <v>599</v>
      </c>
      <c r="BP694">
        <v>4654734.66</v>
      </c>
      <c r="BQ694">
        <v>4654734.66</v>
      </c>
    </row>
    <row r="695" spans="1:69" x14ac:dyDescent="0.35">
      <c r="A695" s="1" t="s">
        <v>68</v>
      </c>
      <c r="B695" s="1" t="s">
        <v>69</v>
      </c>
      <c r="C695" s="1" t="s">
        <v>70</v>
      </c>
      <c r="D695">
        <v>1</v>
      </c>
      <c r="E695">
        <v>1</v>
      </c>
      <c r="F695" s="2">
        <v>43585.43</v>
      </c>
      <c r="G695" s="3">
        <v>41275</v>
      </c>
      <c r="H695" s="3">
        <v>41639</v>
      </c>
      <c r="I695" s="1" t="s">
        <v>71</v>
      </c>
      <c r="J695">
        <v>4521</v>
      </c>
      <c r="K695">
        <v>0</v>
      </c>
      <c r="L695" s="1" t="s">
        <v>384</v>
      </c>
      <c r="M695" s="1" t="s">
        <v>72</v>
      </c>
      <c r="N695" s="1" t="s">
        <v>134</v>
      </c>
      <c r="O695" s="1" t="s">
        <v>385</v>
      </c>
      <c r="P695" s="1" t="s">
        <v>386</v>
      </c>
      <c r="Q695" s="1" t="s">
        <v>387</v>
      </c>
      <c r="R695">
        <v>103</v>
      </c>
      <c r="S695" s="1" t="s">
        <v>135</v>
      </c>
      <c r="T695" s="1" t="s">
        <v>388</v>
      </c>
      <c r="U695" s="1" t="s">
        <v>135</v>
      </c>
      <c r="V695" s="1"/>
      <c r="W695" s="1"/>
      <c r="X695" s="1"/>
      <c r="Y695" s="1"/>
      <c r="AA695" s="1"/>
      <c r="AC695" s="1"/>
      <c r="AD695" s="1"/>
      <c r="AE695" s="1"/>
      <c r="AN695" s="1"/>
      <c r="AP695" s="1"/>
      <c r="AQ695" s="1"/>
      <c r="AR695" s="1"/>
      <c r="AS695" s="1"/>
      <c r="AT695" s="3"/>
      <c r="AU695" s="3"/>
      <c r="AV695" s="3"/>
      <c r="AW695" s="1"/>
      <c r="AX695" s="1"/>
      <c r="AZ695">
        <v>253</v>
      </c>
      <c r="BA695">
        <v>4654734.66</v>
      </c>
      <c r="BB695" s="1" t="s">
        <v>74</v>
      </c>
      <c r="BC695">
        <v>323</v>
      </c>
      <c r="BD695" s="1" t="s">
        <v>865</v>
      </c>
      <c r="BE695" s="1" t="s">
        <v>468</v>
      </c>
      <c r="BF695">
        <v>18450</v>
      </c>
      <c r="BG695" s="1" t="s">
        <v>1040</v>
      </c>
      <c r="BH695" s="1" t="s">
        <v>99</v>
      </c>
      <c r="BI695">
        <v>0</v>
      </c>
      <c r="BJ695" s="1"/>
      <c r="BL695" s="1"/>
      <c r="BN695" s="1"/>
      <c r="BO695">
        <v>599</v>
      </c>
      <c r="BP695">
        <v>4654734.66</v>
      </c>
      <c r="BQ695">
        <v>4654734.66</v>
      </c>
    </row>
    <row r="696" spans="1:69" x14ac:dyDescent="0.35">
      <c r="A696" s="1" t="s">
        <v>68</v>
      </c>
      <c r="B696" s="1" t="s">
        <v>69</v>
      </c>
      <c r="C696" s="1" t="s">
        <v>70</v>
      </c>
      <c r="D696">
        <v>1</v>
      </c>
      <c r="E696">
        <v>1</v>
      </c>
      <c r="F696" s="2">
        <v>43585.43</v>
      </c>
      <c r="G696" s="3">
        <v>41275</v>
      </c>
      <c r="H696" s="3">
        <v>41639</v>
      </c>
      <c r="I696" s="1" t="s">
        <v>71</v>
      </c>
      <c r="J696">
        <v>4521</v>
      </c>
      <c r="K696">
        <v>0</v>
      </c>
      <c r="L696" s="1" t="s">
        <v>384</v>
      </c>
      <c r="M696" s="1" t="s">
        <v>72</v>
      </c>
      <c r="N696" s="1" t="s">
        <v>134</v>
      </c>
      <c r="O696" s="1" t="s">
        <v>385</v>
      </c>
      <c r="P696" s="1" t="s">
        <v>386</v>
      </c>
      <c r="Q696" s="1" t="s">
        <v>387</v>
      </c>
      <c r="R696">
        <v>103</v>
      </c>
      <c r="S696" s="1" t="s">
        <v>135</v>
      </c>
      <c r="T696" s="1" t="s">
        <v>388</v>
      </c>
      <c r="U696" s="1" t="s">
        <v>135</v>
      </c>
      <c r="V696" s="1"/>
      <c r="W696" s="1"/>
      <c r="X696" s="1"/>
      <c r="Y696" s="1"/>
      <c r="AA696" s="1"/>
      <c r="AC696" s="1"/>
      <c r="AD696" s="1"/>
      <c r="AE696" s="1"/>
      <c r="AN696" s="1"/>
      <c r="AP696" s="1"/>
      <c r="AQ696" s="1"/>
      <c r="AR696" s="1"/>
      <c r="AS696" s="1"/>
      <c r="AT696" s="3"/>
      <c r="AU696" s="3"/>
      <c r="AV696" s="3"/>
      <c r="AW696" s="1"/>
      <c r="AX696" s="1"/>
      <c r="AZ696">
        <v>253</v>
      </c>
      <c r="BA696">
        <v>4654734.66</v>
      </c>
      <c r="BB696" s="1" t="s">
        <v>74</v>
      </c>
      <c r="BC696">
        <v>324</v>
      </c>
      <c r="BD696" s="1" t="s">
        <v>865</v>
      </c>
      <c r="BE696" s="1" t="s">
        <v>99</v>
      </c>
      <c r="BF696">
        <v>0</v>
      </c>
      <c r="BG696" s="1"/>
      <c r="BH696" s="1" t="s">
        <v>430</v>
      </c>
      <c r="BI696">
        <v>18450</v>
      </c>
      <c r="BJ696" s="1" t="s">
        <v>1040</v>
      </c>
      <c r="BL696" s="1"/>
      <c r="BN696" s="1"/>
      <c r="BO696">
        <v>599</v>
      </c>
      <c r="BP696">
        <v>4654734.66</v>
      </c>
      <c r="BQ696">
        <v>4654734.66</v>
      </c>
    </row>
    <row r="697" spans="1:69" x14ac:dyDescent="0.35">
      <c r="A697" s="1" t="s">
        <v>68</v>
      </c>
      <c r="B697" s="1" t="s">
        <v>69</v>
      </c>
      <c r="C697" s="1" t="s">
        <v>70</v>
      </c>
      <c r="D697">
        <v>1</v>
      </c>
      <c r="E697">
        <v>1</v>
      </c>
      <c r="F697" s="2">
        <v>43585.43</v>
      </c>
      <c r="G697" s="3">
        <v>41275</v>
      </c>
      <c r="H697" s="3">
        <v>41639</v>
      </c>
      <c r="I697" s="1" t="s">
        <v>71</v>
      </c>
      <c r="J697">
        <v>4521</v>
      </c>
      <c r="K697">
        <v>0</v>
      </c>
      <c r="L697" s="1" t="s">
        <v>384</v>
      </c>
      <c r="M697" s="1" t="s">
        <v>72</v>
      </c>
      <c r="N697" s="1" t="s">
        <v>134</v>
      </c>
      <c r="O697" s="1" t="s">
        <v>385</v>
      </c>
      <c r="P697" s="1" t="s">
        <v>386</v>
      </c>
      <c r="Q697" s="1" t="s">
        <v>387</v>
      </c>
      <c r="R697">
        <v>103</v>
      </c>
      <c r="S697" s="1" t="s">
        <v>135</v>
      </c>
      <c r="T697" s="1" t="s">
        <v>388</v>
      </c>
      <c r="U697" s="1" t="s">
        <v>135</v>
      </c>
      <c r="V697" s="1"/>
      <c r="W697" s="1"/>
      <c r="X697" s="1"/>
      <c r="Y697" s="1"/>
      <c r="AA697" s="1"/>
      <c r="AC697" s="1"/>
      <c r="AD697" s="1"/>
      <c r="AE697" s="1"/>
      <c r="AN697" s="1"/>
      <c r="AP697" s="1"/>
      <c r="AQ697" s="1"/>
      <c r="AR697" s="1"/>
      <c r="AS697" s="1"/>
      <c r="AT697" s="3"/>
      <c r="AU697" s="3"/>
      <c r="AV697" s="3"/>
      <c r="AW697" s="1"/>
      <c r="AX697" s="1"/>
      <c r="AZ697">
        <v>253</v>
      </c>
      <c r="BA697">
        <v>4654734.66</v>
      </c>
      <c r="BB697" s="1" t="s">
        <v>74</v>
      </c>
      <c r="BC697">
        <v>325</v>
      </c>
      <c r="BD697" s="1" t="s">
        <v>866</v>
      </c>
      <c r="BE697" s="1" t="s">
        <v>472</v>
      </c>
      <c r="BF697">
        <v>747.98</v>
      </c>
      <c r="BG697" s="1" t="s">
        <v>1039</v>
      </c>
      <c r="BH697" s="1" t="s">
        <v>99</v>
      </c>
      <c r="BI697">
        <v>0</v>
      </c>
      <c r="BJ697" s="1"/>
      <c r="BL697" s="1"/>
      <c r="BN697" s="1"/>
      <c r="BO697">
        <v>599</v>
      </c>
      <c r="BP697">
        <v>4654734.66</v>
      </c>
      <c r="BQ697">
        <v>4654734.66</v>
      </c>
    </row>
    <row r="698" spans="1:69" x14ac:dyDescent="0.35">
      <c r="A698" s="1" t="s">
        <v>68</v>
      </c>
      <c r="B698" s="1" t="s">
        <v>69</v>
      </c>
      <c r="C698" s="1" t="s">
        <v>70</v>
      </c>
      <c r="D698">
        <v>1</v>
      </c>
      <c r="E698">
        <v>1</v>
      </c>
      <c r="F698" s="2">
        <v>43585.43</v>
      </c>
      <c r="G698" s="3">
        <v>41275</v>
      </c>
      <c r="H698" s="3">
        <v>41639</v>
      </c>
      <c r="I698" s="1" t="s">
        <v>71</v>
      </c>
      <c r="J698">
        <v>4521</v>
      </c>
      <c r="K698">
        <v>0</v>
      </c>
      <c r="L698" s="1" t="s">
        <v>384</v>
      </c>
      <c r="M698" s="1" t="s">
        <v>72</v>
      </c>
      <c r="N698" s="1" t="s">
        <v>134</v>
      </c>
      <c r="O698" s="1" t="s">
        <v>385</v>
      </c>
      <c r="P698" s="1" t="s">
        <v>386</v>
      </c>
      <c r="Q698" s="1" t="s">
        <v>387</v>
      </c>
      <c r="R698">
        <v>103</v>
      </c>
      <c r="S698" s="1" t="s">
        <v>135</v>
      </c>
      <c r="T698" s="1" t="s">
        <v>388</v>
      </c>
      <c r="U698" s="1" t="s">
        <v>135</v>
      </c>
      <c r="V698" s="1"/>
      <c r="W698" s="1"/>
      <c r="X698" s="1"/>
      <c r="Y698" s="1"/>
      <c r="AA698" s="1"/>
      <c r="AC698" s="1"/>
      <c r="AD698" s="1"/>
      <c r="AE698" s="1"/>
      <c r="AN698" s="1"/>
      <c r="AP698" s="1"/>
      <c r="AQ698" s="1"/>
      <c r="AR698" s="1"/>
      <c r="AS698" s="1"/>
      <c r="AT698" s="3"/>
      <c r="AU698" s="3"/>
      <c r="AV698" s="3"/>
      <c r="AW698" s="1"/>
      <c r="AX698" s="1"/>
      <c r="AZ698">
        <v>253</v>
      </c>
      <c r="BA698">
        <v>4654734.66</v>
      </c>
      <c r="BB698" s="1" t="s">
        <v>74</v>
      </c>
      <c r="BC698">
        <v>326</v>
      </c>
      <c r="BD698" s="1" t="s">
        <v>866</v>
      </c>
      <c r="BE698" s="1" t="s">
        <v>99</v>
      </c>
      <c r="BF698">
        <v>0</v>
      </c>
      <c r="BG698" s="1"/>
      <c r="BH698" s="1" t="s">
        <v>389</v>
      </c>
      <c r="BI698">
        <v>747.98</v>
      </c>
      <c r="BJ698" s="1" t="s">
        <v>1039</v>
      </c>
      <c r="BL698" s="1"/>
      <c r="BN698" s="1"/>
      <c r="BO698">
        <v>599</v>
      </c>
      <c r="BP698">
        <v>4654734.66</v>
      </c>
      <c r="BQ698">
        <v>4654734.66</v>
      </c>
    </row>
    <row r="699" spans="1:69" x14ac:dyDescent="0.35">
      <c r="A699" s="1" t="s">
        <v>68</v>
      </c>
      <c r="B699" s="1" t="s">
        <v>69</v>
      </c>
      <c r="C699" s="1" t="s">
        <v>70</v>
      </c>
      <c r="D699">
        <v>1</v>
      </c>
      <c r="E699">
        <v>1</v>
      </c>
      <c r="F699" s="2">
        <v>43585.43</v>
      </c>
      <c r="G699" s="3">
        <v>41275</v>
      </c>
      <c r="H699" s="3">
        <v>41639</v>
      </c>
      <c r="I699" s="1" t="s">
        <v>71</v>
      </c>
      <c r="J699">
        <v>4521</v>
      </c>
      <c r="K699">
        <v>0</v>
      </c>
      <c r="L699" s="1" t="s">
        <v>384</v>
      </c>
      <c r="M699" s="1" t="s">
        <v>72</v>
      </c>
      <c r="N699" s="1" t="s">
        <v>134</v>
      </c>
      <c r="O699" s="1" t="s">
        <v>385</v>
      </c>
      <c r="P699" s="1" t="s">
        <v>386</v>
      </c>
      <c r="Q699" s="1" t="s">
        <v>387</v>
      </c>
      <c r="R699">
        <v>103</v>
      </c>
      <c r="S699" s="1" t="s">
        <v>135</v>
      </c>
      <c r="T699" s="1" t="s">
        <v>388</v>
      </c>
      <c r="U699" s="1" t="s">
        <v>135</v>
      </c>
      <c r="V699" s="1"/>
      <c r="W699" s="1"/>
      <c r="X699" s="1"/>
      <c r="Y699" s="1"/>
      <c r="AA699" s="1"/>
      <c r="AC699" s="1"/>
      <c r="AD699" s="1"/>
      <c r="AE699" s="1"/>
      <c r="AN699" s="1"/>
      <c r="AP699" s="1"/>
      <c r="AQ699" s="1"/>
      <c r="AR699" s="1"/>
      <c r="AS699" s="1"/>
      <c r="AT699" s="3"/>
      <c r="AU699" s="3"/>
      <c r="AV699" s="3"/>
      <c r="AW699" s="1"/>
      <c r="AX699" s="1"/>
      <c r="AZ699">
        <v>253</v>
      </c>
      <c r="BA699">
        <v>4654734.66</v>
      </c>
      <c r="BB699" s="1" t="s">
        <v>74</v>
      </c>
      <c r="BC699">
        <v>327</v>
      </c>
      <c r="BD699" s="1" t="s">
        <v>867</v>
      </c>
      <c r="BE699" s="1" t="s">
        <v>472</v>
      </c>
      <c r="BF699">
        <v>884</v>
      </c>
      <c r="BG699" s="1" t="s">
        <v>1039</v>
      </c>
      <c r="BH699" s="1" t="s">
        <v>99</v>
      </c>
      <c r="BI699">
        <v>0</v>
      </c>
      <c r="BJ699" s="1"/>
      <c r="BL699" s="1"/>
      <c r="BN699" s="1"/>
      <c r="BO699">
        <v>599</v>
      </c>
      <c r="BP699">
        <v>4654734.66</v>
      </c>
      <c r="BQ699">
        <v>4654734.66</v>
      </c>
    </row>
    <row r="700" spans="1:69" x14ac:dyDescent="0.35">
      <c r="A700" s="1" t="s">
        <v>68</v>
      </c>
      <c r="B700" s="1" t="s">
        <v>69</v>
      </c>
      <c r="C700" s="1" t="s">
        <v>70</v>
      </c>
      <c r="D700">
        <v>1</v>
      </c>
      <c r="E700">
        <v>1</v>
      </c>
      <c r="F700" s="2">
        <v>43585.43</v>
      </c>
      <c r="G700" s="3">
        <v>41275</v>
      </c>
      <c r="H700" s="3">
        <v>41639</v>
      </c>
      <c r="I700" s="1" t="s">
        <v>71</v>
      </c>
      <c r="J700">
        <v>4521</v>
      </c>
      <c r="K700">
        <v>0</v>
      </c>
      <c r="L700" s="1" t="s">
        <v>384</v>
      </c>
      <c r="M700" s="1" t="s">
        <v>72</v>
      </c>
      <c r="N700" s="1" t="s">
        <v>134</v>
      </c>
      <c r="O700" s="1" t="s">
        <v>385</v>
      </c>
      <c r="P700" s="1" t="s">
        <v>386</v>
      </c>
      <c r="Q700" s="1" t="s">
        <v>387</v>
      </c>
      <c r="R700">
        <v>103</v>
      </c>
      <c r="S700" s="1" t="s">
        <v>135</v>
      </c>
      <c r="T700" s="1" t="s">
        <v>388</v>
      </c>
      <c r="U700" s="1" t="s">
        <v>135</v>
      </c>
      <c r="V700" s="1"/>
      <c r="W700" s="1"/>
      <c r="X700" s="1"/>
      <c r="Y700" s="1"/>
      <c r="AA700" s="1"/>
      <c r="AC700" s="1"/>
      <c r="AD700" s="1"/>
      <c r="AE700" s="1"/>
      <c r="AN700" s="1"/>
      <c r="AP700" s="1"/>
      <c r="AQ700" s="1"/>
      <c r="AR700" s="1"/>
      <c r="AS700" s="1"/>
      <c r="AT700" s="3"/>
      <c r="AU700" s="3"/>
      <c r="AV700" s="3"/>
      <c r="AW700" s="1"/>
      <c r="AX700" s="1"/>
      <c r="AZ700">
        <v>253</v>
      </c>
      <c r="BA700">
        <v>4654734.66</v>
      </c>
      <c r="BB700" s="1" t="s">
        <v>74</v>
      </c>
      <c r="BC700">
        <v>328</v>
      </c>
      <c r="BD700" s="1" t="s">
        <v>867</v>
      </c>
      <c r="BE700" s="1" t="s">
        <v>99</v>
      </c>
      <c r="BF700">
        <v>0</v>
      </c>
      <c r="BG700" s="1"/>
      <c r="BH700" s="1" t="s">
        <v>390</v>
      </c>
      <c r="BI700">
        <v>884</v>
      </c>
      <c r="BJ700" s="1" t="s">
        <v>1039</v>
      </c>
      <c r="BL700" s="1"/>
      <c r="BN700" s="1"/>
      <c r="BO700">
        <v>599</v>
      </c>
      <c r="BP700">
        <v>4654734.66</v>
      </c>
      <c r="BQ700">
        <v>4654734.66</v>
      </c>
    </row>
    <row r="701" spans="1:69" x14ac:dyDescent="0.35">
      <c r="A701" s="1" t="s">
        <v>68</v>
      </c>
      <c r="B701" s="1" t="s">
        <v>69</v>
      </c>
      <c r="C701" s="1" t="s">
        <v>70</v>
      </c>
      <c r="D701">
        <v>1</v>
      </c>
      <c r="E701">
        <v>1</v>
      </c>
      <c r="F701" s="2">
        <v>43585.43</v>
      </c>
      <c r="G701" s="3">
        <v>41275</v>
      </c>
      <c r="H701" s="3">
        <v>41639</v>
      </c>
      <c r="I701" s="1" t="s">
        <v>71</v>
      </c>
      <c r="J701">
        <v>4521</v>
      </c>
      <c r="K701">
        <v>0</v>
      </c>
      <c r="L701" s="1" t="s">
        <v>384</v>
      </c>
      <c r="M701" s="1" t="s">
        <v>72</v>
      </c>
      <c r="N701" s="1" t="s">
        <v>134</v>
      </c>
      <c r="O701" s="1" t="s">
        <v>385</v>
      </c>
      <c r="P701" s="1" t="s">
        <v>386</v>
      </c>
      <c r="Q701" s="1" t="s">
        <v>387</v>
      </c>
      <c r="R701">
        <v>103</v>
      </c>
      <c r="S701" s="1" t="s">
        <v>135</v>
      </c>
      <c r="T701" s="1" t="s">
        <v>388</v>
      </c>
      <c r="U701" s="1" t="s">
        <v>135</v>
      </c>
      <c r="V701" s="1"/>
      <c r="W701" s="1"/>
      <c r="X701" s="1"/>
      <c r="Y701" s="1"/>
      <c r="AA701" s="1"/>
      <c r="AC701" s="1"/>
      <c r="AD701" s="1"/>
      <c r="AE701" s="1"/>
      <c r="AN701" s="1"/>
      <c r="AP701" s="1"/>
      <c r="AQ701" s="1"/>
      <c r="AR701" s="1"/>
      <c r="AS701" s="1"/>
      <c r="AT701" s="3"/>
      <c r="AU701" s="3"/>
      <c r="AV701" s="3"/>
      <c r="AW701" s="1"/>
      <c r="AX701" s="1"/>
      <c r="AZ701">
        <v>253</v>
      </c>
      <c r="BA701">
        <v>4654734.66</v>
      </c>
      <c r="BB701" s="1" t="s">
        <v>74</v>
      </c>
      <c r="BC701">
        <v>329</v>
      </c>
      <c r="BD701" s="1" t="s">
        <v>868</v>
      </c>
      <c r="BE701" s="1" t="s">
        <v>472</v>
      </c>
      <c r="BF701">
        <v>1232.5</v>
      </c>
      <c r="BG701" s="1" t="s">
        <v>1039</v>
      </c>
      <c r="BH701" s="1" t="s">
        <v>99</v>
      </c>
      <c r="BI701">
        <v>0</v>
      </c>
      <c r="BJ701" s="1"/>
      <c r="BL701" s="1"/>
      <c r="BN701" s="1"/>
      <c r="BO701">
        <v>599</v>
      </c>
      <c r="BP701">
        <v>4654734.66</v>
      </c>
      <c r="BQ701">
        <v>4654734.66</v>
      </c>
    </row>
    <row r="702" spans="1:69" x14ac:dyDescent="0.35">
      <c r="A702" s="1" t="s">
        <v>68</v>
      </c>
      <c r="B702" s="1" t="s">
        <v>69</v>
      </c>
      <c r="C702" s="1" t="s">
        <v>70</v>
      </c>
      <c r="D702">
        <v>1</v>
      </c>
      <c r="E702">
        <v>1</v>
      </c>
      <c r="F702" s="2">
        <v>43585.43</v>
      </c>
      <c r="G702" s="3">
        <v>41275</v>
      </c>
      <c r="H702" s="3">
        <v>41639</v>
      </c>
      <c r="I702" s="1" t="s">
        <v>71</v>
      </c>
      <c r="J702">
        <v>4521</v>
      </c>
      <c r="K702">
        <v>0</v>
      </c>
      <c r="L702" s="1" t="s">
        <v>384</v>
      </c>
      <c r="M702" s="1" t="s">
        <v>72</v>
      </c>
      <c r="N702" s="1" t="s">
        <v>134</v>
      </c>
      <c r="O702" s="1" t="s">
        <v>385</v>
      </c>
      <c r="P702" s="1" t="s">
        <v>386</v>
      </c>
      <c r="Q702" s="1" t="s">
        <v>387</v>
      </c>
      <c r="R702">
        <v>103</v>
      </c>
      <c r="S702" s="1" t="s">
        <v>135</v>
      </c>
      <c r="T702" s="1" t="s">
        <v>388</v>
      </c>
      <c r="U702" s="1" t="s">
        <v>135</v>
      </c>
      <c r="V702" s="1"/>
      <c r="W702" s="1"/>
      <c r="X702" s="1"/>
      <c r="Y702" s="1"/>
      <c r="AA702" s="1"/>
      <c r="AC702" s="1"/>
      <c r="AD702" s="1"/>
      <c r="AE702" s="1"/>
      <c r="AN702" s="1"/>
      <c r="AP702" s="1"/>
      <c r="AQ702" s="1"/>
      <c r="AR702" s="1"/>
      <c r="AS702" s="1"/>
      <c r="AT702" s="3"/>
      <c r="AU702" s="3"/>
      <c r="AV702" s="3"/>
      <c r="AW702" s="1"/>
      <c r="AX702" s="1"/>
      <c r="AZ702">
        <v>253</v>
      </c>
      <c r="BA702">
        <v>4654734.66</v>
      </c>
      <c r="BB702" s="1" t="s">
        <v>74</v>
      </c>
      <c r="BC702">
        <v>330</v>
      </c>
      <c r="BD702" s="1" t="s">
        <v>868</v>
      </c>
      <c r="BE702" s="1" t="s">
        <v>99</v>
      </c>
      <c r="BF702">
        <v>0</v>
      </c>
      <c r="BG702" s="1"/>
      <c r="BH702" s="1" t="s">
        <v>391</v>
      </c>
      <c r="BI702">
        <v>1232.5</v>
      </c>
      <c r="BJ702" s="1" t="s">
        <v>1039</v>
      </c>
      <c r="BL702" s="1"/>
      <c r="BN702" s="1"/>
      <c r="BO702">
        <v>599</v>
      </c>
      <c r="BP702">
        <v>4654734.66</v>
      </c>
      <c r="BQ702">
        <v>4654734.66</v>
      </c>
    </row>
    <row r="703" spans="1:69" x14ac:dyDescent="0.35">
      <c r="A703" s="1" t="s">
        <v>68</v>
      </c>
      <c r="B703" s="1" t="s">
        <v>69</v>
      </c>
      <c r="C703" s="1" t="s">
        <v>70</v>
      </c>
      <c r="D703">
        <v>1</v>
      </c>
      <c r="E703">
        <v>1</v>
      </c>
      <c r="F703" s="2">
        <v>43585.43</v>
      </c>
      <c r="G703" s="3">
        <v>41275</v>
      </c>
      <c r="H703" s="3">
        <v>41639</v>
      </c>
      <c r="I703" s="1" t="s">
        <v>71</v>
      </c>
      <c r="J703">
        <v>4521</v>
      </c>
      <c r="K703">
        <v>0</v>
      </c>
      <c r="L703" s="1" t="s">
        <v>384</v>
      </c>
      <c r="M703" s="1" t="s">
        <v>72</v>
      </c>
      <c r="N703" s="1" t="s">
        <v>134</v>
      </c>
      <c r="O703" s="1" t="s">
        <v>385</v>
      </c>
      <c r="P703" s="1" t="s">
        <v>386</v>
      </c>
      <c r="Q703" s="1" t="s">
        <v>387</v>
      </c>
      <c r="R703">
        <v>103</v>
      </c>
      <c r="S703" s="1" t="s">
        <v>135</v>
      </c>
      <c r="T703" s="1" t="s">
        <v>388</v>
      </c>
      <c r="U703" s="1" t="s">
        <v>135</v>
      </c>
      <c r="V703" s="1"/>
      <c r="W703" s="1"/>
      <c r="X703" s="1"/>
      <c r="Y703" s="1"/>
      <c r="AA703" s="1"/>
      <c r="AC703" s="1"/>
      <c r="AD703" s="1"/>
      <c r="AE703" s="1"/>
      <c r="AN703" s="1"/>
      <c r="AP703" s="1"/>
      <c r="AQ703" s="1"/>
      <c r="AR703" s="1"/>
      <c r="AS703" s="1"/>
      <c r="AT703" s="3"/>
      <c r="AU703" s="3"/>
      <c r="AV703" s="3"/>
      <c r="AW703" s="1"/>
      <c r="AX703" s="1"/>
      <c r="AZ703">
        <v>253</v>
      </c>
      <c r="BA703">
        <v>4654734.66</v>
      </c>
      <c r="BB703" s="1" t="s">
        <v>74</v>
      </c>
      <c r="BC703">
        <v>331</v>
      </c>
      <c r="BD703" s="1" t="s">
        <v>869</v>
      </c>
      <c r="BE703" s="1" t="s">
        <v>479</v>
      </c>
      <c r="BF703">
        <v>2864.48</v>
      </c>
      <c r="BG703" s="1" t="s">
        <v>1039</v>
      </c>
      <c r="BH703" s="1" t="s">
        <v>99</v>
      </c>
      <c r="BI703">
        <v>0</v>
      </c>
      <c r="BJ703" s="1"/>
      <c r="BL703" s="1"/>
      <c r="BN703" s="1"/>
      <c r="BO703">
        <v>599</v>
      </c>
      <c r="BP703">
        <v>4654734.66</v>
      </c>
      <c r="BQ703">
        <v>4654734.66</v>
      </c>
    </row>
    <row r="704" spans="1:69" x14ac:dyDescent="0.35">
      <c r="A704" s="1" t="s">
        <v>68</v>
      </c>
      <c r="B704" s="1" t="s">
        <v>69</v>
      </c>
      <c r="C704" s="1" t="s">
        <v>70</v>
      </c>
      <c r="D704">
        <v>1</v>
      </c>
      <c r="E704">
        <v>1</v>
      </c>
      <c r="F704" s="2">
        <v>43585.43</v>
      </c>
      <c r="G704" s="3">
        <v>41275</v>
      </c>
      <c r="H704" s="3">
        <v>41639</v>
      </c>
      <c r="I704" s="1" t="s">
        <v>71</v>
      </c>
      <c r="J704">
        <v>4521</v>
      </c>
      <c r="K704">
        <v>0</v>
      </c>
      <c r="L704" s="1" t="s">
        <v>384</v>
      </c>
      <c r="M704" s="1" t="s">
        <v>72</v>
      </c>
      <c r="N704" s="1" t="s">
        <v>134</v>
      </c>
      <c r="O704" s="1" t="s">
        <v>385</v>
      </c>
      <c r="P704" s="1" t="s">
        <v>386</v>
      </c>
      <c r="Q704" s="1" t="s">
        <v>387</v>
      </c>
      <c r="R704">
        <v>103</v>
      </c>
      <c r="S704" s="1" t="s">
        <v>135</v>
      </c>
      <c r="T704" s="1" t="s">
        <v>388</v>
      </c>
      <c r="U704" s="1" t="s">
        <v>135</v>
      </c>
      <c r="V704" s="1"/>
      <c r="W704" s="1"/>
      <c r="X704" s="1"/>
      <c r="Y704" s="1"/>
      <c r="AA704" s="1"/>
      <c r="AC704" s="1"/>
      <c r="AD704" s="1"/>
      <c r="AE704" s="1"/>
      <c r="AN704" s="1"/>
      <c r="AP704" s="1"/>
      <c r="AQ704" s="1"/>
      <c r="AR704" s="1"/>
      <c r="AS704" s="1"/>
      <c r="AT704" s="3"/>
      <c r="AU704" s="3"/>
      <c r="AV704" s="3"/>
      <c r="AW704" s="1"/>
      <c r="AX704" s="1"/>
      <c r="AZ704">
        <v>253</v>
      </c>
      <c r="BA704">
        <v>4654734.66</v>
      </c>
      <c r="BB704" s="1" t="s">
        <v>74</v>
      </c>
      <c r="BC704">
        <v>332</v>
      </c>
      <c r="BD704" s="1" t="s">
        <v>869</v>
      </c>
      <c r="BE704" s="1" t="s">
        <v>99</v>
      </c>
      <c r="BF704">
        <v>0</v>
      </c>
      <c r="BG704" s="1"/>
      <c r="BH704" s="1" t="s">
        <v>136</v>
      </c>
      <c r="BI704">
        <v>2864.48</v>
      </c>
      <c r="BJ704" s="1" t="s">
        <v>1039</v>
      </c>
      <c r="BL704" s="1"/>
      <c r="BN704" s="1"/>
      <c r="BO704">
        <v>599</v>
      </c>
      <c r="BP704">
        <v>4654734.66</v>
      </c>
      <c r="BQ704">
        <v>4654734.66</v>
      </c>
    </row>
    <row r="705" spans="1:69" x14ac:dyDescent="0.35">
      <c r="A705" s="1" t="s">
        <v>68</v>
      </c>
      <c r="B705" s="1" t="s">
        <v>69</v>
      </c>
      <c r="C705" s="1" t="s">
        <v>70</v>
      </c>
      <c r="D705">
        <v>1</v>
      </c>
      <c r="E705">
        <v>1</v>
      </c>
      <c r="F705" s="2">
        <v>43585.43</v>
      </c>
      <c r="G705" s="3">
        <v>41275</v>
      </c>
      <c r="H705" s="3">
        <v>41639</v>
      </c>
      <c r="I705" s="1" t="s">
        <v>71</v>
      </c>
      <c r="J705">
        <v>4521</v>
      </c>
      <c r="K705">
        <v>0</v>
      </c>
      <c r="L705" s="1" t="s">
        <v>384</v>
      </c>
      <c r="M705" s="1" t="s">
        <v>72</v>
      </c>
      <c r="N705" s="1" t="s">
        <v>134</v>
      </c>
      <c r="O705" s="1" t="s">
        <v>385</v>
      </c>
      <c r="P705" s="1" t="s">
        <v>386</v>
      </c>
      <c r="Q705" s="1" t="s">
        <v>387</v>
      </c>
      <c r="R705">
        <v>103</v>
      </c>
      <c r="S705" s="1" t="s">
        <v>135</v>
      </c>
      <c r="T705" s="1" t="s">
        <v>388</v>
      </c>
      <c r="U705" s="1" t="s">
        <v>135</v>
      </c>
      <c r="V705" s="1"/>
      <c r="W705" s="1"/>
      <c r="X705" s="1"/>
      <c r="Y705" s="1"/>
      <c r="AA705" s="1"/>
      <c r="AC705" s="1"/>
      <c r="AD705" s="1"/>
      <c r="AE705" s="1"/>
      <c r="AN705" s="1"/>
      <c r="AP705" s="1"/>
      <c r="AQ705" s="1"/>
      <c r="AR705" s="1"/>
      <c r="AS705" s="1"/>
      <c r="AT705" s="3"/>
      <c r="AU705" s="3"/>
      <c r="AV705" s="3"/>
      <c r="AW705" s="1"/>
      <c r="AX705" s="1"/>
      <c r="AZ705">
        <v>253</v>
      </c>
      <c r="BA705">
        <v>4654734.66</v>
      </c>
      <c r="BB705" s="1" t="s">
        <v>74</v>
      </c>
      <c r="BC705">
        <v>333</v>
      </c>
      <c r="BD705" s="1" t="s">
        <v>870</v>
      </c>
      <c r="BE705" s="1" t="s">
        <v>480</v>
      </c>
      <c r="BF705">
        <v>884</v>
      </c>
      <c r="BG705" s="1" t="s">
        <v>1039</v>
      </c>
      <c r="BH705" s="1" t="s">
        <v>99</v>
      </c>
      <c r="BI705">
        <v>0</v>
      </c>
      <c r="BJ705" s="1"/>
      <c r="BL705" s="1"/>
      <c r="BN705" s="1"/>
      <c r="BO705">
        <v>599</v>
      </c>
      <c r="BP705">
        <v>4654734.66</v>
      </c>
      <c r="BQ705">
        <v>4654734.66</v>
      </c>
    </row>
    <row r="706" spans="1:69" x14ac:dyDescent="0.35">
      <c r="A706" s="1" t="s">
        <v>68</v>
      </c>
      <c r="B706" s="1" t="s">
        <v>69</v>
      </c>
      <c r="C706" s="1" t="s">
        <v>70</v>
      </c>
      <c r="D706">
        <v>1</v>
      </c>
      <c r="E706">
        <v>1</v>
      </c>
      <c r="F706" s="2">
        <v>43585.43</v>
      </c>
      <c r="G706" s="3">
        <v>41275</v>
      </c>
      <c r="H706" s="3">
        <v>41639</v>
      </c>
      <c r="I706" s="1" t="s">
        <v>71</v>
      </c>
      <c r="J706">
        <v>4521</v>
      </c>
      <c r="K706">
        <v>0</v>
      </c>
      <c r="L706" s="1" t="s">
        <v>384</v>
      </c>
      <c r="M706" s="1" t="s">
        <v>72</v>
      </c>
      <c r="N706" s="1" t="s">
        <v>134</v>
      </c>
      <c r="O706" s="1" t="s">
        <v>385</v>
      </c>
      <c r="P706" s="1" t="s">
        <v>386</v>
      </c>
      <c r="Q706" s="1" t="s">
        <v>387</v>
      </c>
      <c r="R706">
        <v>103</v>
      </c>
      <c r="S706" s="1" t="s">
        <v>135</v>
      </c>
      <c r="T706" s="1" t="s">
        <v>388</v>
      </c>
      <c r="U706" s="1" t="s">
        <v>135</v>
      </c>
      <c r="V706" s="1"/>
      <c r="W706" s="1"/>
      <c r="X706" s="1"/>
      <c r="Y706" s="1"/>
      <c r="AA706" s="1"/>
      <c r="AC706" s="1"/>
      <c r="AD706" s="1"/>
      <c r="AE706" s="1"/>
      <c r="AN706" s="1"/>
      <c r="AP706" s="1"/>
      <c r="AQ706" s="1"/>
      <c r="AR706" s="1"/>
      <c r="AS706" s="1"/>
      <c r="AT706" s="3"/>
      <c r="AU706" s="3"/>
      <c r="AV706" s="3"/>
      <c r="AW706" s="1"/>
      <c r="AX706" s="1"/>
      <c r="AZ706">
        <v>253</v>
      </c>
      <c r="BA706">
        <v>4654734.66</v>
      </c>
      <c r="BB706" s="1" t="s">
        <v>74</v>
      </c>
      <c r="BC706">
        <v>334</v>
      </c>
      <c r="BD706" s="1" t="s">
        <v>870</v>
      </c>
      <c r="BE706" s="1" t="s">
        <v>99</v>
      </c>
      <c r="BF706">
        <v>0</v>
      </c>
      <c r="BG706" s="1"/>
      <c r="BH706" s="1" t="s">
        <v>136</v>
      </c>
      <c r="BI706">
        <v>884</v>
      </c>
      <c r="BJ706" s="1" t="s">
        <v>1039</v>
      </c>
      <c r="BL706" s="1"/>
      <c r="BN706" s="1"/>
      <c r="BO706">
        <v>599</v>
      </c>
      <c r="BP706">
        <v>4654734.66</v>
      </c>
      <c r="BQ706">
        <v>4654734.66</v>
      </c>
    </row>
    <row r="707" spans="1:69" x14ac:dyDescent="0.35">
      <c r="A707" s="1" t="s">
        <v>68</v>
      </c>
      <c r="B707" s="1" t="s">
        <v>69</v>
      </c>
      <c r="C707" s="1" t="s">
        <v>70</v>
      </c>
      <c r="D707">
        <v>1</v>
      </c>
      <c r="E707">
        <v>1</v>
      </c>
      <c r="F707" s="2">
        <v>43585.43</v>
      </c>
      <c r="G707" s="3">
        <v>41275</v>
      </c>
      <c r="H707" s="3">
        <v>41639</v>
      </c>
      <c r="I707" s="1" t="s">
        <v>71</v>
      </c>
      <c r="J707">
        <v>4521</v>
      </c>
      <c r="K707">
        <v>0</v>
      </c>
      <c r="L707" s="1" t="s">
        <v>384</v>
      </c>
      <c r="M707" s="1" t="s">
        <v>72</v>
      </c>
      <c r="N707" s="1" t="s">
        <v>134</v>
      </c>
      <c r="O707" s="1" t="s">
        <v>385</v>
      </c>
      <c r="P707" s="1" t="s">
        <v>386</v>
      </c>
      <c r="Q707" s="1" t="s">
        <v>387</v>
      </c>
      <c r="R707">
        <v>103</v>
      </c>
      <c r="S707" s="1" t="s">
        <v>135</v>
      </c>
      <c r="T707" s="1" t="s">
        <v>388</v>
      </c>
      <c r="U707" s="1" t="s">
        <v>135</v>
      </c>
      <c r="V707" s="1"/>
      <c r="W707" s="1"/>
      <c r="X707" s="1"/>
      <c r="Y707" s="1"/>
      <c r="AA707" s="1"/>
      <c r="AC707" s="1"/>
      <c r="AD707" s="1"/>
      <c r="AE707" s="1"/>
      <c r="AN707" s="1"/>
      <c r="AP707" s="1"/>
      <c r="AQ707" s="1"/>
      <c r="AR707" s="1"/>
      <c r="AS707" s="1"/>
      <c r="AT707" s="3"/>
      <c r="AU707" s="3"/>
      <c r="AV707" s="3"/>
      <c r="AW707" s="1"/>
      <c r="AX707" s="1"/>
      <c r="AZ707">
        <v>253</v>
      </c>
      <c r="BA707">
        <v>4654734.66</v>
      </c>
      <c r="BB707" s="1" t="s">
        <v>74</v>
      </c>
      <c r="BC707">
        <v>335</v>
      </c>
      <c r="BD707" s="1" t="s">
        <v>871</v>
      </c>
      <c r="BE707" s="1" t="s">
        <v>479</v>
      </c>
      <c r="BF707">
        <v>1232.5</v>
      </c>
      <c r="BG707" s="1" t="s">
        <v>1039</v>
      </c>
      <c r="BH707" s="1" t="s">
        <v>99</v>
      </c>
      <c r="BI707">
        <v>0</v>
      </c>
      <c r="BJ707" s="1"/>
      <c r="BL707" s="1"/>
      <c r="BN707" s="1"/>
      <c r="BO707">
        <v>599</v>
      </c>
      <c r="BP707">
        <v>4654734.66</v>
      </c>
      <c r="BQ707">
        <v>4654734.66</v>
      </c>
    </row>
    <row r="708" spans="1:69" x14ac:dyDescent="0.35">
      <c r="A708" s="1" t="s">
        <v>68</v>
      </c>
      <c r="B708" s="1" t="s">
        <v>69</v>
      </c>
      <c r="C708" s="1" t="s">
        <v>70</v>
      </c>
      <c r="D708">
        <v>1</v>
      </c>
      <c r="E708">
        <v>1</v>
      </c>
      <c r="F708" s="2">
        <v>43585.43</v>
      </c>
      <c r="G708" s="3">
        <v>41275</v>
      </c>
      <c r="H708" s="3">
        <v>41639</v>
      </c>
      <c r="I708" s="1" t="s">
        <v>71</v>
      </c>
      <c r="J708">
        <v>4521</v>
      </c>
      <c r="K708">
        <v>0</v>
      </c>
      <c r="L708" s="1" t="s">
        <v>384</v>
      </c>
      <c r="M708" s="1" t="s">
        <v>72</v>
      </c>
      <c r="N708" s="1" t="s">
        <v>134</v>
      </c>
      <c r="O708" s="1" t="s">
        <v>385</v>
      </c>
      <c r="P708" s="1" t="s">
        <v>386</v>
      </c>
      <c r="Q708" s="1" t="s">
        <v>387</v>
      </c>
      <c r="R708">
        <v>103</v>
      </c>
      <c r="S708" s="1" t="s">
        <v>135</v>
      </c>
      <c r="T708" s="1" t="s">
        <v>388</v>
      </c>
      <c r="U708" s="1" t="s">
        <v>135</v>
      </c>
      <c r="V708" s="1"/>
      <c r="W708" s="1"/>
      <c r="X708" s="1"/>
      <c r="Y708" s="1"/>
      <c r="AA708" s="1"/>
      <c r="AC708" s="1"/>
      <c r="AD708" s="1"/>
      <c r="AE708" s="1"/>
      <c r="AN708" s="1"/>
      <c r="AP708" s="1"/>
      <c r="AQ708" s="1"/>
      <c r="AR708" s="1"/>
      <c r="AS708" s="1"/>
      <c r="AT708" s="3"/>
      <c r="AU708" s="3"/>
      <c r="AV708" s="3"/>
      <c r="AW708" s="1"/>
      <c r="AX708" s="1"/>
      <c r="AZ708">
        <v>253</v>
      </c>
      <c r="BA708">
        <v>4654734.66</v>
      </c>
      <c r="BB708" s="1" t="s">
        <v>74</v>
      </c>
      <c r="BC708">
        <v>336</v>
      </c>
      <c r="BD708" s="1" t="s">
        <v>871</v>
      </c>
      <c r="BE708" s="1" t="s">
        <v>99</v>
      </c>
      <c r="BF708">
        <v>0</v>
      </c>
      <c r="BG708" s="1"/>
      <c r="BH708" s="1" t="s">
        <v>136</v>
      </c>
      <c r="BI708">
        <v>1232.5</v>
      </c>
      <c r="BJ708" s="1" t="s">
        <v>1039</v>
      </c>
      <c r="BL708" s="1"/>
      <c r="BN708" s="1"/>
      <c r="BO708">
        <v>599</v>
      </c>
      <c r="BP708">
        <v>4654734.66</v>
      </c>
      <c r="BQ708">
        <v>4654734.66</v>
      </c>
    </row>
    <row r="709" spans="1:69" x14ac:dyDescent="0.35">
      <c r="A709" s="1" t="s">
        <v>68</v>
      </c>
      <c r="B709" s="1" t="s">
        <v>69</v>
      </c>
      <c r="C709" s="1" t="s">
        <v>70</v>
      </c>
      <c r="D709">
        <v>1</v>
      </c>
      <c r="E709">
        <v>1</v>
      </c>
      <c r="F709" s="2">
        <v>43585.43</v>
      </c>
      <c r="G709" s="3">
        <v>41275</v>
      </c>
      <c r="H709" s="3">
        <v>41639</v>
      </c>
      <c r="I709" s="1" t="s">
        <v>71</v>
      </c>
      <c r="J709">
        <v>4521</v>
      </c>
      <c r="K709">
        <v>0</v>
      </c>
      <c r="L709" s="1" t="s">
        <v>384</v>
      </c>
      <c r="M709" s="1" t="s">
        <v>72</v>
      </c>
      <c r="N709" s="1" t="s">
        <v>134</v>
      </c>
      <c r="O709" s="1" t="s">
        <v>385</v>
      </c>
      <c r="P709" s="1" t="s">
        <v>386</v>
      </c>
      <c r="Q709" s="1" t="s">
        <v>387</v>
      </c>
      <c r="R709">
        <v>103</v>
      </c>
      <c r="S709" s="1" t="s">
        <v>135</v>
      </c>
      <c r="T709" s="1" t="s">
        <v>388</v>
      </c>
      <c r="U709" s="1" t="s">
        <v>135</v>
      </c>
      <c r="V709" s="1"/>
      <c r="W709" s="1"/>
      <c r="X709" s="1"/>
      <c r="Y709" s="1"/>
      <c r="AA709" s="1"/>
      <c r="AC709" s="1"/>
      <c r="AD709" s="1"/>
      <c r="AE709" s="1"/>
      <c r="AN709" s="1"/>
      <c r="AP709" s="1"/>
      <c r="AQ709" s="1"/>
      <c r="AR709" s="1"/>
      <c r="AS709" s="1"/>
      <c r="AT709" s="3"/>
      <c r="AU709" s="3"/>
      <c r="AV709" s="3"/>
      <c r="AW709" s="1"/>
      <c r="AX709" s="1"/>
      <c r="AZ709">
        <v>253</v>
      </c>
      <c r="BA709">
        <v>4654734.66</v>
      </c>
      <c r="BB709" s="1" t="s">
        <v>74</v>
      </c>
      <c r="BC709">
        <v>337</v>
      </c>
      <c r="BD709" s="1" t="s">
        <v>872</v>
      </c>
      <c r="BE709" s="1" t="s">
        <v>466</v>
      </c>
      <c r="BF709">
        <v>69787.899999999994</v>
      </c>
      <c r="BG709" s="1" t="s">
        <v>1018</v>
      </c>
      <c r="BH709" s="1" t="s">
        <v>99</v>
      </c>
      <c r="BI709">
        <v>0</v>
      </c>
      <c r="BJ709" s="1"/>
      <c r="BL709" s="1"/>
      <c r="BN709" s="1"/>
      <c r="BO709">
        <v>599</v>
      </c>
      <c r="BP709">
        <v>4654734.66</v>
      </c>
      <c r="BQ709">
        <v>4654734.66</v>
      </c>
    </row>
    <row r="710" spans="1:69" x14ac:dyDescent="0.35">
      <c r="A710" s="1" t="s">
        <v>68</v>
      </c>
      <c r="B710" s="1" t="s">
        <v>69</v>
      </c>
      <c r="C710" s="1" t="s">
        <v>70</v>
      </c>
      <c r="D710">
        <v>1</v>
      </c>
      <c r="E710">
        <v>1</v>
      </c>
      <c r="F710" s="2">
        <v>43585.43</v>
      </c>
      <c r="G710" s="3">
        <v>41275</v>
      </c>
      <c r="H710" s="3">
        <v>41639</v>
      </c>
      <c r="I710" s="1" t="s">
        <v>71</v>
      </c>
      <c r="J710">
        <v>4521</v>
      </c>
      <c r="K710">
        <v>0</v>
      </c>
      <c r="L710" s="1" t="s">
        <v>384</v>
      </c>
      <c r="M710" s="1" t="s">
        <v>72</v>
      </c>
      <c r="N710" s="1" t="s">
        <v>134</v>
      </c>
      <c r="O710" s="1" t="s">
        <v>385</v>
      </c>
      <c r="P710" s="1" t="s">
        <v>386</v>
      </c>
      <c r="Q710" s="1" t="s">
        <v>387</v>
      </c>
      <c r="R710">
        <v>103</v>
      </c>
      <c r="S710" s="1" t="s">
        <v>135</v>
      </c>
      <c r="T710" s="1" t="s">
        <v>388</v>
      </c>
      <c r="U710" s="1" t="s">
        <v>135</v>
      </c>
      <c r="V710" s="1"/>
      <c r="W710" s="1"/>
      <c r="X710" s="1"/>
      <c r="Y710" s="1"/>
      <c r="AA710" s="1"/>
      <c r="AC710" s="1"/>
      <c r="AD710" s="1"/>
      <c r="AE710" s="1"/>
      <c r="AN710" s="1"/>
      <c r="AP710" s="1"/>
      <c r="AQ710" s="1"/>
      <c r="AR710" s="1"/>
      <c r="AS710" s="1"/>
      <c r="AT710" s="3"/>
      <c r="AU710" s="3"/>
      <c r="AV710" s="3"/>
      <c r="AW710" s="1"/>
      <c r="AX710" s="1"/>
      <c r="AZ710">
        <v>253</v>
      </c>
      <c r="BA710">
        <v>4654734.66</v>
      </c>
      <c r="BB710" s="1" t="s">
        <v>74</v>
      </c>
      <c r="BC710">
        <v>338</v>
      </c>
      <c r="BD710" s="1" t="s">
        <v>872</v>
      </c>
      <c r="BE710" s="1" t="s">
        <v>99</v>
      </c>
      <c r="BF710">
        <v>0</v>
      </c>
      <c r="BG710" s="1"/>
      <c r="BH710" s="1" t="s">
        <v>434</v>
      </c>
      <c r="BI710">
        <v>85839.12</v>
      </c>
      <c r="BJ710" s="1" t="s">
        <v>1018</v>
      </c>
      <c r="BL710" s="1"/>
      <c r="BN710" s="1"/>
      <c r="BO710">
        <v>599</v>
      </c>
      <c r="BP710">
        <v>4654734.66</v>
      </c>
      <c r="BQ710">
        <v>4654734.66</v>
      </c>
    </row>
    <row r="711" spans="1:69" x14ac:dyDescent="0.35">
      <c r="A711" s="1" t="s">
        <v>68</v>
      </c>
      <c r="B711" s="1" t="s">
        <v>69</v>
      </c>
      <c r="C711" s="1" t="s">
        <v>70</v>
      </c>
      <c r="D711">
        <v>1</v>
      </c>
      <c r="E711">
        <v>1</v>
      </c>
      <c r="F711" s="2">
        <v>43585.43</v>
      </c>
      <c r="G711" s="3">
        <v>41275</v>
      </c>
      <c r="H711" s="3">
        <v>41639</v>
      </c>
      <c r="I711" s="1" t="s">
        <v>71</v>
      </c>
      <c r="J711">
        <v>4521</v>
      </c>
      <c r="K711">
        <v>0</v>
      </c>
      <c r="L711" s="1" t="s">
        <v>384</v>
      </c>
      <c r="M711" s="1" t="s">
        <v>72</v>
      </c>
      <c r="N711" s="1" t="s">
        <v>134</v>
      </c>
      <c r="O711" s="1" t="s">
        <v>385</v>
      </c>
      <c r="P711" s="1" t="s">
        <v>386</v>
      </c>
      <c r="Q711" s="1" t="s">
        <v>387</v>
      </c>
      <c r="R711">
        <v>103</v>
      </c>
      <c r="S711" s="1" t="s">
        <v>135</v>
      </c>
      <c r="T711" s="1" t="s">
        <v>388</v>
      </c>
      <c r="U711" s="1" t="s">
        <v>135</v>
      </c>
      <c r="V711" s="1"/>
      <c r="W711" s="1"/>
      <c r="X711" s="1"/>
      <c r="Y711" s="1"/>
      <c r="AA711" s="1"/>
      <c r="AC711" s="1"/>
      <c r="AD711" s="1"/>
      <c r="AE711" s="1"/>
      <c r="AN711" s="1"/>
      <c r="AP711" s="1"/>
      <c r="AQ711" s="1"/>
      <c r="AR711" s="1"/>
      <c r="AS711" s="1"/>
      <c r="AT711" s="3"/>
      <c r="AU711" s="3"/>
      <c r="AV711" s="3"/>
      <c r="AW711" s="1"/>
      <c r="AX711" s="1"/>
      <c r="AZ711">
        <v>253</v>
      </c>
      <c r="BA711">
        <v>4654734.66</v>
      </c>
      <c r="BB711" s="1" t="s">
        <v>74</v>
      </c>
      <c r="BC711">
        <v>339</v>
      </c>
      <c r="BD711" s="1" t="s">
        <v>872</v>
      </c>
      <c r="BE711" s="1" t="s">
        <v>452</v>
      </c>
      <c r="BF711">
        <v>16051.22</v>
      </c>
      <c r="BG711" s="1" t="s">
        <v>1018</v>
      </c>
      <c r="BH711" s="1" t="s">
        <v>99</v>
      </c>
      <c r="BI711">
        <v>0</v>
      </c>
      <c r="BJ711" s="1"/>
      <c r="BL711" s="1"/>
      <c r="BN711" s="1"/>
      <c r="BO711">
        <v>599</v>
      </c>
      <c r="BP711">
        <v>4654734.66</v>
      </c>
      <c r="BQ711">
        <v>4654734.66</v>
      </c>
    </row>
    <row r="712" spans="1:69" x14ac:dyDescent="0.35">
      <c r="A712" s="1" t="s">
        <v>68</v>
      </c>
      <c r="B712" s="1" t="s">
        <v>69</v>
      </c>
      <c r="C712" s="1" t="s">
        <v>70</v>
      </c>
      <c r="D712">
        <v>1</v>
      </c>
      <c r="E712">
        <v>1</v>
      </c>
      <c r="F712" s="2">
        <v>43585.43</v>
      </c>
      <c r="G712" s="3">
        <v>41275</v>
      </c>
      <c r="H712" s="3">
        <v>41639</v>
      </c>
      <c r="I712" s="1" t="s">
        <v>71</v>
      </c>
      <c r="J712">
        <v>4521</v>
      </c>
      <c r="K712">
        <v>0</v>
      </c>
      <c r="L712" s="1" t="s">
        <v>384</v>
      </c>
      <c r="M712" s="1" t="s">
        <v>72</v>
      </c>
      <c r="N712" s="1" t="s">
        <v>134</v>
      </c>
      <c r="O712" s="1" t="s">
        <v>385</v>
      </c>
      <c r="P712" s="1" t="s">
        <v>386</v>
      </c>
      <c r="Q712" s="1" t="s">
        <v>387</v>
      </c>
      <c r="R712">
        <v>103</v>
      </c>
      <c r="S712" s="1" t="s">
        <v>135</v>
      </c>
      <c r="T712" s="1" t="s">
        <v>388</v>
      </c>
      <c r="U712" s="1" t="s">
        <v>135</v>
      </c>
      <c r="V712" s="1"/>
      <c r="W712" s="1"/>
      <c r="X712" s="1"/>
      <c r="Y712" s="1"/>
      <c r="AA712" s="1"/>
      <c r="AC712" s="1"/>
      <c r="AD712" s="1"/>
      <c r="AE712" s="1"/>
      <c r="AN712" s="1"/>
      <c r="AP712" s="1"/>
      <c r="AQ712" s="1"/>
      <c r="AR712" s="1"/>
      <c r="AS712" s="1"/>
      <c r="AT712" s="3"/>
      <c r="AU712" s="3"/>
      <c r="AV712" s="3"/>
      <c r="AW712" s="1"/>
      <c r="AX712" s="1"/>
      <c r="AZ712">
        <v>253</v>
      </c>
      <c r="BA712">
        <v>4654734.66</v>
      </c>
      <c r="BB712" s="1" t="s">
        <v>74</v>
      </c>
      <c r="BC712">
        <v>340</v>
      </c>
      <c r="BD712" s="1" t="s">
        <v>873</v>
      </c>
      <c r="BE712" s="1" t="s">
        <v>466</v>
      </c>
      <c r="BF712">
        <v>27300</v>
      </c>
      <c r="BG712" s="1" t="s">
        <v>1013</v>
      </c>
      <c r="BH712" s="1" t="s">
        <v>99</v>
      </c>
      <c r="BI712">
        <v>0</v>
      </c>
      <c r="BJ712" s="1"/>
      <c r="BL712" s="1"/>
      <c r="BN712" s="1"/>
      <c r="BO712">
        <v>599</v>
      </c>
      <c r="BP712">
        <v>4654734.66</v>
      </c>
      <c r="BQ712">
        <v>4654734.66</v>
      </c>
    </row>
    <row r="713" spans="1:69" x14ac:dyDescent="0.35">
      <c r="A713" s="1" t="s">
        <v>68</v>
      </c>
      <c r="B713" s="1" t="s">
        <v>69</v>
      </c>
      <c r="C713" s="1" t="s">
        <v>70</v>
      </c>
      <c r="D713">
        <v>1</v>
      </c>
      <c r="E713">
        <v>1</v>
      </c>
      <c r="F713" s="2">
        <v>43585.43</v>
      </c>
      <c r="G713" s="3">
        <v>41275</v>
      </c>
      <c r="H713" s="3">
        <v>41639</v>
      </c>
      <c r="I713" s="1" t="s">
        <v>71</v>
      </c>
      <c r="J713">
        <v>4521</v>
      </c>
      <c r="K713">
        <v>0</v>
      </c>
      <c r="L713" s="1" t="s">
        <v>384</v>
      </c>
      <c r="M713" s="1" t="s">
        <v>72</v>
      </c>
      <c r="N713" s="1" t="s">
        <v>134</v>
      </c>
      <c r="O713" s="1" t="s">
        <v>385</v>
      </c>
      <c r="P713" s="1" t="s">
        <v>386</v>
      </c>
      <c r="Q713" s="1" t="s">
        <v>387</v>
      </c>
      <c r="R713">
        <v>103</v>
      </c>
      <c r="S713" s="1" t="s">
        <v>135</v>
      </c>
      <c r="T713" s="1" t="s">
        <v>388</v>
      </c>
      <c r="U713" s="1" t="s">
        <v>135</v>
      </c>
      <c r="V713" s="1"/>
      <c r="W713" s="1"/>
      <c r="X713" s="1"/>
      <c r="Y713" s="1"/>
      <c r="AA713" s="1"/>
      <c r="AC713" s="1"/>
      <c r="AD713" s="1"/>
      <c r="AE713" s="1"/>
      <c r="AN713" s="1"/>
      <c r="AP713" s="1"/>
      <c r="AQ713" s="1"/>
      <c r="AR713" s="1"/>
      <c r="AS713" s="1"/>
      <c r="AT713" s="3"/>
      <c r="AU713" s="3"/>
      <c r="AV713" s="3"/>
      <c r="AW713" s="1"/>
      <c r="AX713" s="1"/>
      <c r="AZ713">
        <v>253</v>
      </c>
      <c r="BA713">
        <v>4654734.66</v>
      </c>
      <c r="BB713" s="1" t="s">
        <v>74</v>
      </c>
      <c r="BC713">
        <v>341</v>
      </c>
      <c r="BD713" s="1" t="s">
        <v>873</v>
      </c>
      <c r="BE713" s="1" t="s">
        <v>99</v>
      </c>
      <c r="BF713">
        <v>0</v>
      </c>
      <c r="BG713" s="1"/>
      <c r="BH713" s="1" t="s">
        <v>433</v>
      </c>
      <c r="BI713">
        <v>33579</v>
      </c>
      <c r="BJ713" s="1" t="s">
        <v>1013</v>
      </c>
      <c r="BL713" s="1"/>
      <c r="BN713" s="1"/>
      <c r="BO713">
        <v>599</v>
      </c>
      <c r="BP713">
        <v>4654734.66</v>
      </c>
      <c r="BQ713">
        <v>4654734.66</v>
      </c>
    </row>
    <row r="714" spans="1:69" x14ac:dyDescent="0.35">
      <c r="A714" s="1" t="s">
        <v>68</v>
      </c>
      <c r="B714" s="1" t="s">
        <v>69</v>
      </c>
      <c r="C714" s="1" t="s">
        <v>70</v>
      </c>
      <c r="D714">
        <v>1</v>
      </c>
      <c r="E714">
        <v>1</v>
      </c>
      <c r="F714" s="2">
        <v>43585.43</v>
      </c>
      <c r="G714" s="3">
        <v>41275</v>
      </c>
      <c r="H714" s="3">
        <v>41639</v>
      </c>
      <c r="I714" s="1" t="s">
        <v>71</v>
      </c>
      <c r="J714">
        <v>4521</v>
      </c>
      <c r="K714">
        <v>0</v>
      </c>
      <c r="L714" s="1" t="s">
        <v>384</v>
      </c>
      <c r="M714" s="1" t="s">
        <v>72</v>
      </c>
      <c r="N714" s="1" t="s">
        <v>134</v>
      </c>
      <c r="O714" s="1" t="s">
        <v>385</v>
      </c>
      <c r="P714" s="1" t="s">
        <v>386</v>
      </c>
      <c r="Q714" s="1" t="s">
        <v>387</v>
      </c>
      <c r="R714">
        <v>103</v>
      </c>
      <c r="S714" s="1" t="s">
        <v>135</v>
      </c>
      <c r="T714" s="1" t="s">
        <v>388</v>
      </c>
      <c r="U714" s="1" t="s">
        <v>135</v>
      </c>
      <c r="V714" s="1"/>
      <c r="W714" s="1"/>
      <c r="X714" s="1"/>
      <c r="Y714" s="1"/>
      <c r="AA714" s="1"/>
      <c r="AC714" s="1"/>
      <c r="AD714" s="1"/>
      <c r="AE714" s="1"/>
      <c r="AN714" s="1"/>
      <c r="AP714" s="1"/>
      <c r="AQ714" s="1"/>
      <c r="AR714" s="1"/>
      <c r="AS714" s="1"/>
      <c r="AT714" s="3"/>
      <c r="AU714" s="3"/>
      <c r="AV714" s="3"/>
      <c r="AW714" s="1"/>
      <c r="AX714" s="1"/>
      <c r="AZ714">
        <v>253</v>
      </c>
      <c r="BA714">
        <v>4654734.66</v>
      </c>
      <c r="BB714" s="1" t="s">
        <v>74</v>
      </c>
      <c r="BC714">
        <v>342</v>
      </c>
      <c r="BD714" s="1" t="s">
        <v>873</v>
      </c>
      <c r="BE714" s="1" t="s">
        <v>452</v>
      </c>
      <c r="BF714">
        <v>6279</v>
      </c>
      <c r="BG714" s="1" t="s">
        <v>1013</v>
      </c>
      <c r="BH714" s="1" t="s">
        <v>99</v>
      </c>
      <c r="BI714">
        <v>0</v>
      </c>
      <c r="BJ714" s="1"/>
      <c r="BL714" s="1"/>
      <c r="BN714" s="1"/>
      <c r="BO714">
        <v>599</v>
      </c>
      <c r="BP714">
        <v>4654734.66</v>
      </c>
      <c r="BQ714">
        <v>4654734.66</v>
      </c>
    </row>
    <row r="715" spans="1:69" x14ac:dyDescent="0.35">
      <c r="A715" s="1" t="s">
        <v>68</v>
      </c>
      <c r="B715" s="1" t="s">
        <v>69</v>
      </c>
      <c r="C715" s="1" t="s">
        <v>70</v>
      </c>
      <c r="D715">
        <v>1</v>
      </c>
      <c r="E715">
        <v>1</v>
      </c>
      <c r="F715" s="2">
        <v>43585.43</v>
      </c>
      <c r="G715" s="3">
        <v>41275</v>
      </c>
      <c r="H715" s="3">
        <v>41639</v>
      </c>
      <c r="I715" s="1" t="s">
        <v>71</v>
      </c>
      <c r="J715">
        <v>4521</v>
      </c>
      <c r="K715">
        <v>0</v>
      </c>
      <c r="L715" s="1" t="s">
        <v>384</v>
      </c>
      <c r="M715" s="1" t="s">
        <v>72</v>
      </c>
      <c r="N715" s="1" t="s">
        <v>134</v>
      </c>
      <c r="O715" s="1" t="s">
        <v>385</v>
      </c>
      <c r="P715" s="1" t="s">
        <v>386</v>
      </c>
      <c r="Q715" s="1" t="s">
        <v>387</v>
      </c>
      <c r="R715">
        <v>103</v>
      </c>
      <c r="S715" s="1" t="s">
        <v>135</v>
      </c>
      <c r="T715" s="1" t="s">
        <v>388</v>
      </c>
      <c r="U715" s="1" t="s">
        <v>135</v>
      </c>
      <c r="V715" s="1"/>
      <c r="W715" s="1"/>
      <c r="X715" s="1"/>
      <c r="Y715" s="1"/>
      <c r="AA715" s="1"/>
      <c r="AC715" s="1"/>
      <c r="AD715" s="1"/>
      <c r="AE715" s="1"/>
      <c r="AN715" s="1"/>
      <c r="AP715" s="1"/>
      <c r="AQ715" s="1"/>
      <c r="AR715" s="1"/>
      <c r="AS715" s="1"/>
      <c r="AT715" s="3"/>
      <c r="AU715" s="3"/>
      <c r="AV715" s="3"/>
      <c r="AW715" s="1"/>
      <c r="AX715" s="1"/>
      <c r="AZ715">
        <v>253</v>
      </c>
      <c r="BA715">
        <v>4654734.66</v>
      </c>
      <c r="BB715" s="1" t="s">
        <v>74</v>
      </c>
      <c r="BC715">
        <v>343</v>
      </c>
      <c r="BD715" s="1" t="s">
        <v>874</v>
      </c>
      <c r="BE715" s="1" t="s">
        <v>408</v>
      </c>
      <c r="BF715">
        <v>23828.400000000001</v>
      </c>
      <c r="BG715" s="1" t="s">
        <v>619</v>
      </c>
      <c r="BH715" s="1" t="s">
        <v>99</v>
      </c>
      <c r="BI715">
        <v>0</v>
      </c>
      <c r="BJ715" s="1"/>
      <c r="BL715" s="1"/>
      <c r="BN715" s="1"/>
      <c r="BO715">
        <v>599</v>
      </c>
      <c r="BP715">
        <v>4654734.66</v>
      </c>
      <c r="BQ715">
        <v>4654734.66</v>
      </c>
    </row>
    <row r="716" spans="1:69" x14ac:dyDescent="0.35">
      <c r="A716" s="1" t="s">
        <v>68</v>
      </c>
      <c r="B716" s="1" t="s">
        <v>69</v>
      </c>
      <c r="C716" s="1" t="s">
        <v>70</v>
      </c>
      <c r="D716">
        <v>1</v>
      </c>
      <c r="E716">
        <v>1</v>
      </c>
      <c r="F716" s="2">
        <v>43585.43</v>
      </c>
      <c r="G716" s="3">
        <v>41275</v>
      </c>
      <c r="H716" s="3">
        <v>41639</v>
      </c>
      <c r="I716" s="1" t="s">
        <v>71</v>
      </c>
      <c r="J716">
        <v>4521</v>
      </c>
      <c r="K716">
        <v>0</v>
      </c>
      <c r="L716" s="1" t="s">
        <v>384</v>
      </c>
      <c r="M716" s="1" t="s">
        <v>72</v>
      </c>
      <c r="N716" s="1" t="s">
        <v>134</v>
      </c>
      <c r="O716" s="1" t="s">
        <v>385</v>
      </c>
      <c r="P716" s="1" t="s">
        <v>386</v>
      </c>
      <c r="Q716" s="1" t="s">
        <v>387</v>
      </c>
      <c r="R716">
        <v>103</v>
      </c>
      <c r="S716" s="1" t="s">
        <v>135</v>
      </c>
      <c r="T716" s="1" t="s">
        <v>388</v>
      </c>
      <c r="U716" s="1" t="s">
        <v>135</v>
      </c>
      <c r="V716" s="1"/>
      <c r="W716" s="1"/>
      <c r="X716" s="1"/>
      <c r="Y716" s="1"/>
      <c r="AA716" s="1"/>
      <c r="AC716" s="1"/>
      <c r="AD716" s="1"/>
      <c r="AE716" s="1"/>
      <c r="AN716" s="1"/>
      <c r="AP716" s="1"/>
      <c r="AQ716" s="1"/>
      <c r="AR716" s="1"/>
      <c r="AS716" s="1"/>
      <c r="AT716" s="3"/>
      <c r="AU716" s="3"/>
      <c r="AV716" s="3"/>
      <c r="AW716" s="1"/>
      <c r="AX716" s="1"/>
      <c r="AZ716">
        <v>253</v>
      </c>
      <c r="BA716">
        <v>4654734.66</v>
      </c>
      <c r="BB716" s="1" t="s">
        <v>74</v>
      </c>
      <c r="BC716">
        <v>344</v>
      </c>
      <c r="BD716" s="1" t="s">
        <v>874</v>
      </c>
      <c r="BE716" s="1" t="s">
        <v>99</v>
      </c>
      <c r="BF716">
        <v>0</v>
      </c>
      <c r="BG716" s="1"/>
      <c r="BH716" s="1" t="s">
        <v>489</v>
      </c>
      <c r="BI716">
        <v>19372.68</v>
      </c>
      <c r="BJ716" s="1" t="s">
        <v>619</v>
      </c>
      <c r="BL716" s="1"/>
      <c r="BN716" s="1"/>
      <c r="BO716">
        <v>599</v>
      </c>
      <c r="BP716">
        <v>4654734.66</v>
      </c>
      <c r="BQ716">
        <v>4654734.66</v>
      </c>
    </row>
    <row r="717" spans="1:69" x14ac:dyDescent="0.35">
      <c r="A717" s="1" t="s">
        <v>68</v>
      </c>
      <c r="B717" s="1" t="s">
        <v>69</v>
      </c>
      <c r="C717" s="1" t="s">
        <v>70</v>
      </c>
      <c r="D717">
        <v>1</v>
      </c>
      <c r="E717">
        <v>1</v>
      </c>
      <c r="F717" s="2">
        <v>43585.43</v>
      </c>
      <c r="G717" s="3">
        <v>41275</v>
      </c>
      <c r="H717" s="3">
        <v>41639</v>
      </c>
      <c r="I717" s="1" t="s">
        <v>71</v>
      </c>
      <c r="J717">
        <v>4521</v>
      </c>
      <c r="K717">
        <v>0</v>
      </c>
      <c r="L717" s="1" t="s">
        <v>384</v>
      </c>
      <c r="M717" s="1" t="s">
        <v>72</v>
      </c>
      <c r="N717" s="1" t="s">
        <v>134</v>
      </c>
      <c r="O717" s="1" t="s">
        <v>385</v>
      </c>
      <c r="P717" s="1" t="s">
        <v>386</v>
      </c>
      <c r="Q717" s="1" t="s">
        <v>387</v>
      </c>
      <c r="R717">
        <v>103</v>
      </c>
      <c r="S717" s="1" t="s">
        <v>135</v>
      </c>
      <c r="T717" s="1" t="s">
        <v>388</v>
      </c>
      <c r="U717" s="1" t="s">
        <v>135</v>
      </c>
      <c r="V717" s="1"/>
      <c r="W717" s="1"/>
      <c r="X717" s="1"/>
      <c r="Y717" s="1"/>
      <c r="AA717" s="1"/>
      <c r="AC717" s="1"/>
      <c r="AD717" s="1"/>
      <c r="AE717" s="1"/>
      <c r="AN717" s="1"/>
      <c r="AP717" s="1"/>
      <c r="AQ717" s="1"/>
      <c r="AR717" s="1"/>
      <c r="AS717" s="1"/>
      <c r="AT717" s="3"/>
      <c r="AU717" s="3"/>
      <c r="AV717" s="3"/>
      <c r="AW717" s="1"/>
      <c r="AX717" s="1"/>
      <c r="AZ717">
        <v>253</v>
      </c>
      <c r="BA717">
        <v>4654734.66</v>
      </c>
      <c r="BB717" s="1" t="s">
        <v>74</v>
      </c>
      <c r="BC717">
        <v>345</v>
      </c>
      <c r="BD717" s="1" t="s">
        <v>874</v>
      </c>
      <c r="BE717" s="1" t="s">
        <v>99</v>
      </c>
      <c r="BF717">
        <v>0</v>
      </c>
      <c r="BG717" s="1"/>
      <c r="BH717" s="1" t="s">
        <v>451</v>
      </c>
      <c r="BI717">
        <v>4455.72</v>
      </c>
      <c r="BJ717" s="1" t="s">
        <v>619</v>
      </c>
      <c r="BL717" s="1"/>
      <c r="BN717" s="1"/>
      <c r="BO717">
        <v>599</v>
      </c>
      <c r="BP717">
        <v>4654734.66</v>
      </c>
      <c r="BQ717">
        <v>4654734.66</v>
      </c>
    </row>
    <row r="718" spans="1:69" x14ac:dyDescent="0.35">
      <c r="A718" s="1" t="s">
        <v>68</v>
      </c>
      <c r="B718" s="1" t="s">
        <v>69</v>
      </c>
      <c r="C718" s="1" t="s">
        <v>70</v>
      </c>
      <c r="D718">
        <v>1</v>
      </c>
      <c r="E718">
        <v>1</v>
      </c>
      <c r="F718" s="2">
        <v>43585.43</v>
      </c>
      <c r="G718" s="3">
        <v>41275</v>
      </c>
      <c r="H718" s="3">
        <v>41639</v>
      </c>
      <c r="I718" s="1" t="s">
        <v>71</v>
      </c>
      <c r="J718">
        <v>4521</v>
      </c>
      <c r="K718">
        <v>0</v>
      </c>
      <c r="L718" s="1" t="s">
        <v>384</v>
      </c>
      <c r="M718" s="1" t="s">
        <v>72</v>
      </c>
      <c r="N718" s="1" t="s">
        <v>134</v>
      </c>
      <c r="O718" s="1" t="s">
        <v>385</v>
      </c>
      <c r="P718" s="1" t="s">
        <v>386</v>
      </c>
      <c r="Q718" s="1" t="s">
        <v>387</v>
      </c>
      <c r="R718">
        <v>103</v>
      </c>
      <c r="S718" s="1" t="s">
        <v>135</v>
      </c>
      <c r="T718" s="1" t="s">
        <v>388</v>
      </c>
      <c r="U718" s="1" t="s">
        <v>135</v>
      </c>
      <c r="V718" s="1"/>
      <c r="W718" s="1"/>
      <c r="X718" s="1"/>
      <c r="Y718" s="1"/>
      <c r="AA718" s="1"/>
      <c r="AC718" s="1"/>
      <c r="AD718" s="1"/>
      <c r="AE718" s="1"/>
      <c r="AN718" s="1"/>
      <c r="AP718" s="1"/>
      <c r="AQ718" s="1"/>
      <c r="AR718" s="1"/>
      <c r="AS718" s="1"/>
      <c r="AT718" s="3"/>
      <c r="AU718" s="3"/>
      <c r="AV718" s="3"/>
      <c r="AW718" s="1"/>
      <c r="AX718" s="1"/>
      <c r="AZ718">
        <v>253</v>
      </c>
      <c r="BA718">
        <v>4654734.66</v>
      </c>
      <c r="BB718" s="1" t="s">
        <v>74</v>
      </c>
      <c r="BC718">
        <v>346</v>
      </c>
      <c r="BD718" s="1" t="s">
        <v>875</v>
      </c>
      <c r="BE718" s="1" t="s">
        <v>411</v>
      </c>
      <c r="BF718">
        <v>19870</v>
      </c>
      <c r="BG718" s="1" t="s">
        <v>1033</v>
      </c>
      <c r="BH718" s="1" t="s">
        <v>99</v>
      </c>
      <c r="BI718">
        <v>0</v>
      </c>
      <c r="BJ718" s="1"/>
      <c r="BL718" s="1"/>
      <c r="BN718" s="1"/>
      <c r="BO718">
        <v>599</v>
      </c>
      <c r="BP718">
        <v>4654734.66</v>
      </c>
      <c r="BQ718">
        <v>4654734.66</v>
      </c>
    </row>
    <row r="719" spans="1:69" x14ac:dyDescent="0.35">
      <c r="A719" s="1" t="s">
        <v>68</v>
      </c>
      <c r="B719" s="1" t="s">
        <v>69</v>
      </c>
      <c r="C719" s="1" t="s">
        <v>70</v>
      </c>
      <c r="D719">
        <v>1</v>
      </c>
      <c r="E719">
        <v>1</v>
      </c>
      <c r="F719" s="2">
        <v>43585.43</v>
      </c>
      <c r="G719" s="3">
        <v>41275</v>
      </c>
      <c r="H719" s="3">
        <v>41639</v>
      </c>
      <c r="I719" s="1" t="s">
        <v>71</v>
      </c>
      <c r="J719">
        <v>4521</v>
      </c>
      <c r="K719">
        <v>0</v>
      </c>
      <c r="L719" s="1" t="s">
        <v>384</v>
      </c>
      <c r="M719" s="1" t="s">
        <v>72</v>
      </c>
      <c r="N719" s="1" t="s">
        <v>134</v>
      </c>
      <c r="O719" s="1" t="s">
        <v>385</v>
      </c>
      <c r="P719" s="1" t="s">
        <v>386</v>
      </c>
      <c r="Q719" s="1" t="s">
        <v>387</v>
      </c>
      <c r="R719">
        <v>103</v>
      </c>
      <c r="S719" s="1" t="s">
        <v>135</v>
      </c>
      <c r="T719" s="1" t="s">
        <v>388</v>
      </c>
      <c r="U719" s="1" t="s">
        <v>135</v>
      </c>
      <c r="V719" s="1"/>
      <c r="W719" s="1"/>
      <c r="X719" s="1"/>
      <c r="Y719" s="1"/>
      <c r="AA719" s="1"/>
      <c r="AC719" s="1"/>
      <c r="AD719" s="1"/>
      <c r="AE719" s="1"/>
      <c r="AN719" s="1"/>
      <c r="AP719" s="1"/>
      <c r="AQ719" s="1"/>
      <c r="AR719" s="1"/>
      <c r="AS719" s="1"/>
      <c r="AT719" s="3"/>
      <c r="AU719" s="3"/>
      <c r="AV719" s="3"/>
      <c r="AW719" s="1"/>
      <c r="AX719" s="1"/>
      <c r="AZ719">
        <v>253</v>
      </c>
      <c r="BA719">
        <v>4654734.66</v>
      </c>
      <c r="BB719" s="1" t="s">
        <v>74</v>
      </c>
      <c r="BC719">
        <v>347</v>
      </c>
      <c r="BD719" s="1" t="s">
        <v>875</v>
      </c>
      <c r="BE719" s="1" t="s">
        <v>99</v>
      </c>
      <c r="BF719">
        <v>0</v>
      </c>
      <c r="BG719" s="1"/>
      <c r="BH719" s="1" t="s">
        <v>488</v>
      </c>
      <c r="BI719">
        <v>19870</v>
      </c>
      <c r="BJ719" s="1" t="s">
        <v>1033</v>
      </c>
      <c r="BL719" s="1"/>
      <c r="BN719" s="1"/>
      <c r="BO719">
        <v>599</v>
      </c>
      <c r="BP719">
        <v>4654734.66</v>
      </c>
      <c r="BQ719">
        <v>4654734.66</v>
      </c>
    </row>
    <row r="720" spans="1:69" x14ac:dyDescent="0.35">
      <c r="A720" s="1" t="s">
        <v>68</v>
      </c>
      <c r="B720" s="1" t="s">
        <v>69</v>
      </c>
      <c r="C720" s="1" t="s">
        <v>70</v>
      </c>
      <c r="D720">
        <v>1</v>
      </c>
      <c r="E720">
        <v>1</v>
      </c>
      <c r="F720" s="2">
        <v>43585.43</v>
      </c>
      <c r="G720" s="3">
        <v>41275</v>
      </c>
      <c r="H720" s="3">
        <v>41639</v>
      </c>
      <c r="I720" s="1" t="s">
        <v>71</v>
      </c>
      <c r="J720">
        <v>4521</v>
      </c>
      <c r="K720">
        <v>0</v>
      </c>
      <c r="L720" s="1" t="s">
        <v>384</v>
      </c>
      <c r="M720" s="1" t="s">
        <v>72</v>
      </c>
      <c r="N720" s="1" t="s">
        <v>134</v>
      </c>
      <c r="O720" s="1" t="s">
        <v>385</v>
      </c>
      <c r="P720" s="1" t="s">
        <v>386</v>
      </c>
      <c r="Q720" s="1" t="s">
        <v>387</v>
      </c>
      <c r="R720">
        <v>103</v>
      </c>
      <c r="S720" s="1" t="s">
        <v>135</v>
      </c>
      <c r="T720" s="1" t="s">
        <v>388</v>
      </c>
      <c r="U720" s="1" t="s">
        <v>135</v>
      </c>
      <c r="V720" s="1"/>
      <c r="W720" s="1"/>
      <c r="X720" s="1"/>
      <c r="Y720" s="1"/>
      <c r="AA720" s="1"/>
      <c r="AC720" s="1"/>
      <c r="AD720" s="1"/>
      <c r="AE720" s="1"/>
      <c r="AN720" s="1"/>
      <c r="AP720" s="1"/>
      <c r="AQ720" s="1"/>
      <c r="AR720" s="1"/>
      <c r="AS720" s="1"/>
      <c r="AT720" s="3"/>
      <c r="AU720" s="3"/>
      <c r="AV720" s="3"/>
      <c r="AW720" s="1"/>
      <c r="AX720" s="1"/>
      <c r="AZ720">
        <v>253</v>
      </c>
      <c r="BA720">
        <v>4654734.66</v>
      </c>
      <c r="BB720" s="1" t="s">
        <v>74</v>
      </c>
      <c r="BC720">
        <v>348</v>
      </c>
      <c r="BD720" s="1" t="s">
        <v>876</v>
      </c>
      <c r="BE720" s="1" t="s">
        <v>430</v>
      </c>
      <c r="BF720">
        <v>2000</v>
      </c>
      <c r="BG720" s="1" t="s">
        <v>1250</v>
      </c>
      <c r="BH720" s="1" t="s">
        <v>99</v>
      </c>
      <c r="BI720">
        <v>0</v>
      </c>
      <c r="BJ720" s="1"/>
      <c r="BL720" s="1"/>
      <c r="BN720" s="1"/>
      <c r="BO720">
        <v>599</v>
      </c>
      <c r="BP720">
        <v>4654734.66</v>
      </c>
      <c r="BQ720">
        <v>4654734.66</v>
      </c>
    </row>
    <row r="721" spans="1:69" x14ac:dyDescent="0.35">
      <c r="A721" s="1" t="s">
        <v>68</v>
      </c>
      <c r="B721" s="1" t="s">
        <v>69</v>
      </c>
      <c r="C721" s="1" t="s">
        <v>70</v>
      </c>
      <c r="D721">
        <v>1</v>
      </c>
      <c r="E721">
        <v>1</v>
      </c>
      <c r="F721" s="2">
        <v>43585.43</v>
      </c>
      <c r="G721" s="3">
        <v>41275</v>
      </c>
      <c r="H721" s="3">
        <v>41639</v>
      </c>
      <c r="I721" s="1" t="s">
        <v>71</v>
      </c>
      <c r="J721">
        <v>4521</v>
      </c>
      <c r="K721">
        <v>0</v>
      </c>
      <c r="L721" s="1" t="s">
        <v>384</v>
      </c>
      <c r="M721" s="1" t="s">
        <v>72</v>
      </c>
      <c r="N721" s="1" t="s">
        <v>134</v>
      </c>
      <c r="O721" s="1" t="s">
        <v>385</v>
      </c>
      <c r="P721" s="1" t="s">
        <v>386</v>
      </c>
      <c r="Q721" s="1" t="s">
        <v>387</v>
      </c>
      <c r="R721">
        <v>103</v>
      </c>
      <c r="S721" s="1" t="s">
        <v>135</v>
      </c>
      <c r="T721" s="1" t="s">
        <v>388</v>
      </c>
      <c r="U721" s="1" t="s">
        <v>135</v>
      </c>
      <c r="V721" s="1"/>
      <c r="W721" s="1"/>
      <c r="X721" s="1"/>
      <c r="Y721" s="1"/>
      <c r="AA721" s="1"/>
      <c r="AC721" s="1"/>
      <c r="AD721" s="1"/>
      <c r="AE721" s="1"/>
      <c r="AN721" s="1"/>
      <c r="AP721" s="1"/>
      <c r="AQ721" s="1"/>
      <c r="AR721" s="1"/>
      <c r="AS721" s="1"/>
      <c r="AT721" s="3"/>
      <c r="AU721" s="3"/>
      <c r="AV721" s="3"/>
      <c r="AW721" s="1"/>
      <c r="AX721" s="1"/>
      <c r="AZ721">
        <v>253</v>
      </c>
      <c r="BA721">
        <v>4654734.66</v>
      </c>
      <c r="BB721" s="1" t="s">
        <v>74</v>
      </c>
      <c r="BC721">
        <v>349</v>
      </c>
      <c r="BD721" s="1" t="s">
        <v>876</v>
      </c>
      <c r="BE721" s="1" t="s">
        <v>99</v>
      </c>
      <c r="BF721">
        <v>0</v>
      </c>
      <c r="BG721" s="1"/>
      <c r="BH721" s="1" t="s">
        <v>394</v>
      </c>
      <c r="BI721">
        <v>2000</v>
      </c>
      <c r="BJ721" s="1" t="s">
        <v>1250</v>
      </c>
      <c r="BL721" s="1"/>
      <c r="BN721" s="1"/>
      <c r="BO721">
        <v>599</v>
      </c>
      <c r="BP721">
        <v>4654734.66</v>
      </c>
      <c r="BQ721">
        <v>4654734.66</v>
      </c>
    </row>
    <row r="722" spans="1:69" x14ac:dyDescent="0.35">
      <c r="A722" s="1" t="s">
        <v>68</v>
      </c>
      <c r="B722" s="1" t="s">
        <v>69</v>
      </c>
      <c r="C722" s="1" t="s">
        <v>70</v>
      </c>
      <c r="D722">
        <v>1</v>
      </c>
      <c r="E722">
        <v>1</v>
      </c>
      <c r="F722" s="2">
        <v>43585.43</v>
      </c>
      <c r="G722" s="3">
        <v>41275</v>
      </c>
      <c r="H722" s="3">
        <v>41639</v>
      </c>
      <c r="I722" s="1" t="s">
        <v>71</v>
      </c>
      <c r="J722">
        <v>4521</v>
      </c>
      <c r="K722">
        <v>0</v>
      </c>
      <c r="L722" s="1" t="s">
        <v>384</v>
      </c>
      <c r="M722" s="1" t="s">
        <v>72</v>
      </c>
      <c r="N722" s="1" t="s">
        <v>134</v>
      </c>
      <c r="O722" s="1" t="s">
        <v>385</v>
      </c>
      <c r="P722" s="1" t="s">
        <v>386</v>
      </c>
      <c r="Q722" s="1" t="s">
        <v>387</v>
      </c>
      <c r="R722">
        <v>103</v>
      </c>
      <c r="S722" s="1" t="s">
        <v>135</v>
      </c>
      <c r="T722" s="1" t="s">
        <v>388</v>
      </c>
      <c r="U722" s="1" t="s">
        <v>135</v>
      </c>
      <c r="V722" s="1"/>
      <c r="W722" s="1"/>
      <c r="X722" s="1"/>
      <c r="Y722" s="1"/>
      <c r="AA722" s="1"/>
      <c r="AC722" s="1"/>
      <c r="AD722" s="1"/>
      <c r="AE722" s="1"/>
      <c r="AN722" s="1"/>
      <c r="AP722" s="1"/>
      <c r="AQ722" s="1"/>
      <c r="AR722" s="1"/>
      <c r="AS722" s="1"/>
      <c r="AT722" s="3"/>
      <c r="AU722" s="3"/>
      <c r="AV722" s="3"/>
      <c r="AW722" s="1"/>
      <c r="AX722" s="1"/>
      <c r="AZ722">
        <v>253</v>
      </c>
      <c r="BA722">
        <v>4654734.66</v>
      </c>
      <c r="BB722" s="1" t="s">
        <v>74</v>
      </c>
      <c r="BC722">
        <v>350</v>
      </c>
      <c r="BD722" s="1" t="s">
        <v>877</v>
      </c>
      <c r="BE722" s="1" t="s">
        <v>439</v>
      </c>
      <c r="BF722">
        <v>38990</v>
      </c>
      <c r="BG722" s="1" t="s">
        <v>1251</v>
      </c>
      <c r="BH722" s="1" t="s">
        <v>99</v>
      </c>
      <c r="BI722">
        <v>0</v>
      </c>
      <c r="BJ722" s="1"/>
      <c r="BL722" s="1"/>
      <c r="BN722" s="1"/>
      <c r="BO722">
        <v>599</v>
      </c>
      <c r="BP722">
        <v>4654734.66</v>
      </c>
      <c r="BQ722">
        <v>4654734.66</v>
      </c>
    </row>
    <row r="723" spans="1:69" x14ac:dyDescent="0.35">
      <c r="A723" s="1" t="s">
        <v>68</v>
      </c>
      <c r="B723" s="1" t="s">
        <v>69</v>
      </c>
      <c r="C723" s="1" t="s">
        <v>70</v>
      </c>
      <c r="D723">
        <v>1</v>
      </c>
      <c r="E723">
        <v>1</v>
      </c>
      <c r="F723" s="2">
        <v>43585.43</v>
      </c>
      <c r="G723" s="3">
        <v>41275</v>
      </c>
      <c r="H723" s="3">
        <v>41639</v>
      </c>
      <c r="I723" s="1" t="s">
        <v>71</v>
      </c>
      <c r="J723">
        <v>4521</v>
      </c>
      <c r="K723">
        <v>0</v>
      </c>
      <c r="L723" s="1" t="s">
        <v>384</v>
      </c>
      <c r="M723" s="1" t="s">
        <v>72</v>
      </c>
      <c r="N723" s="1" t="s">
        <v>134</v>
      </c>
      <c r="O723" s="1" t="s">
        <v>385</v>
      </c>
      <c r="P723" s="1" t="s">
        <v>386</v>
      </c>
      <c r="Q723" s="1" t="s">
        <v>387</v>
      </c>
      <c r="R723">
        <v>103</v>
      </c>
      <c r="S723" s="1" t="s">
        <v>135</v>
      </c>
      <c r="T723" s="1" t="s">
        <v>388</v>
      </c>
      <c r="U723" s="1" t="s">
        <v>135</v>
      </c>
      <c r="V723" s="1"/>
      <c r="W723" s="1"/>
      <c r="X723" s="1"/>
      <c r="Y723" s="1"/>
      <c r="AA723" s="1"/>
      <c r="AC723" s="1"/>
      <c r="AD723" s="1"/>
      <c r="AE723" s="1"/>
      <c r="AN723" s="1"/>
      <c r="AP723" s="1"/>
      <c r="AQ723" s="1"/>
      <c r="AR723" s="1"/>
      <c r="AS723" s="1"/>
      <c r="AT723" s="3"/>
      <c r="AU723" s="3"/>
      <c r="AV723" s="3"/>
      <c r="AW723" s="1"/>
      <c r="AX723" s="1"/>
      <c r="AZ723">
        <v>253</v>
      </c>
      <c r="BA723">
        <v>4654734.66</v>
      </c>
      <c r="BB723" s="1" t="s">
        <v>74</v>
      </c>
      <c r="BC723">
        <v>351</v>
      </c>
      <c r="BD723" s="1" t="s">
        <v>877</v>
      </c>
      <c r="BE723" s="1" t="s">
        <v>99</v>
      </c>
      <c r="BF723">
        <v>0</v>
      </c>
      <c r="BG723" s="1"/>
      <c r="BH723" s="1" t="s">
        <v>394</v>
      </c>
      <c r="BI723">
        <v>38990</v>
      </c>
      <c r="BJ723" s="1" t="s">
        <v>1251</v>
      </c>
      <c r="BL723" s="1"/>
      <c r="BN723" s="1"/>
      <c r="BO723">
        <v>599</v>
      </c>
      <c r="BP723">
        <v>4654734.66</v>
      </c>
      <c r="BQ723">
        <v>4654734.66</v>
      </c>
    </row>
    <row r="724" spans="1:69" x14ac:dyDescent="0.35">
      <c r="A724" s="1" t="s">
        <v>68</v>
      </c>
      <c r="B724" s="1" t="s">
        <v>69</v>
      </c>
      <c r="C724" s="1" t="s">
        <v>70</v>
      </c>
      <c r="D724">
        <v>1</v>
      </c>
      <c r="E724">
        <v>1</v>
      </c>
      <c r="F724" s="2">
        <v>43585.43</v>
      </c>
      <c r="G724" s="3">
        <v>41275</v>
      </c>
      <c r="H724" s="3">
        <v>41639</v>
      </c>
      <c r="I724" s="1" t="s">
        <v>71</v>
      </c>
      <c r="J724">
        <v>4521</v>
      </c>
      <c r="K724">
        <v>0</v>
      </c>
      <c r="L724" s="1" t="s">
        <v>384</v>
      </c>
      <c r="M724" s="1" t="s">
        <v>72</v>
      </c>
      <c r="N724" s="1" t="s">
        <v>134</v>
      </c>
      <c r="O724" s="1" t="s">
        <v>385</v>
      </c>
      <c r="P724" s="1" t="s">
        <v>386</v>
      </c>
      <c r="Q724" s="1" t="s">
        <v>387</v>
      </c>
      <c r="R724">
        <v>103</v>
      </c>
      <c r="S724" s="1" t="s">
        <v>135</v>
      </c>
      <c r="T724" s="1" t="s">
        <v>388</v>
      </c>
      <c r="U724" s="1" t="s">
        <v>135</v>
      </c>
      <c r="V724" s="1"/>
      <c r="W724" s="1"/>
      <c r="X724" s="1"/>
      <c r="Y724" s="1"/>
      <c r="AA724" s="1"/>
      <c r="AC724" s="1"/>
      <c r="AD724" s="1"/>
      <c r="AE724" s="1"/>
      <c r="AN724" s="1"/>
      <c r="AP724" s="1"/>
      <c r="AQ724" s="1"/>
      <c r="AR724" s="1"/>
      <c r="AS724" s="1"/>
      <c r="AT724" s="3"/>
      <c r="AU724" s="3"/>
      <c r="AV724" s="3"/>
      <c r="AW724" s="1"/>
      <c r="AX724" s="1"/>
      <c r="AZ724">
        <v>253</v>
      </c>
      <c r="BA724">
        <v>4654734.66</v>
      </c>
      <c r="BB724" s="1" t="s">
        <v>74</v>
      </c>
      <c r="BC724">
        <v>352</v>
      </c>
      <c r="BD724" s="1" t="s">
        <v>878</v>
      </c>
      <c r="BE724" s="1" t="s">
        <v>440</v>
      </c>
      <c r="BF724">
        <v>50000</v>
      </c>
      <c r="BG724" s="1" t="s">
        <v>1252</v>
      </c>
      <c r="BH724" s="1" t="s">
        <v>99</v>
      </c>
      <c r="BI724">
        <v>0</v>
      </c>
      <c r="BJ724" s="1"/>
      <c r="BL724" s="1"/>
      <c r="BN724" s="1"/>
      <c r="BO724">
        <v>599</v>
      </c>
      <c r="BP724">
        <v>4654734.66</v>
      </c>
      <c r="BQ724">
        <v>4654734.66</v>
      </c>
    </row>
    <row r="725" spans="1:69" x14ac:dyDescent="0.35">
      <c r="A725" s="1" t="s">
        <v>68</v>
      </c>
      <c r="B725" s="1" t="s">
        <v>69</v>
      </c>
      <c r="C725" s="1" t="s">
        <v>70</v>
      </c>
      <c r="D725">
        <v>1</v>
      </c>
      <c r="E725">
        <v>1</v>
      </c>
      <c r="F725" s="2">
        <v>43585.43</v>
      </c>
      <c r="G725" s="3">
        <v>41275</v>
      </c>
      <c r="H725" s="3">
        <v>41639</v>
      </c>
      <c r="I725" s="1" t="s">
        <v>71</v>
      </c>
      <c r="J725">
        <v>4521</v>
      </c>
      <c r="K725">
        <v>0</v>
      </c>
      <c r="L725" s="1" t="s">
        <v>384</v>
      </c>
      <c r="M725" s="1" t="s">
        <v>72</v>
      </c>
      <c r="N725" s="1" t="s">
        <v>134</v>
      </c>
      <c r="O725" s="1" t="s">
        <v>385</v>
      </c>
      <c r="P725" s="1" t="s">
        <v>386</v>
      </c>
      <c r="Q725" s="1" t="s">
        <v>387</v>
      </c>
      <c r="R725">
        <v>103</v>
      </c>
      <c r="S725" s="1" t="s">
        <v>135</v>
      </c>
      <c r="T725" s="1" t="s">
        <v>388</v>
      </c>
      <c r="U725" s="1" t="s">
        <v>135</v>
      </c>
      <c r="V725" s="1"/>
      <c r="W725" s="1"/>
      <c r="X725" s="1"/>
      <c r="Y725" s="1"/>
      <c r="AA725" s="1"/>
      <c r="AC725" s="1"/>
      <c r="AD725" s="1"/>
      <c r="AE725" s="1"/>
      <c r="AN725" s="1"/>
      <c r="AP725" s="1"/>
      <c r="AQ725" s="1"/>
      <c r="AR725" s="1"/>
      <c r="AS725" s="1"/>
      <c r="AT725" s="3"/>
      <c r="AU725" s="3"/>
      <c r="AV725" s="3"/>
      <c r="AW725" s="1"/>
      <c r="AX725" s="1"/>
      <c r="AZ725">
        <v>253</v>
      </c>
      <c r="BA725">
        <v>4654734.66</v>
      </c>
      <c r="BB725" s="1" t="s">
        <v>74</v>
      </c>
      <c r="BC725">
        <v>353</v>
      </c>
      <c r="BD725" s="1" t="s">
        <v>878</v>
      </c>
      <c r="BE725" s="1" t="s">
        <v>99</v>
      </c>
      <c r="BF725">
        <v>0</v>
      </c>
      <c r="BG725" s="1"/>
      <c r="BH725" s="1" t="s">
        <v>394</v>
      </c>
      <c r="BI725">
        <v>50000</v>
      </c>
      <c r="BJ725" s="1" t="s">
        <v>1252</v>
      </c>
      <c r="BL725" s="1"/>
      <c r="BN725" s="1"/>
      <c r="BO725">
        <v>599</v>
      </c>
      <c r="BP725">
        <v>4654734.66</v>
      </c>
      <c r="BQ725">
        <v>4654734.66</v>
      </c>
    </row>
    <row r="726" spans="1:69" x14ac:dyDescent="0.35">
      <c r="A726" s="1" t="s">
        <v>68</v>
      </c>
      <c r="B726" s="1" t="s">
        <v>69</v>
      </c>
      <c r="C726" s="1" t="s">
        <v>70</v>
      </c>
      <c r="D726">
        <v>1</v>
      </c>
      <c r="E726">
        <v>1</v>
      </c>
      <c r="F726" s="2">
        <v>43585.43</v>
      </c>
      <c r="G726" s="3">
        <v>41275</v>
      </c>
      <c r="H726" s="3">
        <v>41639</v>
      </c>
      <c r="I726" s="1" t="s">
        <v>71</v>
      </c>
      <c r="J726">
        <v>4521</v>
      </c>
      <c r="K726">
        <v>0</v>
      </c>
      <c r="L726" s="1" t="s">
        <v>384</v>
      </c>
      <c r="M726" s="1" t="s">
        <v>72</v>
      </c>
      <c r="N726" s="1" t="s">
        <v>134</v>
      </c>
      <c r="O726" s="1" t="s">
        <v>385</v>
      </c>
      <c r="P726" s="1" t="s">
        <v>386</v>
      </c>
      <c r="Q726" s="1" t="s">
        <v>387</v>
      </c>
      <c r="R726">
        <v>103</v>
      </c>
      <c r="S726" s="1" t="s">
        <v>135</v>
      </c>
      <c r="T726" s="1" t="s">
        <v>388</v>
      </c>
      <c r="U726" s="1" t="s">
        <v>135</v>
      </c>
      <c r="V726" s="1"/>
      <c r="W726" s="1"/>
      <c r="X726" s="1"/>
      <c r="Y726" s="1"/>
      <c r="AA726" s="1"/>
      <c r="AC726" s="1"/>
      <c r="AD726" s="1"/>
      <c r="AE726" s="1"/>
      <c r="AN726" s="1"/>
      <c r="AP726" s="1"/>
      <c r="AQ726" s="1"/>
      <c r="AR726" s="1"/>
      <c r="AS726" s="1"/>
      <c r="AT726" s="3"/>
      <c r="AU726" s="3"/>
      <c r="AV726" s="3"/>
      <c r="AW726" s="1"/>
      <c r="AX726" s="1"/>
      <c r="AZ726">
        <v>253</v>
      </c>
      <c r="BA726">
        <v>4654734.66</v>
      </c>
      <c r="BB726" s="1" t="s">
        <v>74</v>
      </c>
      <c r="BC726">
        <v>354</v>
      </c>
      <c r="BD726" s="1" t="s">
        <v>879</v>
      </c>
      <c r="BE726" s="1" t="s">
        <v>394</v>
      </c>
      <c r="BF726">
        <v>100000</v>
      </c>
      <c r="BG726" s="1" t="s">
        <v>1253</v>
      </c>
      <c r="BH726" s="1" t="s">
        <v>99</v>
      </c>
      <c r="BI726">
        <v>0</v>
      </c>
      <c r="BJ726" s="1"/>
      <c r="BL726" s="1"/>
      <c r="BN726" s="1"/>
      <c r="BO726">
        <v>599</v>
      </c>
      <c r="BP726">
        <v>4654734.66</v>
      </c>
      <c r="BQ726">
        <v>4654734.66</v>
      </c>
    </row>
    <row r="727" spans="1:69" x14ac:dyDescent="0.35">
      <c r="A727" s="1" t="s">
        <v>68</v>
      </c>
      <c r="B727" s="1" t="s">
        <v>69</v>
      </c>
      <c r="C727" s="1" t="s">
        <v>70</v>
      </c>
      <c r="D727">
        <v>1</v>
      </c>
      <c r="E727">
        <v>1</v>
      </c>
      <c r="F727" s="2">
        <v>43585.43</v>
      </c>
      <c r="G727" s="3">
        <v>41275</v>
      </c>
      <c r="H727" s="3">
        <v>41639</v>
      </c>
      <c r="I727" s="1" t="s">
        <v>71</v>
      </c>
      <c r="J727">
        <v>4521</v>
      </c>
      <c r="K727">
        <v>0</v>
      </c>
      <c r="L727" s="1" t="s">
        <v>384</v>
      </c>
      <c r="M727" s="1" t="s">
        <v>72</v>
      </c>
      <c r="N727" s="1" t="s">
        <v>134</v>
      </c>
      <c r="O727" s="1" t="s">
        <v>385</v>
      </c>
      <c r="P727" s="1" t="s">
        <v>386</v>
      </c>
      <c r="Q727" s="1" t="s">
        <v>387</v>
      </c>
      <c r="R727">
        <v>103</v>
      </c>
      <c r="S727" s="1" t="s">
        <v>135</v>
      </c>
      <c r="T727" s="1" t="s">
        <v>388</v>
      </c>
      <c r="U727" s="1" t="s">
        <v>135</v>
      </c>
      <c r="V727" s="1"/>
      <c r="W727" s="1"/>
      <c r="X727" s="1"/>
      <c r="Y727" s="1"/>
      <c r="AA727" s="1"/>
      <c r="AC727" s="1"/>
      <c r="AD727" s="1"/>
      <c r="AE727" s="1"/>
      <c r="AN727" s="1"/>
      <c r="AP727" s="1"/>
      <c r="AQ727" s="1"/>
      <c r="AR727" s="1"/>
      <c r="AS727" s="1"/>
      <c r="AT727" s="3"/>
      <c r="AU727" s="3"/>
      <c r="AV727" s="3"/>
      <c r="AW727" s="1"/>
      <c r="AX727" s="1"/>
      <c r="AZ727">
        <v>253</v>
      </c>
      <c r="BA727">
        <v>4654734.66</v>
      </c>
      <c r="BB727" s="1" t="s">
        <v>74</v>
      </c>
      <c r="BC727">
        <v>355</v>
      </c>
      <c r="BD727" s="1" t="s">
        <v>879</v>
      </c>
      <c r="BE727" s="1" t="s">
        <v>99</v>
      </c>
      <c r="BF727">
        <v>0</v>
      </c>
      <c r="BG727" s="1"/>
      <c r="BH727" s="1" t="s">
        <v>464</v>
      </c>
      <c r="BI727">
        <v>100000</v>
      </c>
      <c r="BJ727" s="1" t="s">
        <v>1253</v>
      </c>
      <c r="BL727" s="1"/>
      <c r="BN727" s="1"/>
      <c r="BO727">
        <v>599</v>
      </c>
      <c r="BP727">
        <v>4654734.66</v>
      </c>
      <c r="BQ727">
        <v>4654734.66</v>
      </c>
    </row>
    <row r="728" spans="1:69" x14ac:dyDescent="0.35">
      <c r="A728" s="1" t="s">
        <v>68</v>
      </c>
      <c r="B728" s="1" t="s">
        <v>69</v>
      </c>
      <c r="C728" s="1" t="s">
        <v>70</v>
      </c>
      <c r="D728">
        <v>1</v>
      </c>
      <c r="E728">
        <v>1</v>
      </c>
      <c r="F728" s="2">
        <v>43585.43</v>
      </c>
      <c r="G728" s="3">
        <v>41275</v>
      </c>
      <c r="H728" s="3">
        <v>41639</v>
      </c>
      <c r="I728" s="1" t="s">
        <v>71</v>
      </c>
      <c r="J728">
        <v>4521</v>
      </c>
      <c r="K728">
        <v>0</v>
      </c>
      <c r="L728" s="1" t="s">
        <v>384</v>
      </c>
      <c r="M728" s="1" t="s">
        <v>72</v>
      </c>
      <c r="N728" s="1" t="s">
        <v>134</v>
      </c>
      <c r="O728" s="1" t="s">
        <v>385</v>
      </c>
      <c r="P728" s="1" t="s">
        <v>386</v>
      </c>
      <c r="Q728" s="1" t="s">
        <v>387</v>
      </c>
      <c r="R728">
        <v>103</v>
      </c>
      <c r="S728" s="1" t="s">
        <v>135</v>
      </c>
      <c r="T728" s="1" t="s">
        <v>388</v>
      </c>
      <c r="U728" s="1" t="s">
        <v>135</v>
      </c>
      <c r="V728" s="1"/>
      <c r="W728" s="1"/>
      <c r="X728" s="1"/>
      <c r="Y728" s="1"/>
      <c r="AA728" s="1"/>
      <c r="AC728" s="1"/>
      <c r="AD728" s="1"/>
      <c r="AE728" s="1"/>
      <c r="AN728" s="1"/>
      <c r="AP728" s="1"/>
      <c r="AQ728" s="1"/>
      <c r="AR728" s="1"/>
      <c r="AS728" s="1"/>
      <c r="AT728" s="3"/>
      <c r="AU728" s="3"/>
      <c r="AV728" s="3"/>
      <c r="AW728" s="1"/>
      <c r="AX728" s="1"/>
      <c r="AZ728">
        <v>253</v>
      </c>
      <c r="BA728">
        <v>4654734.66</v>
      </c>
      <c r="BB728" s="1" t="s">
        <v>74</v>
      </c>
      <c r="BC728">
        <v>356</v>
      </c>
      <c r="BD728" s="1" t="s">
        <v>880</v>
      </c>
      <c r="BE728" s="1" t="s">
        <v>452</v>
      </c>
      <c r="BF728">
        <v>3450</v>
      </c>
      <c r="BG728" s="1" t="s">
        <v>1254</v>
      </c>
      <c r="BH728" s="1" t="s">
        <v>99</v>
      </c>
      <c r="BI728">
        <v>0</v>
      </c>
      <c r="BJ728" s="1"/>
      <c r="BL728" s="1"/>
      <c r="BN728" s="1"/>
      <c r="BO728">
        <v>599</v>
      </c>
      <c r="BP728">
        <v>4654734.66</v>
      </c>
      <c r="BQ728">
        <v>4654734.66</v>
      </c>
    </row>
    <row r="729" spans="1:69" x14ac:dyDescent="0.35">
      <c r="A729" s="1" t="s">
        <v>68</v>
      </c>
      <c r="B729" s="1" t="s">
        <v>69</v>
      </c>
      <c r="C729" s="1" t="s">
        <v>70</v>
      </c>
      <c r="D729">
        <v>1</v>
      </c>
      <c r="E729">
        <v>1</v>
      </c>
      <c r="F729" s="2">
        <v>43585.43</v>
      </c>
      <c r="G729" s="3">
        <v>41275</v>
      </c>
      <c r="H729" s="3">
        <v>41639</v>
      </c>
      <c r="I729" s="1" t="s">
        <v>71</v>
      </c>
      <c r="J729">
        <v>4521</v>
      </c>
      <c r="K729">
        <v>0</v>
      </c>
      <c r="L729" s="1" t="s">
        <v>384</v>
      </c>
      <c r="M729" s="1" t="s">
        <v>72</v>
      </c>
      <c r="N729" s="1" t="s">
        <v>134</v>
      </c>
      <c r="O729" s="1" t="s">
        <v>385</v>
      </c>
      <c r="P729" s="1" t="s">
        <v>386</v>
      </c>
      <c r="Q729" s="1" t="s">
        <v>387</v>
      </c>
      <c r="R729">
        <v>103</v>
      </c>
      <c r="S729" s="1" t="s">
        <v>135</v>
      </c>
      <c r="T729" s="1" t="s">
        <v>388</v>
      </c>
      <c r="U729" s="1" t="s">
        <v>135</v>
      </c>
      <c r="V729" s="1"/>
      <c r="W729" s="1"/>
      <c r="X729" s="1"/>
      <c r="Y729" s="1"/>
      <c r="AA729" s="1"/>
      <c r="AC729" s="1"/>
      <c r="AD729" s="1"/>
      <c r="AE729" s="1"/>
      <c r="AN729" s="1"/>
      <c r="AP729" s="1"/>
      <c r="AQ729" s="1"/>
      <c r="AR729" s="1"/>
      <c r="AS729" s="1"/>
      <c r="AT729" s="3"/>
      <c r="AU729" s="3"/>
      <c r="AV729" s="3"/>
      <c r="AW729" s="1"/>
      <c r="AX729" s="1"/>
      <c r="AZ729">
        <v>253</v>
      </c>
      <c r="BA729">
        <v>4654734.66</v>
      </c>
      <c r="BB729" s="1" t="s">
        <v>74</v>
      </c>
      <c r="BC729">
        <v>357</v>
      </c>
      <c r="BD729" s="1" t="s">
        <v>880</v>
      </c>
      <c r="BE729" s="1" t="s">
        <v>99</v>
      </c>
      <c r="BF729">
        <v>0</v>
      </c>
      <c r="BG729" s="1"/>
      <c r="BH729" s="1" t="s">
        <v>468</v>
      </c>
      <c r="BI729">
        <v>18450</v>
      </c>
      <c r="BJ729" s="1" t="s">
        <v>1254</v>
      </c>
      <c r="BL729" s="1"/>
      <c r="BN729" s="1"/>
      <c r="BO729">
        <v>599</v>
      </c>
      <c r="BP729">
        <v>4654734.66</v>
      </c>
      <c r="BQ729">
        <v>4654734.66</v>
      </c>
    </row>
    <row r="730" spans="1:69" x14ac:dyDescent="0.35">
      <c r="A730" s="1" t="s">
        <v>68</v>
      </c>
      <c r="B730" s="1" t="s">
        <v>69</v>
      </c>
      <c r="C730" s="1" t="s">
        <v>70</v>
      </c>
      <c r="D730">
        <v>1</v>
      </c>
      <c r="E730">
        <v>1</v>
      </c>
      <c r="F730" s="2">
        <v>43585.43</v>
      </c>
      <c r="G730" s="3">
        <v>41275</v>
      </c>
      <c r="H730" s="3">
        <v>41639</v>
      </c>
      <c r="I730" s="1" t="s">
        <v>71</v>
      </c>
      <c r="J730">
        <v>4521</v>
      </c>
      <c r="K730">
        <v>0</v>
      </c>
      <c r="L730" s="1" t="s">
        <v>384</v>
      </c>
      <c r="M730" s="1" t="s">
        <v>72</v>
      </c>
      <c r="N730" s="1" t="s">
        <v>134</v>
      </c>
      <c r="O730" s="1" t="s">
        <v>385</v>
      </c>
      <c r="P730" s="1" t="s">
        <v>386</v>
      </c>
      <c r="Q730" s="1" t="s">
        <v>387</v>
      </c>
      <c r="R730">
        <v>103</v>
      </c>
      <c r="S730" s="1" t="s">
        <v>135</v>
      </c>
      <c r="T730" s="1" t="s">
        <v>388</v>
      </c>
      <c r="U730" s="1" t="s">
        <v>135</v>
      </c>
      <c r="V730" s="1"/>
      <c r="W730" s="1"/>
      <c r="X730" s="1"/>
      <c r="Y730" s="1"/>
      <c r="AA730" s="1"/>
      <c r="AC730" s="1"/>
      <c r="AD730" s="1"/>
      <c r="AE730" s="1"/>
      <c r="AN730" s="1"/>
      <c r="AP730" s="1"/>
      <c r="AQ730" s="1"/>
      <c r="AR730" s="1"/>
      <c r="AS730" s="1"/>
      <c r="AT730" s="3"/>
      <c r="AU730" s="3"/>
      <c r="AV730" s="3"/>
      <c r="AW730" s="1"/>
      <c r="AX730" s="1"/>
      <c r="AZ730">
        <v>253</v>
      </c>
      <c r="BA730">
        <v>4654734.66</v>
      </c>
      <c r="BB730" s="1" t="s">
        <v>74</v>
      </c>
      <c r="BC730">
        <v>358</v>
      </c>
      <c r="BD730" s="1" t="s">
        <v>880</v>
      </c>
      <c r="BE730" s="1" t="s">
        <v>473</v>
      </c>
      <c r="BF730">
        <v>15000</v>
      </c>
      <c r="BG730" s="1" t="s">
        <v>1254</v>
      </c>
      <c r="BH730" s="1" t="s">
        <v>99</v>
      </c>
      <c r="BI730">
        <v>0</v>
      </c>
      <c r="BJ730" s="1"/>
      <c r="BL730" s="1"/>
      <c r="BN730" s="1"/>
      <c r="BO730">
        <v>599</v>
      </c>
      <c r="BP730">
        <v>4654734.66</v>
      </c>
      <c r="BQ730">
        <v>4654734.66</v>
      </c>
    </row>
    <row r="731" spans="1:69" x14ac:dyDescent="0.35">
      <c r="A731" s="1" t="s">
        <v>68</v>
      </c>
      <c r="B731" s="1" t="s">
        <v>69</v>
      </c>
      <c r="C731" s="1" t="s">
        <v>70</v>
      </c>
      <c r="D731">
        <v>1</v>
      </c>
      <c r="E731">
        <v>1</v>
      </c>
      <c r="F731" s="2">
        <v>43585.43</v>
      </c>
      <c r="G731" s="3">
        <v>41275</v>
      </c>
      <c r="H731" s="3">
        <v>41639</v>
      </c>
      <c r="I731" s="1" t="s">
        <v>71</v>
      </c>
      <c r="J731">
        <v>4521</v>
      </c>
      <c r="K731">
        <v>0</v>
      </c>
      <c r="L731" s="1" t="s">
        <v>384</v>
      </c>
      <c r="M731" s="1" t="s">
        <v>72</v>
      </c>
      <c r="N731" s="1" t="s">
        <v>134</v>
      </c>
      <c r="O731" s="1" t="s">
        <v>385</v>
      </c>
      <c r="P731" s="1" t="s">
        <v>386</v>
      </c>
      <c r="Q731" s="1" t="s">
        <v>387</v>
      </c>
      <c r="R731">
        <v>103</v>
      </c>
      <c r="S731" s="1" t="s">
        <v>135</v>
      </c>
      <c r="T731" s="1" t="s">
        <v>388</v>
      </c>
      <c r="U731" s="1" t="s">
        <v>135</v>
      </c>
      <c r="V731" s="1"/>
      <c r="W731" s="1"/>
      <c r="X731" s="1"/>
      <c r="Y731" s="1"/>
      <c r="AA731" s="1"/>
      <c r="AC731" s="1"/>
      <c r="AD731" s="1"/>
      <c r="AE731" s="1"/>
      <c r="AN731" s="1"/>
      <c r="AP731" s="1"/>
      <c r="AQ731" s="1"/>
      <c r="AR731" s="1"/>
      <c r="AS731" s="1"/>
      <c r="AT731" s="3"/>
      <c r="AU731" s="3"/>
      <c r="AV731" s="3"/>
      <c r="AW731" s="1"/>
      <c r="AX731" s="1"/>
      <c r="AZ731">
        <v>253</v>
      </c>
      <c r="BA731">
        <v>4654734.66</v>
      </c>
      <c r="BB731" s="1" t="s">
        <v>74</v>
      </c>
      <c r="BC731">
        <v>359</v>
      </c>
      <c r="BD731" s="1" t="s">
        <v>881</v>
      </c>
      <c r="BE731" s="1" t="s">
        <v>480</v>
      </c>
      <c r="BF731">
        <v>15000</v>
      </c>
      <c r="BG731" s="1" t="s">
        <v>1254</v>
      </c>
      <c r="BH731" s="1" t="s">
        <v>99</v>
      </c>
      <c r="BI731">
        <v>0</v>
      </c>
      <c r="BJ731" s="1"/>
      <c r="BL731" s="1"/>
      <c r="BN731" s="1"/>
      <c r="BO731">
        <v>599</v>
      </c>
      <c r="BP731">
        <v>4654734.66</v>
      </c>
      <c r="BQ731">
        <v>4654734.66</v>
      </c>
    </row>
    <row r="732" spans="1:69" x14ac:dyDescent="0.35">
      <c r="A732" s="1" t="s">
        <v>68</v>
      </c>
      <c r="B732" s="1" t="s">
        <v>69</v>
      </c>
      <c r="C732" s="1" t="s">
        <v>70</v>
      </c>
      <c r="D732">
        <v>1</v>
      </c>
      <c r="E732">
        <v>1</v>
      </c>
      <c r="F732" s="2">
        <v>43585.43</v>
      </c>
      <c r="G732" s="3">
        <v>41275</v>
      </c>
      <c r="H732" s="3">
        <v>41639</v>
      </c>
      <c r="I732" s="1" t="s">
        <v>71</v>
      </c>
      <c r="J732">
        <v>4521</v>
      </c>
      <c r="K732">
        <v>0</v>
      </c>
      <c r="L732" s="1" t="s">
        <v>384</v>
      </c>
      <c r="M732" s="1" t="s">
        <v>72</v>
      </c>
      <c r="N732" s="1" t="s">
        <v>134</v>
      </c>
      <c r="O732" s="1" t="s">
        <v>385</v>
      </c>
      <c r="P732" s="1" t="s">
        <v>386</v>
      </c>
      <c r="Q732" s="1" t="s">
        <v>387</v>
      </c>
      <c r="R732">
        <v>103</v>
      </c>
      <c r="S732" s="1" t="s">
        <v>135</v>
      </c>
      <c r="T732" s="1" t="s">
        <v>388</v>
      </c>
      <c r="U732" s="1" t="s">
        <v>135</v>
      </c>
      <c r="V732" s="1"/>
      <c r="W732" s="1"/>
      <c r="X732" s="1"/>
      <c r="Y732" s="1"/>
      <c r="AA732" s="1"/>
      <c r="AC732" s="1"/>
      <c r="AD732" s="1"/>
      <c r="AE732" s="1"/>
      <c r="AN732" s="1"/>
      <c r="AP732" s="1"/>
      <c r="AQ732" s="1"/>
      <c r="AR732" s="1"/>
      <c r="AS732" s="1"/>
      <c r="AT732" s="3"/>
      <c r="AU732" s="3"/>
      <c r="AV732" s="3"/>
      <c r="AW732" s="1"/>
      <c r="AX732" s="1"/>
      <c r="AZ732">
        <v>253</v>
      </c>
      <c r="BA732">
        <v>4654734.66</v>
      </c>
      <c r="BB732" s="1" t="s">
        <v>74</v>
      </c>
      <c r="BC732">
        <v>360</v>
      </c>
      <c r="BD732" s="1" t="s">
        <v>881</v>
      </c>
      <c r="BE732" s="1" t="s">
        <v>99</v>
      </c>
      <c r="BF732">
        <v>0</v>
      </c>
      <c r="BG732" s="1"/>
      <c r="BH732" s="1" t="s">
        <v>136</v>
      </c>
      <c r="BI732">
        <v>15000</v>
      </c>
      <c r="BJ732" s="1" t="s">
        <v>1254</v>
      </c>
      <c r="BL732" s="1"/>
      <c r="BN732" s="1"/>
      <c r="BO732">
        <v>599</v>
      </c>
      <c r="BP732">
        <v>4654734.66</v>
      </c>
      <c r="BQ732">
        <v>4654734.66</v>
      </c>
    </row>
    <row r="733" spans="1:69" x14ac:dyDescent="0.35">
      <c r="A733" s="1" t="s">
        <v>68</v>
      </c>
      <c r="B733" s="1" t="s">
        <v>69</v>
      </c>
      <c r="C733" s="1" t="s">
        <v>70</v>
      </c>
      <c r="D733">
        <v>1</v>
      </c>
      <c r="E733">
        <v>1</v>
      </c>
      <c r="F733" s="2">
        <v>43585.43</v>
      </c>
      <c r="G733" s="3">
        <v>41275</v>
      </c>
      <c r="H733" s="3">
        <v>41639</v>
      </c>
      <c r="I733" s="1" t="s">
        <v>71</v>
      </c>
      <c r="J733">
        <v>4521</v>
      </c>
      <c r="K733">
        <v>0</v>
      </c>
      <c r="L733" s="1" t="s">
        <v>384</v>
      </c>
      <c r="M733" s="1" t="s">
        <v>72</v>
      </c>
      <c r="N733" s="1" t="s">
        <v>134</v>
      </c>
      <c r="O733" s="1" t="s">
        <v>385</v>
      </c>
      <c r="P733" s="1" t="s">
        <v>386</v>
      </c>
      <c r="Q733" s="1" t="s">
        <v>387</v>
      </c>
      <c r="R733">
        <v>103</v>
      </c>
      <c r="S733" s="1" t="s">
        <v>135</v>
      </c>
      <c r="T733" s="1" t="s">
        <v>388</v>
      </c>
      <c r="U733" s="1" t="s">
        <v>135</v>
      </c>
      <c r="V733" s="1"/>
      <c r="W733" s="1"/>
      <c r="X733" s="1"/>
      <c r="Y733" s="1"/>
      <c r="AA733" s="1"/>
      <c r="AC733" s="1"/>
      <c r="AD733" s="1"/>
      <c r="AE733" s="1"/>
      <c r="AN733" s="1"/>
      <c r="AP733" s="1"/>
      <c r="AQ733" s="1"/>
      <c r="AR733" s="1"/>
      <c r="AS733" s="1"/>
      <c r="AT733" s="3"/>
      <c r="AU733" s="3"/>
      <c r="AV733" s="3"/>
      <c r="AW733" s="1"/>
      <c r="AX733" s="1"/>
      <c r="AZ733">
        <v>253</v>
      </c>
      <c r="BA733">
        <v>4654734.66</v>
      </c>
      <c r="BB733" s="1" t="s">
        <v>74</v>
      </c>
      <c r="BC733">
        <v>361</v>
      </c>
      <c r="BD733" s="1" t="s">
        <v>882</v>
      </c>
      <c r="BE733" s="1" t="s">
        <v>468</v>
      </c>
      <c r="BF733">
        <v>18450</v>
      </c>
      <c r="BG733" s="1" t="s">
        <v>1040</v>
      </c>
      <c r="BH733" s="1" t="s">
        <v>99</v>
      </c>
      <c r="BI733">
        <v>0</v>
      </c>
      <c r="BJ733" s="1"/>
      <c r="BL733" s="1"/>
      <c r="BN733" s="1"/>
      <c r="BO733">
        <v>599</v>
      </c>
      <c r="BP733">
        <v>4654734.66</v>
      </c>
      <c r="BQ733">
        <v>4654734.66</v>
      </c>
    </row>
    <row r="734" spans="1:69" x14ac:dyDescent="0.35">
      <c r="A734" s="1" t="s">
        <v>68</v>
      </c>
      <c r="B734" s="1" t="s">
        <v>69</v>
      </c>
      <c r="C734" s="1" t="s">
        <v>70</v>
      </c>
      <c r="D734">
        <v>1</v>
      </c>
      <c r="E734">
        <v>1</v>
      </c>
      <c r="F734" s="2">
        <v>43585.43</v>
      </c>
      <c r="G734" s="3">
        <v>41275</v>
      </c>
      <c r="H734" s="3">
        <v>41639</v>
      </c>
      <c r="I734" s="1" t="s">
        <v>71</v>
      </c>
      <c r="J734">
        <v>4521</v>
      </c>
      <c r="K734">
        <v>0</v>
      </c>
      <c r="L734" s="1" t="s">
        <v>384</v>
      </c>
      <c r="M734" s="1" t="s">
        <v>72</v>
      </c>
      <c r="N734" s="1" t="s">
        <v>134</v>
      </c>
      <c r="O734" s="1" t="s">
        <v>385</v>
      </c>
      <c r="P734" s="1" t="s">
        <v>386</v>
      </c>
      <c r="Q734" s="1" t="s">
        <v>387</v>
      </c>
      <c r="R734">
        <v>103</v>
      </c>
      <c r="S734" s="1" t="s">
        <v>135</v>
      </c>
      <c r="T734" s="1" t="s">
        <v>388</v>
      </c>
      <c r="U734" s="1" t="s">
        <v>135</v>
      </c>
      <c r="V734" s="1"/>
      <c r="W734" s="1"/>
      <c r="X734" s="1"/>
      <c r="Y734" s="1"/>
      <c r="AA734" s="1"/>
      <c r="AC734" s="1"/>
      <c r="AD734" s="1"/>
      <c r="AE734" s="1"/>
      <c r="AN734" s="1"/>
      <c r="AP734" s="1"/>
      <c r="AQ734" s="1"/>
      <c r="AR734" s="1"/>
      <c r="AS734" s="1"/>
      <c r="AT734" s="3"/>
      <c r="AU734" s="3"/>
      <c r="AV734" s="3"/>
      <c r="AW734" s="1"/>
      <c r="AX734" s="1"/>
      <c r="AZ734">
        <v>253</v>
      </c>
      <c r="BA734">
        <v>4654734.66</v>
      </c>
      <c r="BB734" s="1" t="s">
        <v>74</v>
      </c>
      <c r="BC734">
        <v>362</v>
      </c>
      <c r="BD734" s="1" t="s">
        <v>882</v>
      </c>
      <c r="BE734" s="1" t="s">
        <v>99</v>
      </c>
      <c r="BF734">
        <v>0</v>
      </c>
      <c r="BG734" s="1"/>
      <c r="BH734" s="1" t="s">
        <v>430</v>
      </c>
      <c r="BI734">
        <v>18450</v>
      </c>
      <c r="BJ734" s="1" t="s">
        <v>1040</v>
      </c>
      <c r="BL734" s="1"/>
      <c r="BN734" s="1"/>
      <c r="BO734">
        <v>599</v>
      </c>
      <c r="BP734">
        <v>4654734.66</v>
      </c>
      <c r="BQ734">
        <v>4654734.66</v>
      </c>
    </row>
    <row r="735" spans="1:69" x14ac:dyDescent="0.35">
      <c r="A735" s="1" t="s">
        <v>68</v>
      </c>
      <c r="B735" s="1" t="s">
        <v>69</v>
      </c>
      <c r="C735" s="1" t="s">
        <v>70</v>
      </c>
      <c r="D735">
        <v>1</v>
      </c>
      <c r="E735">
        <v>1</v>
      </c>
      <c r="F735" s="2">
        <v>43585.43</v>
      </c>
      <c r="G735" s="3">
        <v>41275</v>
      </c>
      <c r="H735" s="3">
        <v>41639</v>
      </c>
      <c r="I735" s="1" t="s">
        <v>71</v>
      </c>
      <c r="J735">
        <v>4521</v>
      </c>
      <c r="K735">
        <v>0</v>
      </c>
      <c r="L735" s="1" t="s">
        <v>384</v>
      </c>
      <c r="M735" s="1" t="s">
        <v>72</v>
      </c>
      <c r="N735" s="1" t="s">
        <v>134</v>
      </c>
      <c r="O735" s="1" t="s">
        <v>385</v>
      </c>
      <c r="P735" s="1" t="s">
        <v>386</v>
      </c>
      <c r="Q735" s="1" t="s">
        <v>387</v>
      </c>
      <c r="R735">
        <v>103</v>
      </c>
      <c r="S735" s="1" t="s">
        <v>135</v>
      </c>
      <c r="T735" s="1" t="s">
        <v>388</v>
      </c>
      <c r="U735" s="1" t="s">
        <v>135</v>
      </c>
      <c r="V735" s="1"/>
      <c r="W735" s="1"/>
      <c r="X735" s="1"/>
      <c r="Y735" s="1"/>
      <c r="AA735" s="1"/>
      <c r="AC735" s="1"/>
      <c r="AD735" s="1"/>
      <c r="AE735" s="1"/>
      <c r="AN735" s="1"/>
      <c r="AP735" s="1"/>
      <c r="AQ735" s="1"/>
      <c r="AR735" s="1"/>
      <c r="AS735" s="1"/>
      <c r="AT735" s="3"/>
      <c r="AU735" s="3"/>
      <c r="AV735" s="3"/>
      <c r="AW735" s="1"/>
      <c r="AX735" s="1"/>
      <c r="AZ735">
        <v>253</v>
      </c>
      <c r="BA735">
        <v>4654734.66</v>
      </c>
      <c r="BB735" s="1" t="s">
        <v>74</v>
      </c>
      <c r="BC735">
        <v>363</v>
      </c>
      <c r="BD735" s="1" t="s">
        <v>883</v>
      </c>
      <c r="BE735" s="1" t="s">
        <v>75</v>
      </c>
      <c r="BF735">
        <v>362</v>
      </c>
      <c r="BG735" s="1" t="s">
        <v>1025</v>
      </c>
      <c r="BH735" s="1" t="s">
        <v>99</v>
      </c>
      <c r="BI735">
        <v>0</v>
      </c>
      <c r="BJ735" s="1"/>
      <c r="BL735" s="1"/>
      <c r="BN735" s="1"/>
      <c r="BO735">
        <v>599</v>
      </c>
      <c r="BP735">
        <v>4654734.66</v>
      </c>
      <c r="BQ735">
        <v>4654734.66</v>
      </c>
    </row>
    <row r="736" spans="1:69" x14ac:dyDescent="0.35">
      <c r="A736" s="1" t="s">
        <v>68</v>
      </c>
      <c r="B736" s="1" t="s">
        <v>69</v>
      </c>
      <c r="C736" s="1" t="s">
        <v>70</v>
      </c>
      <c r="D736">
        <v>1</v>
      </c>
      <c r="E736">
        <v>1</v>
      </c>
      <c r="F736" s="2">
        <v>43585.43</v>
      </c>
      <c r="G736" s="3">
        <v>41275</v>
      </c>
      <c r="H736" s="3">
        <v>41639</v>
      </c>
      <c r="I736" s="1" t="s">
        <v>71</v>
      </c>
      <c r="J736">
        <v>4521</v>
      </c>
      <c r="K736">
        <v>0</v>
      </c>
      <c r="L736" s="1" t="s">
        <v>384</v>
      </c>
      <c r="M736" s="1" t="s">
        <v>72</v>
      </c>
      <c r="N736" s="1" t="s">
        <v>134</v>
      </c>
      <c r="O736" s="1" t="s">
        <v>385</v>
      </c>
      <c r="P736" s="1" t="s">
        <v>386</v>
      </c>
      <c r="Q736" s="1" t="s">
        <v>387</v>
      </c>
      <c r="R736">
        <v>103</v>
      </c>
      <c r="S736" s="1" t="s">
        <v>135</v>
      </c>
      <c r="T736" s="1" t="s">
        <v>388</v>
      </c>
      <c r="U736" s="1" t="s">
        <v>135</v>
      </c>
      <c r="V736" s="1"/>
      <c r="W736" s="1"/>
      <c r="X736" s="1"/>
      <c r="Y736" s="1"/>
      <c r="AA736" s="1"/>
      <c r="AC736" s="1"/>
      <c r="AD736" s="1"/>
      <c r="AE736" s="1"/>
      <c r="AN736" s="1"/>
      <c r="AP736" s="1"/>
      <c r="AQ736" s="1"/>
      <c r="AR736" s="1"/>
      <c r="AS736" s="1"/>
      <c r="AT736" s="3"/>
      <c r="AU736" s="3"/>
      <c r="AV736" s="3"/>
      <c r="AW736" s="1"/>
      <c r="AX736" s="1"/>
      <c r="AZ736">
        <v>253</v>
      </c>
      <c r="BA736">
        <v>4654734.66</v>
      </c>
      <c r="BB736" s="1" t="s">
        <v>74</v>
      </c>
      <c r="BC736">
        <v>364</v>
      </c>
      <c r="BD736" s="1" t="s">
        <v>883</v>
      </c>
      <c r="BE736" s="1" t="s">
        <v>99</v>
      </c>
      <c r="BF736">
        <v>0</v>
      </c>
      <c r="BG736" s="1"/>
      <c r="BH736" s="1" t="s">
        <v>396</v>
      </c>
      <c r="BI736">
        <v>362</v>
      </c>
      <c r="BJ736" s="1" t="s">
        <v>1025</v>
      </c>
      <c r="BL736" s="1"/>
      <c r="BN736" s="1"/>
      <c r="BO736">
        <v>599</v>
      </c>
      <c r="BP736">
        <v>4654734.66</v>
      </c>
      <c r="BQ736">
        <v>4654734.66</v>
      </c>
    </row>
    <row r="737" spans="1:69" x14ac:dyDescent="0.35">
      <c r="A737" s="1" t="s">
        <v>68</v>
      </c>
      <c r="B737" s="1" t="s">
        <v>69</v>
      </c>
      <c r="C737" s="1" t="s">
        <v>70</v>
      </c>
      <c r="D737">
        <v>1</v>
      </c>
      <c r="E737">
        <v>1</v>
      </c>
      <c r="F737" s="2">
        <v>43585.43</v>
      </c>
      <c r="G737" s="3">
        <v>41275</v>
      </c>
      <c r="H737" s="3">
        <v>41639</v>
      </c>
      <c r="I737" s="1" t="s">
        <v>71</v>
      </c>
      <c r="J737">
        <v>4521</v>
      </c>
      <c r="K737">
        <v>0</v>
      </c>
      <c r="L737" s="1" t="s">
        <v>384</v>
      </c>
      <c r="M737" s="1" t="s">
        <v>72</v>
      </c>
      <c r="N737" s="1" t="s">
        <v>134</v>
      </c>
      <c r="O737" s="1" t="s">
        <v>385</v>
      </c>
      <c r="P737" s="1" t="s">
        <v>386</v>
      </c>
      <c r="Q737" s="1" t="s">
        <v>387</v>
      </c>
      <c r="R737">
        <v>103</v>
      </c>
      <c r="S737" s="1" t="s">
        <v>135</v>
      </c>
      <c r="T737" s="1" t="s">
        <v>388</v>
      </c>
      <c r="U737" s="1" t="s">
        <v>135</v>
      </c>
      <c r="V737" s="1"/>
      <c r="W737" s="1"/>
      <c r="X737" s="1"/>
      <c r="Y737" s="1"/>
      <c r="AA737" s="1"/>
      <c r="AC737" s="1"/>
      <c r="AD737" s="1"/>
      <c r="AE737" s="1"/>
      <c r="AN737" s="1"/>
      <c r="AP737" s="1"/>
      <c r="AQ737" s="1"/>
      <c r="AR737" s="1"/>
      <c r="AS737" s="1"/>
      <c r="AT737" s="3"/>
      <c r="AU737" s="3"/>
      <c r="AV737" s="3"/>
      <c r="AW737" s="1"/>
      <c r="AX737" s="1"/>
      <c r="AZ737">
        <v>253</v>
      </c>
      <c r="BA737">
        <v>4654734.66</v>
      </c>
      <c r="BB737" s="1" t="s">
        <v>74</v>
      </c>
      <c r="BC737">
        <v>365</v>
      </c>
      <c r="BD737" s="1" t="s">
        <v>884</v>
      </c>
      <c r="BE737" s="1" t="s">
        <v>75</v>
      </c>
      <c r="BF737">
        <v>32</v>
      </c>
      <c r="BG737" s="1" t="s">
        <v>1046</v>
      </c>
      <c r="BH737" s="1" t="s">
        <v>99</v>
      </c>
      <c r="BI737">
        <v>0</v>
      </c>
      <c r="BJ737" s="1"/>
      <c r="BL737" s="1"/>
      <c r="BN737" s="1"/>
      <c r="BO737">
        <v>599</v>
      </c>
      <c r="BP737">
        <v>4654734.66</v>
      </c>
      <c r="BQ737">
        <v>4654734.66</v>
      </c>
    </row>
    <row r="738" spans="1:69" x14ac:dyDescent="0.35">
      <c r="A738" s="1" t="s">
        <v>68</v>
      </c>
      <c r="B738" s="1" t="s">
        <v>69</v>
      </c>
      <c r="C738" s="1" t="s">
        <v>70</v>
      </c>
      <c r="D738">
        <v>1</v>
      </c>
      <c r="E738">
        <v>1</v>
      </c>
      <c r="F738" s="2">
        <v>43585.43</v>
      </c>
      <c r="G738" s="3">
        <v>41275</v>
      </c>
      <c r="H738" s="3">
        <v>41639</v>
      </c>
      <c r="I738" s="1" t="s">
        <v>71</v>
      </c>
      <c r="J738">
        <v>4521</v>
      </c>
      <c r="K738">
        <v>0</v>
      </c>
      <c r="L738" s="1" t="s">
        <v>384</v>
      </c>
      <c r="M738" s="1" t="s">
        <v>72</v>
      </c>
      <c r="N738" s="1" t="s">
        <v>134</v>
      </c>
      <c r="O738" s="1" t="s">
        <v>385</v>
      </c>
      <c r="P738" s="1" t="s">
        <v>386</v>
      </c>
      <c r="Q738" s="1" t="s">
        <v>387</v>
      </c>
      <c r="R738">
        <v>103</v>
      </c>
      <c r="S738" s="1" t="s">
        <v>135</v>
      </c>
      <c r="T738" s="1" t="s">
        <v>388</v>
      </c>
      <c r="U738" s="1" t="s">
        <v>135</v>
      </c>
      <c r="V738" s="1"/>
      <c r="W738" s="1"/>
      <c r="X738" s="1"/>
      <c r="Y738" s="1"/>
      <c r="AA738" s="1"/>
      <c r="AC738" s="1"/>
      <c r="AD738" s="1"/>
      <c r="AE738" s="1"/>
      <c r="AN738" s="1"/>
      <c r="AP738" s="1"/>
      <c r="AQ738" s="1"/>
      <c r="AR738" s="1"/>
      <c r="AS738" s="1"/>
      <c r="AT738" s="3"/>
      <c r="AU738" s="3"/>
      <c r="AV738" s="3"/>
      <c r="AW738" s="1"/>
      <c r="AX738" s="1"/>
      <c r="AZ738">
        <v>253</v>
      </c>
      <c r="BA738">
        <v>4654734.66</v>
      </c>
      <c r="BB738" s="1" t="s">
        <v>74</v>
      </c>
      <c r="BC738">
        <v>366</v>
      </c>
      <c r="BD738" s="1" t="s">
        <v>884</v>
      </c>
      <c r="BE738" s="1" t="s">
        <v>99</v>
      </c>
      <c r="BF738">
        <v>0</v>
      </c>
      <c r="BG738" s="1"/>
      <c r="BH738" s="1" t="s">
        <v>396</v>
      </c>
      <c r="BI738">
        <v>32</v>
      </c>
      <c r="BJ738" s="1" t="s">
        <v>1046</v>
      </c>
      <c r="BL738" s="1"/>
      <c r="BN738" s="1"/>
      <c r="BO738">
        <v>599</v>
      </c>
      <c r="BP738">
        <v>4654734.66</v>
      </c>
      <c r="BQ738">
        <v>4654734.66</v>
      </c>
    </row>
    <row r="739" spans="1:69" x14ac:dyDescent="0.35">
      <c r="A739" s="1" t="s">
        <v>68</v>
      </c>
      <c r="B739" s="1" t="s">
        <v>69</v>
      </c>
      <c r="C739" s="1" t="s">
        <v>70</v>
      </c>
      <c r="D739">
        <v>1</v>
      </c>
      <c r="E739">
        <v>1</v>
      </c>
      <c r="F739" s="2">
        <v>43585.43</v>
      </c>
      <c r="G739" s="3">
        <v>41275</v>
      </c>
      <c r="H739" s="3">
        <v>41639</v>
      </c>
      <c r="I739" s="1" t="s">
        <v>71</v>
      </c>
      <c r="J739">
        <v>4521</v>
      </c>
      <c r="K739">
        <v>0</v>
      </c>
      <c r="L739" s="1" t="s">
        <v>384</v>
      </c>
      <c r="M739" s="1" t="s">
        <v>72</v>
      </c>
      <c r="N739" s="1" t="s">
        <v>134</v>
      </c>
      <c r="O739" s="1" t="s">
        <v>385</v>
      </c>
      <c r="P739" s="1" t="s">
        <v>386</v>
      </c>
      <c r="Q739" s="1" t="s">
        <v>387</v>
      </c>
      <c r="R739">
        <v>103</v>
      </c>
      <c r="S739" s="1" t="s">
        <v>135</v>
      </c>
      <c r="T739" s="1" t="s">
        <v>388</v>
      </c>
      <c r="U739" s="1" t="s">
        <v>135</v>
      </c>
      <c r="V739" s="1"/>
      <c r="W739" s="1"/>
      <c r="X739" s="1"/>
      <c r="Y739" s="1"/>
      <c r="AA739" s="1"/>
      <c r="AC739" s="1"/>
      <c r="AD739" s="1"/>
      <c r="AE739" s="1"/>
      <c r="AN739" s="1"/>
      <c r="AP739" s="1"/>
      <c r="AQ739" s="1"/>
      <c r="AR739" s="1"/>
      <c r="AS739" s="1"/>
      <c r="AT739" s="3"/>
      <c r="AU739" s="3"/>
      <c r="AV739" s="3"/>
      <c r="AW739" s="1"/>
      <c r="AX739" s="1"/>
      <c r="AZ739">
        <v>253</v>
      </c>
      <c r="BA739">
        <v>4654734.66</v>
      </c>
      <c r="BB739" s="1" t="s">
        <v>74</v>
      </c>
      <c r="BC739">
        <v>367</v>
      </c>
      <c r="BD739" s="1" t="s">
        <v>885</v>
      </c>
      <c r="BE739" s="1" t="s">
        <v>477</v>
      </c>
      <c r="BF739">
        <v>3591</v>
      </c>
      <c r="BG739" s="1" t="s">
        <v>987</v>
      </c>
      <c r="BH739" s="1" t="s">
        <v>99</v>
      </c>
      <c r="BI739">
        <v>0</v>
      </c>
      <c r="BJ739" s="1"/>
      <c r="BL739" s="1"/>
      <c r="BN739" s="1"/>
      <c r="BO739">
        <v>599</v>
      </c>
      <c r="BP739">
        <v>4654734.66</v>
      </c>
      <c r="BQ739">
        <v>4654734.66</v>
      </c>
    </row>
    <row r="740" spans="1:69" x14ac:dyDescent="0.35">
      <c r="A740" s="1" t="s">
        <v>68</v>
      </c>
      <c r="B740" s="1" t="s">
        <v>69</v>
      </c>
      <c r="C740" s="1" t="s">
        <v>70</v>
      </c>
      <c r="D740">
        <v>1</v>
      </c>
      <c r="E740">
        <v>1</v>
      </c>
      <c r="F740" s="2">
        <v>43585.43</v>
      </c>
      <c r="G740" s="3">
        <v>41275</v>
      </c>
      <c r="H740" s="3">
        <v>41639</v>
      </c>
      <c r="I740" s="1" t="s">
        <v>71</v>
      </c>
      <c r="J740">
        <v>4521</v>
      </c>
      <c r="K740">
        <v>0</v>
      </c>
      <c r="L740" s="1" t="s">
        <v>384</v>
      </c>
      <c r="M740" s="1" t="s">
        <v>72</v>
      </c>
      <c r="N740" s="1" t="s">
        <v>134</v>
      </c>
      <c r="O740" s="1" t="s">
        <v>385</v>
      </c>
      <c r="P740" s="1" t="s">
        <v>386</v>
      </c>
      <c r="Q740" s="1" t="s">
        <v>387</v>
      </c>
      <c r="R740">
        <v>103</v>
      </c>
      <c r="S740" s="1" t="s">
        <v>135</v>
      </c>
      <c r="T740" s="1" t="s">
        <v>388</v>
      </c>
      <c r="U740" s="1" t="s">
        <v>135</v>
      </c>
      <c r="V740" s="1"/>
      <c r="W740" s="1"/>
      <c r="X740" s="1"/>
      <c r="Y740" s="1"/>
      <c r="AA740" s="1"/>
      <c r="AC740" s="1"/>
      <c r="AD740" s="1"/>
      <c r="AE740" s="1"/>
      <c r="AN740" s="1"/>
      <c r="AP740" s="1"/>
      <c r="AQ740" s="1"/>
      <c r="AR740" s="1"/>
      <c r="AS740" s="1"/>
      <c r="AT740" s="3"/>
      <c r="AU740" s="3"/>
      <c r="AV740" s="3"/>
      <c r="AW740" s="1"/>
      <c r="AX740" s="1"/>
      <c r="AZ740">
        <v>253</v>
      </c>
      <c r="BA740">
        <v>4654734.66</v>
      </c>
      <c r="BB740" s="1" t="s">
        <v>74</v>
      </c>
      <c r="BC740">
        <v>368</v>
      </c>
      <c r="BD740" s="1" t="s">
        <v>885</v>
      </c>
      <c r="BE740" s="1" t="s">
        <v>99</v>
      </c>
      <c r="BF740">
        <v>0</v>
      </c>
      <c r="BG740" s="1"/>
      <c r="BH740" s="1" t="s">
        <v>75</v>
      </c>
      <c r="BI740">
        <v>3770.55</v>
      </c>
      <c r="BJ740" s="1" t="s">
        <v>987</v>
      </c>
      <c r="BL740" s="1"/>
      <c r="BN740" s="1"/>
      <c r="BO740">
        <v>599</v>
      </c>
      <c r="BP740">
        <v>4654734.66</v>
      </c>
      <c r="BQ740">
        <v>4654734.66</v>
      </c>
    </row>
    <row r="741" spans="1:69" x14ac:dyDescent="0.35">
      <c r="A741" s="1" t="s">
        <v>68</v>
      </c>
      <c r="B741" s="1" t="s">
        <v>69</v>
      </c>
      <c r="C741" s="1" t="s">
        <v>70</v>
      </c>
      <c r="D741">
        <v>1</v>
      </c>
      <c r="E741">
        <v>1</v>
      </c>
      <c r="F741" s="2">
        <v>43585.43</v>
      </c>
      <c r="G741" s="3">
        <v>41275</v>
      </c>
      <c r="H741" s="3">
        <v>41639</v>
      </c>
      <c r="I741" s="1" t="s">
        <v>71</v>
      </c>
      <c r="J741">
        <v>4521</v>
      </c>
      <c r="K741">
        <v>0</v>
      </c>
      <c r="L741" s="1" t="s">
        <v>384</v>
      </c>
      <c r="M741" s="1" t="s">
        <v>72</v>
      </c>
      <c r="N741" s="1" t="s">
        <v>134</v>
      </c>
      <c r="O741" s="1" t="s">
        <v>385</v>
      </c>
      <c r="P741" s="1" t="s">
        <v>386</v>
      </c>
      <c r="Q741" s="1" t="s">
        <v>387</v>
      </c>
      <c r="R741">
        <v>103</v>
      </c>
      <c r="S741" s="1" t="s">
        <v>135</v>
      </c>
      <c r="T741" s="1" t="s">
        <v>388</v>
      </c>
      <c r="U741" s="1" t="s">
        <v>135</v>
      </c>
      <c r="V741" s="1"/>
      <c r="W741" s="1"/>
      <c r="X741" s="1"/>
      <c r="Y741" s="1"/>
      <c r="AA741" s="1"/>
      <c r="AC741" s="1"/>
      <c r="AD741" s="1"/>
      <c r="AE741" s="1"/>
      <c r="AN741" s="1"/>
      <c r="AP741" s="1"/>
      <c r="AQ741" s="1"/>
      <c r="AR741" s="1"/>
      <c r="AS741" s="1"/>
      <c r="AT741" s="3"/>
      <c r="AU741" s="3"/>
      <c r="AV741" s="3"/>
      <c r="AW741" s="1"/>
      <c r="AX741" s="1"/>
      <c r="AZ741">
        <v>253</v>
      </c>
      <c r="BA741">
        <v>4654734.66</v>
      </c>
      <c r="BB741" s="1" t="s">
        <v>74</v>
      </c>
      <c r="BC741">
        <v>369</v>
      </c>
      <c r="BD741" s="1" t="s">
        <v>885</v>
      </c>
      <c r="BE741" s="1" t="s">
        <v>452</v>
      </c>
      <c r="BF741">
        <v>179.55</v>
      </c>
      <c r="BG741" s="1" t="s">
        <v>987</v>
      </c>
      <c r="BH741" s="1" t="s">
        <v>99</v>
      </c>
      <c r="BI741">
        <v>0</v>
      </c>
      <c r="BJ741" s="1"/>
      <c r="BL741" s="1"/>
      <c r="BN741" s="1"/>
      <c r="BO741">
        <v>599</v>
      </c>
      <c r="BP741">
        <v>4654734.66</v>
      </c>
      <c r="BQ741">
        <v>4654734.66</v>
      </c>
    </row>
    <row r="742" spans="1:69" x14ac:dyDescent="0.35">
      <c r="A742" s="1" t="s">
        <v>68</v>
      </c>
      <c r="B742" s="1" t="s">
        <v>69</v>
      </c>
      <c r="C742" s="1" t="s">
        <v>70</v>
      </c>
      <c r="D742">
        <v>1</v>
      </c>
      <c r="E742">
        <v>1</v>
      </c>
      <c r="F742" s="2">
        <v>43585.43</v>
      </c>
      <c r="G742" s="3">
        <v>41275</v>
      </c>
      <c r="H742" s="3">
        <v>41639</v>
      </c>
      <c r="I742" s="1" t="s">
        <v>71</v>
      </c>
      <c r="J742">
        <v>4521</v>
      </c>
      <c r="K742">
        <v>0</v>
      </c>
      <c r="L742" s="1" t="s">
        <v>384</v>
      </c>
      <c r="M742" s="1" t="s">
        <v>72</v>
      </c>
      <c r="N742" s="1" t="s">
        <v>134</v>
      </c>
      <c r="O742" s="1" t="s">
        <v>385</v>
      </c>
      <c r="P742" s="1" t="s">
        <v>386</v>
      </c>
      <c r="Q742" s="1" t="s">
        <v>387</v>
      </c>
      <c r="R742">
        <v>103</v>
      </c>
      <c r="S742" s="1" t="s">
        <v>135</v>
      </c>
      <c r="T742" s="1" t="s">
        <v>388</v>
      </c>
      <c r="U742" s="1" t="s">
        <v>135</v>
      </c>
      <c r="V742" s="1"/>
      <c r="W742" s="1"/>
      <c r="X742" s="1"/>
      <c r="Y742" s="1"/>
      <c r="AA742" s="1"/>
      <c r="AC742" s="1"/>
      <c r="AD742" s="1"/>
      <c r="AE742" s="1"/>
      <c r="AN742" s="1"/>
      <c r="AP742" s="1"/>
      <c r="AQ742" s="1"/>
      <c r="AR742" s="1"/>
      <c r="AS742" s="1"/>
      <c r="AT742" s="3"/>
      <c r="AU742" s="3"/>
      <c r="AV742" s="3"/>
      <c r="AW742" s="1"/>
      <c r="AX742" s="1"/>
      <c r="AZ742">
        <v>253</v>
      </c>
      <c r="BA742">
        <v>4654734.66</v>
      </c>
      <c r="BB742" s="1" t="s">
        <v>74</v>
      </c>
      <c r="BC742">
        <v>370</v>
      </c>
      <c r="BD742" s="1" t="s">
        <v>886</v>
      </c>
      <c r="BE742" s="1" t="s">
        <v>483</v>
      </c>
      <c r="BF742">
        <v>3591</v>
      </c>
      <c r="BG742" s="1" t="s">
        <v>987</v>
      </c>
      <c r="BH742" s="1" t="s">
        <v>99</v>
      </c>
      <c r="BI742">
        <v>0</v>
      </c>
      <c r="BJ742" s="1"/>
      <c r="BL742" s="1"/>
      <c r="BN742" s="1"/>
      <c r="BO742">
        <v>599</v>
      </c>
      <c r="BP742">
        <v>4654734.66</v>
      </c>
      <c r="BQ742">
        <v>4654734.66</v>
      </c>
    </row>
    <row r="743" spans="1:69" x14ac:dyDescent="0.35">
      <c r="A743" s="1" t="s">
        <v>68</v>
      </c>
      <c r="B743" s="1" t="s">
        <v>69</v>
      </c>
      <c r="C743" s="1" t="s">
        <v>70</v>
      </c>
      <c r="D743">
        <v>1</v>
      </c>
      <c r="E743">
        <v>1</v>
      </c>
      <c r="F743" s="2">
        <v>43585.43</v>
      </c>
      <c r="G743" s="3">
        <v>41275</v>
      </c>
      <c r="H743" s="3">
        <v>41639</v>
      </c>
      <c r="I743" s="1" t="s">
        <v>71</v>
      </c>
      <c r="J743">
        <v>4521</v>
      </c>
      <c r="K743">
        <v>0</v>
      </c>
      <c r="L743" s="1" t="s">
        <v>384</v>
      </c>
      <c r="M743" s="1" t="s">
        <v>72</v>
      </c>
      <c r="N743" s="1" t="s">
        <v>134</v>
      </c>
      <c r="O743" s="1" t="s">
        <v>385</v>
      </c>
      <c r="P743" s="1" t="s">
        <v>386</v>
      </c>
      <c r="Q743" s="1" t="s">
        <v>387</v>
      </c>
      <c r="R743">
        <v>103</v>
      </c>
      <c r="S743" s="1" t="s">
        <v>135</v>
      </c>
      <c r="T743" s="1" t="s">
        <v>388</v>
      </c>
      <c r="U743" s="1" t="s">
        <v>135</v>
      </c>
      <c r="V743" s="1"/>
      <c r="W743" s="1"/>
      <c r="X743" s="1"/>
      <c r="Y743" s="1"/>
      <c r="AA743" s="1"/>
      <c r="AC743" s="1"/>
      <c r="AD743" s="1"/>
      <c r="AE743" s="1"/>
      <c r="AN743" s="1"/>
      <c r="AP743" s="1"/>
      <c r="AQ743" s="1"/>
      <c r="AR743" s="1"/>
      <c r="AS743" s="1"/>
      <c r="AT743" s="3"/>
      <c r="AU743" s="3"/>
      <c r="AV743" s="3"/>
      <c r="AW743" s="1"/>
      <c r="AX743" s="1"/>
      <c r="AZ743">
        <v>253</v>
      </c>
      <c r="BA743">
        <v>4654734.66</v>
      </c>
      <c r="BB743" s="1" t="s">
        <v>74</v>
      </c>
      <c r="BC743">
        <v>371</v>
      </c>
      <c r="BD743" s="1" t="s">
        <v>886</v>
      </c>
      <c r="BE743" s="1" t="s">
        <v>99</v>
      </c>
      <c r="BF743">
        <v>0</v>
      </c>
      <c r="BG743" s="1"/>
      <c r="BH743" s="1" t="s">
        <v>136</v>
      </c>
      <c r="BI743">
        <v>3591</v>
      </c>
      <c r="BJ743" s="1" t="s">
        <v>987</v>
      </c>
      <c r="BL743" s="1"/>
      <c r="BN743" s="1"/>
      <c r="BO743">
        <v>599</v>
      </c>
      <c r="BP743">
        <v>4654734.66</v>
      </c>
      <c r="BQ743">
        <v>4654734.66</v>
      </c>
    </row>
    <row r="744" spans="1:69" x14ac:dyDescent="0.35">
      <c r="A744" s="1" t="s">
        <v>68</v>
      </c>
      <c r="B744" s="1" t="s">
        <v>69</v>
      </c>
      <c r="C744" s="1" t="s">
        <v>70</v>
      </c>
      <c r="D744">
        <v>1</v>
      </c>
      <c r="E744">
        <v>1</v>
      </c>
      <c r="F744" s="2">
        <v>43585.43</v>
      </c>
      <c r="G744" s="3">
        <v>41275</v>
      </c>
      <c r="H744" s="3">
        <v>41639</v>
      </c>
      <c r="I744" s="1" t="s">
        <v>71</v>
      </c>
      <c r="J744">
        <v>4521</v>
      </c>
      <c r="K744">
        <v>0</v>
      </c>
      <c r="L744" s="1" t="s">
        <v>384</v>
      </c>
      <c r="M744" s="1" t="s">
        <v>72</v>
      </c>
      <c r="N744" s="1" t="s">
        <v>134</v>
      </c>
      <c r="O744" s="1" t="s">
        <v>385</v>
      </c>
      <c r="P744" s="1" t="s">
        <v>386</v>
      </c>
      <c r="Q744" s="1" t="s">
        <v>387</v>
      </c>
      <c r="R744">
        <v>103</v>
      </c>
      <c r="S744" s="1" t="s">
        <v>135</v>
      </c>
      <c r="T744" s="1" t="s">
        <v>388</v>
      </c>
      <c r="U744" s="1" t="s">
        <v>135</v>
      </c>
      <c r="V744" s="1"/>
      <c r="W744" s="1"/>
      <c r="X744" s="1"/>
      <c r="Y744" s="1"/>
      <c r="AA744" s="1"/>
      <c r="AC744" s="1"/>
      <c r="AD744" s="1"/>
      <c r="AE744" s="1"/>
      <c r="AN744" s="1"/>
      <c r="AP744" s="1"/>
      <c r="AQ744" s="1"/>
      <c r="AR744" s="1"/>
      <c r="AS744" s="1"/>
      <c r="AT744" s="3"/>
      <c r="AU744" s="3"/>
      <c r="AV744" s="3"/>
      <c r="AW744" s="1"/>
      <c r="AX744" s="1"/>
      <c r="AZ744">
        <v>253</v>
      </c>
      <c r="BA744">
        <v>4654734.66</v>
      </c>
      <c r="BB744" s="1" t="s">
        <v>74</v>
      </c>
      <c r="BC744">
        <v>372</v>
      </c>
      <c r="BD744" s="1" t="s">
        <v>887</v>
      </c>
      <c r="BE744" s="1" t="s">
        <v>408</v>
      </c>
      <c r="BF744">
        <v>18400.5</v>
      </c>
      <c r="BG744" s="1" t="s">
        <v>1047</v>
      </c>
      <c r="BH744" s="1" t="s">
        <v>99</v>
      </c>
      <c r="BI744">
        <v>0</v>
      </c>
      <c r="BJ744" s="1"/>
      <c r="BL744" s="1"/>
      <c r="BN744" s="1"/>
      <c r="BO744">
        <v>599</v>
      </c>
      <c r="BP744">
        <v>4654734.66</v>
      </c>
      <c r="BQ744">
        <v>4654734.66</v>
      </c>
    </row>
    <row r="745" spans="1:69" x14ac:dyDescent="0.35">
      <c r="A745" s="1" t="s">
        <v>68</v>
      </c>
      <c r="B745" s="1" t="s">
        <v>69</v>
      </c>
      <c r="C745" s="1" t="s">
        <v>70</v>
      </c>
      <c r="D745">
        <v>1</v>
      </c>
      <c r="E745">
        <v>1</v>
      </c>
      <c r="F745" s="2">
        <v>43585.43</v>
      </c>
      <c r="G745" s="3">
        <v>41275</v>
      </c>
      <c r="H745" s="3">
        <v>41639</v>
      </c>
      <c r="I745" s="1" t="s">
        <v>71</v>
      </c>
      <c r="J745">
        <v>4521</v>
      </c>
      <c r="K745">
        <v>0</v>
      </c>
      <c r="L745" s="1" t="s">
        <v>384</v>
      </c>
      <c r="M745" s="1" t="s">
        <v>72</v>
      </c>
      <c r="N745" s="1" t="s">
        <v>134</v>
      </c>
      <c r="O745" s="1" t="s">
        <v>385</v>
      </c>
      <c r="P745" s="1" t="s">
        <v>386</v>
      </c>
      <c r="Q745" s="1" t="s">
        <v>387</v>
      </c>
      <c r="R745">
        <v>103</v>
      </c>
      <c r="S745" s="1" t="s">
        <v>135</v>
      </c>
      <c r="T745" s="1" t="s">
        <v>388</v>
      </c>
      <c r="U745" s="1" t="s">
        <v>135</v>
      </c>
      <c r="V745" s="1"/>
      <c r="W745" s="1"/>
      <c r="X745" s="1"/>
      <c r="Y745" s="1"/>
      <c r="AA745" s="1"/>
      <c r="AC745" s="1"/>
      <c r="AD745" s="1"/>
      <c r="AE745" s="1"/>
      <c r="AN745" s="1"/>
      <c r="AP745" s="1"/>
      <c r="AQ745" s="1"/>
      <c r="AR745" s="1"/>
      <c r="AS745" s="1"/>
      <c r="AT745" s="3"/>
      <c r="AU745" s="3"/>
      <c r="AV745" s="3"/>
      <c r="AW745" s="1"/>
      <c r="AX745" s="1"/>
      <c r="AZ745">
        <v>253</v>
      </c>
      <c r="BA745">
        <v>4654734.66</v>
      </c>
      <c r="BB745" s="1" t="s">
        <v>74</v>
      </c>
      <c r="BC745">
        <v>373</v>
      </c>
      <c r="BD745" s="1" t="s">
        <v>887</v>
      </c>
      <c r="BE745" s="1" t="s">
        <v>99</v>
      </c>
      <c r="BF745">
        <v>0</v>
      </c>
      <c r="BG745" s="1"/>
      <c r="BH745" s="1" t="s">
        <v>394</v>
      </c>
      <c r="BI745">
        <v>18400.5</v>
      </c>
      <c r="BJ745" s="1" t="s">
        <v>1047</v>
      </c>
      <c r="BL745" s="1"/>
      <c r="BN745" s="1"/>
      <c r="BO745">
        <v>599</v>
      </c>
      <c r="BP745">
        <v>4654734.66</v>
      </c>
      <c r="BQ745">
        <v>4654734.66</v>
      </c>
    </row>
    <row r="746" spans="1:69" x14ac:dyDescent="0.35">
      <c r="A746" s="1" t="s">
        <v>68</v>
      </c>
      <c r="B746" s="1" t="s">
        <v>69</v>
      </c>
      <c r="C746" s="1" t="s">
        <v>70</v>
      </c>
      <c r="D746">
        <v>1</v>
      </c>
      <c r="E746">
        <v>1</v>
      </c>
      <c r="F746" s="2">
        <v>43585.43</v>
      </c>
      <c r="G746" s="3">
        <v>41275</v>
      </c>
      <c r="H746" s="3">
        <v>41639</v>
      </c>
      <c r="I746" s="1" t="s">
        <v>71</v>
      </c>
      <c r="J746">
        <v>4521</v>
      </c>
      <c r="K746">
        <v>0</v>
      </c>
      <c r="L746" s="1" t="s">
        <v>384</v>
      </c>
      <c r="M746" s="1" t="s">
        <v>72</v>
      </c>
      <c r="N746" s="1" t="s">
        <v>134</v>
      </c>
      <c r="O746" s="1" t="s">
        <v>385</v>
      </c>
      <c r="P746" s="1" t="s">
        <v>386</v>
      </c>
      <c r="Q746" s="1" t="s">
        <v>387</v>
      </c>
      <c r="R746">
        <v>103</v>
      </c>
      <c r="S746" s="1" t="s">
        <v>135</v>
      </c>
      <c r="T746" s="1" t="s">
        <v>388</v>
      </c>
      <c r="U746" s="1" t="s">
        <v>135</v>
      </c>
      <c r="V746" s="1"/>
      <c r="W746" s="1"/>
      <c r="X746" s="1"/>
      <c r="Y746" s="1"/>
      <c r="AA746" s="1"/>
      <c r="AC746" s="1"/>
      <c r="AD746" s="1"/>
      <c r="AE746" s="1"/>
      <c r="AN746" s="1"/>
      <c r="AP746" s="1"/>
      <c r="AQ746" s="1"/>
      <c r="AR746" s="1"/>
      <c r="AS746" s="1"/>
      <c r="AT746" s="3"/>
      <c r="AU746" s="3"/>
      <c r="AV746" s="3"/>
      <c r="AW746" s="1"/>
      <c r="AX746" s="1"/>
      <c r="AZ746">
        <v>253</v>
      </c>
      <c r="BA746">
        <v>4654734.66</v>
      </c>
      <c r="BB746" s="1" t="s">
        <v>74</v>
      </c>
      <c r="BC746">
        <v>374</v>
      </c>
      <c r="BD746" s="1" t="s">
        <v>888</v>
      </c>
      <c r="BE746" s="1" t="s">
        <v>466</v>
      </c>
      <c r="BF746">
        <v>9874</v>
      </c>
      <c r="BG746" s="1" t="s">
        <v>982</v>
      </c>
      <c r="BH746" s="1" t="s">
        <v>99</v>
      </c>
      <c r="BI746">
        <v>0</v>
      </c>
      <c r="BJ746" s="1"/>
      <c r="BL746" s="1"/>
      <c r="BN746" s="1"/>
      <c r="BO746">
        <v>599</v>
      </c>
      <c r="BP746">
        <v>4654734.66</v>
      </c>
      <c r="BQ746">
        <v>4654734.66</v>
      </c>
    </row>
    <row r="747" spans="1:69" x14ac:dyDescent="0.35">
      <c r="A747" s="1" t="s">
        <v>68</v>
      </c>
      <c r="B747" s="1" t="s">
        <v>69</v>
      </c>
      <c r="C747" s="1" t="s">
        <v>70</v>
      </c>
      <c r="D747">
        <v>1</v>
      </c>
      <c r="E747">
        <v>1</v>
      </c>
      <c r="F747" s="2">
        <v>43585.43</v>
      </c>
      <c r="G747" s="3">
        <v>41275</v>
      </c>
      <c r="H747" s="3">
        <v>41639</v>
      </c>
      <c r="I747" s="1" t="s">
        <v>71</v>
      </c>
      <c r="J747">
        <v>4521</v>
      </c>
      <c r="K747">
        <v>0</v>
      </c>
      <c r="L747" s="1" t="s">
        <v>384</v>
      </c>
      <c r="M747" s="1" t="s">
        <v>72</v>
      </c>
      <c r="N747" s="1" t="s">
        <v>134</v>
      </c>
      <c r="O747" s="1" t="s">
        <v>385</v>
      </c>
      <c r="P747" s="1" t="s">
        <v>386</v>
      </c>
      <c r="Q747" s="1" t="s">
        <v>387</v>
      </c>
      <c r="R747">
        <v>103</v>
      </c>
      <c r="S747" s="1" t="s">
        <v>135</v>
      </c>
      <c r="T747" s="1" t="s">
        <v>388</v>
      </c>
      <c r="U747" s="1" t="s">
        <v>135</v>
      </c>
      <c r="V747" s="1"/>
      <c r="W747" s="1"/>
      <c r="X747" s="1"/>
      <c r="Y747" s="1"/>
      <c r="AA747" s="1"/>
      <c r="AC747" s="1"/>
      <c r="AD747" s="1"/>
      <c r="AE747" s="1"/>
      <c r="AN747" s="1"/>
      <c r="AP747" s="1"/>
      <c r="AQ747" s="1"/>
      <c r="AR747" s="1"/>
      <c r="AS747" s="1"/>
      <c r="AT747" s="3"/>
      <c r="AU747" s="3"/>
      <c r="AV747" s="3"/>
      <c r="AW747" s="1"/>
      <c r="AX747" s="1"/>
      <c r="AZ747">
        <v>253</v>
      </c>
      <c r="BA747">
        <v>4654734.66</v>
      </c>
      <c r="BB747" s="1" t="s">
        <v>74</v>
      </c>
      <c r="BC747">
        <v>375</v>
      </c>
      <c r="BD747" s="1" t="s">
        <v>888</v>
      </c>
      <c r="BE747" s="1" t="s">
        <v>99</v>
      </c>
      <c r="BF747">
        <v>0</v>
      </c>
      <c r="BG747" s="1"/>
      <c r="BH747" s="1" t="s">
        <v>424</v>
      </c>
      <c r="BI747">
        <v>12145.02</v>
      </c>
      <c r="BJ747" s="1" t="s">
        <v>982</v>
      </c>
      <c r="BL747" s="1"/>
      <c r="BN747" s="1"/>
      <c r="BO747">
        <v>599</v>
      </c>
      <c r="BP747">
        <v>4654734.66</v>
      </c>
      <c r="BQ747">
        <v>4654734.66</v>
      </c>
    </row>
    <row r="748" spans="1:69" x14ac:dyDescent="0.35">
      <c r="A748" s="1" t="s">
        <v>68</v>
      </c>
      <c r="B748" s="1" t="s">
        <v>69</v>
      </c>
      <c r="C748" s="1" t="s">
        <v>70</v>
      </c>
      <c r="D748">
        <v>1</v>
      </c>
      <c r="E748">
        <v>1</v>
      </c>
      <c r="F748" s="2">
        <v>43585.43</v>
      </c>
      <c r="G748" s="3">
        <v>41275</v>
      </c>
      <c r="H748" s="3">
        <v>41639</v>
      </c>
      <c r="I748" s="1" t="s">
        <v>71</v>
      </c>
      <c r="J748">
        <v>4521</v>
      </c>
      <c r="K748">
        <v>0</v>
      </c>
      <c r="L748" s="1" t="s">
        <v>384</v>
      </c>
      <c r="M748" s="1" t="s">
        <v>72</v>
      </c>
      <c r="N748" s="1" t="s">
        <v>134</v>
      </c>
      <c r="O748" s="1" t="s">
        <v>385</v>
      </c>
      <c r="P748" s="1" t="s">
        <v>386</v>
      </c>
      <c r="Q748" s="1" t="s">
        <v>387</v>
      </c>
      <c r="R748">
        <v>103</v>
      </c>
      <c r="S748" s="1" t="s">
        <v>135</v>
      </c>
      <c r="T748" s="1" t="s">
        <v>388</v>
      </c>
      <c r="U748" s="1" t="s">
        <v>135</v>
      </c>
      <c r="V748" s="1"/>
      <c r="W748" s="1"/>
      <c r="X748" s="1"/>
      <c r="Y748" s="1"/>
      <c r="AA748" s="1"/>
      <c r="AC748" s="1"/>
      <c r="AD748" s="1"/>
      <c r="AE748" s="1"/>
      <c r="AN748" s="1"/>
      <c r="AP748" s="1"/>
      <c r="AQ748" s="1"/>
      <c r="AR748" s="1"/>
      <c r="AS748" s="1"/>
      <c r="AT748" s="3"/>
      <c r="AU748" s="3"/>
      <c r="AV748" s="3"/>
      <c r="AW748" s="1"/>
      <c r="AX748" s="1"/>
      <c r="AZ748">
        <v>253</v>
      </c>
      <c r="BA748">
        <v>4654734.66</v>
      </c>
      <c r="BB748" s="1" t="s">
        <v>74</v>
      </c>
      <c r="BC748">
        <v>376</v>
      </c>
      <c r="BD748" s="1" t="s">
        <v>888</v>
      </c>
      <c r="BE748" s="1" t="s">
        <v>452</v>
      </c>
      <c r="BF748">
        <v>2271.02</v>
      </c>
      <c r="BG748" s="1" t="s">
        <v>982</v>
      </c>
      <c r="BH748" s="1" t="s">
        <v>99</v>
      </c>
      <c r="BI748">
        <v>0</v>
      </c>
      <c r="BJ748" s="1"/>
      <c r="BL748" s="1"/>
      <c r="BN748" s="1"/>
      <c r="BO748">
        <v>599</v>
      </c>
      <c r="BP748">
        <v>4654734.66</v>
      </c>
      <c r="BQ748">
        <v>4654734.66</v>
      </c>
    </row>
    <row r="749" spans="1:69" x14ac:dyDescent="0.35">
      <c r="A749" s="1" t="s">
        <v>68</v>
      </c>
      <c r="B749" s="1" t="s">
        <v>69</v>
      </c>
      <c r="C749" s="1" t="s">
        <v>70</v>
      </c>
      <c r="D749">
        <v>1</v>
      </c>
      <c r="E749">
        <v>1</v>
      </c>
      <c r="F749" s="2">
        <v>43585.43</v>
      </c>
      <c r="G749" s="3">
        <v>41275</v>
      </c>
      <c r="H749" s="3">
        <v>41639</v>
      </c>
      <c r="I749" s="1" t="s">
        <v>71</v>
      </c>
      <c r="J749">
        <v>4521</v>
      </c>
      <c r="K749">
        <v>0</v>
      </c>
      <c r="L749" s="1" t="s">
        <v>384</v>
      </c>
      <c r="M749" s="1" t="s">
        <v>72</v>
      </c>
      <c r="N749" s="1" t="s">
        <v>134</v>
      </c>
      <c r="O749" s="1" t="s">
        <v>385</v>
      </c>
      <c r="P749" s="1" t="s">
        <v>386</v>
      </c>
      <c r="Q749" s="1" t="s">
        <v>387</v>
      </c>
      <c r="R749">
        <v>103</v>
      </c>
      <c r="S749" s="1" t="s">
        <v>135</v>
      </c>
      <c r="T749" s="1" t="s">
        <v>388</v>
      </c>
      <c r="U749" s="1" t="s">
        <v>135</v>
      </c>
      <c r="V749" s="1"/>
      <c r="W749" s="1"/>
      <c r="X749" s="1"/>
      <c r="Y749" s="1"/>
      <c r="AA749" s="1"/>
      <c r="AC749" s="1"/>
      <c r="AD749" s="1"/>
      <c r="AE749" s="1"/>
      <c r="AN749" s="1"/>
      <c r="AP749" s="1"/>
      <c r="AQ749" s="1"/>
      <c r="AR749" s="1"/>
      <c r="AS749" s="1"/>
      <c r="AT749" s="3"/>
      <c r="AU749" s="3"/>
      <c r="AV749" s="3"/>
      <c r="AW749" s="1"/>
      <c r="AX749" s="1"/>
      <c r="AZ749">
        <v>253</v>
      </c>
      <c r="BA749">
        <v>4654734.66</v>
      </c>
      <c r="BB749" s="1" t="s">
        <v>74</v>
      </c>
      <c r="BC749">
        <v>377</v>
      </c>
      <c r="BD749" s="1" t="s">
        <v>889</v>
      </c>
      <c r="BE749" s="1" t="s">
        <v>430</v>
      </c>
      <c r="BF749">
        <v>92250</v>
      </c>
      <c r="BG749" s="1" t="s">
        <v>1250</v>
      </c>
      <c r="BH749" s="1" t="s">
        <v>99</v>
      </c>
      <c r="BI749">
        <v>0</v>
      </c>
      <c r="BJ749" s="1"/>
      <c r="BL749" s="1"/>
      <c r="BN749" s="1"/>
      <c r="BO749">
        <v>599</v>
      </c>
      <c r="BP749">
        <v>4654734.66</v>
      </c>
      <c r="BQ749">
        <v>4654734.66</v>
      </c>
    </row>
    <row r="750" spans="1:69" x14ac:dyDescent="0.35">
      <c r="A750" s="1" t="s">
        <v>68</v>
      </c>
      <c r="B750" s="1" t="s">
        <v>69</v>
      </c>
      <c r="C750" s="1" t="s">
        <v>70</v>
      </c>
      <c r="D750">
        <v>1</v>
      </c>
      <c r="E750">
        <v>1</v>
      </c>
      <c r="F750" s="2">
        <v>43585.43</v>
      </c>
      <c r="G750" s="3">
        <v>41275</v>
      </c>
      <c r="H750" s="3">
        <v>41639</v>
      </c>
      <c r="I750" s="1" t="s">
        <v>71</v>
      </c>
      <c r="J750">
        <v>4521</v>
      </c>
      <c r="K750">
        <v>0</v>
      </c>
      <c r="L750" s="1" t="s">
        <v>384</v>
      </c>
      <c r="M750" s="1" t="s">
        <v>72</v>
      </c>
      <c r="N750" s="1" t="s">
        <v>134</v>
      </c>
      <c r="O750" s="1" t="s">
        <v>385</v>
      </c>
      <c r="P750" s="1" t="s">
        <v>386</v>
      </c>
      <c r="Q750" s="1" t="s">
        <v>387</v>
      </c>
      <c r="R750">
        <v>103</v>
      </c>
      <c r="S750" s="1" t="s">
        <v>135</v>
      </c>
      <c r="T750" s="1" t="s">
        <v>388</v>
      </c>
      <c r="U750" s="1" t="s">
        <v>135</v>
      </c>
      <c r="V750" s="1"/>
      <c r="W750" s="1"/>
      <c r="X750" s="1"/>
      <c r="Y750" s="1"/>
      <c r="AA750" s="1"/>
      <c r="AC750" s="1"/>
      <c r="AD750" s="1"/>
      <c r="AE750" s="1"/>
      <c r="AN750" s="1"/>
      <c r="AP750" s="1"/>
      <c r="AQ750" s="1"/>
      <c r="AR750" s="1"/>
      <c r="AS750" s="1"/>
      <c r="AT750" s="3"/>
      <c r="AU750" s="3"/>
      <c r="AV750" s="3"/>
      <c r="AW750" s="1"/>
      <c r="AX750" s="1"/>
      <c r="AZ750">
        <v>253</v>
      </c>
      <c r="BA750">
        <v>4654734.66</v>
      </c>
      <c r="BB750" s="1" t="s">
        <v>74</v>
      </c>
      <c r="BC750">
        <v>378</v>
      </c>
      <c r="BD750" s="1" t="s">
        <v>889</v>
      </c>
      <c r="BE750" s="1" t="s">
        <v>99</v>
      </c>
      <c r="BF750">
        <v>0</v>
      </c>
      <c r="BG750" s="1"/>
      <c r="BH750" s="1" t="s">
        <v>394</v>
      </c>
      <c r="BI750">
        <v>92250</v>
      </c>
      <c r="BJ750" s="1" t="s">
        <v>1250</v>
      </c>
      <c r="BL750" s="1"/>
      <c r="BN750" s="1"/>
      <c r="BO750">
        <v>599</v>
      </c>
      <c r="BP750">
        <v>4654734.66</v>
      </c>
      <c r="BQ750">
        <v>4654734.66</v>
      </c>
    </row>
    <row r="751" spans="1:69" x14ac:dyDescent="0.35">
      <c r="A751" s="1" t="s">
        <v>68</v>
      </c>
      <c r="B751" s="1" t="s">
        <v>69</v>
      </c>
      <c r="C751" s="1" t="s">
        <v>70</v>
      </c>
      <c r="D751">
        <v>1</v>
      </c>
      <c r="E751">
        <v>1</v>
      </c>
      <c r="F751" s="2">
        <v>43585.43</v>
      </c>
      <c r="G751" s="3">
        <v>41275</v>
      </c>
      <c r="H751" s="3">
        <v>41639</v>
      </c>
      <c r="I751" s="1" t="s">
        <v>71</v>
      </c>
      <c r="J751">
        <v>4521</v>
      </c>
      <c r="K751">
        <v>0</v>
      </c>
      <c r="L751" s="1" t="s">
        <v>384</v>
      </c>
      <c r="M751" s="1" t="s">
        <v>72</v>
      </c>
      <c r="N751" s="1" t="s">
        <v>134</v>
      </c>
      <c r="O751" s="1" t="s">
        <v>385</v>
      </c>
      <c r="P751" s="1" t="s">
        <v>386</v>
      </c>
      <c r="Q751" s="1" t="s">
        <v>387</v>
      </c>
      <c r="R751">
        <v>103</v>
      </c>
      <c r="S751" s="1" t="s">
        <v>135</v>
      </c>
      <c r="T751" s="1" t="s">
        <v>388</v>
      </c>
      <c r="U751" s="1" t="s">
        <v>135</v>
      </c>
      <c r="V751" s="1"/>
      <c r="W751" s="1"/>
      <c r="X751" s="1"/>
      <c r="Y751" s="1"/>
      <c r="AA751" s="1"/>
      <c r="AC751" s="1"/>
      <c r="AD751" s="1"/>
      <c r="AE751" s="1"/>
      <c r="AN751" s="1"/>
      <c r="AP751" s="1"/>
      <c r="AQ751" s="1"/>
      <c r="AR751" s="1"/>
      <c r="AS751" s="1"/>
      <c r="AT751" s="3"/>
      <c r="AU751" s="3"/>
      <c r="AV751" s="3"/>
      <c r="AW751" s="1"/>
      <c r="AX751" s="1"/>
      <c r="AZ751">
        <v>253</v>
      </c>
      <c r="BA751">
        <v>4654734.66</v>
      </c>
      <c r="BB751" s="1" t="s">
        <v>74</v>
      </c>
      <c r="BC751">
        <v>379</v>
      </c>
      <c r="BD751" s="1" t="s">
        <v>890</v>
      </c>
      <c r="BE751" s="1" t="s">
        <v>439</v>
      </c>
      <c r="BF751">
        <v>10000</v>
      </c>
      <c r="BG751" s="1" t="s">
        <v>1251</v>
      </c>
      <c r="BH751" s="1" t="s">
        <v>99</v>
      </c>
      <c r="BI751">
        <v>0</v>
      </c>
      <c r="BJ751" s="1"/>
      <c r="BL751" s="1"/>
      <c r="BN751" s="1"/>
      <c r="BO751">
        <v>599</v>
      </c>
      <c r="BP751">
        <v>4654734.66</v>
      </c>
      <c r="BQ751">
        <v>4654734.66</v>
      </c>
    </row>
    <row r="752" spans="1:69" x14ac:dyDescent="0.35">
      <c r="A752" s="1" t="s">
        <v>68</v>
      </c>
      <c r="B752" s="1" t="s">
        <v>69</v>
      </c>
      <c r="C752" s="1" t="s">
        <v>70</v>
      </c>
      <c r="D752">
        <v>1</v>
      </c>
      <c r="E752">
        <v>1</v>
      </c>
      <c r="F752" s="2">
        <v>43585.43</v>
      </c>
      <c r="G752" s="3">
        <v>41275</v>
      </c>
      <c r="H752" s="3">
        <v>41639</v>
      </c>
      <c r="I752" s="1" t="s">
        <v>71</v>
      </c>
      <c r="J752">
        <v>4521</v>
      </c>
      <c r="K752">
        <v>0</v>
      </c>
      <c r="L752" s="1" t="s">
        <v>384</v>
      </c>
      <c r="M752" s="1" t="s">
        <v>72</v>
      </c>
      <c r="N752" s="1" t="s">
        <v>134</v>
      </c>
      <c r="O752" s="1" t="s">
        <v>385</v>
      </c>
      <c r="P752" s="1" t="s">
        <v>386</v>
      </c>
      <c r="Q752" s="1" t="s">
        <v>387</v>
      </c>
      <c r="R752">
        <v>103</v>
      </c>
      <c r="S752" s="1" t="s">
        <v>135</v>
      </c>
      <c r="T752" s="1" t="s">
        <v>388</v>
      </c>
      <c r="U752" s="1" t="s">
        <v>135</v>
      </c>
      <c r="V752" s="1"/>
      <c r="W752" s="1"/>
      <c r="X752" s="1"/>
      <c r="Y752" s="1"/>
      <c r="AA752" s="1"/>
      <c r="AC752" s="1"/>
      <c r="AD752" s="1"/>
      <c r="AE752" s="1"/>
      <c r="AN752" s="1"/>
      <c r="AP752" s="1"/>
      <c r="AQ752" s="1"/>
      <c r="AR752" s="1"/>
      <c r="AS752" s="1"/>
      <c r="AT752" s="3"/>
      <c r="AU752" s="3"/>
      <c r="AV752" s="3"/>
      <c r="AW752" s="1"/>
      <c r="AX752" s="1"/>
      <c r="AZ752">
        <v>253</v>
      </c>
      <c r="BA752">
        <v>4654734.66</v>
      </c>
      <c r="BB752" s="1" t="s">
        <v>74</v>
      </c>
      <c r="BC752">
        <v>380</v>
      </c>
      <c r="BD752" s="1" t="s">
        <v>890</v>
      </c>
      <c r="BE752" s="1" t="s">
        <v>99</v>
      </c>
      <c r="BF752">
        <v>0</v>
      </c>
      <c r="BG752" s="1"/>
      <c r="BH752" s="1" t="s">
        <v>394</v>
      </c>
      <c r="BI752">
        <v>10000</v>
      </c>
      <c r="BJ752" s="1" t="s">
        <v>1251</v>
      </c>
      <c r="BL752" s="1"/>
      <c r="BN752" s="1"/>
      <c r="BO752">
        <v>599</v>
      </c>
      <c r="BP752">
        <v>4654734.66</v>
      </c>
      <c r="BQ752">
        <v>4654734.66</v>
      </c>
    </row>
    <row r="753" spans="1:69" x14ac:dyDescent="0.35">
      <c r="A753" s="1" t="s">
        <v>68</v>
      </c>
      <c r="B753" s="1" t="s">
        <v>69</v>
      </c>
      <c r="C753" s="1" t="s">
        <v>70</v>
      </c>
      <c r="D753">
        <v>1</v>
      </c>
      <c r="E753">
        <v>1</v>
      </c>
      <c r="F753" s="2">
        <v>43585.43</v>
      </c>
      <c r="G753" s="3">
        <v>41275</v>
      </c>
      <c r="H753" s="3">
        <v>41639</v>
      </c>
      <c r="I753" s="1" t="s">
        <v>71</v>
      </c>
      <c r="J753">
        <v>4521</v>
      </c>
      <c r="K753">
        <v>0</v>
      </c>
      <c r="L753" s="1" t="s">
        <v>384</v>
      </c>
      <c r="M753" s="1" t="s">
        <v>72</v>
      </c>
      <c r="N753" s="1" t="s">
        <v>134</v>
      </c>
      <c r="O753" s="1" t="s">
        <v>385</v>
      </c>
      <c r="P753" s="1" t="s">
        <v>386</v>
      </c>
      <c r="Q753" s="1" t="s">
        <v>387</v>
      </c>
      <c r="R753">
        <v>103</v>
      </c>
      <c r="S753" s="1" t="s">
        <v>135</v>
      </c>
      <c r="T753" s="1" t="s">
        <v>388</v>
      </c>
      <c r="U753" s="1" t="s">
        <v>135</v>
      </c>
      <c r="V753" s="1"/>
      <c r="W753" s="1"/>
      <c r="X753" s="1"/>
      <c r="Y753" s="1"/>
      <c r="AA753" s="1"/>
      <c r="AC753" s="1"/>
      <c r="AD753" s="1"/>
      <c r="AE753" s="1"/>
      <c r="AN753" s="1"/>
      <c r="AP753" s="1"/>
      <c r="AQ753" s="1"/>
      <c r="AR753" s="1"/>
      <c r="AS753" s="1"/>
      <c r="AT753" s="3"/>
      <c r="AU753" s="3"/>
      <c r="AV753" s="3"/>
      <c r="AW753" s="1"/>
      <c r="AX753" s="1"/>
      <c r="AZ753">
        <v>253</v>
      </c>
      <c r="BA753">
        <v>4654734.66</v>
      </c>
      <c r="BB753" s="1" t="s">
        <v>74</v>
      </c>
      <c r="BC753">
        <v>381</v>
      </c>
      <c r="BD753" s="1" t="s">
        <v>891</v>
      </c>
      <c r="BE753" s="1" t="s">
        <v>440</v>
      </c>
      <c r="BF753">
        <v>60000</v>
      </c>
      <c r="BG753" s="1" t="s">
        <v>1252</v>
      </c>
      <c r="BH753" s="1" t="s">
        <v>99</v>
      </c>
      <c r="BI753">
        <v>0</v>
      </c>
      <c r="BJ753" s="1"/>
      <c r="BL753" s="1"/>
      <c r="BN753" s="1"/>
      <c r="BO753">
        <v>599</v>
      </c>
      <c r="BP753">
        <v>4654734.66</v>
      </c>
      <c r="BQ753">
        <v>4654734.66</v>
      </c>
    </row>
    <row r="754" spans="1:69" x14ac:dyDescent="0.35">
      <c r="A754" s="1" t="s">
        <v>68</v>
      </c>
      <c r="B754" s="1" t="s">
        <v>69</v>
      </c>
      <c r="C754" s="1" t="s">
        <v>70</v>
      </c>
      <c r="D754">
        <v>1</v>
      </c>
      <c r="E754">
        <v>1</v>
      </c>
      <c r="F754" s="2">
        <v>43585.43</v>
      </c>
      <c r="G754" s="3">
        <v>41275</v>
      </c>
      <c r="H754" s="3">
        <v>41639</v>
      </c>
      <c r="I754" s="1" t="s">
        <v>71</v>
      </c>
      <c r="J754">
        <v>4521</v>
      </c>
      <c r="K754">
        <v>0</v>
      </c>
      <c r="L754" s="1" t="s">
        <v>384</v>
      </c>
      <c r="M754" s="1" t="s">
        <v>72</v>
      </c>
      <c r="N754" s="1" t="s">
        <v>134</v>
      </c>
      <c r="O754" s="1" t="s">
        <v>385</v>
      </c>
      <c r="P754" s="1" t="s">
        <v>386</v>
      </c>
      <c r="Q754" s="1" t="s">
        <v>387</v>
      </c>
      <c r="R754">
        <v>103</v>
      </c>
      <c r="S754" s="1" t="s">
        <v>135</v>
      </c>
      <c r="T754" s="1" t="s">
        <v>388</v>
      </c>
      <c r="U754" s="1" t="s">
        <v>135</v>
      </c>
      <c r="V754" s="1"/>
      <c r="W754" s="1"/>
      <c r="X754" s="1"/>
      <c r="Y754" s="1"/>
      <c r="AA754" s="1"/>
      <c r="AC754" s="1"/>
      <c r="AD754" s="1"/>
      <c r="AE754" s="1"/>
      <c r="AN754" s="1"/>
      <c r="AP754" s="1"/>
      <c r="AQ754" s="1"/>
      <c r="AR754" s="1"/>
      <c r="AS754" s="1"/>
      <c r="AT754" s="3"/>
      <c r="AU754" s="3"/>
      <c r="AV754" s="3"/>
      <c r="AW754" s="1"/>
      <c r="AX754" s="1"/>
      <c r="AZ754">
        <v>253</v>
      </c>
      <c r="BA754">
        <v>4654734.66</v>
      </c>
      <c r="BB754" s="1" t="s">
        <v>74</v>
      </c>
      <c r="BC754">
        <v>382</v>
      </c>
      <c r="BD754" s="1" t="s">
        <v>891</v>
      </c>
      <c r="BE754" s="1" t="s">
        <v>99</v>
      </c>
      <c r="BF754">
        <v>0</v>
      </c>
      <c r="BG754" s="1"/>
      <c r="BH754" s="1" t="s">
        <v>394</v>
      </c>
      <c r="BI754">
        <v>60000</v>
      </c>
      <c r="BJ754" s="1" t="s">
        <v>1252</v>
      </c>
      <c r="BL754" s="1"/>
      <c r="BN754" s="1"/>
      <c r="BO754">
        <v>599</v>
      </c>
      <c r="BP754">
        <v>4654734.66</v>
      </c>
      <c r="BQ754">
        <v>4654734.66</v>
      </c>
    </row>
    <row r="755" spans="1:69" x14ac:dyDescent="0.35">
      <c r="A755" s="1" t="s">
        <v>68</v>
      </c>
      <c r="B755" s="1" t="s">
        <v>69</v>
      </c>
      <c r="C755" s="1" t="s">
        <v>70</v>
      </c>
      <c r="D755">
        <v>1</v>
      </c>
      <c r="E755">
        <v>1</v>
      </c>
      <c r="F755" s="2">
        <v>43585.43</v>
      </c>
      <c r="G755" s="3">
        <v>41275</v>
      </c>
      <c r="H755" s="3">
        <v>41639</v>
      </c>
      <c r="I755" s="1" t="s">
        <v>71</v>
      </c>
      <c r="J755">
        <v>4521</v>
      </c>
      <c r="K755">
        <v>0</v>
      </c>
      <c r="L755" s="1" t="s">
        <v>384</v>
      </c>
      <c r="M755" s="1" t="s">
        <v>72</v>
      </c>
      <c r="N755" s="1" t="s">
        <v>134</v>
      </c>
      <c r="O755" s="1" t="s">
        <v>385</v>
      </c>
      <c r="P755" s="1" t="s">
        <v>386</v>
      </c>
      <c r="Q755" s="1" t="s">
        <v>387</v>
      </c>
      <c r="R755">
        <v>103</v>
      </c>
      <c r="S755" s="1" t="s">
        <v>135</v>
      </c>
      <c r="T755" s="1" t="s">
        <v>388</v>
      </c>
      <c r="U755" s="1" t="s">
        <v>135</v>
      </c>
      <c r="V755" s="1"/>
      <c r="W755" s="1"/>
      <c r="X755" s="1"/>
      <c r="Y755" s="1"/>
      <c r="AA755" s="1"/>
      <c r="AC755" s="1"/>
      <c r="AD755" s="1"/>
      <c r="AE755" s="1"/>
      <c r="AN755" s="1"/>
      <c r="AP755" s="1"/>
      <c r="AQ755" s="1"/>
      <c r="AR755" s="1"/>
      <c r="AS755" s="1"/>
      <c r="AT755" s="3"/>
      <c r="AU755" s="3"/>
      <c r="AV755" s="3"/>
      <c r="AW755" s="1"/>
      <c r="AX755" s="1"/>
      <c r="AZ755">
        <v>253</v>
      </c>
      <c r="BA755">
        <v>4654734.66</v>
      </c>
      <c r="BB755" s="1" t="s">
        <v>74</v>
      </c>
      <c r="BC755">
        <v>383</v>
      </c>
      <c r="BD755" s="1" t="s">
        <v>892</v>
      </c>
      <c r="BE755" s="1" t="s">
        <v>394</v>
      </c>
      <c r="BF755">
        <v>100000</v>
      </c>
      <c r="BG755" s="1" t="s">
        <v>1253</v>
      </c>
      <c r="BH755" s="1" t="s">
        <v>99</v>
      </c>
      <c r="BI755">
        <v>0</v>
      </c>
      <c r="BJ755" s="1"/>
      <c r="BL755" s="1"/>
      <c r="BN755" s="1"/>
      <c r="BO755">
        <v>599</v>
      </c>
      <c r="BP755">
        <v>4654734.66</v>
      </c>
      <c r="BQ755">
        <v>4654734.66</v>
      </c>
    </row>
    <row r="756" spans="1:69" x14ac:dyDescent="0.35">
      <c r="A756" s="1" t="s">
        <v>68</v>
      </c>
      <c r="B756" s="1" t="s">
        <v>69</v>
      </c>
      <c r="C756" s="1" t="s">
        <v>70</v>
      </c>
      <c r="D756">
        <v>1</v>
      </c>
      <c r="E756">
        <v>1</v>
      </c>
      <c r="F756" s="2">
        <v>43585.43</v>
      </c>
      <c r="G756" s="3">
        <v>41275</v>
      </c>
      <c r="H756" s="3">
        <v>41639</v>
      </c>
      <c r="I756" s="1" t="s">
        <v>71</v>
      </c>
      <c r="J756">
        <v>4521</v>
      </c>
      <c r="K756">
        <v>0</v>
      </c>
      <c r="L756" s="1" t="s">
        <v>384</v>
      </c>
      <c r="M756" s="1" t="s">
        <v>72</v>
      </c>
      <c r="N756" s="1" t="s">
        <v>134</v>
      </c>
      <c r="O756" s="1" t="s">
        <v>385</v>
      </c>
      <c r="P756" s="1" t="s">
        <v>386</v>
      </c>
      <c r="Q756" s="1" t="s">
        <v>387</v>
      </c>
      <c r="R756">
        <v>103</v>
      </c>
      <c r="S756" s="1" t="s">
        <v>135</v>
      </c>
      <c r="T756" s="1" t="s">
        <v>388</v>
      </c>
      <c r="U756" s="1" t="s">
        <v>135</v>
      </c>
      <c r="V756" s="1"/>
      <c r="W756" s="1"/>
      <c r="X756" s="1"/>
      <c r="Y756" s="1"/>
      <c r="AA756" s="1"/>
      <c r="AC756" s="1"/>
      <c r="AD756" s="1"/>
      <c r="AE756" s="1"/>
      <c r="AN756" s="1"/>
      <c r="AP756" s="1"/>
      <c r="AQ756" s="1"/>
      <c r="AR756" s="1"/>
      <c r="AS756" s="1"/>
      <c r="AT756" s="3"/>
      <c r="AU756" s="3"/>
      <c r="AV756" s="3"/>
      <c r="AW756" s="1"/>
      <c r="AX756" s="1"/>
      <c r="AZ756">
        <v>253</v>
      </c>
      <c r="BA756">
        <v>4654734.66</v>
      </c>
      <c r="BB756" s="1" t="s">
        <v>74</v>
      </c>
      <c r="BC756">
        <v>384</v>
      </c>
      <c r="BD756" s="1" t="s">
        <v>892</v>
      </c>
      <c r="BE756" s="1" t="s">
        <v>99</v>
      </c>
      <c r="BF756">
        <v>0</v>
      </c>
      <c r="BG756" s="1"/>
      <c r="BH756" s="1" t="s">
        <v>464</v>
      </c>
      <c r="BI756">
        <v>100000</v>
      </c>
      <c r="BJ756" s="1" t="s">
        <v>1253</v>
      </c>
      <c r="BL756" s="1"/>
      <c r="BN756" s="1"/>
      <c r="BO756">
        <v>599</v>
      </c>
      <c r="BP756">
        <v>4654734.66</v>
      </c>
      <c r="BQ756">
        <v>4654734.66</v>
      </c>
    </row>
    <row r="757" spans="1:69" x14ac:dyDescent="0.35">
      <c r="A757" s="1" t="s">
        <v>68</v>
      </c>
      <c r="B757" s="1" t="s">
        <v>69</v>
      </c>
      <c r="C757" s="1" t="s">
        <v>70</v>
      </c>
      <c r="D757">
        <v>1</v>
      </c>
      <c r="E757">
        <v>1</v>
      </c>
      <c r="F757" s="2">
        <v>43585.43</v>
      </c>
      <c r="G757" s="3">
        <v>41275</v>
      </c>
      <c r="H757" s="3">
        <v>41639</v>
      </c>
      <c r="I757" s="1" t="s">
        <v>71</v>
      </c>
      <c r="J757">
        <v>4521</v>
      </c>
      <c r="K757">
        <v>0</v>
      </c>
      <c r="L757" s="1" t="s">
        <v>384</v>
      </c>
      <c r="M757" s="1" t="s">
        <v>72</v>
      </c>
      <c r="N757" s="1" t="s">
        <v>134</v>
      </c>
      <c r="O757" s="1" t="s">
        <v>385</v>
      </c>
      <c r="P757" s="1" t="s">
        <v>386</v>
      </c>
      <c r="Q757" s="1" t="s">
        <v>387</v>
      </c>
      <c r="R757">
        <v>103</v>
      </c>
      <c r="S757" s="1" t="s">
        <v>135</v>
      </c>
      <c r="T757" s="1" t="s">
        <v>388</v>
      </c>
      <c r="U757" s="1" t="s">
        <v>135</v>
      </c>
      <c r="V757" s="1"/>
      <c r="W757" s="1"/>
      <c r="X757" s="1"/>
      <c r="Y757" s="1"/>
      <c r="AA757" s="1"/>
      <c r="AC757" s="1"/>
      <c r="AD757" s="1"/>
      <c r="AE757" s="1"/>
      <c r="AN757" s="1"/>
      <c r="AP757" s="1"/>
      <c r="AQ757" s="1"/>
      <c r="AR757" s="1"/>
      <c r="AS757" s="1"/>
      <c r="AT757" s="3"/>
      <c r="AU757" s="3"/>
      <c r="AV757" s="3"/>
      <c r="AW757" s="1"/>
      <c r="AX757" s="1"/>
      <c r="AZ757">
        <v>253</v>
      </c>
      <c r="BA757">
        <v>4654734.66</v>
      </c>
      <c r="BB757" s="1" t="s">
        <v>74</v>
      </c>
      <c r="BC757">
        <v>385</v>
      </c>
      <c r="BD757" s="1" t="s">
        <v>893</v>
      </c>
      <c r="BE757" s="1" t="s">
        <v>472</v>
      </c>
      <c r="BF757">
        <v>1747.98</v>
      </c>
      <c r="BG757" s="1" t="s">
        <v>1049</v>
      </c>
      <c r="BH757" s="1" t="s">
        <v>99</v>
      </c>
      <c r="BI757">
        <v>0</v>
      </c>
      <c r="BJ757" s="1"/>
      <c r="BL757" s="1"/>
      <c r="BN757" s="1"/>
      <c r="BO757">
        <v>599</v>
      </c>
      <c r="BP757">
        <v>4654734.66</v>
      </c>
      <c r="BQ757">
        <v>4654734.66</v>
      </c>
    </row>
    <row r="758" spans="1:69" x14ac:dyDescent="0.35">
      <c r="A758" s="1" t="s">
        <v>68</v>
      </c>
      <c r="B758" s="1" t="s">
        <v>69</v>
      </c>
      <c r="C758" s="1" t="s">
        <v>70</v>
      </c>
      <c r="D758">
        <v>1</v>
      </c>
      <c r="E758">
        <v>1</v>
      </c>
      <c r="F758" s="2">
        <v>43585.43</v>
      </c>
      <c r="G758" s="3">
        <v>41275</v>
      </c>
      <c r="H758" s="3">
        <v>41639</v>
      </c>
      <c r="I758" s="1" t="s">
        <v>71</v>
      </c>
      <c r="J758">
        <v>4521</v>
      </c>
      <c r="K758">
        <v>0</v>
      </c>
      <c r="L758" s="1" t="s">
        <v>384</v>
      </c>
      <c r="M758" s="1" t="s">
        <v>72</v>
      </c>
      <c r="N758" s="1" t="s">
        <v>134</v>
      </c>
      <c r="O758" s="1" t="s">
        <v>385</v>
      </c>
      <c r="P758" s="1" t="s">
        <v>386</v>
      </c>
      <c r="Q758" s="1" t="s">
        <v>387</v>
      </c>
      <c r="R758">
        <v>103</v>
      </c>
      <c r="S758" s="1" t="s">
        <v>135</v>
      </c>
      <c r="T758" s="1" t="s">
        <v>388</v>
      </c>
      <c r="U758" s="1" t="s">
        <v>135</v>
      </c>
      <c r="V758" s="1"/>
      <c r="W758" s="1"/>
      <c r="X758" s="1"/>
      <c r="Y758" s="1"/>
      <c r="AA758" s="1"/>
      <c r="AC758" s="1"/>
      <c r="AD758" s="1"/>
      <c r="AE758" s="1"/>
      <c r="AN758" s="1"/>
      <c r="AP758" s="1"/>
      <c r="AQ758" s="1"/>
      <c r="AR758" s="1"/>
      <c r="AS758" s="1"/>
      <c r="AT758" s="3"/>
      <c r="AU758" s="3"/>
      <c r="AV758" s="3"/>
      <c r="AW758" s="1"/>
      <c r="AX758" s="1"/>
      <c r="AZ758">
        <v>253</v>
      </c>
      <c r="BA758">
        <v>4654734.66</v>
      </c>
      <c r="BB758" s="1" t="s">
        <v>74</v>
      </c>
      <c r="BC758">
        <v>386</v>
      </c>
      <c r="BD758" s="1" t="s">
        <v>893</v>
      </c>
      <c r="BE758" s="1" t="s">
        <v>99</v>
      </c>
      <c r="BF758">
        <v>0</v>
      </c>
      <c r="BG758" s="1"/>
      <c r="BH758" s="1" t="s">
        <v>389</v>
      </c>
      <c r="BI758">
        <v>1747.98</v>
      </c>
      <c r="BJ758" s="1" t="s">
        <v>1049</v>
      </c>
      <c r="BL758" s="1"/>
      <c r="BN758" s="1"/>
      <c r="BO758">
        <v>599</v>
      </c>
      <c r="BP758">
        <v>4654734.66</v>
      </c>
      <c r="BQ758">
        <v>4654734.66</v>
      </c>
    </row>
    <row r="759" spans="1:69" x14ac:dyDescent="0.35">
      <c r="A759" s="1" t="s">
        <v>68</v>
      </c>
      <c r="B759" s="1" t="s">
        <v>69</v>
      </c>
      <c r="C759" s="1" t="s">
        <v>70</v>
      </c>
      <c r="D759">
        <v>1</v>
      </c>
      <c r="E759">
        <v>1</v>
      </c>
      <c r="F759" s="2">
        <v>43585.43</v>
      </c>
      <c r="G759" s="3">
        <v>41275</v>
      </c>
      <c r="H759" s="3">
        <v>41639</v>
      </c>
      <c r="I759" s="1" t="s">
        <v>71</v>
      </c>
      <c r="J759">
        <v>4521</v>
      </c>
      <c r="K759">
        <v>0</v>
      </c>
      <c r="L759" s="1" t="s">
        <v>384</v>
      </c>
      <c r="M759" s="1" t="s">
        <v>72</v>
      </c>
      <c r="N759" s="1" t="s">
        <v>134</v>
      </c>
      <c r="O759" s="1" t="s">
        <v>385</v>
      </c>
      <c r="P759" s="1" t="s">
        <v>386</v>
      </c>
      <c r="Q759" s="1" t="s">
        <v>387</v>
      </c>
      <c r="R759">
        <v>103</v>
      </c>
      <c r="S759" s="1" t="s">
        <v>135</v>
      </c>
      <c r="T759" s="1" t="s">
        <v>388</v>
      </c>
      <c r="U759" s="1" t="s">
        <v>135</v>
      </c>
      <c r="V759" s="1"/>
      <c r="W759" s="1"/>
      <c r="X759" s="1"/>
      <c r="Y759" s="1"/>
      <c r="AA759" s="1"/>
      <c r="AC759" s="1"/>
      <c r="AD759" s="1"/>
      <c r="AE759" s="1"/>
      <c r="AN759" s="1"/>
      <c r="AP759" s="1"/>
      <c r="AQ759" s="1"/>
      <c r="AR759" s="1"/>
      <c r="AS759" s="1"/>
      <c r="AT759" s="3"/>
      <c r="AU759" s="3"/>
      <c r="AV759" s="3"/>
      <c r="AW759" s="1"/>
      <c r="AX759" s="1"/>
      <c r="AZ759">
        <v>253</v>
      </c>
      <c r="BA759">
        <v>4654734.66</v>
      </c>
      <c r="BB759" s="1" t="s">
        <v>74</v>
      </c>
      <c r="BC759">
        <v>387</v>
      </c>
      <c r="BD759" s="1" t="s">
        <v>894</v>
      </c>
      <c r="BE759" s="1" t="s">
        <v>472</v>
      </c>
      <c r="BF759">
        <v>584</v>
      </c>
      <c r="BG759" s="1" t="s">
        <v>1049</v>
      </c>
      <c r="BH759" s="1" t="s">
        <v>99</v>
      </c>
      <c r="BI759">
        <v>0</v>
      </c>
      <c r="BJ759" s="1"/>
      <c r="BL759" s="1"/>
      <c r="BN759" s="1"/>
      <c r="BO759">
        <v>599</v>
      </c>
      <c r="BP759">
        <v>4654734.66</v>
      </c>
      <c r="BQ759">
        <v>4654734.66</v>
      </c>
    </row>
    <row r="760" spans="1:69" x14ac:dyDescent="0.35">
      <c r="A760" s="1" t="s">
        <v>68</v>
      </c>
      <c r="B760" s="1" t="s">
        <v>69</v>
      </c>
      <c r="C760" s="1" t="s">
        <v>70</v>
      </c>
      <c r="D760">
        <v>1</v>
      </c>
      <c r="E760">
        <v>1</v>
      </c>
      <c r="F760" s="2">
        <v>43585.43</v>
      </c>
      <c r="G760" s="3">
        <v>41275</v>
      </c>
      <c r="H760" s="3">
        <v>41639</v>
      </c>
      <c r="I760" s="1" t="s">
        <v>71</v>
      </c>
      <c r="J760">
        <v>4521</v>
      </c>
      <c r="K760">
        <v>0</v>
      </c>
      <c r="L760" s="1" t="s">
        <v>384</v>
      </c>
      <c r="M760" s="1" t="s">
        <v>72</v>
      </c>
      <c r="N760" s="1" t="s">
        <v>134</v>
      </c>
      <c r="O760" s="1" t="s">
        <v>385</v>
      </c>
      <c r="P760" s="1" t="s">
        <v>386</v>
      </c>
      <c r="Q760" s="1" t="s">
        <v>387</v>
      </c>
      <c r="R760">
        <v>103</v>
      </c>
      <c r="S760" s="1" t="s">
        <v>135</v>
      </c>
      <c r="T760" s="1" t="s">
        <v>388</v>
      </c>
      <c r="U760" s="1" t="s">
        <v>135</v>
      </c>
      <c r="V760" s="1"/>
      <c r="W760" s="1"/>
      <c r="X760" s="1"/>
      <c r="Y760" s="1"/>
      <c r="AA760" s="1"/>
      <c r="AC760" s="1"/>
      <c r="AD760" s="1"/>
      <c r="AE760" s="1"/>
      <c r="AN760" s="1"/>
      <c r="AP760" s="1"/>
      <c r="AQ760" s="1"/>
      <c r="AR760" s="1"/>
      <c r="AS760" s="1"/>
      <c r="AT760" s="3"/>
      <c r="AU760" s="3"/>
      <c r="AV760" s="3"/>
      <c r="AW760" s="1"/>
      <c r="AX760" s="1"/>
      <c r="AZ760">
        <v>253</v>
      </c>
      <c r="BA760">
        <v>4654734.66</v>
      </c>
      <c r="BB760" s="1" t="s">
        <v>74</v>
      </c>
      <c r="BC760">
        <v>388</v>
      </c>
      <c r="BD760" s="1" t="s">
        <v>894</v>
      </c>
      <c r="BE760" s="1" t="s">
        <v>99</v>
      </c>
      <c r="BF760">
        <v>0</v>
      </c>
      <c r="BG760" s="1"/>
      <c r="BH760" s="1" t="s">
        <v>390</v>
      </c>
      <c r="BI760">
        <v>584</v>
      </c>
      <c r="BJ760" s="1" t="s">
        <v>1049</v>
      </c>
      <c r="BL760" s="1"/>
      <c r="BN760" s="1"/>
      <c r="BO760">
        <v>599</v>
      </c>
      <c r="BP760">
        <v>4654734.66</v>
      </c>
      <c r="BQ760">
        <v>4654734.66</v>
      </c>
    </row>
    <row r="761" spans="1:69" x14ac:dyDescent="0.35">
      <c r="A761" s="1" t="s">
        <v>68</v>
      </c>
      <c r="B761" s="1" t="s">
        <v>69</v>
      </c>
      <c r="C761" s="1" t="s">
        <v>70</v>
      </c>
      <c r="D761">
        <v>1</v>
      </c>
      <c r="E761">
        <v>1</v>
      </c>
      <c r="F761" s="2">
        <v>43585.43</v>
      </c>
      <c r="G761" s="3">
        <v>41275</v>
      </c>
      <c r="H761" s="3">
        <v>41639</v>
      </c>
      <c r="I761" s="1" t="s">
        <v>71</v>
      </c>
      <c r="J761">
        <v>4521</v>
      </c>
      <c r="K761">
        <v>0</v>
      </c>
      <c r="L761" s="1" t="s">
        <v>384</v>
      </c>
      <c r="M761" s="1" t="s">
        <v>72</v>
      </c>
      <c r="N761" s="1" t="s">
        <v>134</v>
      </c>
      <c r="O761" s="1" t="s">
        <v>385</v>
      </c>
      <c r="P761" s="1" t="s">
        <v>386</v>
      </c>
      <c r="Q761" s="1" t="s">
        <v>387</v>
      </c>
      <c r="R761">
        <v>103</v>
      </c>
      <c r="S761" s="1" t="s">
        <v>135</v>
      </c>
      <c r="T761" s="1" t="s">
        <v>388</v>
      </c>
      <c r="U761" s="1" t="s">
        <v>135</v>
      </c>
      <c r="V761" s="1"/>
      <c r="W761" s="1"/>
      <c r="X761" s="1"/>
      <c r="Y761" s="1"/>
      <c r="AA761" s="1"/>
      <c r="AC761" s="1"/>
      <c r="AD761" s="1"/>
      <c r="AE761" s="1"/>
      <c r="AN761" s="1"/>
      <c r="AP761" s="1"/>
      <c r="AQ761" s="1"/>
      <c r="AR761" s="1"/>
      <c r="AS761" s="1"/>
      <c r="AT761" s="3"/>
      <c r="AU761" s="3"/>
      <c r="AV761" s="3"/>
      <c r="AW761" s="1"/>
      <c r="AX761" s="1"/>
      <c r="AZ761">
        <v>253</v>
      </c>
      <c r="BA761">
        <v>4654734.66</v>
      </c>
      <c r="BB761" s="1" t="s">
        <v>74</v>
      </c>
      <c r="BC761">
        <v>389</v>
      </c>
      <c r="BD761" s="1" t="s">
        <v>895</v>
      </c>
      <c r="BE761" s="1" t="s">
        <v>472</v>
      </c>
      <c r="BF761">
        <v>1932.5</v>
      </c>
      <c r="BG761" s="1" t="s">
        <v>1049</v>
      </c>
      <c r="BH761" s="1" t="s">
        <v>99</v>
      </c>
      <c r="BI761">
        <v>0</v>
      </c>
      <c r="BJ761" s="1"/>
      <c r="BL761" s="1"/>
      <c r="BN761" s="1"/>
      <c r="BO761">
        <v>599</v>
      </c>
      <c r="BP761">
        <v>4654734.66</v>
      </c>
      <c r="BQ761">
        <v>4654734.66</v>
      </c>
    </row>
    <row r="762" spans="1:69" x14ac:dyDescent="0.35">
      <c r="A762" s="1" t="s">
        <v>68</v>
      </c>
      <c r="B762" s="1" t="s">
        <v>69</v>
      </c>
      <c r="C762" s="1" t="s">
        <v>70</v>
      </c>
      <c r="D762">
        <v>1</v>
      </c>
      <c r="E762">
        <v>1</v>
      </c>
      <c r="F762" s="2">
        <v>43585.43</v>
      </c>
      <c r="G762" s="3">
        <v>41275</v>
      </c>
      <c r="H762" s="3">
        <v>41639</v>
      </c>
      <c r="I762" s="1" t="s">
        <v>71</v>
      </c>
      <c r="J762">
        <v>4521</v>
      </c>
      <c r="K762">
        <v>0</v>
      </c>
      <c r="L762" s="1" t="s">
        <v>384</v>
      </c>
      <c r="M762" s="1" t="s">
        <v>72</v>
      </c>
      <c r="N762" s="1" t="s">
        <v>134</v>
      </c>
      <c r="O762" s="1" t="s">
        <v>385</v>
      </c>
      <c r="P762" s="1" t="s">
        <v>386</v>
      </c>
      <c r="Q762" s="1" t="s">
        <v>387</v>
      </c>
      <c r="R762">
        <v>103</v>
      </c>
      <c r="S762" s="1" t="s">
        <v>135</v>
      </c>
      <c r="T762" s="1" t="s">
        <v>388</v>
      </c>
      <c r="U762" s="1" t="s">
        <v>135</v>
      </c>
      <c r="V762" s="1"/>
      <c r="W762" s="1"/>
      <c r="X762" s="1"/>
      <c r="Y762" s="1"/>
      <c r="AA762" s="1"/>
      <c r="AC762" s="1"/>
      <c r="AD762" s="1"/>
      <c r="AE762" s="1"/>
      <c r="AN762" s="1"/>
      <c r="AP762" s="1"/>
      <c r="AQ762" s="1"/>
      <c r="AR762" s="1"/>
      <c r="AS762" s="1"/>
      <c r="AT762" s="3"/>
      <c r="AU762" s="3"/>
      <c r="AV762" s="3"/>
      <c r="AW762" s="1"/>
      <c r="AX762" s="1"/>
      <c r="AZ762">
        <v>253</v>
      </c>
      <c r="BA762">
        <v>4654734.66</v>
      </c>
      <c r="BB762" s="1" t="s">
        <v>74</v>
      </c>
      <c r="BC762">
        <v>390</v>
      </c>
      <c r="BD762" s="1" t="s">
        <v>895</v>
      </c>
      <c r="BE762" s="1" t="s">
        <v>99</v>
      </c>
      <c r="BF762">
        <v>0</v>
      </c>
      <c r="BG762" s="1"/>
      <c r="BH762" s="1" t="s">
        <v>391</v>
      </c>
      <c r="BI762">
        <v>1932.5</v>
      </c>
      <c r="BJ762" s="1" t="s">
        <v>1049</v>
      </c>
      <c r="BL762" s="1"/>
      <c r="BN762" s="1"/>
      <c r="BO762">
        <v>599</v>
      </c>
      <c r="BP762">
        <v>4654734.66</v>
      </c>
      <c r="BQ762">
        <v>4654734.66</v>
      </c>
    </row>
    <row r="763" spans="1:69" x14ac:dyDescent="0.35">
      <c r="A763" s="1" t="s">
        <v>68</v>
      </c>
      <c r="B763" s="1" t="s">
        <v>69</v>
      </c>
      <c r="C763" s="1" t="s">
        <v>70</v>
      </c>
      <c r="D763">
        <v>1</v>
      </c>
      <c r="E763">
        <v>1</v>
      </c>
      <c r="F763" s="2">
        <v>43585.43</v>
      </c>
      <c r="G763" s="3">
        <v>41275</v>
      </c>
      <c r="H763" s="3">
        <v>41639</v>
      </c>
      <c r="I763" s="1" t="s">
        <v>71</v>
      </c>
      <c r="J763">
        <v>4521</v>
      </c>
      <c r="K763">
        <v>0</v>
      </c>
      <c r="L763" s="1" t="s">
        <v>384</v>
      </c>
      <c r="M763" s="1" t="s">
        <v>72</v>
      </c>
      <c r="N763" s="1" t="s">
        <v>134</v>
      </c>
      <c r="O763" s="1" t="s">
        <v>385</v>
      </c>
      <c r="P763" s="1" t="s">
        <v>386</v>
      </c>
      <c r="Q763" s="1" t="s">
        <v>387</v>
      </c>
      <c r="R763">
        <v>103</v>
      </c>
      <c r="S763" s="1" t="s">
        <v>135</v>
      </c>
      <c r="T763" s="1" t="s">
        <v>388</v>
      </c>
      <c r="U763" s="1" t="s">
        <v>135</v>
      </c>
      <c r="V763" s="1"/>
      <c r="W763" s="1"/>
      <c r="X763" s="1"/>
      <c r="Y763" s="1"/>
      <c r="AA763" s="1"/>
      <c r="AC763" s="1"/>
      <c r="AD763" s="1"/>
      <c r="AE763" s="1"/>
      <c r="AN763" s="1"/>
      <c r="AP763" s="1"/>
      <c r="AQ763" s="1"/>
      <c r="AR763" s="1"/>
      <c r="AS763" s="1"/>
      <c r="AT763" s="3"/>
      <c r="AU763" s="3"/>
      <c r="AV763" s="3"/>
      <c r="AW763" s="1"/>
      <c r="AX763" s="1"/>
      <c r="AZ763">
        <v>253</v>
      </c>
      <c r="BA763">
        <v>4654734.66</v>
      </c>
      <c r="BB763" s="1" t="s">
        <v>74</v>
      </c>
      <c r="BC763">
        <v>391</v>
      </c>
      <c r="BD763" s="1" t="s">
        <v>896</v>
      </c>
      <c r="BE763" s="1" t="s">
        <v>479</v>
      </c>
      <c r="BF763">
        <v>4264.4799999999996</v>
      </c>
      <c r="BG763" s="1" t="s">
        <v>1049</v>
      </c>
      <c r="BH763" s="1" t="s">
        <v>99</v>
      </c>
      <c r="BI763">
        <v>0</v>
      </c>
      <c r="BJ763" s="1"/>
      <c r="BL763" s="1"/>
      <c r="BN763" s="1"/>
      <c r="BO763">
        <v>599</v>
      </c>
      <c r="BP763">
        <v>4654734.66</v>
      </c>
      <c r="BQ763">
        <v>4654734.66</v>
      </c>
    </row>
    <row r="764" spans="1:69" x14ac:dyDescent="0.35">
      <c r="A764" s="1" t="s">
        <v>68</v>
      </c>
      <c r="B764" s="1" t="s">
        <v>69</v>
      </c>
      <c r="C764" s="1" t="s">
        <v>70</v>
      </c>
      <c r="D764">
        <v>1</v>
      </c>
      <c r="E764">
        <v>1</v>
      </c>
      <c r="F764" s="2">
        <v>43585.43</v>
      </c>
      <c r="G764" s="3">
        <v>41275</v>
      </c>
      <c r="H764" s="3">
        <v>41639</v>
      </c>
      <c r="I764" s="1" t="s">
        <v>71</v>
      </c>
      <c r="J764">
        <v>4521</v>
      </c>
      <c r="K764">
        <v>0</v>
      </c>
      <c r="L764" s="1" t="s">
        <v>384</v>
      </c>
      <c r="M764" s="1" t="s">
        <v>72</v>
      </c>
      <c r="N764" s="1" t="s">
        <v>134</v>
      </c>
      <c r="O764" s="1" t="s">
        <v>385</v>
      </c>
      <c r="P764" s="1" t="s">
        <v>386</v>
      </c>
      <c r="Q764" s="1" t="s">
        <v>387</v>
      </c>
      <c r="R764">
        <v>103</v>
      </c>
      <c r="S764" s="1" t="s">
        <v>135</v>
      </c>
      <c r="T764" s="1" t="s">
        <v>388</v>
      </c>
      <c r="U764" s="1" t="s">
        <v>135</v>
      </c>
      <c r="V764" s="1"/>
      <c r="W764" s="1"/>
      <c r="X764" s="1"/>
      <c r="Y764" s="1"/>
      <c r="AA764" s="1"/>
      <c r="AC764" s="1"/>
      <c r="AD764" s="1"/>
      <c r="AE764" s="1"/>
      <c r="AN764" s="1"/>
      <c r="AP764" s="1"/>
      <c r="AQ764" s="1"/>
      <c r="AR764" s="1"/>
      <c r="AS764" s="1"/>
      <c r="AT764" s="3"/>
      <c r="AU764" s="3"/>
      <c r="AV764" s="3"/>
      <c r="AW764" s="1"/>
      <c r="AX764" s="1"/>
      <c r="AZ764">
        <v>253</v>
      </c>
      <c r="BA764">
        <v>4654734.66</v>
      </c>
      <c r="BB764" s="1" t="s">
        <v>74</v>
      </c>
      <c r="BC764">
        <v>392</v>
      </c>
      <c r="BD764" s="1" t="s">
        <v>896</v>
      </c>
      <c r="BE764" s="1" t="s">
        <v>99</v>
      </c>
      <c r="BF764">
        <v>0</v>
      </c>
      <c r="BG764" s="1"/>
      <c r="BH764" s="1" t="s">
        <v>136</v>
      </c>
      <c r="BI764">
        <v>4264.4799999999996</v>
      </c>
      <c r="BJ764" s="1" t="s">
        <v>1049</v>
      </c>
      <c r="BL764" s="1"/>
      <c r="BN764" s="1"/>
      <c r="BO764">
        <v>599</v>
      </c>
      <c r="BP764">
        <v>4654734.66</v>
      </c>
      <c r="BQ764">
        <v>4654734.66</v>
      </c>
    </row>
    <row r="765" spans="1:69" x14ac:dyDescent="0.35">
      <c r="A765" s="1" t="s">
        <v>68</v>
      </c>
      <c r="B765" s="1" t="s">
        <v>69</v>
      </c>
      <c r="C765" s="1" t="s">
        <v>70</v>
      </c>
      <c r="D765">
        <v>1</v>
      </c>
      <c r="E765">
        <v>1</v>
      </c>
      <c r="F765" s="2">
        <v>43585.43</v>
      </c>
      <c r="G765" s="3">
        <v>41275</v>
      </c>
      <c r="H765" s="3">
        <v>41639</v>
      </c>
      <c r="I765" s="1" t="s">
        <v>71</v>
      </c>
      <c r="J765">
        <v>4521</v>
      </c>
      <c r="K765">
        <v>0</v>
      </c>
      <c r="L765" s="1" t="s">
        <v>384</v>
      </c>
      <c r="M765" s="1" t="s">
        <v>72</v>
      </c>
      <c r="N765" s="1" t="s">
        <v>134</v>
      </c>
      <c r="O765" s="1" t="s">
        <v>385</v>
      </c>
      <c r="P765" s="1" t="s">
        <v>386</v>
      </c>
      <c r="Q765" s="1" t="s">
        <v>387</v>
      </c>
      <c r="R765">
        <v>103</v>
      </c>
      <c r="S765" s="1" t="s">
        <v>135</v>
      </c>
      <c r="T765" s="1" t="s">
        <v>388</v>
      </c>
      <c r="U765" s="1" t="s">
        <v>135</v>
      </c>
      <c r="V765" s="1"/>
      <c r="W765" s="1"/>
      <c r="X765" s="1"/>
      <c r="Y765" s="1"/>
      <c r="AA765" s="1"/>
      <c r="AC765" s="1"/>
      <c r="AD765" s="1"/>
      <c r="AE765" s="1"/>
      <c r="AN765" s="1"/>
      <c r="AP765" s="1"/>
      <c r="AQ765" s="1"/>
      <c r="AR765" s="1"/>
      <c r="AS765" s="1"/>
      <c r="AT765" s="3"/>
      <c r="AU765" s="3"/>
      <c r="AV765" s="3"/>
      <c r="AW765" s="1"/>
      <c r="AX765" s="1"/>
      <c r="AZ765">
        <v>253</v>
      </c>
      <c r="BA765">
        <v>4654734.66</v>
      </c>
      <c r="BB765" s="1" t="s">
        <v>74</v>
      </c>
      <c r="BC765">
        <v>393</v>
      </c>
      <c r="BD765" s="1" t="s">
        <v>897</v>
      </c>
      <c r="BE765" s="1" t="s">
        <v>480</v>
      </c>
      <c r="BF765">
        <v>884</v>
      </c>
      <c r="BG765" s="1" t="s">
        <v>1049</v>
      </c>
      <c r="BH765" s="1" t="s">
        <v>99</v>
      </c>
      <c r="BI765">
        <v>0</v>
      </c>
      <c r="BJ765" s="1"/>
      <c r="BL765" s="1"/>
      <c r="BN765" s="1"/>
      <c r="BO765">
        <v>599</v>
      </c>
      <c r="BP765">
        <v>4654734.66</v>
      </c>
      <c r="BQ765">
        <v>4654734.66</v>
      </c>
    </row>
    <row r="766" spans="1:69" x14ac:dyDescent="0.35">
      <c r="A766" s="1" t="s">
        <v>68</v>
      </c>
      <c r="B766" s="1" t="s">
        <v>69</v>
      </c>
      <c r="C766" s="1" t="s">
        <v>70</v>
      </c>
      <c r="D766">
        <v>1</v>
      </c>
      <c r="E766">
        <v>1</v>
      </c>
      <c r="F766" s="2">
        <v>43585.43</v>
      </c>
      <c r="G766" s="3">
        <v>41275</v>
      </c>
      <c r="H766" s="3">
        <v>41639</v>
      </c>
      <c r="I766" s="1" t="s">
        <v>71</v>
      </c>
      <c r="J766">
        <v>4521</v>
      </c>
      <c r="K766">
        <v>0</v>
      </c>
      <c r="L766" s="1" t="s">
        <v>384</v>
      </c>
      <c r="M766" s="1" t="s">
        <v>72</v>
      </c>
      <c r="N766" s="1" t="s">
        <v>134</v>
      </c>
      <c r="O766" s="1" t="s">
        <v>385</v>
      </c>
      <c r="P766" s="1" t="s">
        <v>386</v>
      </c>
      <c r="Q766" s="1" t="s">
        <v>387</v>
      </c>
      <c r="R766">
        <v>103</v>
      </c>
      <c r="S766" s="1" t="s">
        <v>135</v>
      </c>
      <c r="T766" s="1" t="s">
        <v>388</v>
      </c>
      <c r="U766" s="1" t="s">
        <v>135</v>
      </c>
      <c r="V766" s="1"/>
      <c r="W766" s="1"/>
      <c r="X766" s="1"/>
      <c r="Y766" s="1"/>
      <c r="AA766" s="1"/>
      <c r="AC766" s="1"/>
      <c r="AD766" s="1"/>
      <c r="AE766" s="1"/>
      <c r="AN766" s="1"/>
      <c r="AP766" s="1"/>
      <c r="AQ766" s="1"/>
      <c r="AR766" s="1"/>
      <c r="AS766" s="1"/>
      <c r="AT766" s="3"/>
      <c r="AU766" s="3"/>
      <c r="AV766" s="3"/>
      <c r="AW766" s="1"/>
      <c r="AX766" s="1"/>
      <c r="AZ766">
        <v>253</v>
      </c>
      <c r="BA766">
        <v>4654734.66</v>
      </c>
      <c r="BB766" s="1" t="s">
        <v>74</v>
      </c>
      <c r="BC766">
        <v>394</v>
      </c>
      <c r="BD766" s="1" t="s">
        <v>897</v>
      </c>
      <c r="BE766" s="1" t="s">
        <v>99</v>
      </c>
      <c r="BF766">
        <v>0</v>
      </c>
      <c r="BG766" s="1"/>
      <c r="BH766" s="1" t="s">
        <v>136</v>
      </c>
      <c r="BI766">
        <v>884</v>
      </c>
      <c r="BJ766" s="1" t="s">
        <v>1049</v>
      </c>
      <c r="BL766" s="1"/>
      <c r="BN766" s="1"/>
      <c r="BO766">
        <v>599</v>
      </c>
      <c r="BP766">
        <v>4654734.66</v>
      </c>
      <c r="BQ766">
        <v>4654734.66</v>
      </c>
    </row>
    <row r="767" spans="1:69" x14ac:dyDescent="0.35">
      <c r="A767" s="1" t="s">
        <v>68</v>
      </c>
      <c r="B767" s="1" t="s">
        <v>69</v>
      </c>
      <c r="C767" s="1" t="s">
        <v>70</v>
      </c>
      <c r="D767">
        <v>1</v>
      </c>
      <c r="E767">
        <v>1</v>
      </c>
      <c r="F767" s="2">
        <v>43585.43</v>
      </c>
      <c r="G767" s="3">
        <v>41275</v>
      </c>
      <c r="H767" s="3">
        <v>41639</v>
      </c>
      <c r="I767" s="1" t="s">
        <v>71</v>
      </c>
      <c r="J767">
        <v>4521</v>
      </c>
      <c r="K767">
        <v>0</v>
      </c>
      <c r="L767" s="1" t="s">
        <v>384</v>
      </c>
      <c r="M767" s="1" t="s">
        <v>72</v>
      </c>
      <c r="N767" s="1" t="s">
        <v>134</v>
      </c>
      <c r="O767" s="1" t="s">
        <v>385</v>
      </c>
      <c r="P767" s="1" t="s">
        <v>386</v>
      </c>
      <c r="Q767" s="1" t="s">
        <v>387</v>
      </c>
      <c r="R767">
        <v>103</v>
      </c>
      <c r="S767" s="1" t="s">
        <v>135</v>
      </c>
      <c r="T767" s="1" t="s">
        <v>388</v>
      </c>
      <c r="U767" s="1" t="s">
        <v>135</v>
      </c>
      <c r="V767" s="1"/>
      <c r="W767" s="1"/>
      <c r="X767" s="1"/>
      <c r="Y767" s="1"/>
      <c r="AA767" s="1"/>
      <c r="AC767" s="1"/>
      <c r="AD767" s="1"/>
      <c r="AE767" s="1"/>
      <c r="AN767" s="1"/>
      <c r="AP767" s="1"/>
      <c r="AQ767" s="1"/>
      <c r="AR767" s="1"/>
      <c r="AS767" s="1"/>
      <c r="AT767" s="3"/>
      <c r="AU767" s="3"/>
      <c r="AV767" s="3"/>
      <c r="AW767" s="1"/>
      <c r="AX767" s="1"/>
      <c r="AZ767">
        <v>253</v>
      </c>
      <c r="BA767">
        <v>4654734.66</v>
      </c>
      <c r="BB767" s="1" t="s">
        <v>74</v>
      </c>
      <c r="BC767">
        <v>395</v>
      </c>
      <c r="BD767" s="1" t="s">
        <v>898</v>
      </c>
      <c r="BE767" s="1" t="s">
        <v>479</v>
      </c>
      <c r="BF767">
        <v>1232.5</v>
      </c>
      <c r="BG767" s="1" t="s">
        <v>1049</v>
      </c>
      <c r="BH767" s="1" t="s">
        <v>99</v>
      </c>
      <c r="BI767">
        <v>0</v>
      </c>
      <c r="BJ767" s="1"/>
      <c r="BL767" s="1"/>
      <c r="BN767" s="1"/>
      <c r="BO767">
        <v>599</v>
      </c>
      <c r="BP767">
        <v>4654734.66</v>
      </c>
      <c r="BQ767">
        <v>4654734.66</v>
      </c>
    </row>
    <row r="768" spans="1:69" x14ac:dyDescent="0.35">
      <c r="A768" s="1" t="s">
        <v>68</v>
      </c>
      <c r="B768" s="1" t="s">
        <v>69</v>
      </c>
      <c r="C768" s="1" t="s">
        <v>70</v>
      </c>
      <c r="D768">
        <v>1</v>
      </c>
      <c r="E768">
        <v>1</v>
      </c>
      <c r="F768" s="2">
        <v>43585.43</v>
      </c>
      <c r="G768" s="3">
        <v>41275</v>
      </c>
      <c r="H768" s="3">
        <v>41639</v>
      </c>
      <c r="I768" s="1" t="s">
        <v>71</v>
      </c>
      <c r="J768">
        <v>4521</v>
      </c>
      <c r="K768">
        <v>0</v>
      </c>
      <c r="L768" s="1" t="s">
        <v>384</v>
      </c>
      <c r="M768" s="1" t="s">
        <v>72</v>
      </c>
      <c r="N768" s="1" t="s">
        <v>134</v>
      </c>
      <c r="O768" s="1" t="s">
        <v>385</v>
      </c>
      <c r="P768" s="1" t="s">
        <v>386</v>
      </c>
      <c r="Q768" s="1" t="s">
        <v>387</v>
      </c>
      <c r="R768">
        <v>103</v>
      </c>
      <c r="S768" s="1" t="s">
        <v>135</v>
      </c>
      <c r="T768" s="1" t="s">
        <v>388</v>
      </c>
      <c r="U768" s="1" t="s">
        <v>135</v>
      </c>
      <c r="V768" s="1"/>
      <c r="W768" s="1"/>
      <c r="X768" s="1"/>
      <c r="Y768" s="1"/>
      <c r="AA768" s="1"/>
      <c r="AC768" s="1"/>
      <c r="AD768" s="1"/>
      <c r="AE768" s="1"/>
      <c r="AN768" s="1"/>
      <c r="AP768" s="1"/>
      <c r="AQ768" s="1"/>
      <c r="AR768" s="1"/>
      <c r="AS768" s="1"/>
      <c r="AT768" s="3"/>
      <c r="AU768" s="3"/>
      <c r="AV768" s="3"/>
      <c r="AW768" s="1"/>
      <c r="AX768" s="1"/>
      <c r="AZ768">
        <v>253</v>
      </c>
      <c r="BA768">
        <v>4654734.66</v>
      </c>
      <c r="BB768" s="1" t="s">
        <v>74</v>
      </c>
      <c r="BC768">
        <v>396</v>
      </c>
      <c r="BD768" s="1" t="s">
        <v>898</v>
      </c>
      <c r="BE768" s="1" t="s">
        <v>99</v>
      </c>
      <c r="BF768">
        <v>0</v>
      </c>
      <c r="BG768" s="1"/>
      <c r="BH768" s="1" t="s">
        <v>136</v>
      </c>
      <c r="BI768">
        <v>1232.5</v>
      </c>
      <c r="BJ768" s="1" t="s">
        <v>1049</v>
      </c>
      <c r="BL768" s="1"/>
      <c r="BN768" s="1"/>
      <c r="BO768">
        <v>599</v>
      </c>
      <c r="BP768">
        <v>4654734.66</v>
      </c>
      <c r="BQ768">
        <v>4654734.66</v>
      </c>
    </row>
    <row r="769" spans="1:69" x14ac:dyDescent="0.35">
      <c r="A769" s="1" t="s">
        <v>68</v>
      </c>
      <c r="B769" s="1" t="s">
        <v>69</v>
      </c>
      <c r="C769" s="1" t="s">
        <v>70</v>
      </c>
      <c r="D769">
        <v>1</v>
      </c>
      <c r="E769">
        <v>1</v>
      </c>
      <c r="F769" s="2">
        <v>43585.43</v>
      </c>
      <c r="G769" s="3">
        <v>41275</v>
      </c>
      <c r="H769" s="3">
        <v>41639</v>
      </c>
      <c r="I769" s="1" t="s">
        <v>71</v>
      </c>
      <c r="J769">
        <v>4521</v>
      </c>
      <c r="K769">
        <v>0</v>
      </c>
      <c r="L769" s="1" t="s">
        <v>384</v>
      </c>
      <c r="M769" s="1" t="s">
        <v>72</v>
      </c>
      <c r="N769" s="1" t="s">
        <v>134</v>
      </c>
      <c r="O769" s="1" t="s">
        <v>385</v>
      </c>
      <c r="P769" s="1" t="s">
        <v>386</v>
      </c>
      <c r="Q769" s="1" t="s">
        <v>387</v>
      </c>
      <c r="R769">
        <v>103</v>
      </c>
      <c r="S769" s="1" t="s">
        <v>135</v>
      </c>
      <c r="T769" s="1" t="s">
        <v>388</v>
      </c>
      <c r="U769" s="1" t="s">
        <v>135</v>
      </c>
      <c r="V769" s="1"/>
      <c r="W769" s="1"/>
      <c r="X769" s="1"/>
      <c r="Y769" s="1"/>
      <c r="AA769" s="1"/>
      <c r="AC769" s="1"/>
      <c r="AD769" s="1"/>
      <c r="AE769" s="1"/>
      <c r="AN769" s="1"/>
      <c r="AP769" s="1"/>
      <c r="AQ769" s="1"/>
      <c r="AR769" s="1"/>
      <c r="AS769" s="1"/>
      <c r="AT769" s="3"/>
      <c r="AU769" s="3"/>
      <c r="AV769" s="3"/>
      <c r="AW769" s="1"/>
      <c r="AX769" s="1"/>
      <c r="AZ769">
        <v>253</v>
      </c>
      <c r="BA769">
        <v>4654734.66</v>
      </c>
      <c r="BB769" s="1" t="s">
        <v>74</v>
      </c>
      <c r="BC769">
        <v>397</v>
      </c>
      <c r="BD769" s="1" t="s">
        <v>899</v>
      </c>
      <c r="BE769" s="1" t="s">
        <v>468</v>
      </c>
      <c r="BF769">
        <v>18450</v>
      </c>
      <c r="BG769" s="1" t="s">
        <v>1040</v>
      </c>
      <c r="BH769" s="1" t="s">
        <v>99</v>
      </c>
      <c r="BI769">
        <v>0</v>
      </c>
      <c r="BJ769" s="1"/>
      <c r="BL769" s="1"/>
      <c r="BN769" s="1"/>
      <c r="BO769">
        <v>599</v>
      </c>
      <c r="BP769">
        <v>4654734.66</v>
      </c>
      <c r="BQ769">
        <v>4654734.66</v>
      </c>
    </row>
    <row r="770" spans="1:69" x14ac:dyDescent="0.35">
      <c r="A770" s="1" t="s">
        <v>68</v>
      </c>
      <c r="B770" s="1" t="s">
        <v>69</v>
      </c>
      <c r="C770" s="1" t="s">
        <v>70</v>
      </c>
      <c r="D770">
        <v>1</v>
      </c>
      <c r="E770">
        <v>1</v>
      </c>
      <c r="F770" s="2">
        <v>43585.43</v>
      </c>
      <c r="G770" s="3">
        <v>41275</v>
      </c>
      <c r="H770" s="3">
        <v>41639</v>
      </c>
      <c r="I770" s="1" t="s">
        <v>71</v>
      </c>
      <c r="J770">
        <v>4521</v>
      </c>
      <c r="K770">
        <v>0</v>
      </c>
      <c r="L770" s="1" t="s">
        <v>384</v>
      </c>
      <c r="M770" s="1" t="s">
        <v>72</v>
      </c>
      <c r="N770" s="1" t="s">
        <v>134</v>
      </c>
      <c r="O770" s="1" t="s">
        <v>385</v>
      </c>
      <c r="P770" s="1" t="s">
        <v>386</v>
      </c>
      <c r="Q770" s="1" t="s">
        <v>387</v>
      </c>
      <c r="R770">
        <v>103</v>
      </c>
      <c r="S770" s="1" t="s">
        <v>135</v>
      </c>
      <c r="T770" s="1" t="s">
        <v>388</v>
      </c>
      <c r="U770" s="1" t="s">
        <v>135</v>
      </c>
      <c r="V770" s="1"/>
      <c r="W770" s="1"/>
      <c r="X770" s="1"/>
      <c r="Y770" s="1"/>
      <c r="AA770" s="1"/>
      <c r="AC770" s="1"/>
      <c r="AD770" s="1"/>
      <c r="AE770" s="1"/>
      <c r="AN770" s="1"/>
      <c r="AP770" s="1"/>
      <c r="AQ770" s="1"/>
      <c r="AR770" s="1"/>
      <c r="AS770" s="1"/>
      <c r="AT770" s="3"/>
      <c r="AU770" s="3"/>
      <c r="AV770" s="3"/>
      <c r="AW770" s="1"/>
      <c r="AX770" s="1"/>
      <c r="AZ770">
        <v>253</v>
      </c>
      <c r="BA770">
        <v>4654734.66</v>
      </c>
      <c r="BB770" s="1" t="s">
        <v>74</v>
      </c>
      <c r="BC770">
        <v>398</v>
      </c>
      <c r="BD770" s="1" t="s">
        <v>899</v>
      </c>
      <c r="BE770" s="1" t="s">
        <v>99</v>
      </c>
      <c r="BF770">
        <v>0</v>
      </c>
      <c r="BG770" s="1"/>
      <c r="BH770" s="1" t="s">
        <v>430</v>
      </c>
      <c r="BI770">
        <v>18450</v>
      </c>
      <c r="BJ770" s="1" t="s">
        <v>1040</v>
      </c>
      <c r="BL770" s="1"/>
      <c r="BN770" s="1"/>
      <c r="BO770">
        <v>599</v>
      </c>
      <c r="BP770">
        <v>4654734.66</v>
      </c>
      <c r="BQ770">
        <v>4654734.66</v>
      </c>
    </row>
    <row r="771" spans="1:69" x14ac:dyDescent="0.35">
      <c r="A771" s="1" t="s">
        <v>68</v>
      </c>
      <c r="B771" s="1" t="s">
        <v>69</v>
      </c>
      <c r="C771" s="1" t="s">
        <v>70</v>
      </c>
      <c r="D771">
        <v>1</v>
      </c>
      <c r="E771">
        <v>1</v>
      </c>
      <c r="F771" s="2">
        <v>43585.43</v>
      </c>
      <c r="G771" s="3">
        <v>41275</v>
      </c>
      <c r="H771" s="3">
        <v>41639</v>
      </c>
      <c r="I771" s="1" t="s">
        <v>71</v>
      </c>
      <c r="J771">
        <v>4521</v>
      </c>
      <c r="K771">
        <v>0</v>
      </c>
      <c r="L771" s="1" t="s">
        <v>384</v>
      </c>
      <c r="M771" s="1" t="s">
        <v>72</v>
      </c>
      <c r="N771" s="1" t="s">
        <v>134</v>
      </c>
      <c r="O771" s="1" t="s">
        <v>385</v>
      </c>
      <c r="P771" s="1" t="s">
        <v>386</v>
      </c>
      <c r="Q771" s="1" t="s">
        <v>387</v>
      </c>
      <c r="R771">
        <v>103</v>
      </c>
      <c r="S771" s="1" t="s">
        <v>135</v>
      </c>
      <c r="T771" s="1" t="s">
        <v>388</v>
      </c>
      <c r="U771" s="1" t="s">
        <v>135</v>
      </c>
      <c r="V771" s="1"/>
      <c r="W771" s="1"/>
      <c r="X771" s="1"/>
      <c r="Y771" s="1"/>
      <c r="AA771" s="1"/>
      <c r="AC771" s="1"/>
      <c r="AD771" s="1"/>
      <c r="AE771" s="1"/>
      <c r="AN771" s="1"/>
      <c r="AP771" s="1"/>
      <c r="AQ771" s="1"/>
      <c r="AR771" s="1"/>
      <c r="AS771" s="1"/>
      <c r="AT771" s="3"/>
      <c r="AU771" s="3"/>
      <c r="AV771" s="3"/>
      <c r="AW771" s="1"/>
      <c r="AX771" s="1"/>
      <c r="AZ771">
        <v>253</v>
      </c>
      <c r="BA771">
        <v>4654734.66</v>
      </c>
      <c r="BB771" s="1" t="s">
        <v>74</v>
      </c>
      <c r="BC771">
        <v>399</v>
      </c>
      <c r="BD771" s="1" t="s">
        <v>900</v>
      </c>
      <c r="BE771" s="1" t="s">
        <v>410</v>
      </c>
      <c r="BF771">
        <v>4548.54</v>
      </c>
      <c r="BG771" s="1" t="s">
        <v>1050</v>
      </c>
      <c r="BH771" s="1" t="s">
        <v>99</v>
      </c>
      <c r="BI771">
        <v>0</v>
      </c>
      <c r="BJ771" s="1"/>
      <c r="BL771" s="1"/>
      <c r="BN771" s="1"/>
      <c r="BO771">
        <v>599</v>
      </c>
      <c r="BP771">
        <v>4654734.66</v>
      </c>
      <c r="BQ771">
        <v>4654734.66</v>
      </c>
    </row>
    <row r="772" spans="1:69" x14ac:dyDescent="0.35">
      <c r="A772" s="1" t="s">
        <v>68</v>
      </c>
      <c r="B772" s="1" t="s">
        <v>69</v>
      </c>
      <c r="C772" s="1" t="s">
        <v>70</v>
      </c>
      <c r="D772">
        <v>1</v>
      </c>
      <c r="E772">
        <v>1</v>
      </c>
      <c r="F772" s="2">
        <v>43585.43</v>
      </c>
      <c r="G772" s="3">
        <v>41275</v>
      </c>
      <c r="H772" s="3">
        <v>41639</v>
      </c>
      <c r="I772" s="1" t="s">
        <v>71</v>
      </c>
      <c r="J772">
        <v>4521</v>
      </c>
      <c r="K772">
        <v>0</v>
      </c>
      <c r="L772" s="1" t="s">
        <v>384</v>
      </c>
      <c r="M772" s="1" t="s">
        <v>72</v>
      </c>
      <c r="N772" s="1" t="s">
        <v>134</v>
      </c>
      <c r="O772" s="1" t="s">
        <v>385</v>
      </c>
      <c r="P772" s="1" t="s">
        <v>386</v>
      </c>
      <c r="Q772" s="1" t="s">
        <v>387</v>
      </c>
      <c r="R772">
        <v>103</v>
      </c>
      <c r="S772" s="1" t="s">
        <v>135</v>
      </c>
      <c r="T772" s="1" t="s">
        <v>388</v>
      </c>
      <c r="U772" s="1" t="s">
        <v>135</v>
      </c>
      <c r="V772" s="1"/>
      <c r="W772" s="1"/>
      <c r="X772" s="1"/>
      <c r="Y772" s="1"/>
      <c r="AA772" s="1"/>
      <c r="AC772" s="1"/>
      <c r="AD772" s="1"/>
      <c r="AE772" s="1"/>
      <c r="AN772" s="1"/>
      <c r="AP772" s="1"/>
      <c r="AQ772" s="1"/>
      <c r="AR772" s="1"/>
      <c r="AS772" s="1"/>
      <c r="AT772" s="3"/>
      <c r="AU772" s="3"/>
      <c r="AV772" s="3"/>
      <c r="AW772" s="1"/>
      <c r="AX772" s="1"/>
      <c r="AZ772">
        <v>253</v>
      </c>
      <c r="BA772">
        <v>4654734.66</v>
      </c>
      <c r="BB772" s="1" t="s">
        <v>74</v>
      </c>
      <c r="BC772">
        <v>400</v>
      </c>
      <c r="BD772" s="1" t="s">
        <v>900</v>
      </c>
      <c r="BE772" s="1" t="s">
        <v>99</v>
      </c>
      <c r="BF772">
        <v>0</v>
      </c>
      <c r="BG772" s="1"/>
      <c r="BH772" s="1" t="s">
        <v>489</v>
      </c>
      <c r="BI772">
        <v>3698</v>
      </c>
      <c r="BJ772" s="1" t="s">
        <v>1050</v>
      </c>
      <c r="BL772" s="1"/>
      <c r="BN772" s="1"/>
      <c r="BO772">
        <v>599</v>
      </c>
      <c r="BP772">
        <v>4654734.66</v>
      </c>
      <c r="BQ772">
        <v>4654734.66</v>
      </c>
    </row>
    <row r="773" spans="1:69" x14ac:dyDescent="0.35">
      <c r="A773" s="1" t="s">
        <v>68</v>
      </c>
      <c r="B773" s="1" t="s">
        <v>69</v>
      </c>
      <c r="C773" s="1" t="s">
        <v>70</v>
      </c>
      <c r="D773">
        <v>1</v>
      </c>
      <c r="E773">
        <v>1</v>
      </c>
      <c r="F773" s="2">
        <v>43585.43</v>
      </c>
      <c r="G773" s="3">
        <v>41275</v>
      </c>
      <c r="H773" s="3">
        <v>41639</v>
      </c>
      <c r="I773" s="1" t="s">
        <v>71</v>
      </c>
      <c r="J773">
        <v>4521</v>
      </c>
      <c r="K773">
        <v>0</v>
      </c>
      <c r="L773" s="1" t="s">
        <v>384</v>
      </c>
      <c r="M773" s="1" t="s">
        <v>72</v>
      </c>
      <c r="N773" s="1" t="s">
        <v>134</v>
      </c>
      <c r="O773" s="1" t="s">
        <v>385</v>
      </c>
      <c r="P773" s="1" t="s">
        <v>386</v>
      </c>
      <c r="Q773" s="1" t="s">
        <v>387</v>
      </c>
      <c r="R773">
        <v>103</v>
      </c>
      <c r="S773" s="1" t="s">
        <v>135</v>
      </c>
      <c r="T773" s="1" t="s">
        <v>388</v>
      </c>
      <c r="U773" s="1" t="s">
        <v>135</v>
      </c>
      <c r="V773" s="1"/>
      <c r="W773" s="1"/>
      <c r="X773" s="1"/>
      <c r="Y773" s="1"/>
      <c r="AA773" s="1"/>
      <c r="AC773" s="1"/>
      <c r="AD773" s="1"/>
      <c r="AE773" s="1"/>
      <c r="AN773" s="1"/>
      <c r="AP773" s="1"/>
      <c r="AQ773" s="1"/>
      <c r="AR773" s="1"/>
      <c r="AS773" s="1"/>
      <c r="AT773" s="3"/>
      <c r="AU773" s="3"/>
      <c r="AV773" s="3"/>
      <c r="AW773" s="1"/>
      <c r="AX773" s="1"/>
      <c r="AZ773">
        <v>253</v>
      </c>
      <c r="BA773">
        <v>4654734.66</v>
      </c>
      <c r="BB773" s="1" t="s">
        <v>74</v>
      </c>
      <c r="BC773">
        <v>401</v>
      </c>
      <c r="BD773" s="1" t="s">
        <v>900</v>
      </c>
      <c r="BE773" s="1" t="s">
        <v>99</v>
      </c>
      <c r="BF773">
        <v>0</v>
      </c>
      <c r="BG773" s="1"/>
      <c r="BH773" s="1" t="s">
        <v>451</v>
      </c>
      <c r="BI773">
        <v>850.54</v>
      </c>
      <c r="BJ773" s="1" t="s">
        <v>1050</v>
      </c>
      <c r="BL773" s="1"/>
      <c r="BN773" s="1"/>
      <c r="BO773">
        <v>599</v>
      </c>
      <c r="BP773">
        <v>4654734.66</v>
      </c>
      <c r="BQ773">
        <v>4654734.66</v>
      </c>
    </row>
    <row r="774" spans="1:69" x14ac:dyDescent="0.35">
      <c r="A774" s="1" t="s">
        <v>68</v>
      </c>
      <c r="B774" s="1" t="s">
        <v>69</v>
      </c>
      <c r="C774" s="1" t="s">
        <v>70</v>
      </c>
      <c r="D774">
        <v>1</v>
      </c>
      <c r="E774">
        <v>1</v>
      </c>
      <c r="F774" s="2">
        <v>43585.43</v>
      </c>
      <c r="G774" s="3">
        <v>41275</v>
      </c>
      <c r="H774" s="3">
        <v>41639</v>
      </c>
      <c r="I774" s="1" t="s">
        <v>71</v>
      </c>
      <c r="J774">
        <v>4521</v>
      </c>
      <c r="K774">
        <v>0</v>
      </c>
      <c r="L774" s="1" t="s">
        <v>384</v>
      </c>
      <c r="M774" s="1" t="s">
        <v>72</v>
      </c>
      <c r="N774" s="1" t="s">
        <v>134</v>
      </c>
      <c r="O774" s="1" t="s">
        <v>385</v>
      </c>
      <c r="P774" s="1" t="s">
        <v>386</v>
      </c>
      <c r="Q774" s="1" t="s">
        <v>387</v>
      </c>
      <c r="R774">
        <v>103</v>
      </c>
      <c r="S774" s="1" t="s">
        <v>135</v>
      </c>
      <c r="T774" s="1" t="s">
        <v>388</v>
      </c>
      <c r="U774" s="1" t="s">
        <v>135</v>
      </c>
      <c r="V774" s="1"/>
      <c r="W774" s="1"/>
      <c r="X774" s="1"/>
      <c r="Y774" s="1"/>
      <c r="AA774" s="1"/>
      <c r="AC774" s="1"/>
      <c r="AD774" s="1"/>
      <c r="AE774" s="1"/>
      <c r="AN774" s="1"/>
      <c r="AP774" s="1"/>
      <c r="AQ774" s="1"/>
      <c r="AR774" s="1"/>
      <c r="AS774" s="1"/>
      <c r="AT774" s="3"/>
      <c r="AU774" s="3"/>
      <c r="AV774" s="3"/>
      <c r="AW774" s="1"/>
      <c r="AX774" s="1"/>
      <c r="AZ774">
        <v>253</v>
      </c>
      <c r="BA774">
        <v>4654734.66</v>
      </c>
      <c r="BB774" s="1" t="s">
        <v>74</v>
      </c>
      <c r="BC774">
        <v>402</v>
      </c>
      <c r="BD774" s="1" t="s">
        <v>901</v>
      </c>
      <c r="BE774" s="1" t="s">
        <v>413</v>
      </c>
      <c r="BF774">
        <v>1845</v>
      </c>
      <c r="BG774" s="1" t="s">
        <v>1051</v>
      </c>
      <c r="BH774" s="1" t="s">
        <v>99</v>
      </c>
      <c r="BI774">
        <v>0</v>
      </c>
      <c r="BJ774" s="1"/>
      <c r="BL774" s="1"/>
      <c r="BN774" s="1"/>
      <c r="BO774">
        <v>599</v>
      </c>
      <c r="BP774">
        <v>4654734.66</v>
      </c>
      <c r="BQ774">
        <v>4654734.66</v>
      </c>
    </row>
    <row r="775" spans="1:69" x14ac:dyDescent="0.35">
      <c r="A775" s="1" t="s">
        <v>68</v>
      </c>
      <c r="B775" s="1" t="s">
        <v>69</v>
      </c>
      <c r="C775" s="1" t="s">
        <v>70</v>
      </c>
      <c r="D775">
        <v>1</v>
      </c>
      <c r="E775">
        <v>1</v>
      </c>
      <c r="F775" s="2">
        <v>43585.43</v>
      </c>
      <c r="G775" s="3">
        <v>41275</v>
      </c>
      <c r="H775" s="3">
        <v>41639</v>
      </c>
      <c r="I775" s="1" t="s">
        <v>71</v>
      </c>
      <c r="J775">
        <v>4521</v>
      </c>
      <c r="K775">
        <v>0</v>
      </c>
      <c r="L775" s="1" t="s">
        <v>384</v>
      </c>
      <c r="M775" s="1" t="s">
        <v>72</v>
      </c>
      <c r="N775" s="1" t="s">
        <v>134</v>
      </c>
      <c r="O775" s="1" t="s">
        <v>385</v>
      </c>
      <c r="P775" s="1" t="s">
        <v>386</v>
      </c>
      <c r="Q775" s="1" t="s">
        <v>387</v>
      </c>
      <c r="R775">
        <v>103</v>
      </c>
      <c r="S775" s="1" t="s">
        <v>135</v>
      </c>
      <c r="T775" s="1" t="s">
        <v>388</v>
      </c>
      <c r="U775" s="1" t="s">
        <v>135</v>
      </c>
      <c r="V775" s="1"/>
      <c r="W775" s="1"/>
      <c r="X775" s="1"/>
      <c r="Y775" s="1"/>
      <c r="AA775" s="1"/>
      <c r="AC775" s="1"/>
      <c r="AD775" s="1"/>
      <c r="AE775" s="1"/>
      <c r="AN775" s="1"/>
      <c r="AP775" s="1"/>
      <c r="AQ775" s="1"/>
      <c r="AR775" s="1"/>
      <c r="AS775" s="1"/>
      <c r="AT775" s="3"/>
      <c r="AU775" s="3"/>
      <c r="AV775" s="3"/>
      <c r="AW775" s="1"/>
      <c r="AX775" s="1"/>
      <c r="AZ775">
        <v>253</v>
      </c>
      <c r="BA775">
        <v>4654734.66</v>
      </c>
      <c r="BB775" s="1" t="s">
        <v>74</v>
      </c>
      <c r="BC775">
        <v>403</v>
      </c>
      <c r="BD775" s="1" t="s">
        <v>901</v>
      </c>
      <c r="BE775" s="1" t="s">
        <v>99</v>
      </c>
      <c r="BF775">
        <v>0</v>
      </c>
      <c r="BG775" s="1"/>
      <c r="BH775" s="1" t="s">
        <v>489</v>
      </c>
      <c r="BI775">
        <v>1500</v>
      </c>
      <c r="BJ775" s="1" t="s">
        <v>1051</v>
      </c>
      <c r="BL775" s="1"/>
      <c r="BN775" s="1"/>
      <c r="BO775">
        <v>599</v>
      </c>
      <c r="BP775">
        <v>4654734.66</v>
      </c>
      <c r="BQ775">
        <v>4654734.66</v>
      </c>
    </row>
    <row r="776" spans="1:69" x14ac:dyDescent="0.35">
      <c r="A776" s="1" t="s">
        <v>68</v>
      </c>
      <c r="B776" s="1" t="s">
        <v>69</v>
      </c>
      <c r="C776" s="1" t="s">
        <v>70</v>
      </c>
      <c r="D776">
        <v>1</v>
      </c>
      <c r="E776">
        <v>1</v>
      </c>
      <c r="F776" s="2">
        <v>43585.43</v>
      </c>
      <c r="G776" s="3">
        <v>41275</v>
      </c>
      <c r="H776" s="3">
        <v>41639</v>
      </c>
      <c r="I776" s="1" t="s">
        <v>71</v>
      </c>
      <c r="J776">
        <v>4521</v>
      </c>
      <c r="K776">
        <v>0</v>
      </c>
      <c r="L776" s="1" t="s">
        <v>384</v>
      </c>
      <c r="M776" s="1" t="s">
        <v>72</v>
      </c>
      <c r="N776" s="1" t="s">
        <v>134</v>
      </c>
      <c r="O776" s="1" t="s">
        <v>385</v>
      </c>
      <c r="P776" s="1" t="s">
        <v>386</v>
      </c>
      <c r="Q776" s="1" t="s">
        <v>387</v>
      </c>
      <c r="R776">
        <v>103</v>
      </c>
      <c r="S776" s="1" t="s">
        <v>135</v>
      </c>
      <c r="T776" s="1" t="s">
        <v>388</v>
      </c>
      <c r="U776" s="1" t="s">
        <v>135</v>
      </c>
      <c r="V776" s="1"/>
      <c r="W776" s="1"/>
      <c r="X776" s="1"/>
      <c r="Y776" s="1"/>
      <c r="AA776" s="1"/>
      <c r="AC776" s="1"/>
      <c r="AD776" s="1"/>
      <c r="AE776" s="1"/>
      <c r="AN776" s="1"/>
      <c r="AP776" s="1"/>
      <c r="AQ776" s="1"/>
      <c r="AR776" s="1"/>
      <c r="AS776" s="1"/>
      <c r="AT776" s="3"/>
      <c r="AU776" s="3"/>
      <c r="AV776" s="3"/>
      <c r="AW776" s="1"/>
      <c r="AX776" s="1"/>
      <c r="AZ776">
        <v>253</v>
      </c>
      <c r="BA776">
        <v>4654734.66</v>
      </c>
      <c r="BB776" s="1" t="s">
        <v>74</v>
      </c>
      <c r="BC776">
        <v>404</v>
      </c>
      <c r="BD776" s="1" t="s">
        <v>901</v>
      </c>
      <c r="BE776" s="1" t="s">
        <v>99</v>
      </c>
      <c r="BF776">
        <v>0</v>
      </c>
      <c r="BG776" s="1"/>
      <c r="BH776" s="1" t="s">
        <v>451</v>
      </c>
      <c r="BI776">
        <v>345</v>
      </c>
      <c r="BJ776" s="1" t="s">
        <v>1051</v>
      </c>
      <c r="BL776" s="1"/>
      <c r="BN776" s="1"/>
      <c r="BO776">
        <v>599</v>
      </c>
      <c r="BP776">
        <v>4654734.66</v>
      </c>
      <c r="BQ776">
        <v>4654734.66</v>
      </c>
    </row>
    <row r="777" spans="1:69" x14ac:dyDescent="0.35">
      <c r="A777" s="1" t="s">
        <v>68</v>
      </c>
      <c r="B777" s="1" t="s">
        <v>69</v>
      </c>
      <c r="C777" s="1" t="s">
        <v>70</v>
      </c>
      <c r="D777">
        <v>1</v>
      </c>
      <c r="E777">
        <v>1</v>
      </c>
      <c r="F777" s="2">
        <v>43585.43</v>
      </c>
      <c r="G777" s="3">
        <v>41275</v>
      </c>
      <c r="H777" s="3">
        <v>41639</v>
      </c>
      <c r="I777" s="1" t="s">
        <v>71</v>
      </c>
      <c r="J777">
        <v>4521</v>
      </c>
      <c r="K777">
        <v>0</v>
      </c>
      <c r="L777" s="1" t="s">
        <v>384</v>
      </c>
      <c r="M777" s="1" t="s">
        <v>72</v>
      </c>
      <c r="N777" s="1" t="s">
        <v>134</v>
      </c>
      <c r="O777" s="1" t="s">
        <v>385</v>
      </c>
      <c r="P777" s="1" t="s">
        <v>386</v>
      </c>
      <c r="Q777" s="1" t="s">
        <v>387</v>
      </c>
      <c r="R777">
        <v>103</v>
      </c>
      <c r="S777" s="1" t="s">
        <v>135</v>
      </c>
      <c r="T777" s="1" t="s">
        <v>388</v>
      </c>
      <c r="U777" s="1" t="s">
        <v>135</v>
      </c>
      <c r="V777" s="1"/>
      <c r="W777" s="1"/>
      <c r="X777" s="1"/>
      <c r="Y777" s="1"/>
      <c r="AA777" s="1"/>
      <c r="AC777" s="1"/>
      <c r="AD777" s="1"/>
      <c r="AE777" s="1"/>
      <c r="AN777" s="1"/>
      <c r="AP777" s="1"/>
      <c r="AQ777" s="1"/>
      <c r="AR777" s="1"/>
      <c r="AS777" s="1"/>
      <c r="AT777" s="3"/>
      <c r="AU777" s="3"/>
      <c r="AV777" s="3"/>
      <c r="AW777" s="1"/>
      <c r="AX777" s="1"/>
      <c r="AZ777">
        <v>253</v>
      </c>
      <c r="BA777">
        <v>4654734.66</v>
      </c>
      <c r="BB777" s="1" t="s">
        <v>74</v>
      </c>
      <c r="BC777">
        <v>405</v>
      </c>
      <c r="BD777" s="1" t="s">
        <v>902</v>
      </c>
      <c r="BE777" s="1" t="s">
        <v>476</v>
      </c>
      <c r="BF777">
        <v>985</v>
      </c>
      <c r="BG777" s="1" t="s">
        <v>1052</v>
      </c>
      <c r="BH777" s="1" t="s">
        <v>99</v>
      </c>
      <c r="BI777">
        <v>0</v>
      </c>
      <c r="BJ777" s="1"/>
      <c r="BL777" s="1"/>
      <c r="BN777" s="1"/>
      <c r="BO777">
        <v>599</v>
      </c>
      <c r="BP777">
        <v>4654734.66</v>
      </c>
      <c r="BQ777">
        <v>4654734.66</v>
      </c>
    </row>
    <row r="778" spans="1:69" x14ac:dyDescent="0.35">
      <c r="A778" s="1" t="s">
        <v>68</v>
      </c>
      <c r="B778" s="1" t="s">
        <v>69</v>
      </c>
      <c r="C778" s="1" t="s">
        <v>70</v>
      </c>
      <c r="D778">
        <v>1</v>
      </c>
      <c r="E778">
        <v>1</v>
      </c>
      <c r="F778" s="2">
        <v>43585.43</v>
      </c>
      <c r="G778" s="3">
        <v>41275</v>
      </c>
      <c r="H778" s="3">
        <v>41639</v>
      </c>
      <c r="I778" s="1" t="s">
        <v>71</v>
      </c>
      <c r="J778">
        <v>4521</v>
      </c>
      <c r="K778">
        <v>0</v>
      </c>
      <c r="L778" s="1" t="s">
        <v>384</v>
      </c>
      <c r="M778" s="1" t="s">
        <v>72</v>
      </c>
      <c r="N778" s="1" t="s">
        <v>134</v>
      </c>
      <c r="O778" s="1" t="s">
        <v>385</v>
      </c>
      <c r="P778" s="1" t="s">
        <v>386</v>
      </c>
      <c r="Q778" s="1" t="s">
        <v>387</v>
      </c>
      <c r="R778">
        <v>103</v>
      </c>
      <c r="S778" s="1" t="s">
        <v>135</v>
      </c>
      <c r="T778" s="1" t="s">
        <v>388</v>
      </c>
      <c r="U778" s="1" t="s">
        <v>135</v>
      </c>
      <c r="V778" s="1"/>
      <c r="W778" s="1"/>
      <c r="X778" s="1"/>
      <c r="Y778" s="1"/>
      <c r="AA778" s="1"/>
      <c r="AC778" s="1"/>
      <c r="AD778" s="1"/>
      <c r="AE778" s="1"/>
      <c r="AN778" s="1"/>
      <c r="AP778" s="1"/>
      <c r="AQ778" s="1"/>
      <c r="AR778" s="1"/>
      <c r="AS778" s="1"/>
      <c r="AT778" s="3"/>
      <c r="AU778" s="3"/>
      <c r="AV778" s="3"/>
      <c r="AW778" s="1"/>
      <c r="AX778" s="1"/>
      <c r="AZ778">
        <v>253</v>
      </c>
      <c r="BA778">
        <v>4654734.66</v>
      </c>
      <c r="BB778" s="1" t="s">
        <v>74</v>
      </c>
      <c r="BC778">
        <v>406</v>
      </c>
      <c r="BD778" s="1" t="s">
        <v>902</v>
      </c>
      <c r="BE778" s="1" t="s">
        <v>99</v>
      </c>
      <c r="BF778">
        <v>0</v>
      </c>
      <c r="BG778" s="1"/>
      <c r="BH778" s="1" t="s">
        <v>75</v>
      </c>
      <c r="BI778">
        <v>1034.25</v>
      </c>
      <c r="BJ778" s="1" t="s">
        <v>1052</v>
      </c>
      <c r="BL778" s="1"/>
      <c r="BN778" s="1"/>
      <c r="BO778">
        <v>599</v>
      </c>
      <c r="BP778">
        <v>4654734.66</v>
      </c>
      <c r="BQ778">
        <v>4654734.66</v>
      </c>
    </row>
    <row r="779" spans="1:69" x14ac:dyDescent="0.35">
      <c r="A779" s="1" t="s">
        <v>68</v>
      </c>
      <c r="B779" s="1" t="s">
        <v>69</v>
      </c>
      <c r="C779" s="1" t="s">
        <v>70</v>
      </c>
      <c r="D779">
        <v>1</v>
      </c>
      <c r="E779">
        <v>1</v>
      </c>
      <c r="F779" s="2">
        <v>43585.43</v>
      </c>
      <c r="G779" s="3">
        <v>41275</v>
      </c>
      <c r="H779" s="3">
        <v>41639</v>
      </c>
      <c r="I779" s="1" t="s">
        <v>71</v>
      </c>
      <c r="J779">
        <v>4521</v>
      </c>
      <c r="K779">
        <v>0</v>
      </c>
      <c r="L779" s="1" t="s">
        <v>384</v>
      </c>
      <c r="M779" s="1" t="s">
        <v>72</v>
      </c>
      <c r="N779" s="1" t="s">
        <v>134</v>
      </c>
      <c r="O779" s="1" t="s">
        <v>385</v>
      </c>
      <c r="P779" s="1" t="s">
        <v>386</v>
      </c>
      <c r="Q779" s="1" t="s">
        <v>387</v>
      </c>
      <c r="R779">
        <v>103</v>
      </c>
      <c r="S779" s="1" t="s">
        <v>135</v>
      </c>
      <c r="T779" s="1" t="s">
        <v>388</v>
      </c>
      <c r="U779" s="1" t="s">
        <v>135</v>
      </c>
      <c r="V779" s="1"/>
      <c r="W779" s="1"/>
      <c r="X779" s="1"/>
      <c r="Y779" s="1"/>
      <c r="AA779" s="1"/>
      <c r="AC779" s="1"/>
      <c r="AD779" s="1"/>
      <c r="AE779" s="1"/>
      <c r="AN779" s="1"/>
      <c r="AP779" s="1"/>
      <c r="AQ779" s="1"/>
      <c r="AR779" s="1"/>
      <c r="AS779" s="1"/>
      <c r="AT779" s="3"/>
      <c r="AU779" s="3"/>
      <c r="AV779" s="3"/>
      <c r="AW779" s="1"/>
      <c r="AX779" s="1"/>
      <c r="AZ779">
        <v>253</v>
      </c>
      <c r="BA779">
        <v>4654734.66</v>
      </c>
      <c r="BB779" s="1" t="s">
        <v>74</v>
      </c>
      <c r="BC779">
        <v>407</v>
      </c>
      <c r="BD779" s="1" t="s">
        <v>902</v>
      </c>
      <c r="BE779" s="1" t="s">
        <v>452</v>
      </c>
      <c r="BF779">
        <v>49.25</v>
      </c>
      <c r="BG779" s="1" t="s">
        <v>1052</v>
      </c>
      <c r="BH779" s="1" t="s">
        <v>99</v>
      </c>
      <c r="BI779">
        <v>0</v>
      </c>
      <c r="BJ779" s="1"/>
      <c r="BL779" s="1"/>
      <c r="BN779" s="1"/>
      <c r="BO779">
        <v>599</v>
      </c>
      <c r="BP779">
        <v>4654734.66</v>
      </c>
      <c r="BQ779">
        <v>4654734.66</v>
      </c>
    </row>
    <row r="780" spans="1:69" x14ac:dyDescent="0.35">
      <c r="A780" s="1" t="s">
        <v>68</v>
      </c>
      <c r="B780" s="1" t="s">
        <v>69</v>
      </c>
      <c r="C780" s="1" t="s">
        <v>70</v>
      </c>
      <c r="D780">
        <v>1</v>
      </c>
      <c r="E780">
        <v>1</v>
      </c>
      <c r="F780" s="2">
        <v>43585.43</v>
      </c>
      <c r="G780" s="3">
        <v>41275</v>
      </c>
      <c r="H780" s="3">
        <v>41639</v>
      </c>
      <c r="I780" s="1" t="s">
        <v>71</v>
      </c>
      <c r="J780">
        <v>4521</v>
      </c>
      <c r="K780">
        <v>0</v>
      </c>
      <c r="L780" s="1" t="s">
        <v>384</v>
      </c>
      <c r="M780" s="1" t="s">
        <v>72</v>
      </c>
      <c r="N780" s="1" t="s">
        <v>134</v>
      </c>
      <c r="O780" s="1" t="s">
        <v>385</v>
      </c>
      <c r="P780" s="1" t="s">
        <v>386</v>
      </c>
      <c r="Q780" s="1" t="s">
        <v>387</v>
      </c>
      <c r="R780">
        <v>103</v>
      </c>
      <c r="S780" s="1" t="s">
        <v>135</v>
      </c>
      <c r="T780" s="1" t="s">
        <v>388</v>
      </c>
      <c r="U780" s="1" t="s">
        <v>135</v>
      </c>
      <c r="V780" s="1"/>
      <c r="W780" s="1"/>
      <c r="X780" s="1"/>
      <c r="Y780" s="1"/>
      <c r="AA780" s="1"/>
      <c r="AC780" s="1"/>
      <c r="AD780" s="1"/>
      <c r="AE780" s="1"/>
      <c r="AN780" s="1"/>
      <c r="AP780" s="1"/>
      <c r="AQ780" s="1"/>
      <c r="AR780" s="1"/>
      <c r="AS780" s="1"/>
      <c r="AT780" s="3"/>
      <c r="AU780" s="3"/>
      <c r="AV780" s="3"/>
      <c r="AW780" s="1"/>
      <c r="AX780" s="1"/>
      <c r="AZ780">
        <v>253</v>
      </c>
      <c r="BA780">
        <v>4654734.66</v>
      </c>
      <c r="BB780" s="1" t="s">
        <v>74</v>
      </c>
      <c r="BC780">
        <v>408</v>
      </c>
      <c r="BD780" s="1" t="s">
        <v>903</v>
      </c>
      <c r="BE780" s="1" t="s">
        <v>483</v>
      </c>
      <c r="BF780">
        <v>985</v>
      </c>
      <c r="BG780" s="1" t="s">
        <v>1052</v>
      </c>
      <c r="BH780" s="1" t="s">
        <v>99</v>
      </c>
      <c r="BI780">
        <v>0</v>
      </c>
      <c r="BJ780" s="1"/>
      <c r="BL780" s="1"/>
      <c r="BN780" s="1"/>
      <c r="BO780">
        <v>599</v>
      </c>
      <c r="BP780">
        <v>4654734.66</v>
      </c>
      <c r="BQ780">
        <v>4654734.66</v>
      </c>
    </row>
    <row r="781" spans="1:69" x14ac:dyDescent="0.35">
      <c r="A781" s="1" t="s">
        <v>68</v>
      </c>
      <c r="B781" s="1" t="s">
        <v>69</v>
      </c>
      <c r="C781" s="1" t="s">
        <v>70</v>
      </c>
      <c r="D781">
        <v>1</v>
      </c>
      <c r="E781">
        <v>1</v>
      </c>
      <c r="F781" s="2">
        <v>43585.43</v>
      </c>
      <c r="G781" s="3">
        <v>41275</v>
      </c>
      <c r="H781" s="3">
        <v>41639</v>
      </c>
      <c r="I781" s="1" t="s">
        <v>71</v>
      </c>
      <c r="J781">
        <v>4521</v>
      </c>
      <c r="K781">
        <v>0</v>
      </c>
      <c r="L781" s="1" t="s">
        <v>384</v>
      </c>
      <c r="M781" s="1" t="s">
        <v>72</v>
      </c>
      <c r="N781" s="1" t="s">
        <v>134</v>
      </c>
      <c r="O781" s="1" t="s">
        <v>385</v>
      </c>
      <c r="P781" s="1" t="s">
        <v>386</v>
      </c>
      <c r="Q781" s="1" t="s">
        <v>387</v>
      </c>
      <c r="R781">
        <v>103</v>
      </c>
      <c r="S781" s="1" t="s">
        <v>135</v>
      </c>
      <c r="T781" s="1" t="s">
        <v>388</v>
      </c>
      <c r="U781" s="1" t="s">
        <v>135</v>
      </c>
      <c r="V781" s="1"/>
      <c r="W781" s="1"/>
      <c r="X781" s="1"/>
      <c r="Y781" s="1"/>
      <c r="AA781" s="1"/>
      <c r="AC781" s="1"/>
      <c r="AD781" s="1"/>
      <c r="AE781" s="1"/>
      <c r="AN781" s="1"/>
      <c r="AP781" s="1"/>
      <c r="AQ781" s="1"/>
      <c r="AR781" s="1"/>
      <c r="AS781" s="1"/>
      <c r="AT781" s="3"/>
      <c r="AU781" s="3"/>
      <c r="AV781" s="3"/>
      <c r="AW781" s="1"/>
      <c r="AX781" s="1"/>
      <c r="AZ781">
        <v>253</v>
      </c>
      <c r="BA781">
        <v>4654734.66</v>
      </c>
      <c r="BB781" s="1" t="s">
        <v>74</v>
      </c>
      <c r="BC781">
        <v>409</v>
      </c>
      <c r="BD781" s="1" t="s">
        <v>903</v>
      </c>
      <c r="BE781" s="1" t="s">
        <v>99</v>
      </c>
      <c r="BF781">
        <v>0</v>
      </c>
      <c r="BG781" s="1"/>
      <c r="BH781" s="1" t="s">
        <v>136</v>
      </c>
      <c r="BI781">
        <v>985</v>
      </c>
      <c r="BJ781" s="1" t="s">
        <v>1052</v>
      </c>
      <c r="BL781" s="1"/>
      <c r="BN781" s="1"/>
      <c r="BO781">
        <v>599</v>
      </c>
      <c r="BP781">
        <v>4654734.66</v>
      </c>
      <c r="BQ781">
        <v>4654734.66</v>
      </c>
    </row>
    <row r="782" spans="1:69" x14ac:dyDescent="0.35">
      <c r="A782" s="1" t="s">
        <v>68</v>
      </c>
      <c r="B782" s="1" t="s">
        <v>69</v>
      </c>
      <c r="C782" s="1" t="s">
        <v>70</v>
      </c>
      <c r="D782">
        <v>1</v>
      </c>
      <c r="E782">
        <v>1</v>
      </c>
      <c r="F782" s="2">
        <v>43585.43</v>
      </c>
      <c r="G782" s="3">
        <v>41275</v>
      </c>
      <c r="H782" s="3">
        <v>41639</v>
      </c>
      <c r="I782" s="1" t="s">
        <v>71</v>
      </c>
      <c r="J782">
        <v>4521</v>
      </c>
      <c r="K782">
        <v>0</v>
      </c>
      <c r="L782" s="1" t="s">
        <v>384</v>
      </c>
      <c r="M782" s="1" t="s">
        <v>72</v>
      </c>
      <c r="N782" s="1" t="s">
        <v>134</v>
      </c>
      <c r="O782" s="1" t="s">
        <v>385</v>
      </c>
      <c r="P782" s="1" t="s">
        <v>386</v>
      </c>
      <c r="Q782" s="1" t="s">
        <v>387</v>
      </c>
      <c r="R782">
        <v>103</v>
      </c>
      <c r="S782" s="1" t="s">
        <v>135</v>
      </c>
      <c r="T782" s="1" t="s">
        <v>388</v>
      </c>
      <c r="U782" s="1" t="s">
        <v>135</v>
      </c>
      <c r="V782" s="1"/>
      <c r="W782" s="1"/>
      <c r="X782" s="1"/>
      <c r="Y782" s="1"/>
      <c r="AA782" s="1"/>
      <c r="AC782" s="1"/>
      <c r="AD782" s="1"/>
      <c r="AE782" s="1"/>
      <c r="AN782" s="1"/>
      <c r="AP782" s="1"/>
      <c r="AQ782" s="1"/>
      <c r="AR782" s="1"/>
      <c r="AS782" s="1"/>
      <c r="AT782" s="3"/>
      <c r="AU782" s="3"/>
      <c r="AV782" s="3"/>
      <c r="AW782" s="1"/>
      <c r="AX782" s="1"/>
      <c r="AZ782">
        <v>253</v>
      </c>
      <c r="BA782">
        <v>4654734.66</v>
      </c>
      <c r="BB782" s="1" t="s">
        <v>74</v>
      </c>
      <c r="BC782">
        <v>410</v>
      </c>
      <c r="BD782" s="1" t="s">
        <v>904</v>
      </c>
      <c r="BE782" s="1" t="s">
        <v>466</v>
      </c>
      <c r="BF782">
        <v>942</v>
      </c>
      <c r="BG782" s="1" t="s">
        <v>985</v>
      </c>
      <c r="BH782" s="1" t="s">
        <v>99</v>
      </c>
      <c r="BI782">
        <v>0</v>
      </c>
      <c r="BJ782" s="1"/>
      <c r="BL782" s="1"/>
      <c r="BN782" s="1"/>
      <c r="BO782">
        <v>599</v>
      </c>
      <c r="BP782">
        <v>4654734.66</v>
      </c>
      <c r="BQ782">
        <v>4654734.66</v>
      </c>
    </row>
    <row r="783" spans="1:69" x14ac:dyDescent="0.35">
      <c r="A783" s="1" t="s">
        <v>68</v>
      </c>
      <c r="B783" s="1" t="s">
        <v>69</v>
      </c>
      <c r="C783" s="1" t="s">
        <v>70</v>
      </c>
      <c r="D783">
        <v>1</v>
      </c>
      <c r="E783">
        <v>1</v>
      </c>
      <c r="F783" s="2">
        <v>43585.43</v>
      </c>
      <c r="G783" s="3">
        <v>41275</v>
      </c>
      <c r="H783" s="3">
        <v>41639</v>
      </c>
      <c r="I783" s="1" t="s">
        <v>71</v>
      </c>
      <c r="J783">
        <v>4521</v>
      </c>
      <c r="K783">
        <v>0</v>
      </c>
      <c r="L783" s="1" t="s">
        <v>384</v>
      </c>
      <c r="M783" s="1" t="s">
        <v>72</v>
      </c>
      <c r="N783" s="1" t="s">
        <v>134</v>
      </c>
      <c r="O783" s="1" t="s">
        <v>385</v>
      </c>
      <c r="P783" s="1" t="s">
        <v>386</v>
      </c>
      <c r="Q783" s="1" t="s">
        <v>387</v>
      </c>
      <c r="R783">
        <v>103</v>
      </c>
      <c r="S783" s="1" t="s">
        <v>135</v>
      </c>
      <c r="T783" s="1" t="s">
        <v>388</v>
      </c>
      <c r="U783" s="1" t="s">
        <v>135</v>
      </c>
      <c r="V783" s="1"/>
      <c r="W783" s="1"/>
      <c r="X783" s="1"/>
      <c r="Y783" s="1"/>
      <c r="AA783" s="1"/>
      <c r="AC783" s="1"/>
      <c r="AD783" s="1"/>
      <c r="AE783" s="1"/>
      <c r="AN783" s="1"/>
      <c r="AP783" s="1"/>
      <c r="AQ783" s="1"/>
      <c r="AR783" s="1"/>
      <c r="AS783" s="1"/>
      <c r="AT783" s="3"/>
      <c r="AU783" s="3"/>
      <c r="AV783" s="3"/>
      <c r="AW783" s="1"/>
      <c r="AX783" s="1"/>
      <c r="AZ783">
        <v>253</v>
      </c>
      <c r="BA783">
        <v>4654734.66</v>
      </c>
      <c r="BB783" s="1" t="s">
        <v>74</v>
      </c>
      <c r="BC783">
        <v>411</v>
      </c>
      <c r="BD783" s="1" t="s">
        <v>904</v>
      </c>
      <c r="BE783" s="1" t="s">
        <v>99</v>
      </c>
      <c r="BF783">
        <v>0</v>
      </c>
      <c r="BG783" s="1"/>
      <c r="BH783" s="1" t="s">
        <v>439</v>
      </c>
      <c r="BI783">
        <v>1158.6600000000001</v>
      </c>
      <c r="BJ783" s="1" t="s">
        <v>985</v>
      </c>
      <c r="BL783" s="1"/>
      <c r="BN783" s="1"/>
      <c r="BO783">
        <v>599</v>
      </c>
      <c r="BP783">
        <v>4654734.66</v>
      </c>
      <c r="BQ783">
        <v>4654734.66</v>
      </c>
    </row>
    <row r="784" spans="1:69" x14ac:dyDescent="0.35">
      <c r="A784" s="1" t="s">
        <v>68</v>
      </c>
      <c r="B784" s="1" t="s">
        <v>69</v>
      </c>
      <c r="C784" s="1" t="s">
        <v>70</v>
      </c>
      <c r="D784">
        <v>1</v>
      </c>
      <c r="E784">
        <v>1</v>
      </c>
      <c r="F784" s="2">
        <v>43585.43</v>
      </c>
      <c r="G784" s="3">
        <v>41275</v>
      </c>
      <c r="H784" s="3">
        <v>41639</v>
      </c>
      <c r="I784" s="1" t="s">
        <v>71</v>
      </c>
      <c r="J784">
        <v>4521</v>
      </c>
      <c r="K784">
        <v>0</v>
      </c>
      <c r="L784" s="1" t="s">
        <v>384</v>
      </c>
      <c r="M784" s="1" t="s">
        <v>72</v>
      </c>
      <c r="N784" s="1" t="s">
        <v>134</v>
      </c>
      <c r="O784" s="1" t="s">
        <v>385</v>
      </c>
      <c r="P784" s="1" t="s">
        <v>386</v>
      </c>
      <c r="Q784" s="1" t="s">
        <v>387</v>
      </c>
      <c r="R784">
        <v>103</v>
      </c>
      <c r="S784" s="1" t="s">
        <v>135</v>
      </c>
      <c r="T784" s="1" t="s">
        <v>388</v>
      </c>
      <c r="U784" s="1" t="s">
        <v>135</v>
      </c>
      <c r="V784" s="1"/>
      <c r="W784" s="1"/>
      <c r="X784" s="1"/>
      <c r="Y784" s="1"/>
      <c r="AA784" s="1"/>
      <c r="AC784" s="1"/>
      <c r="AD784" s="1"/>
      <c r="AE784" s="1"/>
      <c r="AN784" s="1"/>
      <c r="AP784" s="1"/>
      <c r="AQ784" s="1"/>
      <c r="AR784" s="1"/>
      <c r="AS784" s="1"/>
      <c r="AT784" s="3"/>
      <c r="AU784" s="3"/>
      <c r="AV784" s="3"/>
      <c r="AW784" s="1"/>
      <c r="AX784" s="1"/>
      <c r="AZ784">
        <v>253</v>
      </c>
      <c r="BA784">
        <v>4654734.66</v>
      </c>
      <c r="BB784" s="1" t="s">
        <v>74</v>
      </c>
      <c r="BC784">
        <v>412</v>
      </c>
      <c r="BD784" s="1" t="s">
        <v>904</v>
      </c>
      <c r="BE784" s="1" t="s">
        <v>452</v>
      </c>
      <c r="BF784">
        <v>216.66</v>
      </c>
      <c r="BG784" s="1" t="s">
        <v>985</v>
      </c>
      <c r="BH784" s="1" t="s">
        <v>99</v>
      </c>
      <c r="BI784">
        <v>0</v>
      </c>
      <c r="BJ784" s="1"/>
      <c r="BL784" s="1"/>
      <c r="BN784" s="1"/>
      <c r="BO784">
        <v>599</v>
      </c>
      <c r="BP784">
        <v>4654734.66</v>
      </c>
      <c r="BQ784">
        <v>4654734.66</v>
      </c>
    </row>
    <row r="785" spans="1:69" x14ac:dyDescent="0.35">
      <c r="A785" s="1" t="s">
        <v>68</v>
      </c>
      <c r="B785" s="1" t="s">
        <v>69</v>
      </c>
      <c r="C785" s="1" t="s">
        <v>70</v>
      </c>
      <c r="D785">
        <v>1</v>
      </c>
      <c r="E785">
        <v>1</v>
      </c>
      <c r="F785" s="2">
        <v>43585.43</v>
      </c>
      <c r="G785" s="3">
        <v>41275</v>
      </c>
      <c r="H785" s="3">
        <v>41639</v>
      </c>
      <c r="I785" s="1" t="s">
        <v>71</v>
      </c>
      <c r="J785">
        <v>4521</v>
      </c>
      <c r="K785">
        <v>0</v>
      </c>
      <c r="L785" s="1" t="s">
        <v>384</v>
      </c>
      <c r="M785" s="1" t="s">
        <v>72</v>
      </c>
      <c r="N785" s="1" t="s">
        <v>134</v>
      </c>
      <c r="O785" s="1" t="s">
        <v>385</v>
      </c>
      <c r="P785" s="1" t="s">
        <v>386</v>
      </c>
      <c r="Q785" s="1" t="s">
        <v>387</v>
      </c>
      <c r="R785">
        <v>103</v>
      </c>
      <c r="S785" s="1" t="s">
        <v>135</v>
      </c>
      <c r="T785" s="1" t="s">
        <v>388</v>
      </c>
      <c r="U785" s="1" t="s">
        <v>135</v>
      </c>
      <c r="V785" s="1"/>
      <c r="W785" s="1"/>
      <c r="X785" s="1"/>
      <c r="Y785" s="1"/>
      <c r="AA785" s="1"/>
      <c r="AC785" s="1"/>
      <c r="AD785" s="1"/>
      <c r="AE785" s="1"/>
      <c r="AN785" s="1"/>
      <c r="AP785" s="1"/>
      <c r="AQ785" s="1"/>
      <c r="AR785" s="1"/>
      <c r="AS785" s="1"/>
      <c r="AT785" s="3"/>
      <c r="AU785" s="3"/>
      <c r="AV785" s="3"/>
      <c r="AW785" s="1"/>
      <c r="AX785" s="1"/>
      <c r="AZ785">
        <v>253</v>
      </c>
      <c r="BA785">
        <v>4654734.66</v>
      </c>
      <c r="BB785" s="1" t="s">
        <v>74</v>
      </c>
      <c r="BC785">
        <v>413</v>
      </c>
      <c r="BD785" s="1" t="s">
        <v>905</v>
      </c>
      <c r="BE785" s="1" t="s">
        <v>466</v>
      </c>
      <c r="BF785">
        <v>874</v>
      </c>
      <c r="BG785" s="1" t="s">
        <v>982</v>
      </c>
      <c r="BH785" s="1" t="s">
        <v>99</v>
      </c>
      <c r="BI785">
        <v>0</v>
      </c>
      <c r="BJ785" s="1"/>
      <c r="BL785" s="1"/>
      <c r="BN785" s="1"/>
      <c r="BO785">
        <v>599</v>
      </c>
      <c r="BP785">
        <v>4654734.66</v>
      </c>
      <c r="BQ785">
        <v>4654734.66</v>
      </c>
    </row>
    <row r="786" spans="1:69" x14ac:dyDescent="0.35">
      <c r="A786" s="1" t="s">
        <v>68</v>
      </c>
      <c r="B786" s="1" t="s">
        <v>69</v>
      </c>
      <c r="C786" s="1" t="s">
        <v>70</v>
      </c>
      <c r="D786">
        <v>1</v>
      </c>
      <c r="E786">
        <v>1</v>
      </c>
      <c r="F786" s="2">
        <v>43585.43</v>
      </c>
      <c r="G786" s="3">
        <v>41275</v>
      </c>
      <c r="H786" s="3">
        <v>41639</v>
      </c>
      <c r="I786" s="1" t="s">
        <v>71</v>
      </c>
      <c r="J786">
        <v>4521</v>
      </c>
      <c r="K786">
        <v>0</v>
      </c>
      <c r="L786" s="1" t="s">
        <v>384</v>
      </c>
      <c r="M786" s="1" t="s">
        <v>72</v>
      </c>
      <c r="N786" s="1" t="s">
        <v>134</v>
      </c>
      <c r="O786" s="1" t="s">
        <v>385</v>
      </c>
      <c r="P786" s="1" t="s">
        <v>386</v>
      </c>
      <c r="Q786" s="1" t="s">
        <v>387</v>
      </c>
      <c r="R786">
        <v>103</v>
      </c>
      <c r="S786" s="1" t="s">
        <v>135</v>
      </c>
      <c r="T786" s="1" t="s">
        <v>388</v>
      </c>
      <c r="U786" s="1" t="s">
        <v>135</v>
      </c>
      <c r="V786" s="1"/>
      <c r="W786" s="1"/>
      <c r="X786" s="1"/>
      <c r="Y786" s="1"/>
      <c r="AA786" s="1"/>
      <c r="AC786" s="1"/>
      <c r="AD786" s="1"/>
      <c r="AE786" s="1"/>
      <c r="AN786" s="1"/>
      <c r="AP786" s="1"/>
      <c r="AQ786" s="1"/>
      <c r="AR786" s="1"/>
      <c r="AS786" s="1"/>
      <c r="AT786" s="3"/>
      <c r="AU786" s="3"/>
      <c r="AV786" s="3"/>
      <c r="AW786" s="1"/>
      <c r="AX786" s="1"/>
      <c r="AZ786">
        <v>253</v>
      </c>
      <c r="BA786">
        <v>4654734.66</v>
      </c>
      <c r="BB786" s="1" t="s">
        <v>74</v>
      </c>
      <c r="BC786">
        <v>414</v>
      </c>
      <c r="BD786" s="1" t="s">
        <v>905</v>
      </c>
      <c r="BE786" s="1" t="s">
        <v>99</v>
      </c>
      <c r="BF786">
        <v>0</v>
      </c>
      <c r="BG786" s="1"/>
      <c r="BH786" s="1" t="s">
        <v>434</v>
      </c>
      <c r="BI786">
        <v>1075.02</v>
      </c>
      <c r="BJ786" s="1" t="s">
        <v>982</v>
      </c>
      <c r="BL786" s="1"/>
      <c r="BN786" s="1"/>
      <c r="BO786">
        <v>599</v>
      </c>
      <c r="BP786">
        <v>4654734.66</v>
      </c>
      <c r="BQ786">
        <v>4654734.66</v>
      </c>
    </row>
    <row r="787" spans="1:69" x14ac:dyDescent="0.35">
      <c r="A787" s="1" t="s">
        <v>68</v>
      </c>
      <c r="B787" s="1" t="s">
        <v>69</v>
      </c>
      <c r="C787" s="1" t="s">
        <v>70</v>
      </c>
      <c r="D787">
        <v>1</v>
      </c>
      <c r="E787">
        <v>1</v>
      </c>
      <c r="F787" s="2">
        <v>43585.43</v>
      </c>
      <c r="G787" s="3">
        <v>41275</v>
      </c>
      <c r="H787" s="3">
        <v>41639</v>
      </c>
      <c r="I787" s="1" t="s">
        <v>71</v>
      </c>
      <c r="J787">
        <v>4521</v>
      </c>
      <c r="K787">
        <v>0</v>
      </c>
      <c r="L787" s="1" t="s">
        <v>384</v>
      </c>
      <c r="M787" s="1" t="s">
        <v>72</v>
      </c>
      <c r="N787" s="1" t="s">
        <v>134</v>
      </c>
      <c r="O787" s="1" t="s">
        <v>385</v>
      </c>
      <c r="P787" s="1" t="s">
        <v>386</v>
      </c>
      <c r="Q787" s="1" t="s">
        <v>387</v>
      </c>
      <c r="R787">
        <v>103</v>
      </c>
      <c r="S787" s="1" t="s">
        <v>135</v>
      </c>
      <c r="T787" s="1" t="s">
        <v>388</v>
      </c>
      <c r="U787" s="1" t="s">
        <v>135</v>
      </c>
      <c r="V787" s="1"/>
      <c r="W787" s="1"/>
      <c r="X787" s="1"/>
      <c r="Y787" s="1"/>
      <c r="AA787" s="1"/>
      <c r="AC787" s="1"/>
      <c r="AD787" s="1"/>
      <c r="AE787" s="1"/>
      <c r="AN787" s="1"/>
      <c r="AP787" s="1"/>
      <c r="AQ787" s="1"/>
      <c r="AR787" s="1"/>
      <c r="AS787" s="1"/>
      <c r="AT787" s="3"/>
      <c r="AU787" s="3"/>
      <c r="AV787" s="3"/>
      <c r="AW787" s="1"/>
      <c r="AX787" s="1"/>
      <c r="AZ787">
        <v>253</v>
      </c>
      <c r="BA787">
        <v>4654734.66</v>
      </c>
      <c r="BB787" s="1" t="s">
        <v>74</v>
      </c>
      <c r="BC787">
        <v>415</v>
      </c>
      <c r="BD787" s="1" t="s">
        <v>905</v>
      </c>
      <c r="BE787" s="1" t="s">
        <v>452</v>
      </c>
      <c r="BF787">
        <v>201.02</v>
      </c>
      <c r="BG787" s="1" t="s">
        <v>982</v>
      </c>
      <c r="BH787" s="1" t="s">
        <v>99</v>
      </c>
      <c r="BI787">
        <v>0</v>
      </c>
      <c r="BJ787" s="1"/>
      <c r="BL787" s="1"/>
      <c r="BN787" s="1"/>
      <c r="BO787">
        <v>599</v>
      </c>
      <c r="BP787">
        <v>4654734.66</v>
      </c>
      <c r="BQ787">
        <v>4654734.66</v>
      </c>
    </row>
    <row r="788" spans="1:69" x14ac:dyDescent="0.35">
      <c r="A788" s="1" t="s">
        <v>68</v>
      </c>
      <c r="B788" s="1" t="s">
        <v>69</v>
      </c>
      <c r="C788" s="1" t="s">
        <v>70</v>
      </c>
      <c r="D788">
        <v>1</v>
      </c>
      <c r="E788">
        <v>1</v>
      </c>
      <c r="F788" s="2">
        <v>43585.43</v>
      </c>
      <c r="G788" s="3">
        <v>41275</v>
      </c>
      <c r="H788" s="3">
        <v>41639</v>
      </c>
      <c r="I788" s="1" t="s">
        <v>71</v>
      </c>
      <c r="J788">
        <v>4521</v>
      </c>
      <c r="K788">
        <v>0</v>
      </c>
      <c r="L788" s="1" t="s">
        <v>384</v>
      </c>
      <c r="M788" s="1" t="s">
        <v>72</v>
      </c>
      <c r="N788" s="1" t="s">
        <v>134</v>
      </c>
      <c r="O788" s="1" t="s">
        <v>385</v>
      </c>
      <c r="P788" s="1" t="s">
        <v>386</v>
      </c>
      <c r="Q788" s="1" t="s">
        <v>387</v>
      </c>
      <c r="R788">
        <v>103</v>
      </c>
      <c r="S788" s="1" t="s">
        <v>135</v>
      </c>
      <c r="T788" s="1" t="s">
        <v>388</v>
      </c>
      <c r="U788" s="1" t="s">
        <v>135</v>
      </c>
      <c r="V788" s="1"/>
      <c r="W788" s="1"/>
      <c r="X788" s="1"/>
      <c r="Y788" s="1"/>
      <c r="AA788" s="1"/>
      <c r="AC788" s="1"/>
      <c r="AD788" s="1"/>
      <c r="AE788" s="1"/>
      <c r="AN788" s="1"/>
      <c r="AP788" s="1"/>
      <c r="AQ788" s="1"/>
      <c r="AR788" s="1"/>
      <c r="AS788" s="1"/>
      <c r="AT788" s="3"/>
      <c r="AU788" s="3"/>
      <c r="AV788" s="3"/>
      <c r="AW788" s="1"/>
      <c r="AX788" s="1"/>
      <c r="AZ788">
        <v>253</v>
      </c>
      <c r="BA788">
        <v>4654734.66</v>
      </c>
      <c r="BB788" s="1" t="s">
        <v>74</v>
      </c>
      <c r="BC788">
        <v>416</v>
      </c>
      <c r="BD788" s="1" t="s">
        <v>906</v>
      </c>
      <c r="BE788" s="1" t="s">
        <v>476</v>
      </c>
      <c r="BF788">
        <v>652</v>
      </c>
      <c r="BG788" s="1" t="s">
        <v>1052</v>
      </c>
      <c r="BH788" s="1" t="s">
        <v>99</v>
      </c>
      <c r="BI788">
        <v>0</v>
      </c>
      <c r="BJ788" s="1"/>
      <c r="BL788" s="1"/>
      <c r="BN788" s="1"/>
      <c r="BO788">
        <v>599</v>
      </c>
      <c r="BP788">
        <v>4654734.66</v>
      </c>
      <c r="BQ788">
        <v>4654734.66</v>
      </c>
    </row>
    <row r="789" spans="1:69" x14ac:dyDescent="0.35">
      <c r="A789" s="1" t="s">
        <v>68</v>
      </c>
      <c r="B789" s="1" t="s">
        <v>69</v>
      </c>
      <c r="C789" s="1" t="s">
        <v>70</v>
      </c>
      <c r="D789">
        <v>1</v>
      </c>
      <c r="E789">
        <v>1</v>
      </c>
      <c r="F789" s="2">
        <v>43585.43</v>
      </c>
      <c r="G789" s="3">
        <v>41275</v>
      </c>
      <c r="H789" s="3">
        <v>41639</v>
      </c>
      <c r="I789" s="1" t="s">
        <v>71</v>
      </c>
      <c r="J789">
        <v>4521</v>
      </c>
      <c r="K789">
        <v>0</v>
      </c>
      <c r="L789" s="1" t="s">
        <v>384</v>
      </c>
      <c r="M789" s="1" t="s">
        <v>72</v>
      </c>
      <c r="N789" s="1" t="s">
        <v>134</v>
      </c>
      <c r="O789" s="1" t="s">
        <v>385</v>
      </c>
      <c r="P789" s="1" t="s">
        <v>386</v>
      </c>
      <c r="Q789" s="1" t="s">
        <v>387</v>
      </c>
      <c r="R789">
        <v>103</v>
      </c>
      <c r="S789" s="1" t="s">
        <v>135</v>
      </c>
      <c r="T789" s="1" t="s">
        <v>388</v>
      </c>
      <c r="U789" s="1" t="s">
        <v>135</v>
      </c>
      <c r="V789" s="1"/>
      <c r="W789" s="1"/>
      <c r="X789" s="1"/>
      <c r="Y789" s="1"/>
      <c r="AA789" s="1"/>
      <c r="AC789" s="1"/>
      <c r="AD789" s="1"/>
      <c r="AE789" s="1"/>
      <c r="AN789" s="1"/>
      <c r="AP789" s="1"/>
      <c r="AQ789" s="1"/>
      <c r="AR789" s="1"/>
      <c r="AS789" s="1"/>
      <c r="AT789" s="3"/>
      <c r="AU789" s="3"/>
      <c r="AV789" s="3"/>
      <c r="AW789" s="1"/>
      <c r="AX789" s="1"/>
      <c r="AZ789">
        <v>253</v>
      </c>
      <c r="BA789">
        <v>4654734.66</v>
      </c>
      <c r="BB789" s="1" t="s">
        <v>74</v>
      </c>
      <c r="BC789">
        <v>417</v>
      </c>
      <c r="BD789" s="1" t="s">
        <v>906</v>
      </c>
      <c r="BE789" s="1" t="s">
        <v>99</v>
      </c>
      <c r="BF789">
        <v>0</v>
      </c>
      <c r="BG789" s="1"/>
      <c r="BH789" s="1" t="s">
        <v>75</v>
      </c>
      <c r="BI789">
        <v>684.6</v>
      </c>
      <c r="BJ789" s="1" t="s">
        <v>1052</v>
      </c>
      <c r="BL789" s="1"/>
      <c r="BN789" s="1"/>
      <c r="BO789">
        <v>599</v>
      </c>
      <c r="BP789">
        <v>4654734.66</v>
      </c>
      <c r="BQ789">
        <v>4654734.66</v>
      </c>
    </row>
    <row r="790" spans="1:69" x14ac:dyDescent="0.35">
      <c r="A790" s="1" t="s">
        <v>68</v>
      </c>
      <c r="B790" s="1" t="s">
        <v>69</v>
      </c>
      <c r="C790" s="1" t="s">
        <v>70</v>
      </c>
      <c r="D790">
        <v>1</v>
      </c>
      <c r="E790">
        <v>1</v>
      </c>
      <c r="F790" s="2">
        <v>43585.43</v>
      </c>
      <c r="G790" s="3">
        <v>41275</v>
      </c>
      <c r="H790" s="3">
        <v>41639</v>
      </c>
      <c r="I790" s="1" t="s">
        <v>71</v>
      </c>
      <c r="J790">
        <v>4521</v>
      </c>
      <c r="K790">
        <v>0</v>
      </c>
      <c r="L790" s="1" t="s">
        <v>384</v>
      </c>
      <c r="M790" s="1" t="s">
        <v>72</v>
      </c>
      <c r="N790" s="1" t="s">
        <v>134</v>
      </c>
      <c r="O790" s="1" t="s">
        <v>385</v>
      </c>
      <c r="P790" s="1" t="s">
        <v>386</v>
      </c>
      <c r="Q790" s="1" t="s">
        <v>387</v>
      </c>
      <c r="R790">
        <v>103</v>
      </c>
      <c r="S790" s="1" t="s">
        <v>135</v>
      </c>
      <c r="T790" s="1" t="s">
        <v>388</v>
      </c>
      <c r="U790" s="1" t="s">
        <v>135</v>
      </c>
      <c r="V790" s="1"/>
      <c r="W790" s="1"/>
      <c r="X790" s="1"/>
      <c r="Y790" s="1"/>
      <c r="AA790" s="1"/>
      <c r="AC790" s="1"/>
      <c r="AD790" s="1"/>
      <c r="AE790" s="1"/>
      <c r="AN790" s="1"/>
      <c r="AP790" s="1"/>
      <c r="AQ790" s="1"/>
      <c r="AR790" s="1"/>
      <c r="AS790" s="1"/>
      <c r="AT790" s="3"/>
      <c r="AU790" s="3"/>
      <c r="AV790" s="3"/>
      <c r="AW790" s="1"/>
      <c r="AX790" s="1"/>
      <c r="AZ790">
        <v>253</v>
      </c>
      <c r="BA790">
        <v>4654734.66</v>
      </c>
      <c r="BB790" s="1" t="s">
        <v>74</v>
      </c>
      <c r="BC790">
        <v>418</v>
      </c>
      <c r="BD790" s="1" t="s">
        <v>906</v>
      </c>
      <c r="BE790" s="1" t="s">
        <v>452</v>
      </c>
      <c r="BF790">
        <v>32.6</v>
      </c>
      <c r="BG790" s="1" t="s">
        <v>1052</v>
      </c>
      <c r="BH790" s="1" t="s">
        <v>99</v>
      </c>
      <c r="BI790">
        <v>0</v>
      </c>
      <c r="BJ790" s="1"/>
      <c r="BL790" s="1"/>
      <c r="BN790" s="1"/>
      <c r="BO790">
        <v>599</v>
      </c>
      <c r="BP790">
        <v>4654734.66</v>
      </c>
      <c r="BQ790">
        <v>4654734.66</v>
      </c>
    </row>
    <row r="791" spans="1:69" x14ac:dyDescent="0.35">
      <c r="A791" s="1" t="s">
        <v>68</v>
      </c>
      <c r="B791" s="1" t="s">
        <v>69</v>
      </c>
      <c r="C791" s="1" t="s">
        <v>70</v>
      </c>
      <c r="D791">
        <v>1</v>
      </c>
      <c r="E791">
        <v>1</v>
      </c>
      <c r="F791" s="2">
        <v>43585.43</v>
      </c>
      <c r="G791" s="3">
        <v>41275</v>
      </c>
      <c r="H791" s="3">
        <v>41639</v>
      </c>
      <c r="I791" s="1" t="s">
        <v>71</v>
      </c>
      <c r="J791">
        <v>4521</v>
      </c>
      <c r="K791">
        <v>0</v>
      </c>
      <c r="L791" s="1" t="s">
        <v>384</v>
      </c>
      <c r="M791" s="1" t="s">
        <v>72</v>
      </c>
      <c r="N791" s="1" t="s">
        <v>134</v>
      </c>
      <c r="O791" s="1" t="s">
        <v>385</v>
      </c>
      <c r="P791" s="1" t="s">
        <v>386</v>
      </c>
      <c r="Q791" s="1" t="s">
        <v>387</v>
      </c>
      <c r="R791">
        <v>103</v>
      </c>
      <c r="S791" s="1" t="s">
        <v>135</v>
      </c>
      <c r="T791" s="1" t="s">
        <v>388</v>
      </c>
      <c r="U791" s="1" t="s">
        <v>135</v>
      </c>
      <c r="V791" s="1"/>
      <c r="W791" s="1"/>
      <c r="X791" s="1"/>
      <c r="Y791" s="1"/>
      <c r="AA791" s="1"/>
      <c r="AC791" s="1"/>
      <c r="AD791" s="1"/>
      <c r="AE791" s="1"/>
      <c r="AN791" s="1"/>
      <c r="AP791" s="1"/>
      <c r="AQ791" s="1"/>
      <c r="AR791" s="1"/>
      <c r="AS791" s="1"/>
      <c r="AT791" s="3"/>
      <c r="AU791" s="3"/>
      <c r="AV791" s="3"/>
      <c r="AW791" s="1"/>
      <c r="AX791" s="1"/>
      <c r="AZ791">
        <v>253</v>
      </c>
      <c r="BA791">
        <v>4654734.66</v>
      </c>
      <c r="BB791" s="1" t="s">
        <v>74</v>
      </c>
      <c r="BC791">
        <v>419</v>
      </c>
      <c r="BD791" s="1" t="s">
        <v>907</v>
      </c>
      <c r="BE791" s="1" t="s">
        <v>483</v>
      </c>
      <c r="BF791">
        <v>652</v>
      </c>
      <c r="BG791" s="1" t="s">
        <v>1052</v>
      </c>
      <c r="BH791" s="1" t="s">
        <v>99</v>
      </c>
      <c r="BI791">
        <v>0</v>
      </c>
      <c r="BJ791" s="1"/>
      <c r="BL791" s="1"/>
      <c r="BN791" s="1"/>
      <c r="BO791">
        <v>599</v>
      </c>
      <c r="BP791">
        <v>4654734.66</v>
      </c>
      <c r="BQ791">
        <v>4654734.66</v>
      </c>
    </row>
    <row r="792" spans="1:69" x14ac:dyDescent="0.35">
      <c r="A792" s="1" t="s">
        <v>68</v>
      </c>
      <c r="B792" s="1" t="s">
        <v>69</v>
      </c>
      <c r="C792" s="1" t="s">
        <v>70</v>
      </c>
      <c r="D792">
        <v>1</v>
      </c>
      <c r="E792">
        <v>1</v>
      </c>
      <c r="F792" s="2">
        <v>43585.43</v>
      </c>
      <c r="G792" s="3">
        <v>41275</v>
      </c>
      <c r="H792" s="3">
        <v>41639</v>
      </c>
      <c r="I792" s="1" t="s">
        <v>71</v>
      </c>
      <c r="J792">
        <v>4521</v>
      </c>
      <c r="K792">
        <v>0</v>
      </c>
      <c r="L792" s="1" t="s">
        <v>384</v>
      </c>
      <c r="M792" s="1" t="s">
        <v>72</v>
      </c>
      <c r="N792" s="1" t="s">
        <v>134</v>
      </c>
      <c r="O792" s="1" t="s">
        <v>385</v>
      </c>
      <c r="P792" s="1" t="s">
        <v>386</v>
      </c>
      <c r="Q792" s="1" t="s">
        <v>387</v>
      </c>
      <c r="R792">
        <v>103</v>
      </c>
      <c r="S792" s="1" t="s">
        <v>135</v>
      </c>
      <c r="T792" s="1" t="s">
        <v>388</v>
      </c>
      <c r="U792" s="1" t="s">
        <v>135</v>
      </c>
      <c r="V792" s="1"/>
      <c r="W792" s="1"/>
      <c r="X792" s="1"/>
      <c r="Y792" s="1"/>
      <c r="AA792" s="1"/>
      <c r="AC792" s="1"/>
      <c r="AD792" s="1"/>
      <c r="AE792" s="1"/>
      <c r="AN792" s="1"/>
      <c r="AP792" s="1"/>
      <c r="AQ792" s="1"/>
      <c r="AR792" s="1"/>
      <c r="AS792" s="1"/>
      <c r="AT792" s="3"/>
      <c r="AU792" s="3"/>
      <c r="AV792" s="3"/>
      <c r="AW792" s="1"/>
      <c r="AX792" s="1"/>
      <c r="AZ792">
        <v>253</v>
      </c>
      <c r="BA792">
        <v>4654734.66</v>
      </c>
      <c r="BB792" s="1" t="s">
        <v>74</v>
      </c>
      <c r="BC792">
        <v>420</v>
      </c>
      <c r="BD792" s="1" t="s">
        <v>907</v>
      </c>
      <c r="BE792" s="1" t="s">
        <v>99</v>
      </c>
      <c r="BF792">
        <v>0</v>
      </c>
      <c r="BG792" s="1"/>
      <c r="BH792" s="1" t="s">
        <v>136</v>
      </c>
      <c r="BI792">
        <v>652</v>
      </c>
      <c r="BJ792" s="1" t="s">
        <v>1052</v>
      </c>
      <c r="BL792" s="1"/>
      <c r="BN792" s="1"/>
      <c r="BO792">
        <v>599</v>
      </c>
      <c r="BP792">
        <v>4654734.66</v>
      </c>
      <c r="BQ792">
        <v>4654734.66</v>
      </c>
    </row>
    <row r="793" spans="1:69" x14ac:dyDescent="0.35">
      <c r="A793" s="1" t="s">
        <v>68</v>
      </c>
      <c r="B793" s="1" t="s">
        <v>69</v>
      </c>
      <c r="C793" s="1" t="s">
        <v>70</v>
      </c>
      <c r="D793">
        <v>1</v>
      </c>
      <c r="E793">
        <v>1</v>
      </c>
      <c r="F793" s="2">
        <v>43585.43</v>
      </c>
      <c r="G793" s="3">
        <v>41275</v>
      </c>
      <c r="H793" s="3">
        <v>41639</v>
      </c>
      <c r="I793" s="1" t="s">
        <v>71</v>
      </c>
      <c r="J793">
        <v>4521</v>
      </c>
      <c r="K793">
        <v>0</v>
      </c>
      <c r="L793" s="1" t="s">
        <v>384</v>
      </c>
      <c r="M793" s="1" t="s">
        <v>72</v>
      </c>
      <c r="N793" s="1" t="s">
        <v>134</v>
      </c>
      <c r="O793" s="1" t="s">
        <v>385</v>
      </c>
      <c r="P793" s="1" t="s">
        <v>386</v>
      </c>
      <c r="Q793" s="1" t="s">
        <v>387</v>
      </c>
      <c r="R793">
        <v>103</v>
      </c>
      <c r="S793" s="1" t="s">
        <v>135</v>
      </c>
      <c r="T793" s="1" t="s">
        <v>388</v>
      </c>
      <c r="U793" s="1" t="s">
        <v>135</v>
      </c>
      <c r="V793" s="1"/>
      <c r="W793" s="1"/>
      <c r="X793" s="1"/>
      <c r="Y793" s="1"/>
      <c r="AA793" s="1"/>
      <c r="AC793" s="1"/>
      <c r="AD793" s="1"/>
      <c r="AE793" s="1"/>
      <c r="AN793" s="1"/>
      <c r="AP793" s="1"/>
      <c r="AQ793" s="1"/>
      <c r="AR793" s="1"/>
      <c r="AS793" s="1"/>
      <c r="AT793" s="3"/>
      <c r="AU793" s="3"/>
      <c r="AV793" s="3"/>
      <c r="AW793" s="1"/>
      <c r="AX793" s="1"/>
      <c r="AZ793">
        <v>253</v>
      </c>
      <c r="BA793">
        <v>4654734.66</v>
      </c>
      <c r="BB793" s="1" t="s">
        <v>74</v>
      </c>
      <c r="BC793">
        <v>421</v>
      </c>
      <c r="BD793" s="1" t="s">
        <v>908</v>
      </c>
      <c r="BE793" s="1" t="s">
        <v>392</v>
      </c>
      <c r="BF793">
        <v>15000</v>
      </c>
      <c r="BG793" s="1" t="s">
        <v>1228</v>
      </c>
      <c r="BH793" s="1" t="s">
        <v>99</v>
      </c>
      <c r="BI793">
        <v>0</v>
      </c>
      <c r="BJ793" s="1"/>
      <c r="BL793" s="1"/>
      <c r="BN793" s="1"/>
      <c r="BO793">
        <v>599</v>
      </c>
      <c r="BP793">
        <v>4654734.66</v>
      </c>
      <c r="BQ793">
        <v>4654734.66</v>
      </c>
    </row>
    <row r="794" spans="1:69" x14ac:dyDescent="0.35">
      <c r="A794" s="1" t="s">
        <v>68</v>
      </c>
      <c r="B794" s="1" t="s">
        <v>69</v>
      </c>
      <c r="C794" s="1" t="s">
        <v>70</v>
      </c>
      <c r="D794">
        <v>1</v>
      </c>
      <c r="E794">
        <v>1</v>
      </c>
      <c r="F794" s="2">
        <v>43585.43</v>
      </c>
      <c r="G794" s="3">
        <v>41275</v>
      </c>
      <c r="H794" s="3">
        <v>41639</v>
      </c>
      <c r="I794" s="1" t="s">
        <v>71</v>
      </c>
      <c r="J794">
        <v>4521</v>
      </c>
      <c r="K794">
        <v>0</v>
      </c>
      <c r="L794" s="1" t="s">
        <v>384</v>
      </c>
      <c r="M794" s="1" t="s">
        <v>72</v>
      </c>
      <c r="N794" s="1" t="s">
        <v>134</v>
      </c>
      <c r="O794" s="1" t="s">
        <v>385</v>
      </c>
      <c r="P794" s="1" t="s">
        <v>386</v>
      </c>
      <c r="Q794" s="1" t="s">
        <v>387</v>
      </c>
      <c r="R794">
        <v>103</v>
      </c>
      <c r="S794" s="1" t="s">
        <v>135</v>
      </c>
      <c r="T794" s="1" t="s">
        <v>388</v>
      </c>
      <c r="U794" s="1" t="s">
        <v>135</v>
      </c>
      <c r="V794" s="1"/>
      <c r="W794" s="1"/>
      <c r="X794" s="1"/>
      <c r="Y794" s="1"/>
      <c r="AA794" s="1"/>
      <c r="AC794" s="1"/>
      <c r="AD794" s="1"/>
      <c r="AE794" s="1"/>
      <c r="AN794" s="1"/>
      <c r="AP794" s="1"/>
      <c r="AQ794" s="1"/>
      <c r="AR794" s="1"/>
      <c r="AS794" s="1"/>
      <c r="AT794" s="3"/>
      <c r="AU794" s="3"/>
      <c r="AV794" s="3"/>
      <c r="AW794" s="1"/>
      <c r="AX794" s="1"/>
      <c r="AZ794">
        <v>253</v>
      </c>
      <c r="BA794">
        <v>4654734.66</v>
      </c>
      <c r="BB794" s="1" t="s">
        <v>74</v>
      </c>
      <c r="BC794">
        <v>422</v>
      </c>
      <c r="BD794" s="1" t="s">
        <v>908</v>
      </c>
      <c r="BE794" s="1" t="s">
        <v>99</v>
      </c>
      <c r="BF794">
        <v>0</v>
      </c>
      <c r="BG794" s="1"/>
      <c r="BH794" s="1" t="s">
        <v>394</v>
      </c>
      <c r="BI794">
        <v>15000</v>
      </c>
      <c r="BJ794" s="1" t="s">
        <v>1228</v>
      </c>
      <c r="BL794" s="1"/>
      <c r="BN794" s="1"/>
      <c r="BO794">
        <v>599</v>
      </c>
      <c r="BP794">
        <v>4654734.66</v>
      </c>
      <c r="BQ794">
        <v>4654734.66</v>
      </c>
    </row>
    <row r="795" spans="1:69" x14ac:dyDescent="0.35">
      <c r="A795" s="1" t="s">
        <v>68</v>
      </c>
      <c r="B795" s="1" t="s">
        <v>69</v>
      </c>
      <c r="C795" s="1" t="s">
        <v>70</v>
      </c>
      <c r="D795">
        <v>1</v>
      </c>
      <c r="E795">
        <v>1</v>
      </c>
      <c r="F795" s="2">
        <v>43585.43</v>
      </c>
      <c r="G795" s="3">
        <v>41275</v>
      </c>
      <c r="H795" s="3">
        <v>41639</v>
      </c>
      <c r="I795" s="1" t="s">
        <v>71</v>
      </c>
      <c r="J795">
        <v>4521</v>
      </c>
      <c r="K795">
        <v>0</v>
      </c>
      <c r="L795" s="1" t="s">
        <v>384</v>
      </c>
      <c r="M795" s="1" t="s">
        <v>72</v>
      </c>
      <c r="N795" s="1" t="s">
        <v>134</v>
      </c>
      <c r="O795" s="1" t="s">
        <v>385</v>
      </c>
      <c r="P795" s="1" t="s">
        <v>386</v>
      </c>
      <c r="Q795" s="1" t="s">
        <v>387</v>
      </c>
      <c r="R795">
        <v>103</v>
      </c>
      <c r="S795" s="1" t="s">
        <v>135</v>
      </c>
      <c r="T795" s="1" t="s">
        <v>388</v>
      </c>
      <c r="U795" s="1" t="s">
        <v>135</v>
      </c>
      <c r="V795" s="1"/>
      <c r="W795" s="1"/>
      <c r="X795" s="1"/>
      <c r="Y795" s="1"/>
      <c r="AA795" s="1"/>
      <c r="AC795" s="1"/>
      <c r="AD795" s="1"/>
      <c r="AE795" s="1"/>
      <c r="AN795" s="1"/>
      <c r="AP795" s="1"/>
      <c r="AQ795" s="1"/>
      <c r="AR795" s="1"/>
      <c r="AS795" s="1"/>
      <c r="AT795" s="3"/>
      <c r="AU795" s="3"/>
      <c r="AV795" s="3"/>
      <c r="AW795" s="1"/>
      <c r="AX795" s="1"/>
      <c r="AZ795">
        <v>253</v>
      </c>
      <c r="BA795">
        <v>4654734.66</v>
      </c>
      <c r="BB795" s="1" t="s">
        <v>74</v>
      </c>
      <c r="BC795">
        <v>423</v>
      </c>
      <c r="BD795" s="1" t="s">
        <v>909</v>
      </c>
      <c r="BE795" s="1" t="s">
        <v>459</v>
      </c>
      <c r="BF795">
        <v>6500</v>
      </c>
      <c r="BG795" s="1" t="s">
        <v>1255</v>
      </c>
      <c r="BH795" s="1" t="s">
        <v>99</v>
      </c>
      <c r="BI795">
        <v>0</v>
      </c>
      <c r="BJ795" s="1"/>
      <c r="BL795" s="1"/>
      <c r="BN795" s="1"/>
      <c r="BO795">
        <v>599</v>
      </c>
      <c r="BP795">
        <v>4654734.66</v>
      </c>
      <c r="BQ795">
        <v>4654734.66</v>
      </c>
    </row>
    <row r="796" spans="1:69" x14ac:dyDescent="0.35">
      <c r="A796" s="1" t="s">
        <v>68</v>
      </c>
      <c r="B796" s="1" t="s">
        <v>69</v>
      </c>
      <c r="C796" s="1" t="s">
        <v>70</v>
      </c>
      <c r="D796">
        <v>1</v>
      </c>
      <c r="E796">
        <v>1</v>
      </c>
      <c r="F796" s="2">
        <v>43585.43</v>
      </c>
      <c r="G796" s="3">
        <v>41275</v>
      </c>
      <c r="H796" s="3">
        <v>41639</v>
      </c>
      <c r="I796" s="1" t="s">
        <v>71</v>
      </c>
      <c r="J796">
        <v>4521</v>
      </c>
      <c r="K796">
        <v>0</v>
      </c>
      <c r="L796" s="1" t="s">
        <v>384</v>
      </c>
      <c r="M796" s="1" t="s">
        <v>72</v>
      </c>
      <c r="N796" s="1" t="s">
        <v>134</v>
      </c>
      <c r="O796" s="1" t="s">
        <v>385</v>
      </c>
      <c r="P796" s="1" t="s">
        <v>386</v>
      </c>
      <c r="Q796" s="1" t="s">
        <v>387</v>
      </c>
      <c r="R796">
        <v>103</v>
      </c>
      <c r="S796" s="1" t="s">
        <v>135</v>
      </c>
      <c r="T796" s="1" t="s">
        <v>388</v>
      </c>
      <c r="U796" s="1" t="s">
        <v>135</v>
      </c>
      <c r="V796" s="1"/>
      <c r="W796" s="1"/>
      <c r="X796" s="1"/>
      <c r="Y796" s="1"/>
      <c r="AA796" s="1"/>
      <c r="AC796" s="1"/>
      <c r="AD796" s="1"/>
      <c r="AE796" s="1"/>
      <c r="AN796" s="1"/>
      <c r="AP796" s="1"/>
      <c r="AQ796" s="1"/>
      <c r="AR796" s="1"/>
      <c r="AS796" s="1"/>
      <c r="AT796" s="3"/>
      <c r="AU796" s="3"/>
      <c r="AV796" s="3"/>
      <c r="AW796" s="1"/>
      <c r="AX796" s="1"/>
      <c r="AZ796">
        <v>253</v>
      </c>
      <c r="BA796">
        <v>4654734.66</v>
      </c>
      <c r="BB796" s="1" t="s">
        <v>74</v>
      </c>
      <c r="BC796">
        <v>424</v>
      </c>
      <c r="BD796" s="1" t="s">
        <v>909</v>
      </c>
      <c r="BE796" s="1" t="s">
        <v>99</v>
      </c>
      <c r="BF796">
        <v>0</v>
      </c>
      <c r="BG796" s="1"/>
      <c r="BH796" s="1" t="s">
        <v>392</v>
      </c>
      <c r="BI796">
        <v>6500</v>
      </c>
      <c r="BJ796" s="1" t="s">
        <v>1255</v>
      </c>
      <c r="BL796" s="1"/>
      <c r="BN796" s="1"/>
      <c r="BO796">
        <v>599</v>
      </c>
      <c r="BP796">
        <v>4654734.66</v>
      </c>
      <c r="BQ796">
        <v>4654734.66</v>
      </c>
    </row>
    <row r="797" spans="1:69" x14ac:dyDescent="0.35">
      <c r="A797" s="1" t="s">
        <v>68</v>
      </c>
      <c r="B797" s="1" t="s">
        <v>69</v>
      </c>
      <c r="C797" s="1" t="s">
        <v>70</v>
      </c>
      <c r="D797">
        <v>1</v>
      </c>
      <c r="E797">
        <v>1</v>
      </c>
      <c r="F797" s="2">
        <v>43585.43</v>
      </c>
      <c r="G797" s="3">
        <v>41275</v>
      </c>
      <c r="H797" s="3">
        <v>41639</v>
      </c>
      <c r="I797" s="1" t="s">
        <v>71</v>
      </c>
      <c r="J797">
        <v>4521</v>
      </c>
      <c r="K797">
        <v>0</v>
      </c>
      <c r="L797" s="1" t="s">
        <v>384</v>
      </c>
      <c r="M797" s="1" t="s">
        <v>72</v>
      </c>
      <c r="N797" s="1" t="s">
        <v>134</v>
      </c>
      <c r="O797" s="1" t="s">
        <v>385</v>
      </c>
      <c r="P797" s="1" t="s">
        <v>386</v>
      </c>
      <c r="Q797" s="1" t="s">
        <v>387</v>
      </c>
      <c r="R797">
        <v>103</v>
      </c>
      <c r="S797" s="1" t="s">
        <v>135</v>
      </c>
      <c r="T797" s="1" t="s">
        <v>388</v>
      </c>
      <c r="U797" s="1" t="s">
        <v>135</v>
      </c>
      <c r="V797" s="1"/>
      <c r="W797" s="1"/>
      <c r="X797" s="1"/>
      <c r="Y797" s="1"/>
      <c r="AA797" s="1"/>
      <c r="AC797" s="1"/>
      <c r="AD797" s="1"/>
      <c r="AE797" s="1"/>
      <c r="AN797" s="1"/>
      <c r="AP797" s="1"/>
      <c r="AQ797" s="1"/>
      <c r="AR797" s="1"/>
      <c r="AS797" s="1"/>
      <c r="AT797" s="3"/>
      <c r="AU797" s="3"/>
      <c r="AV797" s="3"/>
      <c r="AW797" s="1"/>
      <c r="AX797" s="1"/>
      <c r="AZ797">
        <v>253</v>
      </c>
      <c r="BA797">
        <v>4654734.66</v>
      </c>
      <c r="BB797" s="1" t="s">
        <v>74</v>
      </c>
      <c r="BC797">
        <v>425</v>
      </c>
      <c r="BD797" s="1" t="s">
        <v>910</v>
      </c>
      <c r="BE797" s="1" t="s">
        <v>439</v>
      </c>
      <c r="BF797">
        <v>15000</v>
      </c>
      <c r="BG797" s="1" t="s">
        <v>1251</v>
      </c>
      <c r="BH797" s="1" t="s">
        <v>99</v>
      </c>
      <c r="BI797">
        <v>0</v>
      </c>
      <c r="BJ797" s="1"/>
      <c r="BL797" s="1"/>
      <c r="BN797" s="1"/>
      <c r="BO797">
        <v>599</v>
      </c>
      <c r="BP797">
        <v>4654734.66</v>
      </c>
      <c r="BQ797">
        <v>4654734.66</v>
      </c>
    </row>
    <row r="798" spans="1:69" x14ac:dyDescent="0.35">
      <c r="A798" s="1" t="s">
        <v>68</v>
      </c>
      <c r="B798" s="1" t="s">
        <v>69</v>
      </c>
      <c r="C798" s="1" t="s">
        <v>70</v>
      </c>
      <c r="D798">
        <v>1</v>
      </c>
      <c r="E798">
        <v>1</v>
      </c>
      <c r="F798" s="2">
        <v>43585.43</v>
      </c>
      <c r="G798" s="3">
        <v>41275</v>
      </c>
      <c r="H798" s="3">
        <v>41639</v>
      </c>
      <c r="I798" s="1" t="s">
        <v>71</v>
      </c>
      <c r="J798">
        <v>4521</v>
      </c>
      <c r="K798">
        <v>0</v>
      </c>
      <c r="L798" s="1" t="s">
        <v>384</v>
      </c>
      <c r="M798" s="1" t="s">
        <v>72</v>
      </c>
      <c r="N798" s="1" t="s">
        <v>134</v>
      </c>
      <c r="O798" s="1" t="s">
        <v>385</v>
      </c>
      <c r="P798" s="1" t="s">
        <v>386</v>
      </c>
      <c r="Q798" s="1" t="s">
        <v>387</v>
      </c>
      <c r="R798">
        <v>103</v>
      </c>
      <c r="S798" s="1" t="s">
        <v>135</v>
      </c>
      <c r="T798" s="1" t="s">
        <v>388</v>
      </c>
      <c r="U798" s="1" t="s">
        <v>135</v>
      </c>
      <c r="V798" s="1"/>
      <c r="W798" s="1"/>
      <c r="X798" s="1"/>
      <c r="Y798" s="1"/>
      <c r="AA798" s="1"/>
      <c r="AC798" s="1"/>
      <c r="AD798" s="1"/>
      <c r="AE798" s="1"/>
      <c r="AN798" s="1"/>
      <c r="AP798" s="1"/>
      <c r="AQ798" s="1"/>
      <c r="AR798" s="1"/>
      <c r="AS798" s="1"/>
      <c r="AT798" s="3"/>
      <c r="AU798" s="3"/>
      <c r="AV798" s="3"/>
      <c r="AW798" s="1"/>
      <c r="AX798" s="1"/>
      <c r="AZ798">
        <v>253</v>
      </c>
      <c r="BA798">
        <v>4654734.66</v>
      </c>
      <c r="BB798" s="1" t="s">
        <v>74</v>
      </c>
      <c r="BC798">
        <v>426</v>
      </c>
      <c r="BD798" s="1" t="s">
        <v>910</v>
      </c>
      <c r="BE798" s="1" t="s">
        <v>99</v>
      </c>
      <c r="BF798">
        <v>0</v>
      </c>
      <c r="BG798" s="1"/>
      <c r="BH798" s="1" t="s">
        <v>394</v>
      </c>
      <c r="BI798">
        <v>15000</v>
      </c>
      <c r="BJ798" s="1" t="s">
        <v>1251</v>
      </c>
      <c r="BL798" s="1"/>
      <c r="BN798" s="1"/>
      <c r="BO798">
        <v>599</v>
      </c>
      <c r="BP798">
        <v>4654734.66</v>
      </c>
      <c r="BQ798">
        <v>4654734.66</v>
      </c>
    </row>
    <row r="799" spans="1:69" x14ac:dyDescent="0.35">
      <c r="A799" s="1" t="s">
        <v>68</v>
      </c>
      <c r="B799" s="1" t="s">
        <v>69</v>
      </c>
      <c r="C799" s="1" t="s">
        <v>70</v>
      </c>
      <c r="D799">
        <v>1</v>
      </c>
      <c r="E799">
        <v>1</v>
      </c>
      <c r="F799" s="2">
        <v>43585.43</v>
      </c>
      <c r="G799" s="3">
        <v>41275</v>
      </c>
      <c r="H799" s="3">
        <v>41639</v>
      </c>
      <c r="I799" s="1" t="s">
        <v>71</v>
      </c>
      <c r="J799">
        <v>4521</v>
      </c>
      <c r="K799">
        <v>0</v>
      </c>
      <c r="L799" s="1" t="s">
        <v>384</v>
      </c>
      <c r="M799" s="1" t="s">
        <v>72</v>
      </c>
      <c r="N799" s="1" t="s">
        <v>134</v>
      </c>
      <c r="O799" s="1" t="s">
        <v>385</v>
      </c>
      <c r="P799" s="1" t="s">
        <v>386</v>
      </c>
      <c r="Q799" s="1" t="s">
        <v>387</v>
      </c>
      <c r="R799">
        <v>103</v>
      </c>
      <c r="S799" s="1" t="s">
        <v>135</v>
      </c>
      <c r="T799" s="1" t="s">
        <v>388</v>
      </c>
      <c r="U799" s="1" t="s">
        <v>135</v>
      </c>
      <c r="V799" s="1"/>
      <c r="W799" s="1"/>
      <c r="X799" s="1"/>
      <c r="Y799" s="1"/>
      <c r="AA799" s="1"/>
      <c r="AC799" s="1"/>
      <c r="AD799" s="1"/>
      <c r="AE799" s="1"/>
      <c r="AN799" s="1"/>
      <c r="AP799" s="1"/>
      <c r="AQ799" s="1"/>
      <c r="AR799" s="1"/>
      <c r="AS799" s="1"/>
      <c r="AT799" s="3"/>
      <c r="AU799" s="3"/>
      <c r="AV799" s="3"/>
      <c r="AW799" s="1"/>
      <c r="AX799" s="1"/>
      <c r="AZ799">
        <v>253</v>
      </c>
      <c r="BA799">
        <v>4654734.66</v>
      </c>
      <c r="BB799" s="1" t="s">
        <v>74</v>
      </c>
      <c r="BC799">
        <v>427</v>
      </c>
      <c r="BD799" s="1" t="s">
        <v>911</v>
      </c>
      <c r="BE799" s="1" t="s">
        <v>394</v>
      </c>
      <c r="BF799">
        <v>100000</v>
      </c>
      <c r="BG799" s="1" t="s">
        <v>1253</v>
      </c>
      <c r="BH799" s="1" t="s">
        <v>99</v>
      </c>
      <c r="BI799">
        <v>0</v>
      </c>
      <c r="BJ799" s="1"/>
      <c r="BL799" s="1"/>
      <c r="BN799" s="1"/>
      <c r="BO799">
        <v>599</v>
      </c>
      <c r="BP799">
        <v>4654734.66</v>
      </c>
      <c r="BQ799">
        <v>4654734.66</v>
      </c>
    </row>
    <row r="800" spans="1:69" x14ac:dyDescent="0.35">
      <c r="A800" s="1" t="s">
        <v>68</v>
      </c>
      <c r="B800" s="1" t="s">
        <v>69</v>
      </c>
      <c r="C800" s="1" t="s">
        <v>70</v>
      </c>
      <c r="D800">
        <v>1</v>
      </c>
      <c r="E800">
        <v>1</v>
      </c>
      <c r="F800" s="2">
        <v>43585.43</v>
      </c>
      <c r="G800" s="3">
        <v>41275</v>
      </c>
      <c r="H800" s="3">
        <v>41639</v>
      </c>
      <c r="I800" s="1" t="s">
        <v>71</v>
      </c>
      <c r="J800">
        <v>4521</v>
      </c>
      <c r="K800">
        <v>0</v>
      </c>
      <c r="L800" s="1" t="s">
        <v>384</v>
      </c>
      <c r="M800" s="1" t="s">
        <v>72</v>
      </c>
      <c r="N800" s="1" t="s">
        <v>134</v>
      </c>
      <c r="O800" s="1" t="s">
        <v>385</v>
      </c>
      <c r="P800" s="1" t="s">
        <v>386</v>
      </c>
      <c r="Q800" s="1" t="s">
        <v>387</v>
      </c>
      <c r="R800">
        <v>103</v>
      </c>
      <c r="S800" s="1" t="s">
        <v>135</v>
      </c>
      <c r="T800" s="1" t="s">
        <v>388</v>
      </c>
      <c r="U800" s="1" t="s">
        <v>135</v>
      </c>
      <c r="V800" s="1"/>
      <c r="W800" s="1"/>
      <c r="X800" s="1"/>
      <c r="Y800" s="1"/>
      <c r="AA800" s="1"/>
      <c r="AC800" s="1"/>
      <c r="AD800" s="1"/>
      <c r="AE800" s="1"/>
      <c r="AN800" s="1"/>
      <c r="AP800" s="1"/>
      <c r="AQ800" s="1"/>
      <c r="AR800" s="1"/>
      <c r="AS800" s="1"/>
      <c r="AT800" s="3"/>
      <c r="AU800" s="3"/>
      <c r="AV800" s="3"/>
      <c r="AW800" s="1"/>
      <c r="AX800" s="1"/>
      <c r="AZ800">
        <v>253</v>
      </c>
      <c r="BA800">
        <v>4654734.66</v>
      </c>
      <c r="BB800" s="1" t="s">
        <v>74</v>
      </c>
      <c r="BC800">
        <v>428</v>
      </c>
      <c r="BD800" s="1" t="s">
        <v>911</v>
      </c>
      <c r="BE800" s="1" t="s">
        <v>99</v>
      </c>
      <c r="BF800">
        <v>0</v>
      </c>
      <c r="BG800" s="1"/>
      <c r="BH800" s="1" t="s">
        <v>464</v>
      </c>
      <c r="BI800">
        <v>100000</v>
      </c>
      <c r="BJ800" s="1" t="s">
        <v>1253</v>
      </c>
      <c r="BL800" s="1"/>
      <c r="BN800" s="1"/>
      <c r="BO800">
        <v>599</v>
      </c>
      <c r="BP800">
        <v>4654734.66</v>
      </c>
      <c r="BQ800">
        <v>4654734.66</v>
      </c>
    </row>
    <row r="801" spans="1:69" x14ac:dyDescent="0.35">
      <c r="A801" s="1" t="s">
        <v>68</v>
      </c>
      <c r="B801" s="1" t="s">
        <v>69</v>
      </c>
      <c r="C801" s="1" t="s">
        <v>70</v>
      </c>
      <c r="D801">
        <v>1</v>
      </c>
      <c r="E801">
        <v>1</v>
      </c>
      <c r="F801" s="2">
        <v>43585.43</v>
      </c>
      <c r="G801" s="3">
        <v>41275</v>
      </c>
      <c r="H801" s="3">
        <v>41639</v>
      </c>
      <c r="I801" s="1" t="s">
        <v>71</v>
      </c>
      <c r="J801">
        <v>4521</v>
      </c>
      <c r="K801">
        <v>0</v>
      </c>
      <c r="L801" s="1" t="s">
        <v>384</v>
      </c>
      <c r="M801" s="1" t="s">
        <v>72</v>
      </c>
      <c r="N801" s="1" t="s">
        <v>134</v>
      </c>
      <c r="O801" s="1" t="s">
        <v>385</v>
      </c>
      <c r="P801" s="1" t="s">
        <v>386</v>
      </c>
      <c r="Q801" s="1" t="s">
        <v>387</v>
      </c>
      <c r="R801">
        <v>103</v>
      </c>
      <c r="S801" s="1" t="s">
        <v>135</v>
      </c>
      <c r="T801" s="1" t="s">
        <v>388</v>
      </c>
      <c r="U801" s="1" t="s">
        <v>135</v>
      </c>
      <c r="V801" s="1"/>
      <c r="W801" s="1"/>
      <c r="X801" s="1"/>
      <c r="Y801" s="1"/>
      <c r="AA801" s="1"/>
      <c r="AC801" s="1"/>
      <c r="AD801" s="1"/>
      <c r="AE801" s="1"/>
      <c r="AN801" s="1"/>
      <c r="AP801" s="1"/>
      <c r="AQ801" s="1"/>
      <c r="AR801" s="1"/>
      <c r="AS801" s="1"/>
      <c r="AT801" s="3"/>
      <c r="AU801" s="3"/>
      <c r="AV801" s="3"/>
      <c r="AW801" s="1"/>
      <c r="AX801" s="1"/>
      <c r="AZ801">
        <v>253</v>
      </c>
      <c r="BA801">
        <v>4654734.66</v>
      </c>
      <c r="BB801" s="1" t="s">
        <v>74</v>
      </c>
      <c r="BC801">
        <v>429</v>
      </c>
      <c r="BD801" s="1" t="s">
        <v>912</v>
      </c>
      <c r="BE801" s="1" t="s">
        <v>406</v>
      </c>
      <c r="BF801">
        <v>1560</v>
      </c>
      <c r="BG801" s="1" t="s">
        <v>1256</v>
      </c>
      <c r="BH801" s="1" t="s">
        <v>99</v>
      </c>
      <c r="BI801">
        <v>0</v>
      </c>
      <c r="BJ801" s="1"/>
      <c r="BL801" s="1"/>
      <c r="BN801" s="1"/>
      <c r="BO801">
        <v>599</v>
      </c>
      <c r="BP801">
        <v>4654734.66</v>
      </c>
      <c r="BQ801">
        <v>4654734.66</v>
      </c>
    </row>
    <row r="802" spans="1:69" x14ac:dyDescent="0.35">
      <c r="A802" s="1" t="s">
        <v>68</v>
      </c>
      <c r="B802" s="1" t="s">
        <v>69</v>
      </c>
      <c r="C802" s="1" t="s">
        <v>70</v>
      </c>
      <c r="D802">
        <v>1</v>
      </c>
      <c r="E802">
        <v>1</v>
      </c>
      <c r="F802" s="2">
        <v>43585.43</v>
      </c>
      <c r="G802" s="3">
        <v>41275</v>
      </c>
      <c r="H802" s="3">
        <v>41639</v>
      </c>
      <c r="I802" s="1" t="s">
        <v>71</v>
      </c>
      <c r="J802">
        <v>4521</v>
      </c>
      <c r="K802">
        <v>0</v>
      </c>
      <c r="L802" s="1" t="s">
        <v>384</v>
      </c>
      <c r="M802" s="1" t="s">
        <v>72</v>
      </c>
      <c r="N802" s="1" t="s">
        <v>134</v>
      </c>
      <c r="O802" s="1" t="s">
        <v>385</v>
      </c>
      <c r="P802" s="1" t="s">
        <v>386</v>
      </c>
      <c r="Q802" s="1" t="s">
        <v>387</v>
      </c>
      <c r="R802">
        <v>103</v>
      </c>
      <c r="S802" s="1" t="s">
        <v>135</v>
      </c>
      <c r="T802" s="1" t="s">
        <v>388</v>
      </c>
      <c r="U802" s="1" t="s">
        <v>135</v>
      </c>
      <c r="V802" s="1"/>
      <c r="W802" s="1"/>
      <c r="X802" s="1"/>
      <c r="Y802" s="1"/>
      <c r="AA802" s="1"/>
      <c r="AC802" s="1"/>
      <c r="AD802" s="1"/>
      <c r="AE802" s="1"/>
      <c r="AN802" s="1"/>
      <c r="AP802" s="1"/>
      <c r="AQ802" s="1"/>
      <c r="AR802" s="1"/>
      <c r="AS802" s="1"/>
      <c r="AT802" s="3"/>
      <c r="AU802" s="3"/>
      <c r="AV802" s="3"/>
      <c r="AW802" s="1"/>
      <c r="AX802" s="1"/>
      <c r="AZ802">
        <v>253</v>
      </c>
      <c r="BA802">
        <v>4654734.66</v>
      </c>
      <c r="BB802" s="1" t="s">
        <v>74</v>
      </c>
      <c r="BC802">
        <v>430</v>
      </c>
      <c r="BD802" s="1" t="s">
        <v>912</v>
      </c>
      <c r="BE802" s="1" t="s">
        <v>99</v>
      </c>
      <c r="BF802">
        <v>0</v>
      </c>
      <c r="BG802" s="1"/>
      <c r="BH802" s="1" t="s">
        <v>394</v>
      </c>
      <c r="BI802">
        <v>1560</v>
      </c>
      <c r="BJ802" s="1" t="s">
        <v>1256</v>
      </c>
      <c r="BL802" s="1"/>
      <c r="BN802" s="1"/>
      <c r="BO802">
        <v>599</v>
      </c>
      <c r="BP802">
        <v>4654734.66</v>
      </c>
      <c r="BQ802">
        <v>4654734.66</v>
      </c>
    </row>
    <row r="803" spans="1:69" x14ac:dyDescent="0.35">
      <c r="A803" s="1" t="s">
        <v>68</v>
      </c>
      <c r="B803" s="1" t="s">
        <v>69</v>
      </c>
      <c r="C803" s="1" t="s">
        <v>70</v>
      </c>
      <c r="D803">
        <v>1</v>
      </c>
      <c r="E803">
        <v>1</v>
      </c>
      <c r="F803" s="2">
        <v>43585.43</v>
      </c>
      <c r="G803" s="3">
        <v>41275</v>
      </c>
      <c r="H803" s="3">
        <v>41639</v>
      </c>
      <c r="I803" s="1" t="s">
        <v>71</v>
      </c>
      <c r="J803">
        <v>4521</v>
      </c>
      <c r="K803">
        <v>0</v>
      </c>
      <c r="L803" s="1" t="s">
        <v>384</v>
      </c>
      <c r="M803" s="1" t="s">
        <v>72</v>
      </c>
      <c r="N803" s="1" t="s">
        <v>134</v>
      </c>
      <c r="O803" s="1" t="s">
        <v>385</v>
      </c>
      <c r="P803" s="1" t="s">
        <v>386</v>
      </c>
      <c r="Q803" s="1" t="s">
        <v>387</v>
      </c>
      <c r="R803">
        <v>103</v>
      </c>
      <c r="S803" s="1" t="s">
        <v>135</v>
      </c>
      <c r="T803" s="1" t="s">
        <v>388</v>
      </c>
      <c r="U803" s="1" t="s">
        <v>135</v>
      </c>
      <c r="V803" s="1"/>
      <c r="W803" s="1"/>
      <c r="X803" s="1"/>
      <c r="Y803" s="1"/>
      <c r="AA803" s="1"/>
      <c r="AC803" s="1"/>
      <c r="AD803" s="1"/>
      <c r="AE803" s="1"/>
      <c r="AN803" s="1"/>
      <c r="AP803" s="1"/>
      <c r="AQ803" s="1"/>
      <c r="AR803" s="1"/>
      <c r="AS803" s="1"/>
      <c r="AT803" s="3"/>
      <c r="AU803" s="3"/>
      <c r="AV803" s="3"/>
      <c r="AW803" s="1"/>
      <c r="AX803" s="1"/>
      <c r="AZ803">
        <v>253</v>
      </c>
      <c r="BA803">
        <v>4654734.66</v>
      </c>
      <c r="BB803" s="1" t="s">
        <v>74</v>
      </c>
      <c r="BC803">
        <v>431</v>
      </c>
      <c r="BD803" s="1" t="s">
        <v>913</v>
      </c>
      <c r="BE803" s="1" t="s">
        <v>406</v>
      </c>
      <c r="BF803">
        <v>5600</v>
      </c>
      <c r="BG803" s="1" t="s">
        <v>1256</v>
      </c>
      <c r="BH803" s="1" t="s">
        <v>99</v>
      </c>
      <c r="BI803">
        <v>0</v>
      </c>
      <c r="BJ803" s="1"/>
      <c r="BL803" s="1"/>
      <c r="BN803" s="1"/>
      <c r="BO803">
        <v>599</v>
      </c>
      <c r="BP803">
        <v>4654734.66</v>
      </c>
      <c r="BQ803">
        <v>4654734.66</v>
      </c>
    </row>
    <row r="804" spans="1:69" x14ac:dyDescent="0.35">
      <c r="A804" s="1" t="s">
        <v>68</v>
      </c>
      <c r="B804" s="1" t="s">
        <v>69</v>
      </c>
      <c r="C804" s="1" t="s">
        <v>70</v>
      </c>
      <c r="D804">
        <v>1</v>
      </c>
      <c r="E804">
        <v>1</v>
      </c>
      <c r="F804" s="2">
        <v>43585.43</v>
      </c>
      <c r="G804" s="3">
        <v>41275</v>
      </c>
      <c r="H804" s="3">
        <v>41639</v>
      </c>
      <c r="I804" s="1" t="s">
        <v>71</v>
      </c>
      <c r="J804">
        <v>4521</v>
      </c>
      <c r="K804">
        <v>0</v>
      </c>
      <c r="L804" s="1" t="s">
        <v>384</v>
      </c>
      <c r="M804" s="1" t="s">
        <v>72</v>
      </c>
      <c r="N804" s="1" t="s">
        <v>134</v>
      </c>
      <c r="O804" s="1" t="s">
        <v>385</v>
      </c>
      <c r="P804" s="1" t="s">
        <v>386</v>
      </c>
      <c r="Q804" s="1" t="s">
        <v>387</v>
      </c>
      <c r="R804">
        <v>103</v>
      </c>
      <c r="S804" s="1" t="s">
        <v>135</v>
      </c>
      <c r="T804" s="1" t="s">
        <v>388</v>
      </c>
      <c r="U804" s="1" t="s">
        <v>135</v>
      </c>
      <c r="V804" s="1"/>
      <c r="W804" s="1"/>
      <c r="X804" s="1"/>
      <c r="Y804" s="1"/>
      <c r="AA804" s="1"/>
      <c r="AC804" s="1"/>
      <c r="AD804" s="1"/>
      <c r="AE804" s="1"/>
      <c r="AN804" s="1"/>
      <c r="AP804" s="1"/>
      <c r="AQ804" s="1"/>
      <c r="AR804" s="1"/>
      <c r="AS804" s="1"/>
      <c r="AT804" s="3"/>
      <c r="AU804" s="3"/>
      <c r="AV804" s="3"/>
      <c r="AW804" s="1"/>
      <c r="AX804" s="1"/>
      <c r="AZ804">
        <v>253</v>
      </c>
      <c r="BA804">
        <v>4654734.66</v>
      </c>
      <c r="BB804" s="1" t="s">
        <v>74</v>
      </c>
      <c r="BC804">
        <v>432</v>
      </c>
      <c r="BD804" s="1" t="s">
        <v>913</v>
      </c>
      <c r="BE804" s="1" t="s">
        <v>99</v>
      </c>
      <c r="BF804">
        <v>0</v>
      </c>
      <c r="BG804" s="1"/>
      <c r="BH804" s="1" t="s">
        <v>394</v>
      </c>
      <c r="BI804">
        <v>5600</v>
      </c>
      <c r="BJ804" s="1" t="s">
        <v>1256</v>
      </c>
      <c r="BL804" s="1"/>
      <c r="BN804" s="1"/>
      <c r="BO804">
        <v>599</v>
      </c>
      <c r="BP804">
        <v>4654734.66</v>
      </c>
      <c r="BQ804">
        <v>4654734.66</v>
      </c>
    </row>
    <row r="805" spans="1:69" x14ac:dyDescent="0.35">
      <c r="A805" s="1" t="s">
        <v>68</v>
      </c>
      <c r="B805" s="1" t="s">
        <v>69</v>
      </c>
      <c r="C805" s="1" t="s">
        <v>70</v>
      </c>
      <c r="D805">
        <v>1</v>
      </c>
      <c r="E805">
        <v>1</v>
      </c>
      <c r="F805" s="2">
        <v>43585.43</v>
      </c>
      <c r="G805" s="3">
        <v>41275</v>
      </c>
      <c r="H805" s="3">
        <v>41639</v>
      </c>
      <c r="I805" s="1" t="s">
        <v>71</v>
      </c>
      <c r="J805">
        <v>4521</v>
      </c>
      <c r="K805">
        <v>0</v>
      </c>
      <c r="L805" s="1" t="s">
        <v>384</v>
      </c>
      <c r="M805" s="1" t="s">
        <v>72</v>
      </c>
      <c r="N805" s="1" t="s">
        <v>134</v>
      </c>
      <c r="O805" s="1" t="s">
        <v>385</v>
      </c>
      <c r="P805" s="1" t="s">
        <v>386</v>
      </c>
      <c r="Q805" s="1" t="s">
        <v>387</v>
      </c>
      <c r="R805">
        <v>103</v>
      </c>
      <c r="S805" s="1" t="s">
        <v>135</v>
      </c>
      <c r="T805" s="1" t="s">
        <v>388</v>
      </c>
      <c r="U805" s="1" t="s">
        <v>135</v>
      </c>
      <c r="V805" s="1"/>
      <c r="W805" s="1"/>
      <c r="X805" s="1"/>
      <c r="Y805" s="1"/>
      <c r="AA805" s="1"/>
      <c r="AC805" s="1"/>
      <c r="AD805" s="1"/>
      <c r="AE805" s="1"/>
      <c r="AN805" s="1"/>
      <c r="AP805" s="1"/>
      <c r="AQ805" s="1"/>
      <c r="AR805" s="1"/>
      <c r="AS805" s="1"/>
      <c r="AT805" s="3"/>
      <c r="AU805" s="3"/>
      <c r="AV805" s="3"/>
      <c r="AW805" s="1"/>
      <c r="AX805" s="1"/>
      <c r="AZ805">
        <v>253</v>
      </c>
      <c r="BA805">
        <v>4654734.66</v>
      </c>
      <c r="BB805" s="1" t="s">
        <v>74</v>
      </c>
      <c r="BC805">
        <v>433</v>
      </c>
      <c r="BD805" s="1" t="s">
        <v>914</v>
      </c>
      <c r="BE805" s="1" t="s">
        <v>449</v>
      </c>
      <c r="BF805">
        <v>6289.8</v>
      </c>
      <c r="BG805" s="1" t="s">
        <v>1256</v>
      </c>
      <c r="BH805" s="1" t="s">
        <v>99</v>
      </c>
      <c r="BI805">
        <v>0</v>
      </c>
      <c r="BJ805" s="1"/>
      <c r="BK805">
        <v>1500</v>
      </c>
      <c r="BL805" s="1" t="s">
        <v>1295</v>
      </c>
      <c r="BN805" s="1"/>
      <c r="BO805">
        <v>599</v>
      </c>
      <c r="BP805">
        <v>4654734.66</v>
      </c>
      <c r="BQ805">
        <v>4654734.66</v>
      </c>
    </row>
    <row r="806" spans="1:69" x14ac:dyDescent="0.35">
      <c r="A806" s="1" t="s">
        <v>68</v>
      </c>
      <c r="B806" s="1" t="s">
        <v>69</v>
      </c>
      <c r="C806" s="1" t="s">
        <v>70</v>
      </c>
      <c r="D806">
        <v>1</v>
      </c>
      <c r="E806">
        <v>1</v>
      </c>
      <c r="F806" s="2">
        <v>43585.43</v>
      </c>
      <c r="G806" s="3">
        <v>41275</v>
      </c>
      <c r="H806" s="3">
        <v>41639</v>
      </c>
      <c r="I806" s="1" t="s">
        <v>71</v>
      </c>
      <c r="J806">
        <v>4521</v>
      </c>
      <c r="K806">
        <v>0</v>
      </c>
      <c r="L806" s="1" t="s">
        <v>384</v>
      </c>
      <c r="M806" s="1" t="s">
        <v>72</v>
      </c>
      <c r="N806" s="1" t="s">
        <v>134</v>
      </c>
      <c r="O806" s="1" t="s">
        <v>385</v>
      </c>
      <c r="P806" s="1" t="s">
        <v>386</v>
      </c>
      <c r="Q806" s="1" t="s">
        <v>387</v>
      </c>
      <c r="R806">
        <v>103</v>
      </c>
      <c r="S806" s="1" t="s">
        <v>135</v>
      </c>
      <c r="T806" s="1" t="s">
        <v>388</v>
      </c>
      <c r="U806" s="1" t="s">
        <v>135</v>
      </c>
      <c r="V806" s="1"/>
      <c r="W806" s="1"/>
      <c r="X806" s="1"/>
      <c r="Y806" s="1"/>
      <c r="AA806" s="1"/>
      <c r="AC806" s="1"/>
      <c r="AD806" s="1"/>
      <c r="AE806" s="1"/>
      <c r="AN806" s="1"/>
      <c r="AP806" s="1"/>
      <c r="AQ806" s="1"/>
      <c r="AR806" s="1"/>
      <c r="AS806" s="1"/>
      <c r="AT806" s="3"/>
      <c r="AU806" s="3"/>
      <c r="AV806" s="3"/>
      <c r="AW806" s="1"/>
      <c r="AX806" s="1"/>
      <c r="AZ806">
        <v>253</v>
      </c>
      <c r="BA806">
        <v>4654734.66</v>
      </c>
      <c r="BB806" s="1" t="s">
        <v>74</v>
      </c>
      <c r="BC806">
        <v>434</v>
      </c>
      <c r="BD806" s="1" t="s">
        <v>914</v>
      </c>
      <c r="BE806" s="1" t="s">
        <v>99</v>
      </c>
      <c r="BF806">
        <v>0</v>
      </c>
      <c r="BG806" s="1"/>
      <c r="BH806" s="1" t="s">
        <v>395</v>
      </c>
      <c r="BI806">
        <v>6289.8</v>
      </c>
      <c r="BJ806" s="1" t="s">
        <v>1256</v>
      </c>
      <c r="BL806" s="1"/>
      <c r="BM806">
        <v>1500</v>
      </c>
      <c r="BN806" s="1" t="s">
        <v>1295</v>
      </c>
      <c r="BO806">
        <v>599</v>
      </c>
      <c r="BP806">
        <v>4654734.66</v>
      </c>
      <c r="BQ806">
        <v>4654734.66</v>
      </c>
    </row>
    <row r="807" spans="1:69" x14ac:dyDescent="0.35">
      <c r="A807" s="1" t="s">
        <v>68</v>
      </c>
      <c r="B807" s="1" t="s">
        <v>69</v>
      </c>
      <c r="C807" s="1" t="s">
        <v>70</v>
      </c>
      <c r="D807">
        <v>1</v>
      </c>
      <c r="E807">
        <v>1</v>
      </c>
      <c r="F807" s="2">
        <v>43585.43</v>
      </c>
      <c r="G807" s="3">
        <v>41275</v>
      </c>
      <c r="H807" s="3">
        <v>41639</v>
      </c>
      <c r="I807" s="1" t="s">
        <v>71</v>
      </c>
      <c r="J807">
        <v>4521</v>
      </c>
      <c r="K807">
        <v>0</v>
      </c>
      <c r="L807" s="1" t="s">
        <v>384</v>
      </c>
      <c r="M807" s="1" t="s">
        <v>72</v>
      </c>
      <c r="N807" s="1" t="s">
        <v>134</v>
      </c>
      <c r="O807" s="1" t="s">
        <v>385</v>
      </c>
      <c r="P807" s="1" t="s">
        <v>386</v>
      </c>
      <c r="Q807" s="1" t="s">
        <v>387</v>
      </c>
      <c r="R807">
        <v>103</v>
      </c>
      <c r="S807" s="1" t="s">
        <v>135</v>
      </c>
      <c r="T807" s="1" t="s">
        <v>388</v>
      </c>
      <c r="U807" s="1" t="s">
        <v>135</v>
      </c>
      <c r="V807" s="1"/>
      <c r="W807" s="1"/>
      <c r="X807" s="1"/>
      <c r="Y807" s="1"/>
      <c r="AA807" s="1"/>
      <c r="AC807" s="1"/>
      <c r="AD807" s="1"/>
      <c r="AE807" s="1"/>
      <c r="AN807" s="1"/>
      <c r="AP807" s="1"/>
      <c r="AQ807" s="1"/>
      <c r="AR807" s="1"/>
      <c r="AS807" s="1"/>
      <c r="AT807" s="3"/>
      <c r="AU807" s="3"/>
      <c r="AV807" s="3"/>
      <c r="AW807" s="1"/>
      <c r="AX807" s="1"/>
      <c r="AZ807">
        <v>253</v>
      </c>
      <c r="BA807">
        <v>4654734.66</v>
      </c>
      <c r="BB807" s="1" t="s">
        <v>74</v>
      </c>
      <c r="BC807">
        <v>435</v>
      </c>
      <c r="BD807" s="1" t="s">
        <v>915</v>
      </c>
      <c r="BE807" s="1" t="s">
        <v>491</v>
      </c>
      <c r="BF807">
        <v>271.8</v>
      </c>
      <c r="BG807" s="1" t="s">
        <v>1281</v>
      </c>
      <c r="BH807" s="1" t="s">
        <v>99</v>
      </c>
      <c r="BI807">
        <v>0</v>
      </c>
      <c r="BJ807" s="1"/>
      <c r="BL807" s="1"/>
      <c r="BN807" s="1"/>
      <c r="BO807">
        <v>599</v>
      </c>
      <c r="BP807">
        <v>4654734.66</v>
      </c>
      <c r="BQ807">
        <v>4654734.66</v>
      </c>
    </row>
    <row r="808" spans="1:69" x14ac:dyDescent="0.35">
      <c r="A808" s="1" t="s">
        <v>68</v>
      </c>
      <c r="B808" s="1" t="s">
        <v>69</v>
      </c>
      <c r="C808" s="1" t="s">
        <v>70</v>
      </c>
      <c r="D808">
        <v>1</v>
      </c>
      <c r="E808">
        <v>1</v>
      </c>
      <c r="F808" s="2">
        <v>43585.43</v>
      </c>
      <c r="G808" s="3">
        <v>41275</v>
      </c>
      <c r="H808" s="3">
        <v>41639</v>
      </c>
      <c r="I808" s="1" t="s">
        <v>71</v>
      </c>
      <c r="J808">
        <v>4521</v>
      </c>
      <c r="K808">
        <v>0</v>
      </c>
      <c r="L808" s="1" t="s">
        <v>384</v>
      </c>
      <c r="M808" s="1" t="s">
        <v>72</v>
      </c>
      <c r="N808" s="1" t="s">
        <v>134</v>
      </c>
      <c r="O808" s="1" t="s">
        <v>385</v>
      </c>
      <c r="P808" s="1" t="s">
        <v>386</v>
      </c>
      <c r="Q808" s="1" t="s">
        <v>387</v>
      </c>
      <c r="R808">
        <v>103</v>
      </c>
      <c r="S808" s="1" t="s">
        <v>135</v>
      </c>
      <c r="T808" s="1" t="s">
        <v>388</v>
      </c>
      <c r="U808" s="1" t="s">
        <v>135</v>
      </c>
      <c r="V808" s="1"/>
      <c r="W808" s="1"/>
      <c r="X808" s="1"/>
      <c r="Y808" s="1"/>
      <c r="AA808" s="1"/>
      <c r="AC808" s="1"/>
      <c r="AD808" s="1"/>
      <c r="AE808" s="1"/>
      <c r="AN808" s="1"/>
      <c r="AP808" s="1"/>
      <c r="AQ808" s="1"/>
      <c r="AR808" s="1"/>
      <c r="AS808" s="1"/>
      <c r="AT808" s="3"/>
      <c r="AU808" s="3"/>
      <c r="AV808" s="3"/>
      <c r="AW808" s="1"/>
      <c r="AX808" s="1"/>
      <c r="AZ808">
        <v>253</v>
      </c>
      <c r="BA808">
        <v>4654734.66</v>
      </c>
      <c r="BB808" s="1" t="s">
        <v>74</v>
      </c>
      <c r="BC808">
        <v>436</v>
      </c>
      <c r="BD808" s="1" t="s">
        <v>915</v>
      </c>
      <c r="BE808" s="1" t="s">
        <v>99</v>
      </c>
      <c r="BF808">
        <v>0</v>
      </c>
      <c r="BG808" s="1"/>
      <c r="BH808" s="1" t="s">
        <v>449</v>
      </c>
      <c r="BI808">
        <v>271.8</v>
      </c>
      <c r="BJ808" s="1" t="s">
        <v>1281</v>
      </c>
      <c r="BL808" s="1"/>
      <c r="BN808" s="1"/>
      <c r="BO808">
        <v>599</v>
      </c>
      <c r="BP808">
        <v>4654734.66</v>
      </c>
      <c r="BQ808">
        <v>4654734.66</v>
      </c>
    </row>
    <row r="809" spans="1:69" x14ac:dyDescent="0.35">
      <c r="A809" s="1" t="s">
        <v>68</v>
      </c>
      <c r="B809" s="1" t="s">
        <v>69</v>
      </c>
      <c r="C809" s="1" t="s">
        <v>70</v>
      </c>
      <c r="D809">
        <v>1</v>
      </c>
      <c r="E809">
        <v>1</v>
      </c>
      <c r="F809" s="2">
        <v>43585.43</v>
      </c>
      <c r="G809" s="3">
        <v>41275</v>
      </c>
      <c r="H809" s="3">
        <v>41639</v>
      </c>
      <c r="I809" s="1" t="s">
        <v>71</v>
      </c>
      <c r="J809">
        <v>4521</v>
      </c>
      <c r="K809">
        <v>0</v>
      </c>
      <c r="L809" s="1" t="s">
        <v>384</v>
      </c>
      <c r="M809" s="1" t="s">
        <v>72</v>
      </c>
      <c r="N809" s="1" t="s">
        <v>134</v>
      </c>
      <c r="O809" s="1" t="s">
        <v>385</v>
      </c>
      <c r="P809" s="1" t="s">
        <v>386</v>
      </c>
      <c r="Q809" s="1" t="s">
        <v>387</v>
      </c>
      <c r="R809">
        <v>103</v>
      </c>
      <c r="S809" s="1" t="s">
        <v>135</v>
      </c>
      <c r="T809" s="1" t="s">
        <v>388</v>
      </c>
      <c r="U809" s="1" t="s">
        <v>135</v>
      </c>
      <c r="V809" s="1"/>
      <c r="W809" s="1"/>
      <c r="X809" s="1"/>
      <c r="Y809" s="1"/>
      <c r="AA809" s="1"/>
      <c r="AC809" s="1"/>
      <c r="AD809" s="1"/>
      <c r="AE809" s="1"/>
      <c r="AN809" s="1"/>
      <c r="AP809" s="1"/>
      <c r="AQ809" s="1"/>
      <c r="AR809" s="1"/>
      <c r="AS809" s="1"/>
      <c r="AT809" s="3"/>
      <c r="AU809" s="3"/>
      <c r="AV809" s="3"/>
      <c r="AW809" s="1"/>
      <c r="AX809" s="1"/>
      <c r="AZ809">
        <v>253</v>
      </c>
      <c r="BA809">
        <v>4654734.66</v>
      </c>
      <c r="BB809" s="1" t="s">
        <v>74</v>
      </c>
      <c r="BC809">
        <v>437</v>
      </c>
      <c r="BD809" s="1" t="s">
        <v>916</v>
      </c>
      <c r="BE809" s="1" t="s">
        <v>472</v>
      </c>
      <c r="BF809">
        <v>1747.98</v>
      </c>
      <c r="BG809" s="1" t="s">
        <v>1056</v>
      </c>
      <c r="BH809" s="1" t="s">
        <v>99</v>
      </c>
      <c r="BI809">
        <v>0</v>
      </c>
      <c r="BJ809" s="1"/>
      <c r="BL809" s="1"/>
      <c r="BN809" s="1"/>
      <c r="BO809">
        <v>599</v>
      </c>
      <c r="BP809">
        <v>4654734.66</v>
      </c>
      <c r="BQ809">
        <v>4654734.66</v>
      </c>
    </row>
    <row r="810" spans="1:69" x14ac:dyDescent="0.35">
      <c r="A810" s="1" t="s">
        <v>68</v>
      </c>
      <c r="B810" s="1" t="s">
        <v>69</v>
      </c>
      <c r="C810" s="1" t="s">
        <v>70</v>
      </c>
      <c r="D810">
        <v>1</v>
      </c>
      <c r="E810">
        <v>1</v>
      </c>
      <c r="F810" s="2">
        <v>43585.43</v>
      </c>
      <c r="G810" s="3">
        <v>41275</v>
      </c>
      <c r="H810" s="3">
        <v>41639</v>
      </c>
      <c r="I810" s="1" t="s">
        <v>71</v>
      </c>
      <c r="J810">
        <v>4521</v>
      </c>
      <c r="K810">
        <v>0</v>
      </c>
      <c r="L810" s="1" t="s">
        <v>384</v>
      </c>
      <c r="M810" s="1" t="s">
        <v>72</v>
      </c>
      <c r="N810" s="1" t="s">
        <v>134</v>
      </c>
      <c r="O810" s="1" t="s">
        <v>385</v>
      </c>
      <c r="P810" s="1" t="s">
        <v>386</v>
      </c>
      <c r="Q810" s="1" t="s">
        <v>387</v>
      </c>
      <c r="R810">
        <v>103</v>
      </c>
      <c r="S810" s="1" t="s">
        <v>135</v>
      </c>
      <c r="T810" s="1" t="s">
        <v>388</v>
      </c>
      <c r="U810" s="1" t="s">
        <v>135</v>
      </c>
      <c r="V810" s="1"/>
      <c r="W810" s="1"/>
      <c r="X810" s="1"/>
      <c r="Y810" s="1"/>
      <c r="AA810" s="1"/>
      <c r="AC810" s="1"/>
      <c r="AD810" s="1"/>
      <c r="AE810" s="1"/>
      <c r="AN810" s="1"/>
      <c r="AP810" s="1"/>
      <c r="AQ810" s="1"/>
      <c r="AR810" s="1"/>
      <c r="AS810" s="1"/>
      <c r="AT810" s="3"/>
      <c r="AU810" s="3"/>
      <c r="AV810" s="3"/>
      <c r="AW810" s="1"/>
      <c r="AX810" s="1"/>
      <c r="AZ810">
        <v>253</v>
      </c>
      <c r="BA810">
        <v>4654734.66</v>
      </c>
      <c r="BB810" s="1" t="s">
        <v>74</v>
      </c>
      <c r="BC810">
        <v>438</v>
      </c>
      <c r="BD810" s="1" t="s">
        <v>916</v>
      </c>
      <c r="BE810" s="1" t="s">
        <v>99</v>
      </c>
      <c r="BF810">
        <v>0</v>
      </c>
      <c r="BG810" s="1"/>
      <c r="BH810" s="1" t="s">
        <v>389</v>
      </c>
      <c r="BI810">
        <v>1747.98</v>
      </c>
      <c r="BJ810" s="1" t="s">
        <v>1056</v>
      </c>
      <c r="BL810" s="1"/>
      <c r="BN810" s="1"/>
      <c r="BO810">
        <v>599</v>
      </c>
      <c r="BP810">
        <v>4654734.66</v>
      </c>
      <c r="BQ810">
        <v>4654734.66</v>
      </c>
    </row>
    <row r="811" spans="1:69" x14ac:dyDescent="0.35">
      <c r="A811" s="1" t="s">
        <v>68</v>
      </c>
      <c r="B811" s="1" t="s">
        <v>69</v>
      </c>
      <c r="C811" s="1" t="s">
        <v>70</v>
      </c>
      <c r="D811">
        <v>1</v>
      </c>
      <c r="E811">
        <v>1</v>
      </c>
      <c r="F811" s="2">
        <v>43585.43</v>
      </c>
      <c r="G811" s="3">
        <v>41275</v>
      </c>
      <c r="H811" s="3">
        <v>41639</v>
      </c>
      <c r="I811" s="1" t="s">
        <v>71</v>
      </c>
      <c r="J811">
        <v>4521</v>
      </c>
      <c r="K811">
        <v>0</v>
      </c>
      <c r="L811" s="1" t="s">
        <v>384</v>
      </c>
      <c r="M811" s="1" t="s">
        <v>72</v>
      </c>
      <c r="N811" s="1" t="s">
        <v>134</v>
      </c>
      <c r="O811" s="1" t="s">
        <v>385</v>
      </c>
      <c r="P811" s="1" t="s">
        <v>386</v>
      </c>
      <c r="Q811" s="1" t="s">
        <v>387</v>
      </c>
      <c r="R811">
        <v>103</v>
      </c>
      <c r="S811" s="1" t="s">
        <v>135</v>
      </c>
      <c r="T811" s="1" t="s">
        <v>388</v>
      </c>
      <c r="U811" s="1" t="s">
        <v>135</v>
      </c>
      <c r="V811" s="1"/>
      <c r="W811" s="1"/>
      <c r="X811" s="1"/>
      <c r="Y811" s="1"/>
      <c r="AA811" s="1"/>
      <c r="AC811" s="1"/>
      <c r="AD811" s="1"/>
      <c r="AE811" s="1"/>
      <c r="AN811" s="1"/>
      <c r="AP811" s="1"/>
      <c r="AQ811" s="1"/>
      <c r="AR811" s="1"/>
      <c r="AS811" s="1"/>
      <c r="AT811" s="3"/>
      <c r="AU811" s="3"/>
      <c r="AV811" s="3"/>
      <c r="AW811" s="1"/>
      <c r="AX811" s="1"/>
      <c r="AZ811">
        <v>253</v>
      </c>
      <c r="BA811">
        <v>4654734.66</v>
      </c>
      <c r="BB811" s="1" t="s">
        <v>74</v>
      </c>
      <c r="BC811">
        <v>439</v>
      </c>
      <c r="BD811" s="1" t="s">
        <v>917</v>
      </c>
      <c r="BE811" s="1" t="s">
        <v>472</v>
      </c>
      <c r="BF811">
        <v>584</v>
      </c>
      <c r="BG811" s="1" t="s">
        <v>1056</v>
      </c>
      <c r="BH811" s="1" t="s">
        <v>99</v>
      </c>
      <c r="BI811">
        <v>0</v>
      </c>
      <c r="BJ811" s="1"/>
      <c r="BL811" s="1"/>
      <c r="BN811" s="1"/>
      <c r="BO811">
        <v>599</v>
      </c>
      <c r="BP811">
        <v>4654734.66</v>
      </c>
      <c r="BQ811">
        <v>4654734.66</v>
      </c>
    </row>
    <row r="812" spans="1:69" x14ac:dyDescent="0.35">
      <c r="A812" s="1" t="s">
        <v>68</v>
      </c>
      <c r="B812" s="1" t="s">
        <v>69</v>
      </c>
      <c r="C812" s="1" t="s">
        <v>70</v>
      </c>
      <c r="D812">
        <v>1</v>
      </c>
      <c r="E812">
        <v>1</v>
      </c>
      <c r="F812" s="2">
        <v>43585.43</v>
      </c>
      <c r="G812" s="3">
        <v>41275</v>
      </c>
      <c r="H812" s="3">
        <v>41639</v>
      </c>
      <c r="I812" s="1" t="s">
        <v>71</v>
      </c>
      <c r="J812">
        <v>4521</v>
      </c>
      <c r="K812">
        <v>0</v>
      </c>
      <c r="L812" s="1" t="s">
        <v>384</v>
      </c>
      <c r="M812" s="1" t="s">
        <v>72</v>
      </c>
      <c r="N812" s="1" t="s">
        <v>134</v>
      </c>
      <c r="O812" s="1" t="s">
        <v>385</v>
      </c>
      <c r="P812" s="1" t="s">
        <v>386</v>
      </c>
      <c r="Q812" s="1" t="s">
        <v>387</v>
      </c>
      <c r="R812">
        <v>103</v>
      </c>
      <c r="S812" s="1" t="s">
        <v>135</v>
      </c>
      <c r="T812" s="1" t="s">
        <v>388</v>
      </c>
      <c r="U812" s="1" t="s">
        <v>135</v>
      </c>
      <c r="V812" s="1"/>
      <c r="W812" s="1"/>
      <c r="X812" s="1"/>
      <c r="Y812" s="1"/>
      <c r="AA812" s="1"/>
      <c r="AC812" s="1"/>
      <c r="AD812" s="1"/>
      <c r="AE812" s="1"/>
      <c r="AN812" s="1"/>
      <c r="AP812" s="1"/>
      <c r="AQ812" s="1"/>
      <c r="AR812" s="1"/>
      <c r="AS812" s="1"/>
      <c r="AT812" s="3"/>
      <c r="AU812" s="3"/>
      <c r="AV812" s="3"/>
      <c r="AW812" s="1"/>
      <c r="AX812" s="1"/>
      <c r="AZ812">
        <v>253</v>
      </c>
      <c r="BA812">
        <v>4654734.66</v>
      </c>
      <c r="BB812" s="1" t="s">
        <v>74</v>
      </c>
      <c r="BC812">
        <v>440</v>
      </c>
      <c r="BD812" s="1" t="s">
        <v>917</v>
      </c>
      <c r="BE812" s="1" t="s">
        <v>99</v>
      </c>
      <c r="BF812">
        <v>0</v>
      </c>
      <c r="BG812" s="1"/>
      <c r="BH812" s="1" t="s">
        <v>390</v>
      </c>
      <c r="BI812">
        <v>584</v>
      </c>
      <c r="BJ812" s="1" t="s">
        <v>1056</v>
      </c>
      <c r="BL812" s="1"/>
      <c r="BN812" s="1"/>
      <c r="BO812">
        <v>599</v>
      </c>
      <c r="BP812">
        <v>4654734.66</v>
      </c>
      <c r="BQ812">
        <v>4654734.66</v>
      </c>
    </row>
    <row r="813" spans="1:69" x14ac:dyDescent="0.35">
      <c r="A813" s="1" t="s">
        <v>68</v>
      </c>
      <c r="B813" s="1" t="s">
        <v>69</v>
      </c>
      <c r="C813" s="1" t="s">
        <v>70</v>
      </c>
      <c r="D813">
        <v>1</v>
      </c>
      <c r="E813">
        <v>1</v>
      </c>
      <c r="F813" s="2">
        <v>43585.43</v>
      </c>
      <c r="G813" s="3">
        <v>41275</v>
      </c>
      <c r="H813" s="3">
        <v>41639</v>
      </c>
      <c r="I813" s="1" t="s">
        <v>71</v>
      </c>
      <c r="J813">
        <v>4521</v>
      </c>
      <c r="K813">
        <v>0</v>
      </c>
      <c r="L813" s="1" t="s">
        <v>384</v>
      </c>
      <c r="M813" s="1" t="s">
        <v>72</v>
      </c>
      <c r="N813" s="1" t="s">
        <v>134</v>
      </c>
      <c r="O813" s="1" t="s">
        <v>385</v>
      </c>
      <c r="P813" s="1" t="s">
        <v>386</v>
      </c>
      <c r="Q813" s="1" t="s">
        <v>387</v>
      </c>
      <c r="R813">
        <v>103</v>
      </c>
      <c r="S813" s="1" t="s">
        <v>135</v>
      </c>
      <c r="T813" s="1" t="s">
        <v>388</v>
      </c>
      <c r="U813" s="1" t="s">
        <v>135</v>
      </c>
      <c r="V813" s="1"/>
      <c r="W813" s="1"/>
      <c r="X813" s="1"/>
      <c r="Y813" s="1"/>
      <c r="AA813" s="1"/>
      <c r="AC813" s="1"/>
      <c r="AD813" s="1"/>
      <c r="AE813" s="1"/>
      <c r="AN813" s="1"/>
      <c r="AP813" s="1"/>
      <c r="AQ813" s="1"/>
      <c r="AR813" s="1"/>
      <c r="AS813" s="1"/>
      <c r="AT813" s="3"/>
      <c r="AU813" s="3"/>
      <c r="AV813" s="3"/>
      <c r="AW813" s="1"/>
      <c r="AX813" s="1"/>
      <c r="AZ813">
        <v>253</v>
      </c>
      <c r="BA813">
        <v>4654734.66</v>
      </c>
      <c r="BB813" s="1" t="s">
        <v>74</v>
      </c>
      <c r="BC813">
        <v>441</v>
      </c>
      <c r="BD813" s="1" t="s">
        <v>918</v>
      </c>
      <c r="BE813" s="1" t="s">
        <v>472</v>
      </c>
      <c r="BF813">
        <v>1932.5</v>
      </c>
      <c r="BG813" s="1" t="s">
        <v>1056</v>
      </c>
      <c r="BH813" s="1" t="s">
        <v>99</v>
      </c>
      <c r="BI813">
        <v>0</v>
      </c>
      <c r="BJ813" s="1"/>
      <c r="BL813" s="1"/>
      <c r="BN813" s="1"/>
      <c r="BO813">
        <v>599</v>
      </c>
      <c r="BP813">
        <v>4654734.66</v>
      </c>
      <c r="BQ813">
        <v>4654734.66</v>
      </c>
    </row>
    <row r="814" spans="1:69" x14ac:dyDescent="0.35">
      <c r="A814" s="1" t="s">
        <v>68</v>
      </c>
      <c r="B814" s="1" t="s">
        <v>69</v>
      </c>
      <c r="C814" s="1" t="s">
        <v>70</v>
      </c>
      <c r="D814">
        <v>1</v>
      </c>
      <c r="E814">
        <v>1</v>
      </c>
      <c r="F814" s="2">
        <v>43585.43</v>
      </c>
      <c r="G814" s="3">
        <v>41275</v>
      </c>
      <c r="H814" s="3">
        <v>41639</v>
      </c>
      <c r="I814" s="1" t="s">
        <v>71</v>
      </c>
      <c r="J814">
        <v>4521</v>
      </c>
      <c r="K814">
        <v>0</v>
      </c>
      <c r="L814" s="1" t="s">
        <v>384</v>
      </c>
      <c r="M814" s="1" t="s">
        <v>72</v>
      </c>
      <c r="N814" s="1" t="s">
        <v>134</v>
      </c>
      <c r="O814" s="1" t="s">
        <v>385</v>
      </c>
      <c r="P814" s="1" t="s">
        <v>386</v>
      </c>
      <c r="Q814" s="1" t="s">
        <v>387</v>
      </c>
      <c r="R814">
        <v>103</v>
      </c>
      <c r="S814" s="1" t="s">
        <v>135</v>
      </c>
      <c r="T814" s="1" t="s">
        <v>388</v>
      </c>
      <c r="U814" s="1" t="s">
        <v>135</v>
      </c>
      <c r="V814" s="1"/>
      <c r="W814" s="1"/>
      <c r="X814" s="1"/>
      <c r="Y814" s="1"/>
      <c r="AA814" s="1"/>
      <c r="AC814" s="1"/>
      <c r="AD814" s="1"/>
      <c r="AE814" s="1"/>
      <c r="AN814" s="1"/>
      <c r="AP814" s="1"/>
      <c r="AQ814" s="1"/>
      <c r="AR814" s="1"/>
      <c r="AS814" s="1"/>
      <c r="AT814" s="3"/>
      <c r="AU814" s="3"/>
      <c r="AV814" s="3"/>
      <c r="AW814" s="1"/>
      <c r="AX814" s="1"/>
      <c r="AZ814">
        <v>253</v>
      </c>
      <c r="BA814">
        <v>4654734.66</v>
      </c>
      <c r="BB814" s="1" t="s">
        <v>74</v>
      </c>
      <c r="BC814">
        <v>442</v>
      </c>
      <c r="BD814" s="1" t="s">
        <v>918</v>
      </c>
      <c r="BE814" s="1" t="s">
        <v>99</v>
      </c>
      <c r="BF814">
        <v>0</v>
      </c>
      <c r="BG814" s="1"/>
      <c r="BH814" s="1" t="s">
        <v>391</v>
      </c>
      <c r="BI814">
        <v>1932.5</v>
      </c>
      <c r="BJ814" s="1" t="s">
        <v>1056</v>
      </c>
      <c r="BL814" s="1"/>
      <c r="BN814" s="1"/>
      <c r="BO814">
        <v>599</v>
      </c>
      <c r="BP814">
        <v>4654734.66</v>
      </c>
      <c r="BQ814">
        <v>4654734.66</v>
      </c>
    </row>
    <row r="815" spans="1:69" x14ac:dyDescent="0.35">
      <c r="A815" s="1" t="s">
        <v>68</v>
      </c>
      <c r="B815" s="1" t="s">
        <v>69</v>
      </c>
      <c r="C815" s="1" t="s">
        <v>70</v>
      </c>
      <c r="D815">
        <v>1</v>
      </c>
      <c r="E815">
        <v>1</v>
      </c>
      <c r="F815" s="2">
        <v>43585.43</v>
      </c>
      <c r="G815" s="3">
        <v>41275</v>
      </c>
      <c r="H815" s="3">
        <v>41639</v>
      </c>
      <c r="I815" s="1" t="s">
        <v>71</v>
      </c>
      <c r="J815">
        <v>4521</v>
      </c>
      <c r="K815">
        <v>0</v>
      </c>
      <c r="L815" s="1" t="s">
        <v>384</v>
      </c>
      <c r="M815" s="1" t="s">
        <v>72</v>
      </c>
      <c r="N815" s="1" t="s">
        <v>134</v>
      </c>
      <c r="O815" s="1" t="s">
        <v>385</v>
      </c>
      <c r="P815" s="1" t="s">
        <v>386</v>
      </c>
      <c r="Q815" s="1" t="s">
        <v>387</v>
      </c>
      <c r="R815">
        <v>103</v>
      </c>
      <c r="S815" s="1" t="s">
        <v>135</v>
      </c>
      <c r="T815" s="1" t="s">
        <v>388</v>
      </c>
      <c r="U815" s="1" t="s">
        <v>135</v>
      </c>
      <c r="V815" s="1"/>
      <c r="W815" s="1"/>
      <c r="X815" s="1"/>
      <c r="Y815" s="1"/>
      <c r="AA815" s="1"/>
      <c r="AC815" s="1"/>
      <c r="AD815" s="1"/>
      <c r="AE815" s="1"/>
      <c r="AN815" s="1"/>
      <c r="AP815" s="1"/>
      <c r="AQ815" s="1"/>
      <c r="AR815" s="1"/>
      <c r="AS815" s="1"/>
      <c r="AT815" s="3"/>
      <c r="AU815" s="3"/>
      <c r="AV815" s="3"/>
      <c r="AW815" s="1"/>
      <c r="AX815" s="1"/>
      <c r="AZ815">
        <v>253</v>
      </c>
      <c r="BA815">
        <v>4654734.66</v>
      </c>
      <c r="BB815" s="1" t="s">
        <v>74</v>
      </c>
      <c r="BC815">
        <v>443</v>
      </c>
      <c r="BD815" s="1" t="s">
        <v>919</v>
      </c>
      <c r="BE815" s="1" t="s">
        <v>479</v>
      </c>
      <c r="BF815">
        <v>4264.4799999999996</v>
      </c>
      <c r="BG815" s="1" t="s">
        <v>1056</v>
      </c>
      <c r="BH815" s="1" t="s">
        <v>99</v>
      </c>
      <c r="BI815">
        <v>0</v>
      </c>
      <c r="BJ815" s="1"/>
      <c r="BL815" s="1"/>
      <c r="BN815" s="1"/>
      <c r="BO815">
        <v>599</v>
      </c>
      <c r="BP815">
        <v>4654734.66</v>
      </c>
      <c r="BQ815">
        <v>4654734.66</v>
      </c>
    </row>
    <row r="816" spans="1:69" x14ac:dyDescent="0.35">
      <c r="A816" s="1" t="s">
        <v>68</v>
      </c>
      <c r="B816" s="1" t="s">
        <v>69</v>
      </c>
      <c r="C816" s="1" t="s">
        <v>70</v>
      </c>
      <c r="D816">
        <v>1</v>
      </c>
      <c r="E816">
        <v>1</v>
      </c>
      <c r="F816" s="2">
        <v>43585.43</v>
      </c>
      <c r="G816" s="3">
        <v>41275</v>
      </c>
      <c r="H816" s="3">
        <v>41639</v>
      </c>
      <c r="I816" s="1" t="s">
        <v>71</v>
      </c>
      <c r="J816">
        <v>4521</v>
      </c>
      <c r="K816">
        <v>0</v>
      </c>
      <c r="L816" s="1" t="s">
        <v>384</v>
      </c>
      <c r="M816" s="1" t="s">
        <v>72</v>
      </c>
      <c r="N816" s="1" t="s">
        <v>134</v>
      </c>
      <c r="O816" s="1" t="s">
        <v>385</v>
      </c>
      <c r="P816" s="1" t="s">
        <v>386</v>
      </c>
      <c r="Q816" s="1" t="s">
        <v>387</v>
      </c>
      <c r="R816">
        <v>103</v>
      </c>
      <c r="S816" s="1" t="s">
        <v>135</v>
      </c>
      <c r="T816" s="1" t="s">
        <v>388</v>
      </c>
      <c r="U816" s="1" t="s">
        <v>135</v>
      </c>
      <c r="V816" s="1"/>
      <c r="W816" s="1"/>
      <c r="X816" s="1"/>
      <c r="Y816" s="1"/>
      <c r="AA816" s="1"/>
      <c r="AC816" s="1"/>
      <c r="AD816" s="1"/>
      <c r="AE816" s="1"/>
      <c r="AN816" s="1"/>
      <c r="AP816" s="1"/>
      <c r="AQ816" s="1"/>
      <c r="AR816" s="1"/>
      <c r="AS816" s="1"/>
      <c r="AT816" s="3"/>
      <c r="AU816" s="3"/>
      <c r="AV816" s="3"/>
      <c r="AW816" s="1"/>
      <c r="AX816" s="1"/>
      <c r="AZ816">
        <v>253</v>
      </c>
      <c r="BA816">
        <v>4654734.66</v>
      </c>
      <c r="BB816" s="1" t="s">
        <v>74</v>
      </c>
      <c r="BC816">
        <v>444</v>
      </c>
      <c r="BD816" s="1" t="s">
        <v>919</v>
      </c>
      <c r="BE816" s="1" t="s">
        <v>99</v>
      </c>
      <c r="BF816">
        <v>0</v>
      </c>
      <c r="BG816" s="1"/>
      <c r="BH816" s="1" t="s">
        <v>136</v>
      </c>
      <c r="BI816">
        <v>4264.4799999999996</v>
      </c>
      <c r="BJ816" s="1" t="s">
        <v>1056</v>
      </c>
      <c r="BL816" s="1"/>
      <c r="BN816" s="1"/>
      <c r="BO816">
        <v>599</v>
      </c>
      <c r="BP816">
        <v>4654734.66</v>
      </c>
      <c r="BQ816">
        <v>4654734.66</v>
      </c>
    </row>
    <row r="817" spans="1:69" x14ac:dyDescent="0.35">
      <c r="A817" s="1" t="s">
        <v>68</v>
      </c>
      <c r="B817" s="1" t="s">
        <v>69</v>
      </c>
      <c r="C817" s="1" t="s">
        <v>70</v>
      </c>
      <c r="D817">
        <v>1</v>
      </c>
      <c r="E817">
        <v>1</v>
      </c>
      <c r="F817" s="2">
        <v>43585.43</v>
      </c>
      <c r="G817" s="3">
        <v>41275</v>
      </c>
      <c r="H817" s="3">
        <v>41639</v>
      </c>
      <c r="I817" s="1" t="s">
        <v>71</v>
      </c>
      <c r="J817">
        <v>4521</v>
      </c>
      <c r="K817">
        <v>0</v>
      </c>
      <c r="L817" s="1" t="s">
        <v>384</v>
      </c>
      <c r="M817" s="1" t="s">
        <v>72</v>
      </c>
      <c r="N817" s="1" t="s">
        <v>134</v>
      </c>
      <c r="O817" s="1" t="s">
        <v>385</v>
      </c>
      <c r="P817" s="1" t="s">
        <v>386</v>
      </c>
      <c r="Q817" s="1" t="s">
        <v>387</v>
      </c>
      <c r="R817">
        <v>103</v>
      </c>
      <c r="S817" s="1" t="s">
        <v>135</v>
      </c>
      <c r="T817" s="1" t="s">
        <v>388</v>
      </c>
      <c r="U817" s="1" t="s">
        <v>135</v>
      </c>
      <c r="V817" s="1"/>
      <c r="W817" s="1"/>
      <c r="X817" s="1"/>
      <c r="Y817" s="1"/>
      <c r="AA817" s="1"/>
      <c r="AC817" s="1"/>
      <c r="AD817" s="1"/>
      <c r="AE817" s="1"/>
      <c r="AN817" s="1"/>
      <c r="AP817" s="1"/>
      <c r="AQ817" s="1"/>
      <c r="AR817" s="1"/>
      <c r="AS817" s="1"/>
      <c r="AT817" s="3"/>
      <c r="AU817" s="3"/>
      <c r="AV817" s="3"/>
      <c r="AW817" s="1"/>
      <c r="AX817" s="1"/>
      <c r="AZ817">
        <v>253</v>
      </c>
      <c r="BA817">
        <v>4654734.66</v>
      </c>
      <c r="BB817" s="1" t="s">
        <v>74</v>
      </c>
      <c r="BC817">
        <v>445</v>
      </c>
      <c r="BD817" s="1" t="s">
        <v>920</v>
      </c>
      <c r="BE817" s="1" t="s">
        <v>480</v>
      </c>
      <c r="BF817">
        <v>884</v>
      </c>
      <c r="BG817" s="1" t="s">
        <v>1056</v>
      </c>
      <c r="BH817" s="1" t="s">
        <v>99</v>
      </c>
      <c r="BI817">
        <v>0</v>
      </c>
      <c r="BJ817" s="1"/>
      <c r="BL817" s="1"/>
      <c r="BN817" s="1"/>
      <c r="BO817">
        <v>599</v>
      </c>
      <c r="BP817">
        <v>4654734.66</v>
      </c>
      <c r="BQ817">
        <v>4654734.66</v>
      </c>
    </row>
    <row r="818" spans="1:69" x14ac:dyDescent="0.35">
      <c r="A818" s="1" t="s">
        <v>68</v>
      </c>
      <c r="B818" s="1" t="s">
        <v>69</v>
      </c>
      <c r="C818" s="1" t="s">
        <v>70</v>
      </c>
      <c r="D818">
        <v>1</v>
      </c>
      <c r="E818">
        <v>1</v>
      </c>
      <c r="F818" s="2">
        <v>43585.43</v>
      </c>
      <c r="G818" s="3">
        <v>41275</v>
      </c>
      <c r="H818" s="3">
        <v>41639</v>
      </c>
      <c r="I818" s="1" t="s">
        <v>71</v>
      </c>
      <c r="J818">
        <v>4521</v>
      </c>
      <c r="K818">
        <v>0</v>
      </c>
      <c r="L818" s="1" t="s">
        <v>384</v>
      </c>
      <c r="M818" s="1" t="s">
        <v>72</v>
      </c>
      <c r="N818" s="1" t="s">
        <v>134</v>
      </c>
      <c r="O818" s="1" t="s">
        <v>385</v>
      </c>
      <c r="P818" s="1" t="s">
        <v>386</v>
      </c>
      <c r="Q818" s="1" t="s">
        <v>387</v>
      </c>
      <c r="R818">
        <v>103</v>
      </c>
      <c r="S818" s="1" t="s">
        <v>135</v>
      </c>
      <c r="T818" s="1" t="s">
        <v>388</v>
      </c>
      <c r="U818" s="1" t="s">
        <v>135</v>
      </c>
      <c r="V818" s="1"/>
      <c r="W818" s="1"/>
      <c r="X818" s="1"/>
      <c r="Y818" s="1"/>
      <c r="AA818" s="1"/>
      <c r="AC818" s="1"/>
      <c r="AD818" s="1"/>
      <c r="AE818" s="1"/>
      <c r="AN818" s="1"/>
      <c r="AP818" s="1"/>
      <c r="AQ818" s="1"/>
      <c r="AR818" s="1"/>
      <c r="AS818" s="1"/>
      <c r="AT818" s="3"/>
      <c r="AU818" s="3"/>
      <c r="AV818" s="3"/>
      <c r="AW818" s="1"/>
      <c r="AX818" s="1"/>
      <c r="AZ818">
        <v>253</v>
      </c>
      <c r="BA818">
        <v>4654734.66</v>
      </c>
      <c r="BB818" s="1" t="s">
        <v>74</v>
      </c>
      <c r="BC818">
        <v>446</v>
      </c>
      <c r="BD818" s="1" t="s">
        <v>920</v>
      </c>
      <c r="BE818" s="1" t="s">
        <v>99</v>
      </c>
      <c r="BF818">
        <v>0</v>
      </c>
      <c r="BG818" s="1"/>
      <c r="BH818" s="1" t="s">
        <v>136</v>
      </c>
      <c r="BI818">
        <v>884</v>
      </c>
      <c r="BJ818" s="1" t="s">
        <v>1056</v>
      </c>
      <c r="BL818" s="1"/>
      <c r="BN818" s="1"/>
      <c r="BO818">
        <v>599</v>
      </c>
      <c r="BP818">
        <v>4654734.66</v>
      </c>
      <c r="BQ818">
        <v>4654734.66</v>
      </c>
    </row>
    <row r="819" spans="1:69" x14ac:dyDescent="0.35">
      <c r="A819" s="1" t="s">
        <v>68</v>
      </c>
      <c r="B819" s="1" t="s">
        <v>69</v>
      </c>
      <c r="C819" s="1" t="s">
        <v>70</v>
      </c>
      <c r="D819">
        <v>1</v>
      </c>
      <c r="E819">
        <v>1</v>
      </c>
      <c r="F819" s="2">
        <v>43585.43</v>
      </c>
      <c r="G819" s="3">
        <v>41275</v>
      </c>
      <c r="H819" s="3">
        <v>41639</v>
      </c>
      <c r="I819" s="1" t="s">
        <v>71</v>
      </c>
      <c r="J819">
        <v>4521</v>
      </c>
      <c r="K819">
        <v>0</v>
      </c>
      <c r="L819" s="1" t="s">
        <v>384</v>
      </c>
      <c r="M819" s="1" t="s">
        <v>72</v>
      </c>
      <c r="N819" s="1" t="s">
        <v>134</v>
      </c>
      <c r="O819" s="1" t="s">
        <v>385</v>
      </c>
      <c r="P819" s="1" t="s">
        <v>386</v>
      </c>
      <c r="Q819" s="1" t="s">
        <v>387</v>
      </c>
      <c r="R819">
        <v>103</v>
      </c>
      <c r="S819" s="1" t="s">
        <v>135</v>
      </c>
      <c r="T819" s="1" t="s">
        <v>388</v>
      </c>
      <c r="U819" s="1" t="s">
        <v>135</v>
      </c>
      <c r="V819" s="1"/>
      <c r="W819" s="1"/>
      <c r="X819" s="1"/>
      <c r="Y819" s="1"/>
      <c r="AA819" s="1"/>
      <c r="AC819" s="1"/>
      <c r="AD819" s="1"/>
      <c r="AE819" s="1"/>
      <c r="AN819" s="1"/>
      <c r="AP819" s="1"/>
      <c r="AQ819" s="1"/>
      <c r="AR819" s="1"/>
      <c r="AS819" s="1"/>
      <c r="AT819" s="3"/>
      <c r="AU819" s="3"/>
      <c r="AV819" s="3"/>
      <c r="AW819" s="1"/>
      <c r="AX819" s="1"/>
      <c r="AZ819">
        <v>253</v>
      </c>
      <c r="BA819">
        <v>4654734.66</v>
      </c>
      <c r="BB819" s="1" t="s">
        <v>74</v>
      </c>
      <c r="BC819">
        <v>447</v>
      </c>
      <c r="BD819" s="1" t="s">
        <v>921</v>
      </c>
      <c r="BE819" s="1" t="s">
        <v>479</v>
      </c>
      <c r="BF819">
        <v>1232.5</v>
      </c>
      <c r="BG819" s="1" t="s">
        <v>1056</v>
      </c>
      <c r="BH819" s="1" t="s">
        <v>99</v>
      </c>
      <c r="BI819">
        <v>0</v>
      </c>
      <c r="BJ819" s="1"/>
      <c r="BL819" s="1"/>
      <c r="BN819" s="1"/>
      <c r="BO819">
        <v>599</v>
      </c>
      <c r="BP819">
        <v>4654734.66</v>
      </c>
      <c r="BQ819">
        <v>4654734.66</v>
      </c>
    </row>
    <row r="820" spans="1:69" x14ac:dyDescent="0.35">
      <c r="A820" s="1" t="s">
        <v>68</v>
      </c>
      <c r="B820" s="1" t="s">
        <v>69</v>
      </c>
      <c r="C820" s="1" t="s">
        <v>70</v>
      </c>
      <c r="D820">
        <v>1</v>
      </c>
      <c r="E820">
        <v>1</v>
      </c>
      <c r="F820" s="2">
        <v>43585.43</v>
      </c>
      <c r="G820" s="3">
        <v>41275</v>
      </c>
      <c r="H820" s="3">
        <v>41639</v>
      </c>
      <c r="I820" s="1" t="s">
        <v>71</v>
      </c>
      <c r="J820">
        <v>4521</v>
      </c>
      <c r="K820">
        <v>0</v>
      </c>
      <c r="L820" s="1" t="s">
        <v>384</v>
      </c>
      <c r="M820" s="1" t="s">
        <v>72</v>
      </c>
      <c r="N820" s="1" t="s">
        <v>134</v>
      </c>
      <c r="O820" s="1" t="s">
        <v>385</v>
      </c>
      <c r="P820" s="1" t="s">
        <v>386</v>
      </c>
      <c r="Q820" s="1" t="s">
        <v>387</v>
      </c>
      <c r="R820">
        <v>103</v>
      </c>
      <c r="S820" s="1" t="s">
        <v>135</v>
      </c>
      <c r="T820" s="1" t="s">
        <v>388</v>
      </c>
      <c r="U820" s="1" t="s">
        <v>135</v>
      </c>
      <c r="V820" s="1"/>
      <c r="W820" s="1"/>
      <c r="X820" s="1"/>
      <c r="Y820" s="1"/>
      <c r="AA820" s="1"/>
      <c r="AC820" s="1"/>
      <c r="AD820" s="1"/>
      <c r="AE820" s="1"/>
      <c r="AN820" s="1"/>
      <c r="AP820" s="1"/>
      <c r="AQ820" s="1"/>
      <c r="AR820" s="1"/>
      <c r="AS820" s="1"/>
      <c r="AT820" s="3"/>
      <c r="AU820" s="3"/>
      <c r="AV820" s="3"/>
      <c r="AW820" s="1"/>
      <c r="AX820" s="1"/>
      <c r="AZ820">
        <v>253</v>
      </c>
      <c r="BA820">
        <v>4654734.66</v>
      </c>
      <c r="BB820" s="1" t="s">
        <v>74</v>
      </c>
      <c r="BC820">
        <v>448</v>
      </c>
      <c r="BD820" s="1" t="s">
        <v>921</v>
      </c>
      <c r="BE820" s="1" t="s">
        <v>99</v>
      </c>
      <c r="BF820">
        <v>0</v>
      </c>
      <c r="BG820" s="1"/>
      <c r="BH820" s="1" t="s">
        <v>136</v>
      </c>
      <c r="BI820">
        <v>1232.5</v>
      </c>
      <c r="BJ820" s="1" t="s">
        <v>1056</v>
      </c>
      <c r="BL820" s="1"/>
      <c r="BN820" s="1"/>
      <c r="BO820">
        <v>599</v>
      </c>
      <c r="BP820">
        <v>4654734.66</v>
      </c>
      <c r="BQ820">
        <v>4654734.66</v>
      </c>
    </row>
    <row r="821" spans="1:69" x14ac:dyDescent="0.35">
      <c r="A821" s="1" t="s">
        <v>68</v>
      </c>
      <c r="B821" s="1" t="s">
        <v>69</v>
      </c>
      <c r="C821" s="1" t="s">
        <v>70</v>
      </c>
      <c r="D821">
        <v>1</v>
      </c>
      <c r="E821">
        <v>1</v>
      </c>
      <c r="F821" s="2">
        <v>43585.43</v>
      </c>
      <c r="G821" s="3">
        <v>41275</v>
      </c>
      <c r="H821" s="3">
        <v>41639</v>
      </c>
      <c r="I821" s="1" t="s">
        <v>71</v>
      </c>
      <c r="J821">
        <v>4521</v>
      </c>
      <c r="K821">
        <v>0</v>
      </c>
      <c r="L821" s="1" t="s">
        <v>384</v>
      </c>
      <c r="M821" s="1" t="s">
        <v>72</v>
      </c>
      <c r="N821" s="1" t="s">
        <v>134</v>
      </c>
      <c r="O821" s="1" t="s">
        <v>385</v>
      </c>
      <c r="P821" s="1" t="s">
        <v>386</v>
      </c>
      <c r="Q821" s="1" t="s">
        <v>387</v>
      </c>
      <c r="R821">
        <v>103</v>
      </c>
      <c r="S821" s="1" t="s">
        <v>135</v>
      </c>
      <c r="T821" s="1" t="s">
        <v>388</v>
      </c>
      <c r="U821" s="1" t="s">
        <v>135</v>
      </c>
      <c r="V821" s="1"/>
      <c r="W821" s="1"/>
      <c r="X821" s="1"/>
      <c r="Y821" s="1"/>
      <c r="AA821" s="1"/>
      <c r="AC821" s="1"/>
      <c r="AD821" s="1"/>
      <c r="AE821" s="1"/>
      <c r="AN821" s="1"/>
      <c r="AP821" s="1"/>
      <c r="AQ821" s="1"/>
      <c r="AR821" s="1"/>
      <c r="AS821" s="1"/>
      <c r="AT821" s="3"/>
      <c r="AU821" s="3"/>
      <c r="AV821" s="3"/>
      <c r="AW821" s="1"/>
      <c r="AX821" s="1"/>
      <c r="AZ821">
        <v>253</v>
      </c>
      <c r="BA821">
        <v>4654734.66</v>
      </c>
      <c r="BB821" s="1" t="s">
        <v>74</v>
      </c>
      <c r="BC821">
        <v>449</v>
      </c>
      <c r="BD821" s="1" t="s">
        <v>922</v>
      </c>
      <c r="BE821" s="1" t="s">
        <v>452</v>
      </c>
      <c r="BF821">
        <v>3450</v>
      </c>
      <c r="BG821" s="1" t="s">
        <v>1257</v>
      </c>
      <c r="BH821" s="1" t="s">
        <v>99</v>
      </c>
      <c r="BI821">
        <v>0</v>
      </c>
      <c r="BJ821" s="1"/>
      <c r="BL821" s="1"/>
      <c r="BN821" s="1"/>
      <c r="BO821">
        <v>599</v>
      </c>
      <c r="BP821">
        <v>4654734.66</v>
      </c>
      <c r="BQ821">
        <v>4654734.66</v>
      </c>
    </row>
    <row r="822" spans="1:69" x14ac:dyDescent="0.35">
      <c r="A822" s="1" t="s">
        <v>68</v>
      </c>
      <c r="B822" s="1" t="s">
        <v>69</v>
      </c>
      <c r="C822" s="1" t="s">
        <v>70</v>
      </c>
      <c r="D822">
        <v>1</v>
      </c>
      <c r="E822">
        <v>1</v>
      </c>
      <c r="F822" s="2">
        <v>43585.43</v>
      </c>
      <c r="G822" s="3">
        <v>41275</v>
      </c>
      <c r="H822" s="3">
        <v>41639</v>
      </c>
      <c r="I822" s="1" t="s">
        <v>71</v>
      </c>
      <c r="J822">
        <v>4521</v>
      </c>
      <c r="K822">
        <v>0</v>
      </c>
      <c r="L822" s="1" t="s">
        <v>384</v>
      </c>
      <c r="M822" s="1" t="s">
        <v>72</v>
      </c>
      <c r="N822" s="1" t="s">
        <v>134</v>
      </c>
      <c r="O822" s="1" t="s">
        <v>385</v>
      </c>
      <c r="P822" s="1" t="s">
        <v>386</v>
      </c>
      <c r="Q822" s="1" t="s">
        <v>387</v>
      </c>
      <c r="R822">
        <v>103</v>
      </c>
      <c r="S822" s="1" t="s">
        <v>135</v>
      </c>
      <c r="T822" s="1" t="s">
        <v>388</v>
      </c>
      <c r="U822" s="1" t="s">
        <v>135</v>
      </c>
      <c r="V822" s="1"/>
      <c r="W822" s="1"/>
      <c r="X822" s="1"/>
      <c r="Y822" s="1"/>
      <c r="AA822" s="1"/>
      <c r="AC822" s="1"/>
      <c r="AD822" s="1"/>
      <c r="AE822" s="1"/>
      <c r="AN822" s="1"/>
      <c r="AP822" s="1"/>
      <c r="AQ822" s="1"/>
      <c r="AR822" s="1"/>
      <c r="AS822" s="1"/>
      <c r="AT822" s="3"/>
      <c r="AU822" s="3"/>
      <c r="AV822" s="3"/>
      <c r="AW822" s="1"/>
      <c r="AX822" s="1"/>
      <c r="AZ822">
        <v>253</v>
      </c>
      <c r="BA822">
        <v>4654734.66</v>
      </c>
      <c r="BB822" s="1" t="s">
        <v>74</v>
      </c>
      <c r="BC822">
        <v>450</v>
      </c>
      <c r="BD822" s="1" t="s">
        <v>922</v>
      </c>
      <c r="BE822" s="1" t="s">
        <v>99</v>
      </c>
      <c r="BF822">
        <v>0</v>
      </c>
      <c r="BG822" s="1"/>
      <c r="BH822" s="1" t="s">
        <v>468</v>
      </c>
      <c r="BI822">
        <v>18450</v>
      </c>
      <c r="BJ822" s="1" t="s">
        <v>1257</v>
      </c>
      <c r="BL822" s="1"/>
      <c r="BN822" s="1"/>
      <c r="BO822">
        <v>599</v>
      </c>
      <c r="BP822">
        <v>4654734.66</v>
      </c>
      <c r="BQ822">
        <v>4654734.66</v>
      </c>
    </row>
    <row r="823" spans="1:69" x14ac:dyDescent="0.35">
      <c r="A823" s="1" t="s">
        <v>68</v>
      </c>
      <c r="B823" s="1" t="s">
        <v>69</v>
      </c>
      <c r="C823" s="1" t="s">
        <v>70</v>
      </c>
      <c r="D823">
        <v>1</v>
      </c>
      <c r="E823">
        <v>1</v>
      </c>
      <c r="F823" s="2">
        <v>43585.43</v>
      </c>
      <c r="G823" s="3">
        <v>41275</v>
      </c>
      <c r="H823" s="3">
        <v>41639</v>
      </c>
      <c r="I823" s="1" t="s">
        <v>71</v>
      </c>
      <c r="J823">
        <v>4521</v>
      </c>
      <c r="K823">
        <v>0</v>
      </c>
      <c r="L823" s="1" t="s">
        <v>384</v>
      </c>
      <c r="M823" s="1" t="s">
        <v>72</v>
      </c>
      <c r="N823" s="1" t="s">
        <v>134</v>
      </c>
      <c r="O823" s="1" t="s">
        <v>385</v>
      </c>
      <c r="P823" s="1" t="s">
        <v>386</v>
      </c>
      <c r="Q823" s="1" t="s">
        <v>387</v>
      </c>
      <c r="R823">
        <v>103</v>
      </c>
      <c r="S823" s="1" t="s">
        <v>135</v>
      </c>
      <c r="T823" s="1" t="s">
        <v>388</v>
      </c>
      <c r="U823" s="1" t="s">
        <v>135</v>
      </c>
      <c r="V823" s="1"/>
      <c r="W823" s="1"/>
      <c r="X823" s="1"/>
      <c r="Y823" s="1"/>
      <c r="AA823" s="1"/>
      <c r="AC823" s="1"/>
      <c r="AD823" s="1"/>
      <c r="AE823" s="1"/>
      <c r="AN823" s="1"/>
      <c r="AP823" s="1"/>
      <c r="AQ823" s="1"/>
      <c r="AR823" s="1"/>
      <c r="AS823" s="1"/>
      <c r="AT823" s="3"/>
      <c r="AU823" s="3"/>
      <c r="AV823" s="3"/>
      <c r="AW823" s="1"/>
      <c r="AX823" s="1"/>
      <c r="AZ823">
        <v>253</v>
      </c>
      <c r="BA823">
        <v>4654734.66</v>
      </c>
      <c r="BB823" s="1" t="s">
        <v>74</v>
      </c>
      <c r="BC823">
        <v>451</v>
      </c>
      <c r="BD823" s="1" t="s">
        <v>922</v>
      </c>
      <c r="BE823" s="1" t="s">
        <v>473</v>
      </c>
      <c r="BF823">
        <v>15000</v>
      </c>
      <c r="BG823" s="1" t="s">
        <v>1257</v>
      </c>
      <c r="BH823" s="1" t="s">
        <v>99</v>
      </c>
      <c r="BI823">
        <v>0</v>
      </c>
      <c r="BJ823" s="1"/>
      <c r="BL823" s="1"/>
      <c r="BN823" s="1"/>
      <c r="BO823">
        <v>599</v>
      </c>
      <c r="BP823">
        <v>4654734.66</v>
      </c>
      <c r="BQ823">
        <v>4654734.66</v>
      </c>
    </row>
    <row r="824" spans="1:69" x14ac:dyDescent="0.35">
      <c r="A824" s="1" t="s">
        <v>68</v>
      </c>
      <c r="B824" s="1" t="s">
        <v>69</v>
      </c>
      <c r="C824" s="1" t="s">
        <v>70</v>
      </c>
      <c r="D824">
        <v>1</v>
      </c>
      <c r="E824">
        <v>1</v>
      </c>
      <c r="F824" s="2">
        <v>43585.43</v>
      </c>
      <c r="G824" s="3">
        <v>41275</v>
      </c>
      <c r="H824" s="3">
        <v>41639</v>
      </c>
      <c r="I824" s="1" t="s">
        <v>71</v>
      </c>
      <c r="J824">
        <v>4521</v>
      </c>
      <c r="K824">
        <v>0</v>
      </c>
      <c r="L824" s="1" t="s">
        <v>384</v>
      </c>
      <c r="M824" s="1" t="s">
        <v>72</v>
      </c>
      <c r="N824" s="1" t="s">
        <v>134</v>
      </c>
      <c r="O824" s="1" t="s">
        <v>385</v>
      </c>
      <c r="P824" s="1" t="s">
        <v>386</v>
      </c>
      <c r="Q824" s="1" t="s">
        <v>387</v>
      </c>
      <c r="R824">
        <v>103</v>
      </c>
      <c r="S824" s="1" t="s">
        <v>135</v>
      </c>
      <c r="T824" s="1" t="s">
        <v>388</v>
      </c>
      <c r="U824" s="1" t="s">
        <v>135</v>
      </c>
      <c r="V824" s="1"/>
      <c r="W824" s="1"/>
      <c r="X824" s="1"/>
      <c r="Y824" s="1"/>
      <c r="AA824" s="1"/>
      <c r="AC824" s="1"/>
      <c r="AD824" s="1"/>
      <c r="AE824" s="1"/>
      <c r="AN824" s="1"/>
      <c r="AP824" s="1"/>
      <c r="AQ824" s="1"/>
      <c r="AR824" s="1"/>
      <c r="AS824" s="1"/>
      <c r="AT824" s="3"/>
      <c r="AU824" s="3"/>
      <c r="AV824" s="3"/>
      <c r="AW824" s="1"/>
      <c r="AX824" s="1"/>
      <c r="AZ824">
        <v>253</v>
      </c>
      <c r="BA824">
        <v>4654734.66</v>
      </c>
      <c r="BB824" s="1" t="s">
        <v>74</v>
      </c>
      <c r="BC824">
        <v>452</v>
      </c>
      <c r="BD824" s="1" t="s">
        <v>923</v>
      </c>
      <c r="BE824" s="1" t="s">
        <v>480</v>
      </c>
      <c r="BF824">
        <v>15000</v>
      </c>
      <c r="BG824" s="1" t="s">
        <v>1257</v>
      </c>
      <c r="BH824" s="1" t="s">
        <v>99</v>
      </c>
      <c r="BI824">
        <v>0</v>
      </c>
      <c r="BJ824" s="1"/>
      <c r="BL824" s="1"/>
      <c r="BN824" s="1"/>
      <c r="BO824">
        <v>599</v>
      </c>
      <c r="BP824">
        <v>4654734.66</v>
      </c>
      <c r="BQ824">
        <v>4654734.66</v>
      </c>
    </row>
    <row r="825" spans="1:69" x14ac:dyDescent="0.35">
      <c r="A825" s="1" t="s">
        <v>68</v>
      </c>
      <c r="B825" s="1" t="s">
        <v>69</v>
      </c>
      <c r="C825" s="1" t="s">
        <v>70</v>
      </c>
      <c r="D825">
        <v>1</v>
      </c>
      <c r="E825">
        <v>1</v>
      </c>
      <c r="F825" s="2">
        <v>43585.43</v>
      </c>
      <c r="G825" s="3">
        <v>41275</v>
      </c>
      <c r="H825" s="3">
        <v>41639</v>
      </c>
      <c r="I825" s="1" t="s">
        <v>71</v>
      </c>
      <c r="J825">
        <v>4521</v>
      </c>
      <c r="K825">
        <v>0</v>
      </c>
      <c r="L825" s="1" t="s">
        <v>384</v>
      </c>
      <c r="M825" s="1" t="s">
        <v>72</v>
      </c>
      <c r="N825" s="1" t="s">
        <v>134</v>
      </c>
      <c r="O825" s="1" t="s">
        <v>385</v>
      </c>
      <c r="P825" s="1" t="s">
        <v>386</v>
      </c>
      <c r="Q825" s="1" t="s">
        <v>387</v>
      </c>
      <c r="R825">
        <v>103</v>
      </c>
      <c r="S825" s="1" t="s">
        <v>135</v>
      </c>
      <c r="T825" s="1" t="s">
        <v>388</v>
      </c>
      <c r="U825" s="1" t="s">
        <v>135</v>
      </c>
      <c r="V825" s="1"/>
      <c r="W825" s="1"/>
      <c r="X825" s="1"/>
      <c r="Y825" s="1"/>
      <c r="AA825" s="1"/>
      <c r="AC825" s="1"/>
      <c r="AD825" s="1"/>
      <c r="AE825" s="1"/>
      <c r="AN825" s="1"/>
      <c r="AP825" s="1"/>
      <c r="AQ825" s="1"/>
      <c r="AR825" s="1"/>
      <c r="AS825" s="1"/>
      <c r="AT825" s="3"/>
      <c r="AU825" s="3"/>
      <c r="AV825" s="3"/>
      <c r="AW825" s="1"/>
      <c r="AX825" s="1"/>
      <c r="AZ825">
        <v>253</v>
      </c>
      <c r="BA825">
        <v>4654734.66</v>
      </c>
      <c r="BB825" s="1" t="s">
        <v>74</v>
      </c>
      <c r="BC825">
        <v>453</v>
      </c>
      <c r="BD825" s="1" t="s">
        <v>923</v>
      </c>
      <c r="BE825" s="1" t="s">
        <v>99</v>
      </c>
      <c r="BF825">
        <v>0</v>
      </c>
      <c r="BG825" s="1"/>
      <c r="BH825" s="1" t="s">
        <v>136</v>
      </c>
      <c r="BI825">
        <v>15000</v>
      </c>
      <c r="BJ825" s="1" t="s">
        <v>1257</v>
      </c>
      <c r="BL825" s="1"/>
      <c r="BN825" s="1"/>
      <c r="BO825">
        <v>599</v>
      </c>
      <c r="BP825">
        <v>4654734.66</v>
      </c>
      <c r="BQ825">
        <v>4654734.66</v>
      </c>
    </row>
    <row r="826" spans="1:69" x14ac:dyDescent="0.35">
      <c r="A826" s="1" t="s">
        <v>68</v>
      </c>
      <c r="B826" s="1" t="s">
        <v>69</v>
      </c>
      <c r="C826" s="1" t="s">
        <v>70</v>
      </c>
      <c r="D826">
        <v>1</v>
      </c>
      <c r="E826">
        <v>1</v>
      </c>
      <c r="F826" s="2">
        <v>43585.43</v>
      </c>
      <c r="G826" s="3">
        <v>41275</v>
      </c>
      <c r="H826" s="3">
        <v>41639</v>
      </c>
      <c r="I826" s="1" t="s">
        <v>71</v>
      </c>
      <c r="J826">
        <v>4521</v>
      </c>
      <c r="K826">
        <v>0</v>
      </c>
      <c r="L826" s="1" t="s">
        <v>384</v>
      </c>
      <c r="M826" s="1" t="s">
        <v>72</v>
      </c>
      <c r="N826" s="1" t="s">
        <v>134</v>
      </c>
      <c r="O826" s="1" t="s">
        <v>385</v>
      </c>
      <c r="P826" s="1" t="s">
        <v>386</v>
      </c>
      <c r="Q826" s="1" t="s">
        <v>387</v>
      </c>
      <c r="R826">
        <v>103</v>
      </c>
      <c r="S826" s="1" t="s">
        <v>135</v>
      </c>
      <c r="T826" s="1" t="s">
        <v>388</v>
      </c>
      <c r="U826" s="1" t="s">
        <v>135</v>
      </c>
      <c r="V826" s="1"/>
      <c r="W826" s="1"/>
      <c r="X826" s="1"/>
      <c r="Y826" s="1"/>
      <c r="AA826" s="1"/>
      <c r="AC826" s="1"/>
      <c r="AD826" s="1"/>
      <c r="AE826" s="1"/>
      <c r="AN826" s="1"/>
      <c r="AP826" s="1"/>
      <c r="AQ826" s="1"/>
      <c r="AR826" s="1"/>
      <c r="AS826" s="1"/>
      <c r="AT826" s="3"/>
      <c r="AU826" s="3"/>
      <c r="AV826" s="3"/>
      <c r="AW826" s="1"/>
      <c r="AX826" s="1"/>
      <c r="AZ826">
        <v>253</v>
      </c>
      <c r="BA826">
        <v>4654734.66</v>
      </c>
      <c r="BB826" s="1" t="s">
        <v>74</v>
      </c>
      <c r="BC826">
        <v>454</v>
      </c>
      <c r="BD826" s="1" t="s">
        <v>924</v>
      </c>
      <c r="BE826" s="1" t="s">
        <v>468</v>
      </c>
      <c r="BF826">
        <v>18450</v>
      </c>
      <c r="BG826" s="1" t="s">
        <v>1040</v>
      </c>
      <c r="BH826" s="1" t="s">
        <v>99</v>
      </c>
      <c r="BI826">
        <v>0</v>
      </c>
      <c r="BJ826" s="1"/>
      <c r="BL826" s="1"/>
      <c r="BN826" s="1"/>
      <c r="BO826">
        <v>599</v>
      </c>
      <c r="BP826">
        <v>4654734.66</v>
      </c>
      <c r="BQ826">
        <v>4654734.66</v>
      </c>
    </row>
    <row r="827" spans="1:69" x14ac:dyDescent="0.35">
      <c r="A827" s="1" t="s">
        <v>68</v>
      </c>
      <c r="B827" s="1" t="s">
        <v>69</v>
      </c>
      <c r="C827" s="1" t="s">
        <v>70</v>
      </c>
      <c r="D827">
        <v>1</v>
      </c>
      <c r="E827">
        <v>1</v>
      </c>
      <c r="F827" s="2">
        <v>43585.43</v>
      </c>
      <c r="G827" s="3">
        <v>41275</v>
      </c>
      <c r="H827" s="3">
        <v>41639</v>
      </c>
      <c r="I827" s="1" t="s">
        <v>71</v>
      </c>
      <c r="J827">
        <v>4521</v>
      </c>
      <c r="K827">
        <v>0</v>
      </c>
      <c r="L827" s="1" t="s">
        <v>384</v>
      </c>
      <c r="M827" s="1" t="s">
        <v>72</v>
      </c>
      <c r="N827" s="1" t="s">
        <v>134</v>
      </c>
      <c r="O827" s="1" t="s">
        <v>385</v>
      </c>
      <c r="P827" s="1" t="s">
        <v>386</v>
      </c>
      <c r="Q827" s="1" t="s">
        <v>387</v>
      </c>
      <c r="R827">
        <v>103</v>
      </c>
      <c r="S827" s="1" t="s">
        <v>135</v>
      </c>
      <c r="T827" s="1" t="s">
        <v>388</v>
      </c>
      <c r="U827" s="1" t="s">
        <v>135</v>
      </c>
      <c r="V827" s="1"/>
      <c r="W827" s="1"/>
      <c r="X827" s="1"/>
      <c r="Y827" s="1"/>
      <c r="AA827" s="1"/>
      <c r="AC827" s="1"/>
      <c r="AD827" s="1"/>
      <c r="AE827" s="1"/>
      <c r="AN827" s="1"/>
      <c r="AP827" s="1"/>
      <c r="AQ827" s="1"/>
      <c r="AR827" s="1"/>
      <c r="AS827" s="1"/>
      <c r="AT827" s="3"/>
      <c r="AU827" s="3"/>
      <c r="AV827" s="3"/>
      <c r="AW827" s="1"/>
      <c r="AX827" s="1"/>
      <c r="AZ827">
        <v>253</v>
      </c>
      <c r="BA827">
        <v>4654734.66</v>
      </c>
      <c r="BB827" s="1" t="s">
        <v>74</v>
      </c>
      <c r="BC827">
        <v>455</v>
      </c>
      <c r="BD827" s="1" t="s">
        <v>924</v>
      </c>
      <c r="BE827" s="1" t="s">
        <v>99</v>
      </c>
      <c r="BF827">
        <v>0</v>
      </c>
      <c r="BG827" s="1"/>
      <c r="BH827" s="1" t="s">
        <v>430</v>
      </c>
      <c r="BI827">
        <v>18450</v>
      </c>
      <c r="BJ827" s="1" t="s">
        <v>1040</v>
      </c>
      <c r="BL827" s="1"/>
      <c r="BN827" s="1"/>
      <c r="BO827">
        <v>599</v>
      </c>
      <c r="BP827">
        <v>4654734.66</v>
      </c>
      <c r="BQ827">
        <v>4654734.66</v>
      </c>
    </row>
    <row r="828" spans="1:69" x14ac:dyDescent="0.35">
      <c r="A828" s="1" t="s">
        <v>68</v>
      </c>
      <c r="B828" s="1" t="s">
        <v>69</v>
      </c>
      <c r="C828" s="1" t="s">
        <v>70</v>
      </c>
      <c r="D828">
        <v>1</v>
      </c>
      <c r="E828">
        <v>1</v>
      </c>
      <c r="F828" s="2">
        <v>43585.43</v>
      </c>
      <c r="G828" s="3">
        <v>41275</v>
      </c>
      <c r="H828" s="3">
        <v>41639</v>
      </c>
      <c r="I828" s="1" t="s">
        <v>71</v>
      </c>
      <c r="J828">
        <v>4521</v>
      </c>
      <c r="K828">
        <v>0</v>
      </c>
      <c r="L828" s="1" t="s">
        <v>384</v>
      </c>
      <c r="M828" s="1" t="s">
        <v>72</v>
      </c>
      <c r="N828" s="1" t="s">
        <v>134</v>
      </c>
      <c r="O828" s="1" t="s">
        <v>385</v>
      </c>
      <c r="P828" s="1" t="s">
        <v>386</v>
      </c>
      <c r="Q828" s="1" t="s">
        <v>387</v>
      </c>
      <c r="R828">
        <v>103</v>
      </c>
      <c r="S828" s="1" t="s">
        <v>135</v>
      </c>
      <c r="T828" s="1" t="s">
        <v>388</v>
      </c>
      <c r="U828" s="1" t="s">
        <v>135</v>
      </c>
      <c r="V828" s="1"/>
      <c r="W828" s="1"/>
      <c r="X828" s="1"/>
      <c r="Y828" s="1"/>
      <c r="AA828" s="1"/>
      <c r="AC828" s="1"/>
      <c r="AD828" s="1"/>
      <c r="AE828" s="1"/>
      <c r="AN828" s="1"/>
      <c r="AP828" s="1"/>
      <c r="AQ828" s="1"/>
      <c r="AR828" s="1"/>
      <c r="AS828" s="1"/>
      <c r="AT828" s="3"/>
      <c r="AU828" s="3"/>
      <c r="AV828" s="3"/>
      <c r="AW828" s="1"/>
      <c r="AX828" s="1"/>
      <c r="AZ828">
        <v>253</v>
      </c>
      <c r="BA828">
        <v>4654734.66</v>
      </c>
      <c r="BB828" s="1" t="s">
        <v>74</v>
      </c>
      <c r="BC828">
        <v>456</v>
      </c>
      <c r="BD828" s="1" t="s">
        <v>925</v>
      </c>
      <c r="BE828" s="1" t="s">
        <v>411</v>
      </c>
      <c r="BF828">
        <v>22000</v>
      </c>
      <c r="BG828" s="1" t="s">
        <v>1033</v>
      </c>
      <c r="BH828" s="1" t="s">
        <v>99</v>
      </c>
      <c r="BI828">
        <v>0</v>
      </c>
      <c r="BJ828" s="1"/>
      <c r="BL828" s="1"/>
      <c r="BN828" s="1"/>
      <c r="BO828">
        <v>599</v>
      </c>
      <c r="BP828">
        <v>4654734.66</v>
      </c>
      <c r="BQ828">
        <v>4654734.66</v>
      </c>
    </row>
    <row r="829" spans="1:69" x14ac:dyDescent="0.35">
      <c r="A829" s="1" t="s">
        <v>68</v>
      </c>
      <c r="B829" s="1" t="s">
        <v>69</v>
      </c>
      <c r="C829" s="1" t="s">
        <v>70</v>
      </c>
      <c r="D829">
        <v>1</v>
      </c>
      <c r="E829">
        <v>1</v>
      </c>
      <c r="F829" s="2">
        <v>43585.43</v>
      </c>
      <c r="G829" s="3">
        <v>41275</v>
      </c>
      <c r="H829" s="3">
        <v>41639</v>
      </c>
      <c r="I829" s="1" t="s">
        <v>71</v>
      </c>
      <c r="J829">
        <v>4521</v>
      </c>
      <c r="K829">
        <v>0</v>
      </c>
      <c r="L829" s="1" t="s">
        <v>384</v>
      </c>
      <c r="M829" s="1" t="s">
        <v>72</v>
      </c>
      <c r="N829" s="1" t="s">
        <v>134</v>
      </c>
      <c r="O829" s="1" t="s">
        <v>385</v>
      </c>
      <c r="P829" s="1" t="s">
        <v>386</v>
      </c>
      <c r="Q829" s="1" t="s">
        <v>387</v>
      </c>
      <c r="R829">
        <v>103</v>
      </c>
      <c r="S829" s="1" t="s">
        <v>135</v>
      </c>
      <c r="T829" s="1" t="s">
        <v>388</v>
      </c>
      <c r="U829" s="1" t="s">
        <v>135</v>
      </c>
      <c r="V829" s="1"/>
      <c r="W829" s="1"/>
      <c r="X829" s="1"/>
      <c r="Y829" s="1"/>
      <c r="AA829" s="1"/>
      <c r="AC829" s="1"/>
      <c r="AD829" s="1"/>
      <c r="AE829" s="1"/>
      <c r="AN829" s="1"/>
      <c r="AP829" s="1"/>
      <c r="AQ829" s="1"/>
      <c r="AR829" s="1"/>
      <c r="AS829" s="1"/>
      <c r="AT829" s="3"/>
      <c r="AU829" s="3"/>
      <c r="AV829" s="3"/>
      <c r="AW829" s="1"/>
      <c r="AX829" s="1"/>
      <c r="AZ829">
        <v>253</v>
      </c>
      <c r="BA829">
        <v>4654734.66</v>
      </c>
      <c r="BB829" s="1" t="s">
        <v>74</v>
      </c>
      <c r="BC829">
        <v>457</v>
      </c>
      <c r="BD829" s="1" t="s">
        <v>925</v>
      </c>
      <c r="BE829" s="1" t="s">
        <v>99</v>
      </c>
      <c r="BF829">
        <v>0</v>
      </c>
      <c r="BG829" s="1"/>
      <c r="BH829" s="1" t="s">
        <v>488</v>
      </c>
      <c r="BI829">
        <v>22000</v>
      </c>
      <c r="BJ829" s="1" t="s">
        <v>1033</v>
      </c>
      <c r="BL829" s="1"/>
      <c r="BN829" s="1"/>
      <c r="BO829">
        <v>599</v>
      </c>
      <c r="BP829">
        <v>4654734.66</v>
      </c>
      <c r="BQ829">
        <v>4654734.66</v>
      </c>
    </row>
    <row r="830" spans="1:69" x14ac:dyDescent="0.35">
      <c r="A830" s="1" t="s">
        <v>68</v>
      </c>
      <c r="B830" s="1" t="s">
        <v>69</v>
      </c>
      <c r="C830" s="1" t="s">
        <v>70</v>
      </c>
      <c r="D830">
        <v>1</v>
      </c>
      <c r="E830">
        <v>1</v>
      </c>
      <c r="F830" s="2">
        <v>43585.43</v>
      </c>
      <c r="G830" s="3">
        <v>41275</v>
      </c>
      <c r="H830" s="3">
        <v>41639</v>
      </c>
      <c r="I830" s="1" t="s">
        <v>71</v>
      </c>
      <c r="J830">
        <v>4521</v>
      </c>
      <c r="K830">
        <v>0</v>
      </c>
      <c r="L830" s="1" t="s">
        <v>384</v>
      </c>
      <c r="M830" s="1" t="s">
        <v>72</v>
      </c>
      <c r="N830" s="1" t="s">
        <v>134</v>
      </c>
      <c r="O830" s="1" t="s">
        <v>385</v>
      </c>
      <c r="P830" s="1" t="s">
        <v>386</v>
      </c>
      <c r="Q830" s="1" t="s">
        <v>387</v>
      </c>
      <c r="R830">
        <v>103</v>
      </c>
      <c r="S830" s="1" t="s">
        <v>135</v>
      </c>
      <c r="T830" s="1" t="s">
        <v>388</v>
      </c>
      <c r="U830" s="1" t="s">
        <v>135</v>
      </c>
      <c r="V830" s="1"/>
      <c r="W830" s="1"/>
      <c r="X830" s="1"/>
      <c r="Y830" s="1"/>
      <c r="AA830" s="1"/>
      <c r="AC830" s="1"/>
      <c r="AD830" s="1"/>
      <c r="AE830" s="1"/>
      <c r="AN830" s="1"/>
      <c r="AP830" s="1"/>
      <c r="AQ830" s="1"/>
      <c r="AR830" s="1"/>
      <c r="AS830" s="1"/>
      <c r="AT830" s="3"/>
      <c r="AU830" s="3"/>
      <c r="AV830" s="3"/>
      <c r="AW830" s="1"/>
      <c r="AX830" s="1"/>
      <c r="AZ830">
        <v>253</v>
      </c>
      <c r="BA830">
        <v>4654734.66</v>
      </c>
      <c r="BB830" s="1" t="s">
        <v>74</v>
      </c>
      <c r="BC830">
        <v>458</v>
      </c>
      <c r="BD830" s="1" t="s">
        <v>926</v>
      </c>
      <c r="BE830" s="1" t="s">
        <v>410</v>
      </c>
      <c r="BF830">
        <v>2909.2</v>
      </c>
      <c r="BG830" s="1" t="s">
        <v>619</v>
      </c>
      <c r="BH830" s="1" t="s">
        <v>99</v>
      </c>
      <c r="BI830">
        <v>0</v>
      </c>
      <c r="BJ830" s="1"/>
      <c r="BL830" s="1"/>
      <c r="BN830" s="1"/>
      <c r="BO830">
        <v>599</v>
      </c>
      <c r="BP830">
        <v>4654734.66</v>
      </c>
      <c r="BQ830">
        <v>4654734.66</v>
      </c>
    </row>
    <row r="831" spans="1:69" x14ac:dyDescent="0.35">
      <c r="A831" s="1" t="s">
        <v>68</v>
      </c>
      <c r="B831" s="1" t="s">
        <v>69</v>
      </c>
      <c r="C831" s="1" t="s">
        <v>70</v>
      </c>
      <c r="D831">
        <v>1</v>
      </c>
      <c r="E831">
        <v>1</v>
      </c>
      <c r="F831" s="2">
        <v>43585.43</v>
      </c>
      <c r="G831" s="3">
        <v>41275</v>
      </c>
      <c r="H831" s="3">
        <v>41639</v>
      </c>
      <c r="I831" s="1" t="s">
        <v>71</v>
      </c>
      <c r="J831">
        <v>4521</v>
      </c>
      <c r="K831">
        <v>0</v>
      </c>
      <c r="L831" s="1" t="s">
        <v>384</v>
      </c>
      <c r="M831" s="1" t="s">
        <v>72</v>
      </c>
      <c r="N831" s="1" t="s">
        <v>134</v>
      </c>
      <c r="O831" s="1" t="s">
        <v>385</v>
      </c>
      <c r="P831" s="1" t="s">
        <v>386</v>
      </c>
      <c r="Q831" s="1" t="s">
        <v>387</v>
      </c>
      <c r="R831">
        <v>103</v>
      </c>
      <c r="S831" s="1" t="s">
        <v>135</v>
      </c>
      <c r="T831" s="1" t="s">
        <v>388</v>
      </c>
      <c r="U831" s="1" t="s">
        <v>135</v>
      </c>
      <c r="V831" s="1"/>
      <c r="W831" s="1"/>
      <c r="X831" s="1"/>
      <c r="Y831" s="1"/>
      <c r="AA831" s="1"/>
      <c r="AC831" s="1"/>
      <c r="AD831" s="1"/>
      <c r="AE831" s="1"/>
      <c r="AN831" s="1"/>
      <c r="AP831" s="1"/>
      <c r="AQ831" s="1"/>
      <c r="AR831" s="1"/>
      <c r="AS831" s="1"/>
      <c r="AT831" s="3"/>
      <c r="AU831" s="3"/>
      <c r="AV831" s="3"/>
      <c r="AW831" s="1"/>
      <c r="AX831" s="1"/>
      <c r="AZ831">
        <v>253</v>
      </c>
      <c r="BA831">
        <v>4654734.66</v>
      </c>
      <c r="BB831" s="1" t="s">
        <v>74</v>
      </c>
      <c r="BC831">
        <v>459</v>
      </c>
      <c r="BD831" s="1" t="s">
        <v>926</v>
      </c>
      <c r="BE831" s="1" t="s">
        <v>99</v>
      </c>
      <c r="BF831">
        <v>0</v>
      </c>
      <c r="BG831" s="1"/>
      <c r="BH831" s="1" t="s">
        <v>489</v>
      </c>
      <c r="BI831">
        <v>2365.1999999999998</v>
      </c>
      <c r="BJ831" s="1" t="s">
        <v>619</v>
      </c>
      <c r="BL831" s="1"/>
      <c r="BN831" s="1"/>
      <c r="BO831">
        <v>599</v>
      </c>
      <c r="BP831">
        <v>4654734.66</v>
      </c>
      <c r="BQ831">
        <v>4654734.66</v>
      </c>
    </row>
    <row r="832" spans="1:69" x14ac:dyDescent="0.35">
      <c r="A832" s="1" t="s">
        <v>68</v>
      </c>
      <c r="B832" s="1" t="s">
        <v>69</v>
      </c>
      <c r="C832" s="1" t="s">
        <v>70</v>
      </c>
      <c r="D832">
        <v>1</v>
      </c>
      <c r="E832">
        <v>1</v>
      </c>
      <c r="F832" s="2">
        <v>43585.43</v>
      </c>
      <c r="G832" s="3">
        <v>41275</v>
      </c>
      <c r="H832" s="3">
        <v>41639</v>
      </c>
      <c r="I832" s="1" t="s">
        <v>71</v>
      </c>
      <c r="J832">
        <v>4521</v>
      </c>
      <c r="K832">
        <v>0</v>
      </c>
      <c r="L832" s="1" t="s">
        <v>384</v>
      </c>
      <c r="M832" s="1" t="s">
        <v>72</v>
      </c>
      <c r="N832" s="1" t="s">
        <v>134</v>
      </c>
      <c r="O832" s="1" t="s">
        <v>385</v>
      </c>
      <c r="P832" s="1" t="s">
        <v>386</v>
      </c>
      <c r="Q832" s="1" t="s">
        <v>387</v>
      </c>
      <c r="R832">
        <v>103</v>
      </c>
      <c r="S832" s="1" t="s">
        <v>135</v>
      </c>
      <c r="T832" s="1" t="s">
        <v>388</v>
      </c>
      <c r="U832" s="1" t="s">
        <v>135</v>
      </c>
      <c r="V832" s="1"/>
      <c r="W832" s="1"/>
      <c r="X832" s="1"/>
      <c r="Y832" s="1"/>
      <c r="AA832" s="1"/>
      <c r="AC832" s="1"/>
      <c r="AD832" s="1"/>
      <c r="AE832" s="1"/>
      <c r="AN832" s="1"/>
      <c r="AP832" s="1"/>
      <c r="AQ832" s="1"/>
      <c r="AR832" s="1"/>
      <c r="AS832" s="1"/>
      <c r="AT832" s="3"/>
      <c r="AU832" s="3"/>
      <c r="AV832" s="3"/>
      <c r="AW832" s="1"/>
      <c r="AX832" s="1"/>
      <c r="AZ832">
        <v>253</v>
      </c>
      <c r="BA832">
        <v>4654734.66</v>
      </c>
      <c r="BB832" s="1" t="s">
        <v>74</v>
      </c>
      <c r="BC832">
        <v>460</v>
      </c>
      <c r="BD832" s="1" t="s">
        <v>926</v>
      </c>
      <c r="BE832" s="1" t="s">
        <v>99</v>
      </c>
      <c r="BF832">
        <v>0</v>
      </c>
      <c r="BG832" s="1"/>
      <c r="BH832" s="1" t="s">
        <v>451</v>
      </c>
      <c r="BI832">
        <v>544</v>
      </c>
      <c r="BJ832" s="1" t="s">
        <v>619</v>
      </c>
      <c r="BL832" s="1"/>
      <c r="BN832" s="1"/>
      <c r="BO832">
        <v>599</v>
      </c>
      <c r="BP832">
        <v>4654734.66</v>
      </c>
      <c r="BQ832">
        <v>4654734.66</v>
      </c>
    </row>
    <row r="833" spans="1:69" x14ac:dyDescent="0.35">
      <c r="A833" s="1" t="s">
        <v>68</v>
      </c>
      <c r="B833" s="1" t="s">
        <v>69</v>
      </c>
      <c r="C833" s="1" t="s">
        <v>70</v>
      </c>
      <c r="D833">
        <v>1</v>
      </c>
      <c r="E833">
        <v>1</v>
      </c>
      <c r="F833" s="2">
        <v>43585.43</v>
      </c>
      <c r="G833" s="3">
        <v>41275</v>
      </c>
      <c r="H833" s="3">
        <v>41639</v>
      </c>
      <c r="I833" s="1" t="s">
        <v>71</v>
      </c>
      <c r="J833">
        <v>4521</v>
      </c>
      <c r="K833">
        <v>0</v>
      </c>
      <c r="L833" s="1" t="s">
        <v>384</v>
      </c>
      <c r="M833" s="1" t="s">
        <v>72</v>
      </c>
      <c r="N833" s="1" t="s">
        <v>134</v>
      </c>
      <c r="O833" s="1" t="s">
        <v>385</v>
      </c>
      <c r="P833" s="1" t="s">
        <v>386</v>
      </c>
      <c r="Q833" s="1" t="s">
        <v>387</v>
      </c>
      <c r="R833">
        <v>103</v>
      </c>
      <c r="S833" s="1" t="s">
        <v>135</v>
      </c>
      <c r="T833" s="1" t="s">
        <v>388</v>
      </c>
      <c r="U833" s="1" t="s">
        <v>135</v>
      </c>
      <c r="V833" s="1"/>
      <c r="W833" s="1"/>
      <c r="X833" s="1"/>
      <c r="Y833" s="1"/>
      <c r="AA833" s="1"/>
      <c r="AC833" s="1"/>
      <c r="AD833" s="1"/>
      <c r="AE833" s="1"/>
      <c r="AN833" s="1"/>
      <c r="AP833" s="1"/>
      <c r="AQ833" s="1"/>
      <c r="AR833" s="1"/>
      <c r="AS833" s="1"/>
      <c r="AT833" s="3"/>
      <c r="AU833" s="3"/>
      <c r="AV833" s="3"/>
      <c r="AW833" s="1"/>
      <c r="AX833" s="1"/>
      <c r="AZ833">
        <v>253</v>
      </c>
      <c r="BA833">
        <v>4654734.66</v>
      </c>
      <c r="BB833" s="1" t="s">
        <v>74</v>
      </c>
      <c r="BC833">
        <v>461</v>
      </c>
      <c r="BD833" s="1" t="s">
        <v>927</v>
      </c>
      <c r="BE833" s="1" t="s">
        <v>402</v>
      </c>
      <c r="BF833">
        <v>2786.23</v>
      </c>
      <c r="BG833" s="1" t="s">
        <v>1037</v>
      </c>
      <c r="BH833" s="1" t="s">
        <v>99</v>
      </c>
      <c r="BI833">
        <v>0</v>
      </c>
      <c r="BJ833" s="1"/>
      <c r="BL833" s="1"/>
      <c r="BN833" s="1"/>
      <c r="BO833">
        <v>599</v>
      </c>
      <c r="BP833">
        <v>4654734.66</v>
      </c>
      <c r="BQ833">
        <v>4654734.66</v>
      </c>
    </row>
    <row r="834" spans="1:69" x14ac:dyDescent="0.35">
      <c r="A834" s="1" t="s">
        <v>68</v>
      </c>
      <c r="B834" s="1" t="s">
        <v>69</v>
      </c>
      <c r="C834" s="1" t="s">
        <v>70</v>
      </c>
      <c r="D834">
        <v>1</v>
      </c>
      <c r="E834">
        <v>1</v>
      </c>
      <c r="F834" s="2">
        <v>43585.43</v>
      </c>
      <c r="G834" s="3">
        <v>41275</v>
      </c>
      <c r="H834" s="3">
        <v>41639</v>
      </c>
      <c r="I834" s="1" t="s">
        <v>71</v>
      </c>
      <c r="J834">
        <v>4521</v>
      </c>
      <c r="K834">
        <v>0</v>
      </c>
      <c r="L834" s="1" t="s">
        <v>384</v>
      </c>
      <c r="M834" s="1" t="s">
        <v>72</v>
      </c>
      <c r="N834" s="1" t="s">
        <v>134</v>
      </c>
      <c r="O834" s="1" t="s">
        <v>385</v>
      </c>
      <c r="P834" s="1" t="s">
        <v>386</v>
      </c>
      <c r="Q834" s="1" t="s">
        <v>387</v>
      </c>
      <c r="R834">
        <v>103</v>
      </c>
      <c r="S834" s="1" t="s">
        <v>135</v>
      </c>
      <c r="T834" s="1" t="s">
        <v>388</v>
      </c>
      <c r="U834" s="1" t="s">
        <v>135</v>
      </c>
      <c r="V834" s="1"/>
      <c r="W834" s="1"/>
      <c r="X834" s="1"/>
      <c r="Y834" s="1"/>
      <c r="AA834" s="1"/>
      <c r="AC834" s="1"/>
      <c r="AD834" s="1"/>
      <c r="AE834" s="1"/>
      <c r="AN834" s="1"/>
      <c r="AP834" s="1"/>
      <c r="AQ834" s="1"/>
      <c r="AR834" s="1"/>
      <c r="AS834" s="1"/>
      <c r="AT834" s="3"/>
      <c r="AU834" s="3"/>
      <c r="AV834" s="3"/>
      <c r="AW834" s="1"/>
      <c r="AX834" s="1"/>
      <c r="AZ834">
        <v>253</v>
      </c>
      <c r="BA834">
        <v>4654734.66</v>
      </c>
      <c r="BB834" s="1" t="s">
        <v>74</v>
      </c>
      <c r="BC834">
        <v>462</v>
      </c>
      <c r="BD834" s="1" t="s">
        <v>927</v>
      </c>
      <c r="BE834" s="1" t="s">
        <v>99</v>
      </c>
      <c r="BF834">
        <v>0</v>
      </c>
      <c r="BG834" s="1"/>
      <c r="BH834" s="1" t="s">
        <v>489</v>
      </c>
      <c r="BI834">
        <v>2265.23</v>
      </c>
      <c r="BJ834" s="1" t="s">
        <v>1037</v>
      </c>
      <c r="BL834" s="1"/>
      <c r="BN834" s="1"/>
      <c r="BO834">
        <v>599</v>
      </c>
      <c r="BP834">
        <v>4654734.66</v>
      </c>
      <c r="BQ834">
        <v>4654734.66</v>
      </c>
    </row>
    <row r="835" spans="1:69" x14ac:dyDescent="0.35">
      <c r="A835" s="1" t="s">
        <v>68</v>
      </c>
      <c r="B835" s="1" t="s">
        <v>69</v>
      </c>
      <c r="C835" s="1" t="s">
        <v>70</v>
      </c>
      <c r="D835">
        <v>1</v>
      </c>
      <c r="E835">
        <v>1</v>
      </c>
      <c r="F835" s="2">
        <v>43585.43</v>
      </c>
      <c r="G835" s="3">
        <v>41275</v>
      </c>
      <c r="H835" s="3">
        <v>41639</v>
      </c>
      <c r="I835" s="1" t="s">
        <v>71</v>
      </c>
      <c r="J835">
        <v>4521</v>
      </c>
      <c r="K835">
        <v>0</v>
      </c>
      <c r="L835" s="1" t="s">
        <v>384</v>
      </c>
      <c r="M835" s="1" t="s">
        <v>72</v>
      </c>
      <c r="N835" s="1" t="s">
        <v>134</v>
      </c>
      <c r="O835" s="1" t="s">
        <v>385</v>
      </c>
      <c r="P835" s="1" t="s">
        <v>386</v>
      </c>
      <c r="Q835" s="1" t="s">
        <v>387</v>
      </c>
      <c r="R835">
        <v>103</v>
      </c>
      <c r="S835" s="1" t="s">
        <v>135</v>
      </c>
      <c r="T835" s="1" t="s">
        <v>388</v>
      </c>
      <c r="U835" s="1" t="s">
        <v>135</v>
      </c>
      <c r="V835" s="1"/>
      <c r="W835" s="1"/>
      <c r="X835" s="1"/>
      <c r="Y835" s="1"/>
      <c r="AA835" s="1"/>
      <c r="AC835" s="1"/>
      <c r="AD835" s="1"/>
      <c r="AE835" s="1"/>
      <c r="AN835" s="1"/>
      <c r="AP835" s="1"/>
      <c r="AQ835" s="1"/>
      <c r="AR835" s="1"/>
      <c r="AS835" s="1"/>
      <c r="AT835" s="3"/>
      <c r="AU835" s="3"/>
      <c r="AV835" s="3"/>
      <c r="AW835" s="1"/>
      <c r="AX835" s="1"/>
      <c r="AZ835">
        <v>253</v>
      </c>
      <c r="BA835">
        <v>4654734.66</v>
      </c>
      <c r="BB835" s="1" t="s">
        <v>74</v>
      </c>
      <c r="BC835">
        <v>463</v>
      </c>
      <c r="BD835" s="1" t="s">
        <v>927</v>
      </c>
      <c r="BE835" s="1" t="s">
        <v>99</v>
      </c>
      <c r="BF835">
        <v>0</v>
      </c>
      <c r="BG835" s="1"/>
      <c r="BH835" s="1" t="s">
        <v>451</v>
      </c>
      <c r="BI835">
        <v>521</v>
      </c>
      <c r="BJ835" s="1" t="s">
        <v>1037</v>
      </c>
      <c r="BL835" s="1"/>
      <c r="BN835" s="1"/>
      <c r="BO835">
        <v>599</v>
      </c>
      <c r="BP835">
        <v>4654734.66</v>
      </c>
      <c r="BQ835">
        <v>4654734.66</v>
      </c>
    </row>
    <row r="836" spans="1:69" x14ac:dyDescent="0.35">
      <c r="A836" s="1" t="s">
        <v>68</v>
      </c>
      <c r="B836" s="1" t="s">
        <v>69</v>
      </c>
      <c r="C836" s="1" t="s">
        <v>70</v>
      </c>
      <c r="D836">
        <v>1</v>
      </c>
      <c r="E836">
        <v>1</v>
      </c>
      <c r="F836" s="2">
        <v>43585.43</v>
      </c>
      <c r="G836" s="3">
        <v>41275</v>
      </c>
      <c r="H836" s="3">
        <v>41639</v>
      </c>
      <c r="I836" s="1" t="s">
        <v>71</v>
      </c>
      <c r="J836">
        <v>4521</v>
      </c>
      <c r="K836">
        <v>0</v>
      </c>
      <c r="L836" s="1" t="s">
        <v>384</v>
      </c>
      <c r="M836" s="1" t="s">
        <v>72</v>
      </c>
      <c r="N836" s="1" t="s">
        <v>134</v>
      </c>
      <c r="O836" s="1" t="s">
        <v>385</v>
      </c>
      <c r="P836" s="1" t="s">
        <v>386</v>
      </c>
      <c r="Q836" s="1" t="s">
        <v>387</v>
      </c>
      <c r="R836">
        <v>103</v>
      </c>
      <c r="S836" s="1" t="s">
        <v>135</v>
      </c>
      <c r="T836" s="1" t="s">
        <v>388</v>
      </c>
      <c r="U836" s="1" t="s">
        <v>135</v>
      </c>
      <c r="V836" s="1"/>
      <c r="W836" s="1"/>
      <c r="X836" s="1"/>
      <c r="Y836" s="1"/>
      <c r="AA836" s="1"/>
      <c r="AC836" s="1"/>
      <c r="AD836" s="1"/>
      <c r="AE836" s="1"/>
      <c r="AN836" s="1"/>
      <c r="AP836" s="1"/>
      <c r="AQ836" s="1"/>
      <c r="AR836" s="1"/>
      <c r="AS836" s="1"/>
      <c r="AT836" s="3"/>
      <c r="AU836" s="3"/>
      <c r="AV836" s="3"/>
      <c r="AW836" s="1"/>
      <c r="AX836" s="1"/>
      <c r="AZ836">
        <v>253</v>
      </c>
      <c r="BA836">
        <v>4654734.66</v>
      </c>
      <c r="BB836" s="1" t="s">
        <v>74</v>
      </c>
      <c r="BC836">
        <v>464</v>
      </c>
      <c r="BD836" s="1" t="s">
        <v>928</v>
      </c>
      <c r="BE836" s="1" t="s">
        <v>466</v>
      </c>
      <c r="BF836">
        <v>980</v>
      </c>
      <c r="BG836" s="1" t="s">
        <v>1020</v>
      </c>
      <c r="BH836" s="1" t="s">
        <v>99</v>
      </c>
      <c r="BI836">
        <v>0</v>
      </c>
      <c r="BJ836" s="1"/>
      <c r="BL836" s="1"/>
      <c r="BN836" s="1"/>
      <c r="BO836">
        <v>599</v>
      </c>
      <c r="BP836">
        <v>4654734.66</v>
      </c>
      <c r="BQ836">
        <v>4654734.66</v>
      </c>
    </row>
    <row r="837" spans="1:69" x14ac:dyDescent="0.35">
      <c r="A837" s="1" t="s">
        <v>68</v>
      </c>
      <c r="B837" s="1" t="s">
        <v>69</v>
      </c>
      <c r="C837" s="1" t="s">
        <v>70</v>
      </c>
      <c r="D837">
        <v>1</v>
      </c>
      <c r="E837">
        <v>1</v>
      </c>
      <c r="F837" s="2">
        <v>43585.43</v>
      </c>
      <c r="G837" s="3">
        <v>41275</v>
      </c>
      <c r="H837" s="3">
        <v>41639</v>
      </c>
      <c r="I837" s="1" t="s">
        <v>71</v>
      </c>
      <c r="J837">
        <v>4521</v>
      </c>
      <c r="K837">
        <v>0</v>
      </c>
      <c r="L837" s="1" t="s">
        <v>384</v>
      </c>
      <c r="M837" s="1" t="s">
        <v>72</v>
      </c>
      <c r="N837" s="1" t="s">
        <v>134</v>
      </c>
      <c r="O837" s="1" t="s">
        <v>385</v>
      </c>
      <c r="P837" s="1" t="s">
        <v>386</v>
      </c>
      <c r="Q837" s="1" t="s">
        <v>387</v>
      </c>
      <c r="R837">
        <v>103</v>
      </c>
      <c r="S837" s="1" t="s">
        <v>135</v>
      </c>
      <c r="T837" s="1" t="s">
        <v>388</v>
      </c>
      <c r="U837" s="1" t="s">
        <v>135</v>
      </c>
      <c r="V837" s="1"/>
      <c r="W837" s="1"/>
      <c r="X837" s="1"/>
      <c r="Y837" s="1"/>
      <c r="AA837" s="1"/>
      <c r="AC837" s="1"/>
      <c r="AD837" s="1"/>
      <c r="AE837" s="1"/>
      <c r="AN837" s="1"/>
      <c r="AP837" s="1"/>
      <c r="AQ837" s="1"/>
      <c r="AR837" s="1"/>
      <c r="AS837" s="1"/>
      <c r="AT837" s="3"/>
      <c r="AU837" s="3"/>
      <c r="AV837" s="3"/>
      <c r="AW837" s="1"/>
      <c r="AX837" s="1"/>
      <c r="AZ837">
        <v>253</v>
      </c>
      <c r="BA837">
        <v>4654734.66</v>
      </c>
      <c r="BB837" s="1" t="s">
        <v>74</v>
      </c>
      <c r="BC837">
        <v>465</v>
      </c>
      <c r="BD837" s="1" t="s">
        <v>928</v>
      </c>
      <c r="BE837" s="1" t="s">
        <v>99</v>
      </c>
      <c r="BF837">
        <v>0</v>
      </c>
      <c r="BG837" s="1"/>
      <c r="BH837" s="1" t="s">
        <v>429</v>
      </c>
      <c r="BI837">
        <v>1205.4000000000001</v>
      </c>
      <c r="BJ837" s="1" t="s">
        <v>1020</v>
      </c>
      <c r="BL837" s="1"/>
      <c r="BN837" s="1"/>
      <c r="BO837">
        <v>599</v>
      </c>
      <c r="BP837">
        <v>4654734.66</v>
      </c>
      <c r="BQ837">
        <v>4654734.66</v>
      </c>
    </row>
    <row r="838" spans="1:69" x14ac:dyDescent="0.35">
      <c r="A838" s="1" t="s">
        <v>68</v>
      </c>
      <c r="B838" s="1" t="s">
        <v>69</v>
      </c>
      <c r="C838" s="1" t="s">
        <v>70</v>
      </c>
      <c r="D838">
        <v>1</v>
      </c>
      <c r="E838">
        <v>1</v>
      </c>
      <c r="F838" s="2">
        <v>43585.43</v>
      </c>
      <c r="G838" s="3">
        <v>41275</v>
      </c>
      <c r="H838" s="3">
        <v>41639</v>
      </c>
      <c r="I838" s="1" t="s">
        <v>71</v>
      </c>
      <c r="J838">
        <v>4521</v>
      </c>
      <c r="K838">
        <v>0</v>
      </c>
      <c r="L838" s="1" t="s">
        <v>384</v>
      </c>
      <c r="M838" s="1" t="s">
        <v>72</v>
      </c>
      <c r="N838" s="1" t="s">
        <v>134</v>
      </c>
      <c r="O838" s="1" t="s">
        <v>385</v>
      </c>
      <c r="P838" s="1" t="s">
        <v>386</v>
      </c>
      <c r="Q838" s="1" t="s">
        <v>387</v>
      </c>
      <c r="R838">
        <v>103</v>
      </c>
      <c r="S838" s="1" t="s">
        <v>135</v>
      </c>
      <c r="T838" s="1" t="s">
        <v>388</v>
      </c>
      <c r="U838" s="1" t="s">
        <v>135</v>
      </c>
      <c r="V838" s="1"/>
      <c r="W838" s="1"/>
      <c r="X838" s="1"/>
      <c r="Y838" s="1"/>
      <c r="AA838" s="1"/>
      <c r="AC838" s="1"/>
      <c r="AD838" s="1"/>
      <c r="AE838" s="1"/>
      <c r="AN838" s="1"/>
      <c r="AP838" s="1"/>
      <c r="AQ838" s="1"/>
      <c r="AR838" s="1"/>
      <c r="AS838" s="1"/>
      <c r="AT838" s="3"/>
      <c r="AU838" s="3"/>
      <c r="AV838" s="3"/>
      <c r="AW838" s="1"/>
      <c r="AX838" s="1"/>
      <c r="AZ838">
        <v>253</v>
      </c>
      <c r="BA838">
        <v>4654734.66</v>
      </c>
      <c r="BB838" s="1" t="s">
        <v>74</v>
      </c>
      <c r="BC838">
        <v>466</v>
      </c>
      <c r="BD838" s="1" t="s">
        <v>928</v>
      </c>
      <c r="BE838" s="1" t="s">
        <v>452</v>
      </c>
      <c r="BF838">
        <v>225.4</v>
      </c>
      <c r="BG838" s="1" t="s">
        <v>1020</v>
      </c>
      <c r="BH838" s="1" t="s">
        <v>99</v>
      </c>
      <c r="BI838">
        <v>0</v>
      </c>
      <c r="BJ838" s="1"/>
      <c r="BL838" s="1"/>
      <c r="BN838" s="1"/>
      <c r="BO838">
        <v>599</v>
      </c>
      <c r="BP838">
        <v>4654734.66</v>
      </c>
      <c r="BQ838">
        <v>4654734.66</v>
      </c>
    </row>
    <row r="839" spans="1:69" x14ac:dyDescent="0.35">
      <c r="A839" s="1" t="s">
        <v>68</v>
      </c>
      <c r="B839" s="1" t="s">
        <v>69</v>
      </c>
      <c r="C839" s="1" t="s">
        <v>70</v>
      </c>
      <c r="D839">
        <v>1</v>
      </c>
      <c r="E839">
        <v>1</v>
      </c>
      <c r="F839" s="2">
        <v>43585.43</v>
      </c>
      <c r="G839" s="3">
        <v>41275</v>
      </c>
      <c r="H839" s="3">
        <v>41639</v>
      </c>
      <c r="I839" s="1" t="s">
        <v>71</v>
      </c>
      <c r="J839">
        <v>4521</v>
      </c>
      <c r="K839">
        <v>0</v>
      </c>
      <c r="L839" s="1" t="s">
        <v>384</v>
      </c>
      <c r="M839" s="1" t="s">
        <v>72</v>
      </c>
      <c r="N839" s="1" t="s">
        <v>134</v>
      </c>
      <c r="O839" s="1" t="s">
        <v>385</v>
      </c>
      <c r="P839" s="1" t="s">
        <v>386</v>
      </c>
      <c r="Q839" s="1" t="s">
        <v>387</v>
      </c>
      <c r="R839">
        <v>103</v>
      </c>
      <c r="S839" s="1" t="s">
        <v>135</v>
      </c>
      <c r="T839" s="1" t="s">
        <v>388</v>
      </c>
      <c r="U839" s="1" t="s">
        <v>135</v>
      </c>
      <c r="V839" s="1"/>
      <c r="W839" s="1"/>
      <c r="X839" s="1"/>
      <c r="Y839" s="1"/>
      <c r="AA839" s="1"/>
      <c r="AC839" s="1"/>
      <c r="AD839" s="1"/>
      <c r="AE839" s="1"/>
      <c r="AN839" s="1"/>
      <c r="AP839" s="1"/>
      <c r="AQ839" s="1"/>
      <c r="AR839" s="1"/>
      <c r="AS839" s="1"/>
      <c r="AT839" s="3"/>
      <c r="AU839" s="3"/>
      <c r="AV839" s="3"/>
      <c r="AW839" s="1"/>
      <c r="AX839" s="1"/>
      <c r="AZ839">
        <v>253</v>
      </c>
      <c r="BA839">
        <v>4654734.66</v>
      </c>
      <c r="BB839" s="1" t="s">
        <v>74</v>
      </c>
      <c r="BC839">
        <v>467</v>
      </c>
      <c r="BD839" s="1" t="s">
        <v>929</v>
      </c>
      <c r="BE839" s="1" t="s">
        <v>466</v>
      </c>
      <c r="BF839">
        <v>4569</v>
      </c>
      <c r="BG839" s="1" t="s">
        <v>982</v>
      </c>
      <c r="BH839" s="1" t="s">
        <v>99</v>
      </c>
      <c r="BI839">
        <v>0</v>
      </c>
      <c r="BJ839" s="1"/>
      <c r="BL839" s="1"/>
      <c r="BN839" s="1"/>
      <c r="BO839">
        <v>599</v>
      </c>
      <c r="BP839">
        <v>4654734.66</v>
      </c>
      <c r="BQ839">
        <v>4654734.66</v>
      </c>
    </row>
    <row r="840" spans="1:69" x14ac:dyDescent="0.35">
      <c r="A840" s="1" t="s">
        <v>68</v>
      </c>
      <c r="B840" s="1" t="s">
        <v>69</v>
      </c>
      <c r="C840" s="1" t="s">
        <v>70</v>
      </c>
      <c r="D840">
        <v>1</v>
      </c>
      <c r="E840">
        <v>1</v>
      </c>
      <c r="F840" s="2">
        <v>43585.43</v>
      </c>
      <c r="G840" s="3">
        <v>41275</v>
      </c>
      <c r="H840" s="3">
        <v>41639</v>
      </c>
      <c r="I840" s="1" t="s">
        <v>71</v>
      </c>
      <c r="J840">
        <v>4521</v>
      </c>
      <c r="K840">
        <v>0</v>
      </c>
      <c r="L840" s="1" t="s">
        <v>384</v>
      </c>
      <c r="M840" s="1" t="s">
        <v>72</v>
      </c>
      <c r="N840" s="1" t="s">
        <v>134</v>
      </c>
      <c r="O840" s="1" t="s">
        <v>385</v>
      </c>
      <c r="P840" s="1" t="s">
        <v>386</v>
      </c>
      <c r="Q840" s="1" t="s">
        <v>387</v>
      </c>
      <c r="R840">
        <v>103</v>
      </c>
      <c r="S840" s="1" t="s">
        <v>135</v>
      </c>
      <c r="T840" s="1" t="s">
        <v>388</v>
      </c>
      <c r="U840" s="1" t="s">
        <v>135</v>
      </c>
      <c r="V840" s="1"/>
      <c r="W840" s="1"/>
      <c r="X840" s="1"/>
      <c r="Y840" s="1"/>
      <c r="AA840" s="1"/>
      <c r="AC840" s="1"/>
      <c r="AD840" s="1"/>
      <c r="AE840" s="1"/>
      <c r="AN840" s="1"/>
      <c r="AP840" s="1"/>
      <c r="AQ840" s="1"/>
      <c r="AR840" s="1"/>
      <c r="AS840" s="1"/>
      <c r="AT840" s="3"/>
      <c r="AU840" s="3"/>
      <c r="AV840" s="3"/>
      <c r="AW840" s="1"/>
      <c r="AX840" s="1"/>
      <c r="AZ840">
        <v>253</v>
      </c>
      <c r="BA840">
        <v>4654734.66</v>
      </c>
      <c r="BB840" s="1" t="s">
        <v>74</v>
      </c>
      <c r="BC840">
        <v>468</v>
      </c>
      <c r="BD840" s="1" t="s">
        <v>929</v>
      </c>
      <c r="BE840" s="1" t="s">
        <v>99</v>
      </c>
      <c r="BF840">
        <v>0</v>
      </c>
      <c r="BG840" s="1"/>
      <c r="BH840" s="1" t="s">
        <v>434</v>
      </c>
      <c r="BI840">
        <v>5619.87</v>
      </c>
      <c r="BJ840" s="1" t="s">
        <v>982</v>
      </c>
      <c r="BL840" s="1"/>
      <c r="BN840" s="1"/>
      <c r="BO840">
        <v>599</v>
      </c>
      <c r="BP840">
        <v>4654734.66</v>
      </c>
      <c r="BQ840">
        <v>4654734.66</v>
      </c>
    </row>
    <row r="841" spans="1:69" x14ac:dyDescent="0.35">
      <c r="A841" s="1" t="s">
        <v>68</v>
      </c>
      <c r="B841" s="1" t="s">
        <v>69</v>
      </c>
      <c r="C841" s="1" t="s">
        <v>70</v>
      </c>
      <c r="D841">
        <v>1</v>
      </c>
      <c r="E841">
        <v>1</v>
      </c>
      <c r="F841" s="2">
        <v>43585.43</v>
      </c>
      <c r="G841" s="3">
        <v>41275</v>
      </c>
      <c r="H841" s="3">
        <v>41639</v>
      </c>
      <c r="I841" s="1" t="s">
        <v>71</v>
      </c>
      <c r="J841">
        <v>4521</v>
      </c>
      <c r="K841">
        <v>0</v>
      </c>
      <c r="L841" s="1" t="s">
        <v>384</v>
      </c>
      <c r="M841" s="1" t="s">
        <v>72</v>
      </c>
      <c r="N841" s="1" t="s">
        <v>134</v>
      </c>
      <c r="O841" s="1" t="s">
        <v>385</v>
      </c>
      <c r="P841" s="1" t="s">
        <v>386</v>
      </c>
      <c r="Q841" s="1" t="s">
        <v>387</v>
      </c>
      <c r="R841">
        <v>103</v>
      </c>
      <c r="S841" s="1" t="s">
        <v>135</v>
      </c>
      <c r="T841" s="1" t="s">
        <v>388</v>
      </c>
      <c r="U841" s="1" t="s">
        <v>135</v>
      </c>
      <c r="V841" s="1"/>
      <c r="W841" s="1"/>
      <c r="X841" s="1"/>
      <c r="Y841" s="1"/>
      <c r="AA841" s="1"/>
      <c r="AC841" s="1"/>
      <c r="AD841" s="1"/>
      <c r="AE841" s="1"/>
      <c r="AN841" s="1"/>
      <c r="AP841" s="1"/>
      <c r="AQ841" s="1"/>
      <c r="AR841" s="1"/>
      <c r="AS841" s="1"/>
      <c r="AT841" s="3"/>
      <c r="AU841" s="3"/>
      <c r="AV841" s="3"/>
      <c r="AW841" s="1"/>
      <c r="AX841" s="1"/>
      <c r="AZ841">
        <v>253</v>
      </c>
      <c r="BA841">
        <v>4654734.66</v>
      </c>
      <c r="BB841" s="1" t="s">
        <v>74</v>
      </c>
      <c r="BC841">
        <v>469</v>
      </c>
      <c r="BD841" s="1" t="s">
        <v>929</v>
      </c>
      <c r="BE841" s="1" t="s">
        <v>452</v>
      </c>
      <c r="BF841">
        <v>1050.8699999999999</v>
      </c>
      <c r="BG841" s="1" t="s">
        <v>982</v>
      </c>
      <c r="BH841" s="1" t="s">
        <v>99</v>
      </c>
      <c r="BI841">
        <v>0</v>
      </c>
      <c r="BJ841" s="1"/>
      <c r="BL841" s="1"/>
      <c r="BN841" s="1"/>
      <c r="BO841">
        <v>599</v>
      </c>
      <c r="BP841">
        <v>4654734.66</v>
      </c>
      <c r="BQ841">
        <v>4654734.66</v>
      </c>
    </row>
    <row r="842" spans="1:69" x14ac:dyDescent="0.35">
      <c r="A842" s="1" t="s">
        <v>68</v>
      </c>
      <c r="B842" s="1" t="s">
        <v>69</v>
      </c>
      <c r="C842" s="1" t="s">
        <v>70</v>
      </c>
      <c r="D842">
        <v>1</v>
      </c>
      <c r="E842">
        <v>1</v>
      </c>
      <c r="F842" s="2">
        <v>43585.43</v>
      </c>
      <c r="G842" s="3">
        <v>41275</v>
      </c>
      <c r="H842" s="3">
        <v>41639</v>
      </c>
      <c r="I842" s="1" t="s">
        <v>71</v>
      </c>
      <c r="J842">
        <v>4521</v>
      </c>
      <c r="K842">
        <v>0</v>
      </c>
      <c r="L842" s="1" t="s">
        <v>384</v>
      </c>
      <c r="M842" s="1" t="s">
        <v>72</v>
      </c>
      <c r="N842" s="1" t="s">
        <v>134</v>
      </c>
      <c r="O842" s="1" t="s">
        <v>385</v>
      </c>
      <c r="P842" s="1" t="s">
        <v>386</v>
      </c>
      <c r="Q842" s="1" t="s">
        <v>387</v>
      </c>
      <c r="R842">
        <v>103</v>
      </c>
      <c r="S842" s="1" t="s">
        <v>135</v>
      </c>
      <c r="T842" s="1" t="s">
        <v>388</v>
      </c>
      <c r="U842" s="1" t="s">
        <v>135</v>
      </c>
      <c r="V842" s="1"/>
      <c r="W842" s="1"/>
      <c r="X842" s="1"/>
      <c r="Y842" s="1"/>
      <c r="AA842" s="1"/>
      <c r="AC842" s="1"/>
      <c r="AD842" s="1"/>
      <c r="AE842" s="1"/>
      <c r="AN842" s="1"/>
      <c r="AP842" s="1"/>
      <c r="AQ842" s="1"/>
      <c r="AR842" s="1"/>
      <c r="AS842" s="1"/>
      <c r="AT842" s="3"/>
      <c r="AU842" s="3"/>
      <c r="AV842" s="3"/>
      <c r="AW842" s="1"/>
      <c r="AX842" s="1"/>
      <c r="AZ842">
        <v>253</v>
      </c>
      <c r="BA842">
        <v>4654734.66</v>
      </c>
      <c r="BB842" s="1" t="s">
        <v>74</v>
      </c>
      <c r="BC842">
        <v>470</v>
      </c>
      <c r="BD842" s="1" t="s">
        <v>930</v>
      </c>
      <c r="BE842" s="1" t="s">
        <v>466</v>
      </c>
      <c r="BF842">
        <v>6325</v>
      </c>
      <c r="BG842" s="1" t="s">
        <v>1023</v>
      </c>
      <c r="BH842" s="1" t="s">
        <v>99</v>
      </c>
      <c r="BI842">
        <v>0</v>
      </c>
      <c r="BJ842" s="1"/>
      <c r="BL842" s="1"/>
      <c r="BN842" s="1"/>
      <c r="BO842">
        <v>599</v>
      </c>
      <c r="BP842">
        <v>4654734.66</v>
      </c>
      <c r="BQ842">
        <v>4654734.66</v>
      </c>
    </row>
    <row r="843" spans="1:69" x14ac:dyDescent="0.35">
      <c r="A843" s="1" t="s">
        <v>68</v>
      </c>
      <c r="B843" s="1" t="s">
        <v>69</v>
      </c>
      <c r="C843" s="1" t="s">
        <v>70</v>
      </c>
      <c r="D843">
        <v>1</v>
      </c>
      <c r="E843">
        <v>1</v>
      </c>
      <c r="F843" s="2">
        <v>43585.43</v>
      </c>
      <c r="G843" s="3">
        <v>41275</v>
      </c>
      <c r="H843" s="3">
        <v>41639</v>
      </c>
      <c r="I843" s="1" t="s">
        <v>71</v>
      </c>
      <c r="J843">
        <v>4521</v>
      </c>
      <c r="K843">
        <v>0</v>
      </c>
      <c r="L843" s="1" t="s">
        <v>384</v>
      </c>
      <c r="M843" s="1" t="s">
        <v>72</v>
      </c>
      <c r="N843" s="1" t="s">
        <v>134</v>
      </c>
      <c r="O843" s="1" t="s">
        <v>385</v>
      </c>
      <c r="P843" s="1" t="s">
        <v>386</v>
      </c>
      <c r="Q843" s="1" t="s">
        <v>387</v>
      </c>
      <c r="R843">
        <v>103</v>
      </c>
      <c r="S843" s="1" t="s">
        <v>135</v>
      </c>
      <c r="T843" s="1" t="s">
        <v>388</v>
      </c>
      <c r="U843" s="1" t="s">
        <v>135</v>
      </c>
      <c r="V843" s="1"/>
      <c r="W843" s="1"/>
      <c r="X843" s="1"/>
      <c r="Y843" s="1"/>
      <c r="AA843" s="1"/>
      <c r="AC843" s="1"/>
      <c r="AD843" s="1"/>
      <c r="AE843" s="1"/>
      <c r="AN843" s="1"/>
      <c r="AP843" s="1"/>
      <c r="AQ843" s="1"/>
      <c r="AR843" s="1"/>
      <c r="AS843" s="1"/>
      <c r="AT843" s="3"/>
      <c r="AU843" s="3"/>
      <c r="AV843" s="3"/>
      <c r="AW843" s="1"/>
      <c r="AX843" s="1"/>
      <c r="AZ843">
        <v>253</v>
      </c>
      <c r="BA843">
        <v>4654734.66</v>
      </c>
      <c r="BB843" s="1" t="s">
        <v>74</v>
      </c>
      <c r="BC843">
        <v>471</v>
      </c>
      <c r="BD843" s="1" t="s">
        <v>930</v>
      </c>
      <c r="BE843" s="1" t="s">
        <v>99</v>
      </c>
      <c r="BF843">
        <v>0</v>
      </c>
      <c r="BG843" s="1"/>
      <c r="BH843" s="1" t="s">
        <v>433</v>
      </c>
      <c r="BI843">
        <v>7779.75</v>
      </c>
      <c r="BJ843" s="1" t="s">
        <v>1023</v>
      </c>
      <c r="BL843" s="1"/>
      <c r="BN843" s="1"/>
      <c r="BO843">
        <v>599</v>
      </c>
      <c r="BP843">
        <v>4654734.66</v>
      </c>
      <c r="BQ843">
        <v>4654734.66</v>
      </c>
    </row>
    <row r="844" spans="1:69" x14ac:dyDescent="0.35">
      <c r="A844" s="1" t="s">
        <v>68</v>
      </c>
      <c r="B844" s="1" t="s">
        <v>69</v>
      </c>
      <c r="C844" s="1" t="s">
        <v>70</v>
      </c>
      <c r="D844">
        <v>1</v>
      </c>
      <c r="E844">
        <v>1</v>
      </c>
      <c r="F844" s="2">
        <v>43585.43</v>
      </c>
      <c r="G844" s="3">
        <v>41275</v>
      </c>
      <c r="H844" s="3">
        <v>41639</v>
      </c>
      <c r="I844" s="1" t="s">
        <v>71</v>
      </c>
      <c r="J844">
        <v>4521</v>
      </c>
      <c r="K844">
        <v>0</v>
      </c>
      <c r="L844" s="1" t="s">
        <v>384</v>
      </c>
      <c r="M844" s="1" t="s">
        <v>72</v>
      </c>
      <c r="N844" s="1" t="s">
        <v>134</v>
      </c>
      <c r="O844" s="1" t="s">
        <v>385</v>
      </c>
      <c r="P844" s="1" t="s">
        <v>386</v>
      </c>
      <c r="Q844" s="1" t="s">
        <v>387</v>
      </c>
      <c r="R844">
        <v>103</v>
      </c>
      <c r="S844" s="1" t="s">
        <v>135</v>
      </c>
      <c r="T844" s="1" t="s">
        <v>388</v>
      </c>
      <c r="U844" s="1" t="s">
        <v>135</v>
      </c>
      <c r="V844" s="1"/>
      <c r="W844" s="1"/>
      <c r="X844" s="1"/>
      <c r="Y844" s="1"/>
      <c r="AA844" s="1"/>
      <c r="AC844" s="1"/>
      <c r="AD844" s="1"/>
      <c r="AE844" s="1"/>
      <c r="AN844" s="1"/>
      <c r="AP844" s="1"/>
      <c r="AQ844" s="1"/>
      <c r="AR844" s="1"/>
      <c r="AS844" s="1"/>
      <c r="AT844" s="3"/>
      <c r="AU844" s="3"/>
      <c r="AV844" s="3"/>
      <c r="AW844" s="1"/>
      <c r="AX844" s="1"/>
      <c r="AZ844">
        <v>253</v>
      </c>
      <c r="BA844">
        <v>4654734.66</v>
      </c>
      <c r="BB844" s="1" t="s">
        <v>74</v>
      </c>
      <c r="BC844">
        <v>472</v>
      </c>
      <c r="BD844" s="1" t="s">
        <v>930</v>
      </c>
      <c r="BE844" s="1" t="s">
        <v>452</v>
      </c>
      <c r="BF844">
        <v>1454.75</v>
      </c>
      <c r="BG844" s="1" t="s">
        <v>1023</v>
      </c>
      <c r="BH844" s="1" t="s">
        <v>99</v>
      </c>
      <c r="BI844">
        <v>0</v>
      </c>
      <c r="BJ844" s="1"/>
      <c r="BL844" s="1"/>
      <c r="BN844" s="1"/>
      <c r="BO844">
        <v>599</v>
      </c>
      <c r="BP844">
        <v>4654734.66</v>
      </c>
      <c r="BQ844">
        <v>4654734.66</v>
      </c>
    </row>
    <row r="845" spans="1:69" x14ac:dyDescent="0.35">
      <c r="A845" s="1" t="s">
        <v>68</v>
      </c>
      <c r="B845" s="1" t="s">
        <v>69</v>
      </c>
      <c r="C845" s="1" t="s">
        <v>70</v>
      </c>
      <c r="D845">
        <v>1</v>
      </c>
      <c r="E845">
        <v>1</v>
      </c>
      <c r="F845" s="2">
        <v>43585.43</v>
      </c>
      <c r="G845" s="3">
        <v>41275</v>
      </c>
      <c r="H845" s="3">
        <v>41639</v>
      </c>
      <c r="I845" s="1" t="s">
        <v>71</v>
      </c>
      <c r="J845">
        <v>4521</v>
      </c>
      <c r="K845">
        <v>0</v>
      </c>
      <c r="L845" s="1" t="s">
        <v>384</v>
      </c>
      <c r="M845" s="1" t="s">
        <v>72</v>
      </c>
      <c r="N845" s="1" t="s">
        <v>134</v>
      </c>
      <c r="O845" s="1" t="s">
        <v>385</v>
      </c>
      <c r="P845" s="1" t="s">
        <v>386</v>
      </c>
      <c r="Q845" s="1" t="s">
        <v>387</v>
      </c>
      <c r="R845">
        <v>103</v>
      </c>
      <c r="S845" s="1" t="s">
        <v>135</v>
      </c>
      <c r="T845" s="1" t="s">
        <v>388</v>
      </c>
      <c r="U845" s="1" t="s">
        <v>135</v>
      </c>
      <c r="V845" s="1"/>
      <c r="W845" s="1"/>
      <c r="X845" s="1"/>
      <c r="Y845" s="1"/>
      <c r="AA845" s="1"/>
      <c r="AC845" s="1"/>
      <c r="AD845" s="1"/>
      <c r="AE845" s="1"/>
      <c r="AN845" s="1"/>
      <c r="AP845" s="1"/>
      <c r="AQ845" s="1"/>
      <c r="AR845" s="1"/>
      <c r="AS845" s="1"/>
      <c r="AT845" s="3"/>
      <c r="AU845" s="3"/>
      <c r="AV845" s="3"/>
      <c r="AW845" s="1"/>
      <c r="AX845" s="1"/>
      <c r="AZ845">
        <v>253</v>
      </c>
      <c r="BA845">
        <v>4654734.66</v>
      </c>
      <c r="BB845" s="1" t="s">
        <v>74</v>
      </c>
      <c r="BC845">
        <v>473</v>
      </c>
      <c r="BD845" s="1" t="s">
        <v>931</v>
      </c>
      <c r="BE845" s="1" t="s">
        <v>453</v>
      </c>
      <c r="BF845">
        <v>56</v>
      </c>
      <c r="BG845" s="1" t="s">
        <v>1002</v>
      </c>
      <c r="BH845" s="1" t="s">
        <v>99</v>
      </c>
      <c r="BI845">
        <v>0</v>
      </c>
      <c r="BJ845" s="1"/>
      <c r="BL845" s="1"/>
      <c r="BN845" s="1"/>
      <c r="BO845">
        <v>599</v>
      </c>
      <c r="BP845">
        <v>4654734.66</v>
      </c>
      <c r="BQ845">
        <v>4654734.66</v>
      </c>
    </row>
    <row r="846" spans="1:69" x14ac:dyDescent="0.35">
      <c r="A846" s="1" t="s">
        <v>68</v>
      </c>
      <c r="B846" s="1" t="s">
        <v>69</v>
      </c>
      <c r="C846" s="1" t="s">
        <v>70</v>
      </c>
      <c r="D846">
        <v>1</v>
      </c>
      <c r="E846">
        <v>1</v>
      </c>
      <c r="F846" s="2">
        <v>43585.43</v>
      </c>
      <c r="G846" s="3">
        <v>41275</v>
      </c>
      <c r="H846" s="3">
        <v>41639</v>
      </c>
      <c r="I846" s="1" t="s">
        <v>71</v>
      </c>
      <c r="J846">
        <v>4521</v>
      </c>
      <c r="K846">
        <v>0</v>
      </c>
      <c r="L846" s="1" t="s">
        <v>384</v>
      </c>
      <c r="M846" s="1" t="s">
        <v>72</v>
      </c>
      <c r="N846" s="1" t="s">
        <v>134</v>
      </c>
      <c r="O846" s="1" t="s">
        <v>385</v>
      </c>
      <c r="P846" s="1" t="s">
        <v>386</v>
      </c>
      <c r="Q846" s="1" t="s">
        <v>387</v>
      </c>
      <c r="R846">
        <v>103</v>
      </c>
      <c r="S846" s="1" t="s">
        <v>135</v>
      </c>
      <c r="T846" s="1" t="s">
        <v>388</v>
      </c>
      <c r="U846" s="1" t="s">
        <v>135</v>
      </c>
      <c r="V846" s="1"/>
      <c r="W846" s="1"/>
      <c r="X846" s="1"/>
      <c r="Y846" s="1"/>
      <c r="AA846" s="1"/>
      <c r="AC846" s="1"/>
      <c r="AD846" s="1"/>
      <c r="AE846" s="1"/>
      <c r="AN846" s="1"/>
      <c r="AP846" s="1"/>
      <c r="AQ846" s="1"/>
      <c r="AR846" s="1"/>
      <c r="AS846" s="1"/>
      <c r="AT846" s="3"/>
      <c r="AU846" s="3"/>
      <c r="AV846" s="3"/>
      <c r="AW846" s="1"/>
      <c r="AX846" s="1"/>
      <c r="AZ846">
        <v>253</v>
      </c>
      <c r="BA846">
        <v>4654734.66</v>
      </c>
      <c r="BB846" s="1" t="s">
        <v>74</v>
      </c>
      <c r="BC846">
        <v>474</v>
      </c>
      <c r="BD846" s="1" t="s">
        <v>931</v>
      </c>
      <c r="BE846" s="1" t="s">
        <v>99</v>
      </c>
      <c r="BF846">
        <v>0</v>
      </c>
      <c r="BG846" s="1"/>
      <c r="BH846" s="1" t="s">
        <v>392</v>
      </c>
      <c r="BI846">
        <v>56</v>
      </c>
      <c r="BJ846" s="1" t="s">
        <v>1002</v>
      </c>
      <c r="BL846" s="1"/>
      <c r="BN846" s="1"/>
      <c r="BO846">
        <v>599</v>
      </c>
      <c r="BP846">
        <v>4654734.66</v>
      </c>
      <c r="BQ846">
        <v>4654734.66</v>
      </c>
    </row>
    <row r="847" spans="1:69" x14ac:dyDescent="0.35">
      <c r="A847" s="1" t="s">
        <v>68</v>
      </c>
      <c r="B847" s="1" t="s">
        <v>69</v>
      </c>
      <c r="C847" s="1" t="s">
        <v>70</v>
      </c>
      <c r="D847">
        <v>1</v>
      </c>
      <c r="E847">
        <v>1</v>
      </c>
      <c r="F847" s="2">
        <v>43585.43</v>
      </c>
      <c r="G847" s="3">
        <v>41275</v>
      </c>
      <c r="H847" s="3">
        <v>41639</v>
      </c>
      <c r="I847" s="1" t="s">
        <v>71</v>
      </c>
      <c r="J847">
        <v>4521</v>
      </c>
      <c r="K847">
        <v>0</v>
      </c>
      <c r="L847" s="1" t="s">
        <v>384</v>
      </c>
      <c r="M847" s="1" t="s">
        <v>72</v>
      </c>
      <c r="N847" s="1" t="s">
        <v>134</v>
      </c>
      <c r="O847" s="1" t="s">
        <v>385</v>
      </c>
      <c r="P847" s="1" t="s">
        <v>386</v>
      </c>
      <c r="Q847" s="1" t="s">
        <v>387</v>
      </c>
      <c r="R847">
        <v>103</v>
      </c>
      <c r="S847" s="1" t="s">
        <v>135</v>
      </c>
      <c r="T847" s="1" t="s">
        <v>388</v>
      </c>
      <c r="U847" s="1" t="s">
        <v>135</v>
      </c>
      <c r="V847" s="1"/>
      <c r="W847" s="1"/>
      <c r="X847" s="1"/>
      <c r="Y847" s="1"/>
      <c r="AA847" s="1"/>
      <c r="AC847" s="1"/>
      <c r="AD847" s="1"/>
      <c r="AE847" s="1"/>
      <c r="AN847" s="1"/>
      <c r="AP847" s="1"/>
      <c r="AQ847" s="1"/>
      <c r="AR847" s="1"/>
      <c r="AS847" s="1"/>
      <c r="AT847" s="3"/>
      <c r="AU847" s="3"/>
      <c r="AV847" s="3"/>
      <c r="AW847" s="1"/>
      <c r="AX847" s="1"/>
      <c r="AZ847">
        <v>253</v>
      </c>
      <c r="BA847">
        <v>4654734.66</v>
      </c>
      <c r="BB847" s="1" t="s">
        <v>74</v>
      </c>
      <c r="BC847">
        <v>475</v>
      </c>
      <c r="BD847" s="1" t="s">
        <v>932</v>
      </c>
      <c r="BE847" s="1" t="s">
        <v>392</v>
      </c>
      <c r="BF847">
        <v>156.12</v>
      </c>
      <c r="BG847" s="1" t="s">
        <v>1244</v>
      </c>
      <c r="BH847" s="1" t="s">
        <v>99</v>
      </c>
      <c r="BI847">
        <v>0</v>
      </c>
      <c r="BJ847" s="1"/>
      <c r="BL847" s="1"/>
      <c r="BN847" s="1"/>
      <c r="BO847">
        <v>599</v>
      </c>
      <c r="BP847">
        <v>4654734.66</v>
      </c>
      <c r="BQ847">
        <v>4654734.66</v>
      </c>
    </row>
    <row r="848" spans="1:69" x14ac:dyDescent="0.35">
      <c r="A848" s="1" t="s">
        <v>68</v>
      </c>
      <c r="B848" s="1" t="s">
        <v>69</v>
      </c>
      <c r="C848" s="1" t="s">
        <v>70</v>
      </c>
      <c r="D848">
        <v>1</v>
      </c>
      <c r="E848">
        <v>1</v>
      </c>
      <c r="F848" s="2">
        <v>43585.43</v>
      </c>
      <c r="G848" s="3">
        <v>41275</v>
      </c>
      <c r="H848" s="3">
        <v>41639</v>
      </c>
      <c r="I848" s="1" t="s">
        <v>71</v>
      </c>
      <c r="J848">
        <v>4521</v>
      </c>
      <c r="K848">
        <v>0</v>
      </c>
      <c r="L848" s="1" t="s">
        <v>384</v>
      </c>
      <c r="M848" s="1" t="s">
        <v>72</v>
      </c>
      <c r="N848" s="1" t="s">
        <v>134</v>
      </c>
      <c r="O848" s="1" t="s">
        <v>385</v>
      </c>
      <c r="P848" s="1" t="s">
        <v>386</v>
      </c>
      <c r="Q848" s="1" t="s">
        <v>387</v>
      </c>
      <c r="R848">
        <v>103</v>
      </c>
      <c r="S848" s="1" t="s">
        <v>135</v>
      </c>
      <c r="T848" s="1" t="s">
        <v>388</v>
      </c>
      <c r="U848" s="1" t="s">
        <v>135</v>
      </c>
      <c r="V848" s="1"/>
      <c r="W848" s="1"/>
      <c r="X848" s="1"/>
      <c r="Y848" s="1"/>
      <c r="AA848" s="1"/>
      <c r="AC848" s="1"/>
      <c r="AD848" s="1"/>
      <c r="AE848" s="1"/>
      <c r="AN848" s="1"/>
      <c r="AP848" s="1"/>
      <c r="AQ848" s="1"/>
      <c r="AR848" s="1"/>
      <c r="AS848" s="1"/>
      <c r="AT848" s="3"/>
      <c r="AU848" s="3"/>
      <c r="AV848" s="3"/>
      <c r="AW848" s="1"/>
      <c r="AX848" s="1"/>
      <c r="AZ848">
        <v>253</v>
      </c>
      <c r="BA848">
        <v>4654734.66</v>
      </c>
      <c r="BB848" s="1" t="s">
        <v>74</v>
      </c>
      <c r="BC848">
        <v>476</v>
      </c>
      <c r="BD848" s="1" t="s">
        <v>932</v>
      </c>
      <c r="BE848" s="1" t="s">
        <v>99</v>
      </c>
      <c r="BF848">
        <v>0</v>
      </c>
      <c r="BG848" s="1"/>
      <c r="BH848" s="1" t="s">
        <v>463</v>
      </c>
      <c r="BI848">
        <v>156.12</v>
      </c>
      <c r="BJ848" s="1" t="s">
        <v>1244</v>
      </c>
      <c r="BL848" s="1"/>
      <c r="BN848" s="1"/>
      <c r="BO848">
        <v>599</v>
      </c>
      <c r="BP848">
        <v>4654734.66</v>
      </c>
      <c r="BQ848">
        <v>4654734.66</v>
      </c>
    </row>
    <row r="849" spans="1:69" x14ac:dyDescent="0.35">
      <c r="A849" s="1" t="s">
        <v>68</v>
      </c>
      <c r="B849" s="1" t="s">
        <v>69</v>
      </c>
      <c r="C849" s="1" t="s">
        <v>70</v>
      </c>
      <c r="D849">
        <v>1</v>
      </c>
      <c r="E849">
        <v>1</v>
      </c>
      <c r="F849" s="2">
        <v>43585.43</v>
      </c>
      <c r="G849" s="3">
        <v>41275</v>
      </c>
      <c r="H849" s="3">
        <v>41639</v>
      </c>
      <c r="I849" s="1" t="s">
        <v>71</v>
      </c>
      <c r="J849">
        <v>4521</v>
      </c>
      <c r="K849">
        <v>0</v>
      </c>
      <c r="L849" s="1" t="s">
        <v>384</v>
      </c>
      <c r="M849" s="1" t="s">
        <v>72</v>
      </c>
      <c r="N849" s="1" t="s">
        <v>134</v>
      </c>
      <c r="O849" s="1" t="s">
        <v>385</v>
      </c>
      <c r="P849" s="1" t="s">
        <v>386</v>
      </c>
      <c r="Q849" s="1" t="s">
        <v>387</v>
      </c>
      <c r="R849">
        <v>103</v>
      </c>
      <c r="S849" s="1" t="s">
        <v>135</v>
      </c>
      <c r="T849" s="1" t="s">
        <v>388</v>
      </c>
      <c r="U849" s="1" t="s">
        <v>135</v>
      </c>
      <c r="V849" s="1"/>
      <c r="W849" s="1"/>
      <c r="X849" s="1"/>
      <c r="Y849" s="1"/>
      <c r="AA849" s="1"/>
      <c r="AC849" s="1"/>
      <c r="AD849" s="1"/>
      <c r="AE849" s="1"/>
      <c r="AN849" s="1"/>
      <c r="AP849" s="1"/>
      <c r="AQ849" s="1"/>
      <c r="AR849" s="1"/>
      <c r="AS849" s="1"/>
      <c r="AT849" s="3"/>
      <c r="AU849" s="3"/>
      <c r="AV849" s="3"/>
      <c r="AW849" s="1"/>
      <c r="AX849" s="1"/>
      <c r="AZ849">
        <v>253</v>
      </c>
      <c r="BA849">
        <v>4654734.66</v>
      </c>
      <c r="BB849" s="1" t="s">
        <v>74</v>
      </c>
      <c r="BC849">
        <v>477</v>
      </c>
      <c r="BD849" s="1" t="s">
        <v>933</v>
      </c>
      <c r="BE849" s="1" t="s">
        <v>473</v>
      </c>
      <c r="BF849">
        <v>15.3</v>
      </c>
      <c r="BG849" s="1" t="s">
        <v>1245</v>
      </c>
      <c r="BH849" s="1" t="s">
        <v>99</v>
      </c>
      <c r="BI849">
        <v>0</v>
      </c>
      <c r="BJ849" s="1"/>
      <c r="BL849" s="1"/>
      <c r="BN849" s="1"/>
      <c r="BO849">
        <v>599</v>
      </c>
      <c r="BP849">
        <v>4654734.66</v>
      </c>
      <c r="BQ849">
        <v>4654734.66</v>
      </c>
    </row>
    <row r="850" spans="1:69" x14ac:dyDescent="0.35">
      <c r="A850" s="1" t="s">
        <v>68</v>
      </c>
      <c r="B850" s="1" t="s">
        <v>69</v>
      </c>
      <c r="C850" s="1" t="s">
        <v>70</v>
      </c>
      <c r="D850">
        <v>1</v>
      </c>
      <c r="E850">
        <v>1</v>
      </c>
      <c r="F850" s="2">
        <v>43585.43</v>
      </c>
      <c r="G850" s="3">
        <v>41275</v>
      </c>
      <c r="H850" s="3">
        <v>41639</v>
      </c>
      <c r="I850" s="1" t="s">
        <v>71</v>
      </c>
      <c r="J850">
        <v>4521</v>
      </c>
      <c r="K850">
        <v>0</v>
      </c>
      <c r="L850" s="1" t="s">
        <v>384</v>
      </c>
      <c r="M850" s="1" t="s">
        <v>72</v>
      </c>
      <c r="N850" s="1" t="s">
        <v>134</v>
      </c>
      <c r="O850" s="1" t="s">
        <v>385</v>
      </c>
      <c r="P850" s="1" t="s">
        <v>386</v>
      </c>
      <c r="Q850" s="1" t="s">
        <v>387</v>
      </c>
      <c r="R850">
        <v>103</v>
      </c>
      <c r="S850" s="1" t="s">
        <v>135</v>
      </c>
      <c r="T850" s="1" t="s">
        <v>388</v>
      </c>
      <c r="U850" s="1" t="s">
        <v>135</v>
      </c>
      <c r="V850" s="1"/>
      <c r="W850" s="1"/>
      <c r="X850" s="1"/>
      <c r="Y850" s="1"/>
      <c r="AA850" s="1"/>
      <c r="AC850" s="1"/>
      <c r="AD850" s="1"/>
      <c r="AE850" s="1"/>
      <c r="AN850" s="1"/>
      <c r="AP850" s="1"/>
      <c r="AQ850" s="1"/>
      <c r="AR850" s="1"/>
      <c r="AS850" s="1"/>
      <c r="AT850" s="3"/>
      <c r="AU850" s="3"/>
      <c r="AV850" s="3"/>
      <c r="AW850" s="1"/>
      <c r="AX850" s="1"/>
      <c r="AZ850">
        <v>253</v>
      </c>
      <c r="BA850">
        <v>4654734.66</v>
      </c>
      <c r="BB850" s="1" t="s">
        <v>74</v>
      </c>
      <c r="BC850">
        <v>478</v>
      </c>
      <c r="BD850" s="1" t="s">
        <v>933</v>
      </c>
      <c r="BE850" s="1" t="s">
        <v>99</v>
      </c>
      <c r="BF850">
        <v>0</v>
      </c>
      <c r="BG850" s="1"/>
      <c r="BH850" s="1" t="s">
        <v>392</v>
      </c>
      <c r="BI850">
        <v>15.3</v>
      </c>
      <c r="BJ850" s="1" t="s">
        <v>1245</v>
      </c>
      <c r="BL850" s="1"/>
      <c r="BN850" s="1"/>
      <c r="BO850">
        <v>599</v>
      </c>
      <c r="BP850">
        <v>4654734.66</v>
      </c>
      <c r="BQ850">
        <v>4654734.66</v>
      </c>
    </row>
    <row r="851" spans="1:69" x14ac:dyDescent="0.35">
      <c r="A851" s="1" t="s">
        <v>68</v>
      </c>
      <c r="B851" s="1" t="s">
        <v>69</v>
      </c>
      <c r="C851" s="1" t="s">
        <v>70</v>
      </c>
      <c r="D851">
        <v>1</v>
      </c>
      <c r="E851">
        <v>1</v>
      </c>
      <c r="F851" s="2">
        <v>43585.43</v>
      </c>
      <c r="G851" s="3">
        <v>41275</v>
      </c>
      <c r="H851" s="3">
        <v>41639</v>
      </c>
      <c r="I851" s="1" t="s">
        <v>71</v>
      </c>
      <c r="J851">
        <v>4521</v>
      </c>
      <c r="K851">
        <v>0</v>
      </c>
      <c r="L851" s="1" t="s">
        <v>384</v>
      </c>
      <c r="M851" s="1" t="s">
        <v>72</v>
      </c>
      <c r="N851" s="1" t="s">
        <v>134</v>
      </c>
      <c r="O851" s="1" t="s">
        <v>385</v>
      </c>
      <c r="P851" s="1" t="s">
        <v>386</v>
      </c>
      <c r="Q851" s="1" t="s">
        <v>387</v>
      </c>
      <c r="R851">
        <v>103</v>
      </c>
      <c r="S851" s="1" t="s">
        <v>135</v>
      </c>
      <c r="T851" s="1" t="s">
        <v>388</v>
      </c>
      <c r="U851" s="1" t="s">
        <v>135</v>
      </c>
      <c r="V851" s="1"/>
      <c r="W851" s="1"/>
      <c r="X851" s="1"/>
      <c r="Y851" s="1"/>
      <c r="AA851" s="1"/>
      <c r="AC851" s="1"/>
      <c r="AD851" s="1"/>
      <c r="AE851" s="1"/>
      <c r="AN851" s="1"/>
      <c r="AP851" s="1"/>
      <c r="AQ851" s="1"/>
      <c r="AR851" s="1"/>
      <c r="AS851" s="1"/>
      <c r="AT851" s="3"/>
      <c r="AU851" s="3"/>
      <c r="AV851" s="3"/>
      <c r="AW851" s="1"/>
      <c r="AX851" s="1"/>
      <c r="AZ851">
        <v>253</v>
      </c>
      <c r="BA851">
        <v>4654734.66</v>
      </c>
      <c r="BB851" s="1" t="s">
        <v>74</v>
      </c>
      <c r="BC851">
        <v>479</v>
      </c>
      <c r="BD851" s="1" t="s">
        <v>934</v>
      </c>
      <c r="BE851" s="1" t="s">
        <v>473</v>
      </c>
      <c r="BF851">
        <v>45</v>
      </c>
      <c r="BG851" s="1" t="s">
        <v>1245</v>
      </c>
      <c r="BH851" s="1" t="s">
        <v>99</v>
      </c>
      <c r="BI851">
        <v>0</v>
      </c>
      <c r="BJ851" s="1"/>
      <c r="BL851" s="1"/>
      <c r="BN851" s="1"/>
      <c r="BO851">
        <v>599</v>
      </c>
      <c r="BP851">
        <v>4654734.66</v>
      </c>
      <c r="BQ851">
        <v>4654734.66</v>
      </c>
    </row>
    <row r="852" spans="1:69" x14ac:dyDescent="0.35">
      <c r="A852" s="1" t="s">
        <v>68</v>
      </c>
      <c r="B852" s="1" t="s">
        <v>69</v>
      </c>
      <c r="C852" s="1" t="s">
        <v>70</v>
      </c>
      <c r="D852">
        <v>1</v>
      </c>
      <c r="E852">
        <v>1</v>
      </c>
      <c r="F852" s="2">
        <v>43585.43</v>
      </c>
      <c r="G852" s="3">
        <v>41275</v>
      </c>
      <c r="H852" s="3">
        <v>41639</v>
      </c>
      <c r="I852" s="1" t="s">
        <v>71</v>
      </c>
      <c r="J852">
        <v>4521</v>
      </c>
      <c r="K852">
        <v>0</v>
      </c>
      <c r="L852" s="1" t="s">
        <v>384</v>
      </c>
      <c r="M852" s="1" t="s">
        <v>72</v>
      </c>
      <c r="N852" s="1" t="s">
        <v>134</v>
      </c>
      <c r="O852" s="1" t="s">
        <v>385</v>
      </c>
      <c r="P852" s="1" t="s">
        <v>386</v>
      </c>
      <c r="Q852" s="1" t="s">
        <v>387</v>
      </c>
      <c r="R852">
        <v>103</v>
      </c>
      <c r="S852" s="1" t="s">
        <v>135</v>
      </c>
      <c r="T852" s="1" t="s">
        <v>388</v>
      </c>
      <c r="U852" s="1" t="s">
        <v>135</v>
      </c>
      <c r="V852" s="1"/>
      <c r="W852" s="1"/>
      <c r="X852" s="1"/>
      <c r="Y852" s="1"/>
      <c r="AA852" s="1"/>
      <c r="AC852" s="1"/>
      <c r="AD852" s="1"/>
      <c r="AE852" s="1"/>
      <c r="AN852" s="1"/>
      <c r="AP852" s="1"/>
      <c r="AQ852" s="1"/>
      <c r="AR852" s="1"/>
      <c r="AS852" s="1"/>
      <c r="AT852" s="3"/>
      <c r="AU852" s="3"/>
      <c r="AV852" s="3"/>
      <c r="AW852" s="1"/>
      <c r="AX852" s="1"/>
      <c r="AZ852">
        <v>253</v>
      </c>
      <c r="BA852">
        <v>4654734.66</v>
      </c>
      <c r="BB852" s="1" t="s">
        <v>74</v>
      </c>
      <c r="BC852">
        <v>480</v>
      </c>
      <c r="BD852" s="1" t="s">
        <v>934</v>
      </c>
      <c r="BE852" s="1" t="s">
        <v>99</v>
      </c>
      <c r="BF852">
        <v>0</v>
      </c>
      <c r="BG852" s="1"/>
      <c r="BH852" s="1" t="s">
        <v>392</v>
      </c>
      <c r="BI852">
        <v>45</v>
      </c>
      <c r="BJ852" s="1" t="s">
        <v>1245</v>
      </c>
      <c r="BL852" s="1"/>
      <c r="BN852" s="1"/>
      <c r="BO852">
        <v>599</v>
      </c>
      <c r="BP852">
        <v>4654734.66</v>
      </c>
      <c r="BQ852">
        <v>4654734.66</v>
      </c>
    </row>
    <row r="853" spans="1:69" x14ac:dyDescent="0.35">
      <c r="A853" s="1" t="s">
        <v>68</v>
      </c>
      <c r="B853" s="1" t="s">
        <v>69</v>
      </c>
      <c r="C853" s="1" t="s">
        <v>70</v>
      </c>
      <c r="D853">
        <v>1</v>
      </c>
      <c r="E853">
        <v>1</v>
      </c>
      <c r="F853" s="2">
        <v>43585.43</v>
      </c>
      <c r="G853" s="3">
        <v>41275</v>
      </c>
      <c r="H853" s="3">
        <v>41639</v>
      </c>
      <c r="I853" s="1" t="s">
        <v>71</v>
      </c>
      <c r="J853">
        <v>4521</v>
      </c>
      <c r="K853">
        <v>0</v>
      </c>
      <c r="L853" s="1" t="s">
        <v>384</v>
      </c>
      <c r="M853" s="1" t="s">
        <v>72</v>
      </c>
      <c r="N853" s="1" t="s">
        <v>134</v>
      </c>
      <c r="O853" s="1" t="s">
        <v>385</v>
      </c>
      <c r="P853" s="1" t="s">
        <v>386</v>
      </c>
      <c r="Q853" s="1" t="s">
        <v>387</v>
      </c>
      <c r="R853">
        <v>103</v>
      </c>
      <c r="S853" s="1" t="s">
        <v>135</v>
      </c>
      <c r="T853" s="1" t="s">
        <v>388</v>
      </c>
      <c r="U853" s="1" t="s">
        <v>135</v>
      </c>
      <c r="V853" s="1"/>
      <c r="W853" s="1"/>
      <c r="X853" s="1"/>
      <c r="Y853" s="1"/>
      <c r="AA853" s="1"/>
      <c r="AC853" s="1"/>
      <c r="AD853" s="1"/>
      <c r="AE853" s="1"/>
      <c r="AN853" s="1"/>
      <c r="AP853" s="1"/>
      <c r="AQ853" s="1"/>
      <c r="AR853" s="1"/>
      <c r="AS853" s="1"/>
      <c r="AT853" s="3"/>
      <c r="AU853" s="3"/>
      <c r="AV853" s="3"/>
      <c r="AW853" s="1"/>
      <c r="AX853" s="1"/>
      <c r="AZ853">
        <v>253</v>
      </c>
      <c r="BA853">
        <v>4654734.66</v>
      </c>
      <c r="BB853" s="1" t="s">
        <v>74</v>
      </c>
      <c r="BC853">
        <v>481</v>
      </c>
      <c r="BD853" s="1" t="s">
        <v>935</v>
      </c>
      <c r="BE853" s="1" t="s">
        <v>473</v>
      </c>
      <c r="BF853">
        <v>150</v>
      </c>
      <c r="BG853" s="1" t="s">
        <v>1245</v>
      </c>
      <c r="BH853" s="1" t="s">
        <v>99</v>
      </c>
      <c r="BI853">
        <v>0</v>
      </c>
      <c r="BJ853" s="1"/>
      <c r="BL853" s="1"/>
      <c r="BN853" s="1"/>
      <c r="BO853">
        <v>599</v>
      </c>
      <c r="BP853">
        <v>4654734.66</v>
      </c>
      <c r="BQ853">
        <v>4654734.66</v>
      </c>
    </row>
    <row r="854" spans="1:69" x14ac:dyDescent="0.35">
      <c r="A854" s="1" t="s">
        <v>68</v>
      </c>
      <c r="B854" s="1" t="s">
        <v>69</v>
      </c>
      <c r="C854" s="1" t="s">
        <v>70</v>
      </c>
      <c r="D854">
        <v>1</v>
      </c>
      <c r="E854">
        <v>1</v>
      </c>
      <c r="F854" s="2">
        <v>43585.43</v>
      </c>
      <c r="G854" s="3">
        <v>41275</v>
      </c>
      <c r="H854" s="3">
        <v>41639</v>
      </c>
      <c r="I854" s="1" t="s">
        <v>71</v>
      </c>
      <c r="J854">
        <v>4521</v>
      </c>
      <c r="K854">
        <v>0</v>
      </c>
      <c r="L854" s="1" t="s">
        <v>384</v>
      </c>
      <c r="M854" s="1" t="s">
        <v>72</v>
      </c>
      <c r="N854" s="1" t="s">
        <v>134</v>
      </c>
      <c r="O854" s="1" t="s">
        <v>385</v>
      </c>
      <c r="P854" s="1" t="s">
        <v>386</v>
      </c>
      <c r="Q854" s="1" t="s">
        <v>387</v>
      </c>
      <c r="R854">
        <v>103</v>
      </c>
      <c r="S854" s="1" t="s">
        <v>135</v>
      </c>
      <c r="T854" s="1" t="s">
        <v>388</v>
      </c>
      <c r="U854" s="1" t="s">
        <v>135</v>
      </c>
      <c r="V854" s="1"/>
      <c r="W854" s="1"/>
      <c r="X854" s="1"/>
      <c r="Y854" s="1"/>
      <c r="AA854" s="1"/>
      <c r="AC854" s="1"/>
      <c r="AD854" s="1"/>
      <c r="AE854" s="1"/>
      <c r="AN854" s="1"/>
      <c r="AP854" s="1"/>
      <c r="AQ854" s="1"/>
      <c r="AR854" s="1"/>
      <c r="AS854" s="1"/>
      <c r="AT854" s="3"/>
      <c r="AU854" s="3"/>
      <c r="AV854" s="3"/>
      <c r="AW854" s="1"/>
      <c r="AX854" s="1"/>
      <c r="AZ854">
        <v>253</v>
      </c>
      <c r="BA854">
        <v>4654734.66</v>
      </c>
      <c r="BB854" s="1" t="s">
        <v>74</v>
      </c>
      <c r="BC854">
        <v>482</v>
      </c>
      <c r="BD854" s="1" t="s">
        <v>935</v>
      </c>
      <c r="BE854" s="1" t="s">
        <v>99</v>
      </c>
      <c r="BF854">
        <v>0</v>
      </c>
      <c r="BG854" s="1"/>
      <c r="BH854" s="1" t="s">
        <v>392</v>
      </c>
      <c r="BI854">
        <v>150</v>
      </c>
      <c r="BJ854" s="1" t="s">
        <v>1245</v>
      </c>
      <c r="BL854" s="1"/>
      <c r="BN854" s="1"/>
      <c r="BO854">
        <v>599</v>
      </c>
      <c r="BP854">
        <v>4654734.66</v>
      </c>
      <c r="BQ854">
        <v>4654734.66</v>
      </c>
    </row>
    <row r="855" spans="1:69" x14ac:dyDescent="0.35">
      <c r="A855" s="1" t="s">
        <v>68</v>
      </c>
      <c r="B855" s="1" t="s">
        <v>69</v>
      </c>
      <c r="C855" s="1" t="s">
        <v>70</v>
      </c>
      <c r="D855">
        <v>1</v>
      </c>
      <c r="E855">
        <v>1</v>
      </c>
      <c r="F855" s="2">
        <v>43585.43</v>
      </c>
      <c r="G855" s="3">
        <v>41275</v>
      </c>
      <c r="H855" s="3">
        <v>41639</v>
      </c>
      <c r="I855" s="1" t="s">
        <v>71</v>
      </c>
      <c r="J855">
        <v>4521</v>
      </c>
      <c r="K855">
        <v>0</v>
      </c>
      <c r="L855" s="1" t="s">
        <v>384</v>
      </c>
      <c r="M855" s="1" t="s">
        <v>72</v>
      </c>
      <c r="N855" s="1" t="s">
        <v>134</v>
      </c>
      <c r="O855" s="1" t="s">
        <v>385</v>
      </c>
      <c r="P855" s="1" t="s">
        <v>386</v>
      </c>
      <c r="Q855" s="1" t="s">
        <v>387</v>
      </c>
      <c r="R855">
        <v>103</v>
      </c>
      <c r="S855" s="1" t="s">
        <v>135</v>
      </c>
      <c r="T855" s="1" t="s">
        <v>388</v>
      </c>
      <c r="U855" s="1" t="s">
        <v>135</v>
      </c>
      <c r="V855" s="1"/>
      <c r="W855" s="1"/>
      <c r="X855" s="1"/>
      <c r="Y855" s="1"/>
      <c r="AA855" s="1"/>
      <c r="AC855" s="1"/>
      <c r="AD855" s="1"/>
      <c r="AE855" s="1"/>
      <c r="AN855" s="1"/>
      <c r="AP855" s="1"/>
      <c r="AQ855" s="1"/>
      <c r="AR855" s="1"/>
      <c r="AS855" s="1"/>
      <c r="AT855" s="3"/>
      <c r="AU855" s="3"/>
      <c r="AV855" s="3"/>
      <c r="AW855" s="1"/>
      <c r="AX855" s="1"/>
      <c r="AZ855">
        <v>253</v>
      </c>
      <c r="BA855">
        <v>4654734.66</v>
      </c>
      <c r="BB855" s="1" t="s">
        <v>74</v>
      </c>
      <c r="BC855">
        <v>483</v>
      </c>
      <c r="BD855" s="1" t="s">
        <v>936</v>
      </c>
      <c r="BE855" s="1" t="s">
        <v>473</v>
      </c>
      <c r="BF855">
        <v>90.5</v>
      </c>
      <c r="BG855" s="1" t="s">
        <v>1245</v>
      </c>
      <c r="BH855" s="1" t="s">
        <v>99</v>
      </c>
      <c r="BI855">
        <v>0</v>
      </c>
      <c r="BJ855" s="1"/>
      <c r="BL855" s="1"/>
      <c r="BN855" s="1"/>
      <c r="BO855">
        <v>599</v>
      </c>
      <c r="BP855">
        <v>4654734.66</v>
      </c>
      <c r="BQ855">
        <v>4654734.66</v>
      </c>
    </row>
    <row r="856" spans="1:69" x14ac:dyDescent="0.35">
      <c r="A856" s="1" t="s">
        <v>68</v>
      </c>
      <c r="B856" s="1" t="s">
        <v>69</v>
      </c>
      <c r="C856" s="1" t="s">
        <v>70</v>
      </c>
      <c r="D856">
        <v>1</v>
      </c>
      <c r="E856">
        <v>1</v>
      </c>
      <c r="F856" s="2">
        <v>43585.43</v>
      </c>
      <c r="G856" s="3">
        <v>41275</v>
      </c>
      <c r="H856" s="3">
        <v>41639</v>
      </c>
      <c r="I856" s="1" t="s">
        <v>71</v>
      </c>
      <c r="J856">
        <v>4521</v>
      </c>
      <c r="K856">
        <v>0</v>
      </c>
      <c r="L856" s="1" t="s">
        <v>384</v>
      </c>
      <c r="M856" s="1" t="s">
        <v>72</v>
      </c>
      <c r="N856" s="1" t="s">
        <v>134</v>
      </c>
      <c r="O856" s="1" t="s">
        <v>385</v>
      </c>
      <c r="P856" s="1" t="s">
        <v>386</v>
      </c>
      <c r="Q856" s="1" t="s">
        <v>387</v>
      </c>
      <c r="R856">
        <v>103</v>
      </c>
      <c r="S856" s="1" t="s">
        <v>135</v>
      </c>
      <c r="T856" s="1" t="s">
        <v>388</v>
      </c>
      <c r="U856" s="1" t="s">
        <v>135</v>
      </c>
      <c r="V856" s="1"/>
      <c r="W856" s="1"/>
      <c r="X856" s="1"/>
      <c r="Y856" s="1"/>
      <c r="AA856" s="1"/>
      <c r="AC856" s="1"/>
      <c r="AD856" s="1"/>
      <c r="AE856" s="1"/>
      <c r="AN856" s="1"/>
      <c r="AP856" s="1"/>
      <c r="AQ856" s="1"/>
      <c r="AR856" s="1"/>
      <c r="AS856" s="1"/>
      <c r="AT856" s="3"/>
      <c r="AU856" s="3"/>
      <c r="AV856" s="3"/>
      <c r="AW856" s="1"/>
      <c r="AX856" s="1"/>
      <c r="AZ856">
        <v>253</v>
      </c>
      <c r="BA856">
        <v>4654734.66</v>
      </c>
      <c r="BB856" s="1" t="s">
        <v>74</v>
      </c>
      <c r="BC856">
        <v>484</v>
      </c>
      <c r="BD856" s="1" t="s">
        <v>936</v>
      </c>
      <c r="BE856" s="1" t="s">
        <v>99</v>
      </c>
      <c r="BF856">
        <v>0</v>
      </c>
      <c r="BG856" s="1"/>
      <c r="BH856" s="1" t="s">
        <v>392</v>
      </c>
      <c r="BI856">
        <v>90.5</v>
      </c>
      <c r="BJ856" s="1" t="s">
        <v>1245</v>
      </c>
      <c r="BL856" s="1"/>
      <c r="BN856" s="1"/>
      <c r="BO856">
        <v>599</v>
      </c>
      <c r="BP856">
        <v>4654734.66</v>
      </c>
      <c r="BQ856">
        <v>4654734.66</v>
      </c>
    </row>
    <row r="857" spans="1:69" x14ac:dyDescent="0.35">
      <c r="A857" s="1" t="s">
        <v>68</v>
      </c>
      <c r="B857" s="1" t="s">
        <v>69</v>
      </c>
      <c r="C857" s="1" t="s">
        <v>70</v>
      </c>
      <c r="D857">
        <v>1</v>
      </c>
      <c r="E857">
        <v>1</v>
      </c>
      <c r="F857" s="2">
        <v>43585.43</v>
      </c>
      <c r="G857" s="3">
        <v>41275</v>
      </c>
      <c r="H857" s="3">
        <v>41639</v>
      </c>
      <c r="I857" s="1" t="s">
        <v>71</v>
      </c>
      <c r="J857">
        <v>4521</v>
      </c>
      <c r="K857">
        <v>0</v>
      </c>
      <c r="L857" s="1" t="s">
        <v>384</v>
      </c>
      <c r="M857" s="1" t="s">
        <v>72</v>
      </c>
      <c r="N857" s="1" t="s">
        <v>134</v>
      </c>
      <c r="O857" s="1" t="s">
        <v>385</v>
      </c>
      <c r="P857" s="1" t="s">
        <v>386</v>
      </c>
      <c r="Q857" s="1" t="s">
        <v>387</v>
      </c>
      <c r="R857">
        <v>103</v>
      </c>
      <c r="S857" s="1" t="s">
        <v>135</v>
      </c>
      <c r="T857" s="1" t="s">
        <v>388</v>
      </c>
      <c r="U857" s="1" t="s">
        <v>135</v>
      </c>
      <c r="V857" s="1"/>
      <c r="W857" s="1"/>
      <c r="X857" s="1"/>
      <c r="Y857" s="1"/>
      <c r="AA857" s="1"/>
      <c r="AC857" s="1"/>
      <c r="AD857" s="1"/>
      <c r="AE857" s="1"/>
      <c r="AN857" s="1"/>
      <c r="AP857" s="1"/>
      <c r="AQ857" s="1"/>
      <c r="AR857" s="1"/>
      <c r="AS857" s="1"/>
      <c r="AT857" s="3"/>
      <c r="AU857" s="3"/>
      <c r="AV857" s="3"/>
      <c r="AW857" s="1"/>
      <c r="AX857" s="1"/>
      <c r="AZ857">
        <v>253</v>
      </c>
      <c r="BA857">
        <v>4654734.66</v>
      </c>
      <c r="BB857" s="1" t="s">
        <v>74</v>
      </c>
      <c r="BC857">
        <v>485</v>
      </c>
      <c r="BD857" s="1" t="s">
        <v>937</v>
      </c>
      <c r="BE857" s="1" t="s">
        <v>473</v>
      </c>
      <c r="BF857">
        <v>55</v>
      </c>
      <c r="BG857" s="1" t="s">
        <v>1245</v>
      </c>
      <c r="BH857" s="1" t="s">
        <v>99</v>
      </c>
      <c r="BI857">
        <v>0</v>
      </c>
      <c r="BJ857" s="1"/>
      <c r="BL857" s="1"/>
      <c r="BN857" s="1"/>
      <c r="BO857">
        <v>599</v>
      </c>
      <c r="BP857">
        <v>4654734.66</v>
      </c>
      <c r="BQ857">
        <v>4654734.66</v>
      </c>
    </row>
    <row r="858" spans="1:69" x14ac:dyDescent="0.35">
      <c r="A858" s="1" t="s">
        <v>68</v>
      </c>
      <c r="B858" s="1" t="s">
        <v>69</v>
      </c>
      <c r="C858" s="1" t="s">
        <v>70</v>
      </c>
      <c r="D858">
        <v>1</v>
      </c>
      <c r="E858">
        <v>1</v>
      </c>
      <c r="F858" s="2">
        <v>43585.43</v>
      </c>
      <c r="G858" s="3">
        <v>41275</v>
      </c>
      <c r="H858" s="3">
        <v>41639</v>
      </c>
      <c r="I858" s="1" t="s">
        <v>71</v>
      </c>
      <c r="J858">
        <v>4521</v>
      </c>
      <c r="K858">
        <v>0</v>
      </c>
      <c r="L858" s="1" t="s">
        <v>384</v>
      </c>
      <c r="M858" s="1" t="s">
        <v>72</v>
      </c>
      <c r="N858" s="1" t="s">
        <v>134</v>
      </c>
      <c r="O858" s="1" t="s">
        <v>385</v>
      </c>
      <c r="P858" s="1" t="s">
        <v>386</v>
      </c>
      <c r="Q858" s="1" t="s">
        <v>387</v>
      </c>
      <c r="R858">
        <v>103</v>
      </c>
      <c r="S858" s="1" t="s">
        <v>135</v>
      </c>
      <c r="T858" s="1" t="s">
        <v>388</v>
      </c>
      <c r="U858" s="1" t="s">
        <v>135</v>
      </c>
      <c r="V858" s="1"/>
      <c r="W858" s="1"/>
      <c r="X858" s="1"/>
      <c r="Y858" s="1"/>
      <c r="AA858" s="1"/>
      <c r="AC858" s="1"/>
      <c r="AD858" s="1"/>
      <c r="AE858" s="1"/>
      <c r="AN858" s="1"/>
      <c r="AP858" s="1"/>
      <c r="AQ858" s="1"/>
      <c r="AR858" s="1"/>
      <c r="AS858" s="1"/>
      <c r="AT858" s="3"/>
      <c r="AU858" s="3"/>
      <c r="AV858" s="3"/>
      <c r="AW858" s="1"/>
      <c r="AX858" s="1"/>
      <c r="AZ858">
        <v>253</v>
      </c>
      <c r="BA858">
        <v>4654734.66</v>
      </c>
      <c r="BB858" s="1" t="s">
        <v>74</v>
      </c>
      <c r="BC858">
        <v>486</v>
      </c>
      <c r="BD858" s="1" t="s">
        <v>937</v>
      </c>
      <c r="BE858" s="1" t="s">
        <v>99</v>
      </c>
      <c r="BF858">
        <v>0</v>
      </c>
      <c r="BG858" s="1"/>
      <c r="BH858" s="1" t="s">
        <v>392</v>
      </c>
      <c r="BI858">
        <v>55</v>
      </c>
      <c r="BJ858" s="1" t="s">
        <v>1245</v>
      </c>
      <c r="BL858" s="1"/>
      <c r="BN858" s="1"/>
      <c r="BO858">
        <v>599</v>
      </c>
      <c r="BP858">
        <v>4654734.66</v>
      </c>
      <c r="BQ858">
        <v>4654734.66</v>
      </c>
    </row>
    <row r="859" spans="1:69" x14ac:dyDescent="0.35">
      <c r="A859" s="1" t="s">
        <v>68</v>
      </c>
      <c r="B859" s="1" t="s">
        <v>69</v>
      </c>
      <c r="C859" s="1" t="s">
        <v>70</v>
      </c>
      <c r="D859">
        <v>1</v>
      </c>
      <c r="E859">
        <v>1</v>
      </c>
      <c r="F859" s="2">
        <v>43585.43</v>
      </c>
      <c r="G859" s="3">
        <v>41275</v>
      </c>
      <c r="H859" s="3">
        <v>41639</v>
      </c>
      <c r="I859" s="1" t="s">
        <v>71</v>
      </c>
      <c r="J859">
        <v>4521</v>
      </c>
      <c r="K859">
        <v>0</v>
      </c>
      <c r="L859" s="1" t="s">
        <v>384</v>
      </c>
      <c r="M859" s="1" t="s">
        <v>72</v>
      </c>
      <c r="N859" s="1" t="s">
        <v>134</v>
      </c>
      <c r="O859" s="1" t="s">
        <v>385</v>
      </c>
      <c r="P859" s="1" t="s">
        <v>386</v>
      </c>
      <c r="Q859" s="1" t="s">
        <v>387</v>
      </c>
      <c r="R859">
        <v>103</v>
      </c>
      <c r="S859" s="1" t="s">
        <v>135</v>
      </c>
      <c r="T859" s="1" t="s">
        <v>388</v>
      </c>
      <c r="U859" s="1" t="s">
        <v>135</v>
      </c>
      <c r="V859" s="1"/>
      <c r="W859" s="1"/>
      <c r="X859" s="1"/>
      <c r="Y859" s="1"/>
      <c r="AA859" s="1"/>
      <c r="AC859" s="1"/>
      <c r="AD859" s="1"/>
      <c r="AE859" s="1"/>
      <c r="AN859" s="1"/>
      <c r="AP859" s="1"/>
      <c r="AQ859" s="1"/>
      <c r="AR859" s="1"/>
      <c r="AS859" s="1"/>
      <c r="AT859" s="3"/>
      <c r="AU859" s="3"/>
      <c r="AV859" s="3"/>
      <c r="AW859" s="1"/>
      <c r="AX859" s="1"/>
      <c r="AZ859">
        <v>253</v>
      </c>
      <c r="BA859">
        <v>4654734.66</v>
      </c>
      <c r="BB859" s="1" t="s">
        <v>74</v>
      </c>
      <c r="BC859">
        <v>487</v>
      </c>
      <c r="BD859" s="1" t="s">
        <v>938</v>
      </c>
      <c r="BE859" s="1" t="s">
        <v>473</v>
      </c>
      <c r="BF859">
        <v>12.5</v>
      </c>
      <c r="BG859" s="1" t="s">
        <v>1245</v>
      </c>
      <c r="BH859" s="1" t="s">
        <v>99</v>
      </c>
      <c r="BI859">
        <v>0</v>
      </c>
      <c r="BJ859" s="1"/>
      <c r="BL859" s="1"/>
      <c r="BN859" s="1"/>
      <c r="BO859">
        <v>599</v>
      </c>
      <c r="BP859">
        <v>4654734.66</v>
      </c>
      <c r="BQ859">
        <v>4654734.66</v>
      </c>
    </row>
    <row r="860" spans="1:69" x14ac:dyDescent="0.35">
      <c r="A860" s="1" t="s">
        <v>68</v>
      </c>
      <c r="B860" s="1" t="s">
        <v>69</v>
      </c>
      <c r="C860" s="1" t="s">
        <v>70</v>
      </c>
      <c r="D860">
        <v>1</v>
      </c>
      <c r="E860">
        <v>1</v>
      </c>
      <c r="F860" s="2">
        <v>43585.43</v>
      </c>
      <c r="G860" s="3">
        <v>41275</v>
      </c>
      <c r="H860" s="3">
        <v>41639</v>
      </c>
      <c r="I860" s="1" t="s">
        <v>71</v>
      </c>
      <c r="J860">
        <v>4521</v>
      </c>
      <c r="K860">
        <v>0</v>
      </c>
      <c r="L860" s="1" t="s">
        <v>384</v>
      </c>
      <c r="M860" s="1" t="s">
        <v>72</v>
      </c>
      <c r="N860" s="1" t="s">
        <v>134</v>
      </c>
      <c r="O860" s="1" t="s">
        <v>385</v>
      </c>
      <c r="P860" s="1" t="s">
        <v>386</v>
      </c>
      <c r="Q860" s="1" t="s">
        <v>387</v>
      </c>
      <c r="R860">
        <v>103</v>
      </c>
      <c r="S860" s="1" t="s">
        <v>135</v>
      </c>
      <c r="T860" s="1" t="s">
        <v>388</v>
      </c>
      <c r="U860" s="1" t="s">
        <v>135</v>
      </c>
      <c r="V860" s="1"/>
      <c r="W860" s="1"/>
      <c r="X860" s="1"/>
      <c r="Y860" s="1"/>
      <c r="AA860" s="1"/>
      <c r="AC860" s="1"/>
      <c r="AD860" s="1"/>
      <c r="AE860" s="1"/>
      <c r="AN860" s="1"/>
      <c r="AP860" s="1"/>
      <c r="AQ860" s="1"/>
      <c r="AR860" s="1"/>
      <c r="AS860" s="1"/>
      <c r="AT860" s="3"/>
      <c r="AU860" s="3"/>
      <c r="AV860" s="3"/>
      <c r="AW860" s="1"/>
      <c r="AX860" s="1"/>
      <c r="AZ860">
        <v>253</v>
      </c>
      <c r="BA860">
        <v>4654734.66</v>
      </c>
      <c r="BB860" s="1" t="s">
        <v>74</v>
      </c>
      <c r="BC860">
        <v>488</v>
      </c>
      <c r="BD860" s="1" t="s">
        <v>938</v>
      </c>
      <c r="BE860" s="1" t="s">
        <v>99</v>
      </c>
      <c r="BF860">
        <v>0</v>
      </c>
      <c r="BG860" s="1"/>
      <c r="BH860" s="1" t="s">
        <v>392</v>
      </c>
      <c r="BI860">
        <v>12.5</v>
      </c>
      <c r="BJ860" s="1" t="s">
        <v>1245</v>
      </c>
      <c r="BL860" s="1"/>
      <c r="BN860" s="1"/>
      <c r="BO860">
        <v>599</v>
      </c>
      <c r="BP860">
        <v>4654734.66</v>
      </c>
      <c r="BQ860">
        <v>4654734.66</v>
      </c>
    </row>
    <row r="861" spans="1:69" x14ac:dyDescent="0.35">
      <c r="A861" s="1" t="s">
        <v>68</v>
      </c>
      <c r="B861" s="1" t="s">
        <v>69</v>
      </c>
      <c r="C861" s="1" t="s">
        <v>70</v>
      </c>
      <c r="D861">
        <v>1</v>
      </c>
      <c r="E861">
        <v>1</v>
      </c>
      <c r="F861" s="2">
        <v>43585.43</v>
      </c>
      <c r="G861" s="3">
        <v>41275</v>
      </c>
      <c r="H861" s="3">
        <v>41639</v>
      </c>
      <c r="I861" s="1" t="s">
        <v>71</v>
      </c>
      <c r="J861">
        <v>4521</v>
      </c>
      <c r="K861">
        <v>0</v>
      </c>
      <c r="L861" s="1" t="s">
        <v>384</v>
      </c>
      <c r="M861" s="1" t="s">
        <v>72</v>
      </c>
      <c r="N861" s="1" t="s">
        <v>134</v>
      </c>
      <c r="O861" s="1" t="s">
        <v>385</v>
      </c>
      <c r="P861" s="1" t="s">
        <v>386</v>
      </c>
      <c r="Q861" s="1" t="s">
        <v>387</v>
      </c>
      <c r="R861">
        <v>103</v>
      </c>
      <c r="S861" s="1" t="s">
        <v>135</v>
      </c>
      <c r="T861" s="1" t="s">
        <v>388</v>
      </c>
      <c r="U861" s="1" t="s">
        <v>135</v>
      </c>
      <c r="V861" s="1"/>
      <c r="W861" s="1"/>
      <c r="X861" s="1"/>
      <c r="Y861" s="1"/>
      <c r="AA861" s="1"/>
      <c r="AC861" s="1"/>
      <c r="AD861" s="1"/>
      <c r="AE861" s="1"/>
      <c r="AN861" s="1"/>
      <c r="AP861" s="1"/>
      <c r="AQ861" s="1"/>
      <c r="AR861" s="1"/>
      <c r="AS861" s="1"/>
      <c r="AT861" s="3"/>
      <c r="AU861" s="3"/>
      <c r="AV861" s="3"/>
      <c r="AW861" s="1"/>
      <c r="AX861" s="1"/>
      <c r="AZ861">
        <v>253</v>
      </c>
      <c r="BA861">
        <v>4654734.66</v>
      </c>
      <c r="BB861" s="1" t="s">
        <v>74</v>
      </c>
      <c r="BC861">
        <v>489</v>
      </c>
      <c r="BD861" s="1" t="s">
        <v>939</v>
      </c>
      <c r="BE861" s="1" t="s">
        <v>473</v>
      </c>
      <c r="BF861">
        <v>44</v>
      </c>
      <c r="BG861" s="1" t="s">
        <v>1245</v>
      </c>
      <c r="BH861" s="1" t="s">
        <v>99</v>
      </c>
      <c r="BI861">
        <v>0</v>
      </c>
      <c r="BJ861" s="1"/>
      <c r="BL861" s="1"/>
      <c r="BN861" s="1"/>
      <c r="BO861">
        <v>599</v>
      </c>
      <c r="BP861">
        <v>4654734.66</v>
      </c>
      <c r="BQ861">
        <v>4654734.66</v>
      </c>
    </row>
    <row r="862" spans="1:69" x14ac:dyDescent="0.35">
      <c r="A862" s="1" t="s">
        <v>68</v>
      </c>
      <c r="B862" s="1" t="s">
        <v>69</v>
      </c>
      <c r="C862" s="1" t="s">
        <v>70</v>
      </c>
      <c r="D862">
        <v>1</v>
      </c>
      <c r="E862">
        <v>1</v>
      </c>
      <c r="F862" s="2">
        <v>43585.43</v>
      </c>
      <c r="G862" s="3">
        <v>41275</v>
      </c>
      <c r="H862" s="3">
        <v>41639</v>
      </c>
      <c r="I862" s="1" t="s">
        <v>71</v>
      </c>
      <c r="J862">
        <v>4521</v>
      </c>
      <c r="K862">
        <v>0</v>
      </c>
      <c r="L862" s="1" t="s">
        <v>384</v>
      </c>
      <c r="M862" s="1" t="s">
        <v>72</v>
      </c>
      <c r="N862" s="1" t="s">
        <v>134</v>
      </c>
      <c r="O862" s="1" t="s">
        <v>385</v>
      </c>
      <c r="P862" s="1" t="s">
        <v>386</v>
      </c>
      <c r="Q862" s="1" t="s">
        <v>387</v>
      </c>
      <c r="R862">
        <v>103</v>
      </c>
      <c r="S862" s="1" t="s">
        <v>135</v>
      </c>
      <c r="T862" s="1" t="s">
        <v>388</v>
      </c>
      <c r="U862" s="1" t="s">
        <v>135</v>
      </c>
      <c r="V862" s="1"/>
      <c r="W862" s="1"/>
      <c r="X862" s="1"/>
      <c r="Y862" s="1"/>
      <c r="AA862" s="1"/>
      <c r="AC862" s="1"/>
      <c r="AD862" s="1"/>
      <c r="AE862" s="1"/>
      <c r="AN862" s="1"/>
      <c r="AP862" s="1"/>
      <c r="AQ862" s="1"/>
      <c r="AR862" s="1"/>
      <c r="AS862" s="1"/>
      <c r="AT862" s="3"/>
      <c r="AU862" s="3"/>
      <c r="AV862" s="3"/>
      <c r="AW862" s="1"/>
      <c r="AX862" s="1"/>
      <c r="AZ862">
        <v>253</v>
      </c>
      <c r="BA862">
        <v>4654734.66</v>
      </c>
      <c r="BB862" s="1" t="s">
        <v>74</v>
      </c>
      <c r="BC862">
        <v>490</v>
      </c>
      <c r="BD862" s="1" t="s">
        <v>939</v>
      </c>
      <c r="BE862" s="1" t="s">
        <v>99</v>
      </c>
      <c r="BF862">
        <v>0</v>
      </c>
      <c r="BG862" s="1"/>
      <c r="BH862" s="1" t="s">
        <v>392</v>
      </c>
      <c r="BI862">
        <v>44</v>
      </c>
      <c r="BJ862" s="1" t="s">
        <v>1245</v>
      </c>
      <c r="BL862" s="1"/>
      <c r="BN862" s="1"/>
      <c r="BO862">
        <v>599</v>
      </c>
      <c r="BP862">
        <v>4654734.66</v>
      </c>
      <c r="BQ862">
        <v>4654734.66</v>
      </c>
    </row>
    <row r="863" spans="1:69" x14ac:dyDescent="0.35">
      <c r="A863" s="1" t="s">
        <v>68</v>
      </c>
      <c r="B863" s="1" t="s">
        <v>69</v>
      </c>
      <c r="C863" s="1" t="s">
        <v>70</v>
      </c>
      <c r="D863">
        <v>1</v>
      </c>
      <c r="E863">
        <v>1</v>
      </c>
      <c r="F863" s="2">
        <v>43585.43</v>
      </c>
      <c r="G863" s="3">
        <v>41275</v>
      </c>
      <c r="H863" s="3">
        <v>41639</v>
      </c>
      <c r="I863" s="1" t="s">
        <v>71</v>
      </c>
      <c r="J863">
        <v>4521</v>
      </c>
      <c r="K863">
        <v>0</v>
      </c>
      <c r="L863" s="1" t="s">
        <v>384</v>
      </c>
      <c r="M863" s="1" t="s">
        <v>72</v>
      </c>
      <c r="N863" s="1" t="s">
        <v>134</v>
      </c>
      <c r="O863" s="1" t="s">
        <v>385</v>
      </c>
      <c r="P863" s="1" t="s">
        <v>386</v>
      </c>
      <c r="Q863" s="1" t="s">
        <v>387</v>
      </c>
      <c r="R863">
        <v>103</v>
      </c>
      <c r="S863" s="1" t="s">
        <v>135</v>
      </c>
      <c r="T863" s="1" t="s">
        <v>388</v>
      </c>
      <c r="U863" s="1" t="s">
        <v>135</v>
      </c>
      <c r="V863" s="1"/>
      <c r="W863" s="1"/>
      <c r="X863" s="1"/>
      <c r="Y863" s="1"/>
      <c r="AA863" s="1"/>
      <c r="AC863" s="1"/>
      <c r="AD863" s="1"/>
      <c r="AE863" s="1"/>
      <c r="AN863" s="1"/>
      <c r="AP863" s="1"/>
      <c r="AQ863" s="1"/>
      <c r="AR863" s="1"/>
      <c r="AS863" s="1"/>
      <c r="AT863" s="3"/>
      <c r="AU863" s="3"/>
      <c r="AV863" s="3"/>
      <c r="AW863" s="1"/>
      <c r="AX863" s="1"/>
      <c r="AZ863">
        <v>253</v>
      </c>
      <c r="BA863">
        <v>4654734.66</v>
      </c>
      <c r="BB863" s="1" t="s">
        <v>74</v>
      </c>
      <c r="BC863">
        <v>491</v>
      </c>
      <c r="BD863" s="1" t="s">
        <v>940</v>
      </c>
      <c r="BE863" s="1" t="s">
        <v>392</v>
      </c>
      <c r="BF863">
        <v>6500</v>
      </c>
      <c r="BG863" s="1" t="s">
        <v>1258</v>
      </c>
      <c r="BH863" s="1" t="s">
        <v>99</v>
      </c>
      <c r="BI863">
        <v>0</v>
      </c>
      <c r="BJ863" s="1"/>
      <c r="BL863" s="1"/>
      <c r="BN863" s="1"/>
      <c r="BO863">
        <v>599</v>
      </c>
      <c r="BP863">
        <v>4654734.66</v>
      </c>
      <c r="BQ863">
        <v>4654734.66</v>
      </c>
    </row>
    <row r="864" spans="1:69" x14ac:dyDescent="0.35">
      <c r="A864" s="1" t="s">
        <v>68</v>
      </c>
      <c r="B864" s="1" t="s">
        <v>69</v>
      </c>
      <c r="C864" s="1" t="s">
        <v>70</v>
      </c>
      <c r="D864">
        <v>1</v>
      </c>
      <c r="E864">
        <v>1</v>
      </c>
      <c r="F864" s="2">
        <v>43585.43</v>
      </c>
      <c r="G864" s="3">
        <v>41275</v>
      </c>
      <c r="H864" s="3">
        <v>41639</v>
      </c>
      <c r="I864" s="1" t="s">
        <v>71</v>
      </c>
      <c r="J864">
        <v>4521</v>
      </c>
      <c r="K864">
        <v>0</v>
      </c>
      <c r="L864" s="1" t="s">
        <v>384</v>
      </c>
      <c r="M864" s="1" t="s">
        <v>72</v>
      </c>
      <c r="N864" s="1" t="s">
        <v>134</v>
      </c>
      <c r="O864" s="1" t="s">
        <v>385</v>
      </c>
      <c r="P864" s="1" t="s">
        <v>386</v>
      </c>
      <c r="Q864" s="1" t="s">
        <v>387</v>
      </c>
      <c r="R864">
        <v>103</v>
      </c>
      <c r="S864" s="1" t="s">
        <v>135</v>
      </c>
      <c r="T864" s="1" t="s">
        <v>388</v>
      </c>
      <c r="U864" s="1" t="s">
        <v>135</v>
      </c>
      <c r="V864" s="1"/>
      <c r="W864" s="1"/>
      <c r="X864" s="1"/>
      <c r="Y864" s="1"/>
      <c r="AA864" s="1"/>
      <c r="AC864" s="1"/>
      <c r="AD864" s="1"/>
      <c r="AE864" s="1"/>
      <c r="AN864" s="1"/>
      <c r="AP864" s="1"/>
      <c r="AQ864" s="1"/>
      <c r="AR864" s="1"/>
      <c r="AS864" s="1"/>
      <c r="AT864" s="3"/>
      <c r="AU864" s="3"/>
      <c r="AV864" s="3"/>
      <c r="AW864" s="1"/>
      <c r="AX864" s="1"/>
      <c r="AZ864">
        <v>253</v>
      </c>
      <c r="BA864">
        <v>4654734.66</v>
      </c>
      <c r="BB864" s="1" t="s">
        <v>74</v>
      </c>
      <c r="BC864">
        <v>492</v>
      </c>
      <c r="BD864" s="1" t="s">
        <v>940</v>
      </c>
      <c r="BE864" s="1" t="s">
        <v>99</v>
      </c>
      <c r="BF864">
        <v>0</v>
      </c>
      <c r="BG864" s="1"/>
      <c r="BH864" s="1" t="s">
        <v>461</v>
      </c>
      <c r="BI864">
        <v>6500</v>
      </c>
      <c r="BJ864" s="1" t="s">
        <v>1258</v>
      </c>
      <c r="BL864" s="1"/>
      <c r="BN864" s="1"/>
      <c r="BO864">
        <v>599</v>
      </c>
      <c r="BP864">
        <v>4654734.66</v>
      </c>
      <c r="BQ864">
        <v>4654734.66</v>
      </c>
    </row>
    <row r="865" spans="1:69" x14ac:dyDescent="0.35">
      <c r="A865" s="1" t="s">
        <v>68</v>
      </c>
      <c r="B865" s="1" t="s">
        <v>69</v>
      </c>
      <c r="C865" s="1" t="s">
        <v>70</v>
      </c>
      <c r="D865">
        <v>1</v>
      </c>
      <c r="E865">
        <v>1</v>
      </c>
      <c r="F865" s="2">
        <v>43585.43</v>
      </c>
      <c r="G865" s="3">
        <v>41275</v>
      </c>
      <c r="H865" s="3">
        <v>41639</v>
      </c>
      <c r="I865" s="1" t="s">
        <v>71</v>
      </c>
      <c r="J865">
        <v>4521</v>
      </c>
      <c r="K865">
        <v>0</v>
      </c>
      <c r="L865" s="1" t="s">
        <v>384</v>
      </c>
      <c r="M865" s="1" t="s">
        <v>72</v>
      </c>
      <c r="N865" s="1" t="s">
        <v>134</v>
      </c>
      <c r="O865" s="1" t="s">
        <v>385</v>
      </c>
      <c r="P865" s="1" t="s">
        <v>386</v>
      </c>
      <c r="Q865" s="1" t="s">
        <v>387</v>
      </c>
      <c r="R865">
        <v>103</v>
      </c>
      <c r="S865" s="1" t="s">
        <v>135</v>
      </c>
      <c r="T865" s="1" t="s">
        <v>388</v>
      </c>
      <c r="U865" s="1" t="s">
        <v>135</v>
      </c>
      <c r="V865" s="1"/>
      <c r="W865" s="1"/>
      <c r="X865" s="1"/>
      <c r="Y865" s="1"/>
      <c r="AA865" s="1"/>
      <c r="AC865" s="1"/>
      <c r="AD865" s="1"/>
      <c r="AE865" s="1"/>
      <c r="AN865" s="1"/>
      <c r="AP865" s="1"/>
      <c r="AQ865" s="1"/>
      <c r="AR865" s="1"/>
      <c r="AS865" s="1"/>
      <c r="AT865" s="3"/>
      <c r="AU865" s="3"/>
      <c r="AV865" s="3"/>
      <c r="AW865" s="1"/>
      <c r="AX865" s="1"/>
      <c r="AZ865">
        <v>253</v>
      </c>
      <c r="BA865">
        <v>4654734.66</v>
      </c>
      <c r="BB865" s="1" t="s">
        <v>74</v>
      </c>
      <c r="BC865">
        <v>493</v>
      </c>
      <c r="BD865" s="1" t="s">
        <v>941</v>
      </c>
      <c r="BE865" s="1" t="s">
        <v>481</v>
      </c>
      <c r="BF865">
        <v>412.3</v>
      </c>
      <c r="BG865" s="1" t="s">
        <v>1245</v>
      </c>
      <c r="BH865" s="1" t="s">
        <v>99</v>
      </c>
      <c r="BI865">
        <v>0</v>
      </c>
      <c r="BJ865" s="1"/>
      <c r="BL865" s="1"/>
      <c r="BN865" s="1"/>
      <c r="BO865">
        <v>599</v>
      </c>
      <c r="BP865">
        <v>4654734.66</v>
      </c>
      <c r="BQ865">
        <v>4654734.66</v>
      </c>
    </row>
    <row r="866" spans="1:69" x14ac:dyDescent="0.35">
      <c r="A866" s="1" t="s">
        <v>68</v>
      </c>
      <c r="B866" s="1" t="s">
        <v>69</v>
      </c>
      <c r="C866" s="1" t="s">
        <v>70</v>
      </c>
      <c r="D866">
        <v>1</v>
      </c>
      <c r="E866">
        <v>1</v>
      </c>
      <c r="F866" s="2">
        <v>43585.43</v>
      </c>
      <c r="G866" s="3">
        <v>41275</v>
      </c>
      <c r="H866" s="3">
        <v>41639</v>
      </c>
      <c r="I866" s="1" t="s">
        <v>71</v>
      </c>
      <c r="J866">
        <v>4521</v>
      </c>
      <c r="K866">
        <v>0</v>
      </c>
      <c r="L866" s="1" t="s">
        <v>384</v>
      </c>
      <c r="M866" s="1" t="s">
        <v>72</v>
      </c>
      <c r="N866" s="1" t="s">
        <v>134</v>
      </c>
      <c r="O866" s="1" t="s">
        <v>385</v>
      </c>
      <c r="P866" s="1" t="s">
        <v>386</v>
      </c>
      <c r="Q866" s="1" t="s">
        <v>387</v>
      </c>
      <c r="R866">
        <v>103</v>
      </c>
      <c r="S866" s="1" t="s">
        <v>135</v>
      </c>
      <c r="T866" s="1" t="s">
        <v>388</v>
      </c>
      <c r="U866" s="1" t="s">
        <v>135</v>
      </c>
      <c r="V866" s="1"/>
      <c r="W866" s="1"/>
      <c r="X866" s="1"/>
      <c r="Y866" s="1"/>
      <c r="AA866" s="1"/>
      <c r="AC866" s="1"/>
      <c r="AD866" s="1"/>
      <c r="AE866" s="1"/>
      <c r="AN866" s="1"/>
      <c r="AP866" s="1"/>
      <c r="AQ866" s="1"/>
      <c r="AR866" s="1"/>
      <c r="AS866" s="1"/>
      <c r="AT866" s="3"/>
      <c r="AU866" s="3"/>
      <c r="AV866" s="3"/>
      <c r="AW866" s="1"/>
      <c r="AX866" s="1"/>
      <c r="AZ866">
        <v>253</v>
      </c>
      <c r="BA866">
        <v>4654734.66</v>
      </c>
      <c r="BB866" s="1" t="s">
        <v>74</v>
      </c>
      <c r="BC866">
        <v>494</v>
      </c>
      <c r="BD866" s="1" t="s">
        <v>941</v>
      </c>
      <c r="BE866" s="1" t="s">
        <v>99</v>
      </c>
      <c r="BF866">
        <v>0</v>
      </c>
      <c r="BG866" s="1"/>
      <c r="BH866" s="1" t="s">
        <v>136</v>
      </c>
      <c r="BI866">
        <v>412.3</v>
      </c>
      <c r="BJ866" s="1" t="s">
        <v>1245</v>
      </c>
      <c r="BL866" s="1"/>
      <c r="BN866" s="1"/>
      <c r="BO866">
        <v>599</v>
      </c>
      <c r="BP866">
        <v>4654734.66</v>
      </c>
      <c r="BQ866">
        <v>4654734.66</v>
      </c>
    </row>
    <row r="867" spans="1:69" x14ac:dyDescent="0.35">
      <c r="A867" s="1" t="s">
        <v>68</v>
      </c>
      <c r="B867" s="1" t="s">
        <v>69</v>
      </c>
      <c r="C867" s="1" t="s">
        <v>70</v>
      </c>
      <c r="D867">
        <v>1</v>
      </c>
      <c r="E867">
        <v>1</v>
      </c>
      <c r="F867" s="2">
        <v>43585.43</v>
      </c>
      <c r="G867" s="3">
        <v>41275</v>
      </c>
      <c r="H867" s="3">
        <v>41639</v>
      </c>
      <c r="I867" s="1" t="s">
        <v>71</v>
      </c>
      <c r="J867">
        <v>4521</v>
      </c>
      <c r="K867">
        <v>0</v>
      </c>
      <c r="L867" s="1" t="s">
        <v>384</v>
      </c>
      <c r="M867" s="1" t="s">
        <v>72</v>
      </c>
      <c r="N867" s="1" t="s">
        <v>134</v>
      </c>
      <c r="O867" s="1" t="s">
        <v>385</v>
      </c>
      <c r="P867" s="1" t="s">
        <v>386</v>
      </c>
      <c r="Q867" s="1" t="s">
        <v>387</v>
      </c>
      <c r="R867">
        <v>103</v>
      </c>
      <c r="S867" s="1" t="s">
        <v>135</v>
      </c>
      <c r="T867" s="1" t="s">
        <v>388</v>
      </c>
      <c r="U867" s="1" t="s">
        <v>135</v>
      </c>
      <c r="V867" s="1"/>
      <c r="W867" s="1"/>
      <c r="X867" s="1"/>
      <c r="Y867" s="1"/>
      <c r="AA867" s="1"/>
      <c r="AC867" s="1"/>
      <c r="AD867" s="1"/>
      <c r="AE867" s="1"/>
      <c r="AN867" s="1"/>
      <c r="AP867" s="1"/>
      <c r="AQ867" s="1"/>
      <c r="AR867" s="1"/>
      <c r="AS867" s="1"/>
      <c r="AT867" s="3"/>
      <c r="AU867" s="3"/>
      <c r="AV867" s="3"/>
      <c r="AW867" s="1"/>
      <c r="AX867" s="1"/>
      <c r="AZ867">
        <v>253</v>
      </c>
      <c r="BA867">
        <v>4654734.66</v>
      </c>
      <c r="BB867" s="1" t="s">
        <v>74</v>
      </c>
      <c r="BC867">
        <v>495</v>
      </c>
      <c r="BD867" s="1" t="s">
        <v>942</v>
      </c>
      <c r="BE867" s="1" t="s">
        <v>438</v>
      </c>
      <c r="BF867">
        <v>25000</v>
      </c>
      <c r="BG867" s="1" t="s">
        <v>1251</v>
      </c>
      <c r="BH867" s="1" t="s">
        <v>99</v>
      </c>
      <c r="BI867">
        <v>0</v>
      </c>
      <c r="BJ867" s="1"/>
      <c r="BL867" s="1"/>
      <c r="BN867" s="1"/>
      <c r="BO867">
        <v>599</v>
      </c>
      <c r="BP867">
        <v>4654734.66</v>
      </c>
      <c r="BQ867">
        <v>4654734.66</v>
      </c>
    </row>
    <row r="868" spans="1:69" x14ac:dyDescent="0.35">
      <c r="A868" s="1" t="s">
        <v>68</v>
      </c>
      <c r="B868" s="1" t="s">
        <v>69</v>
      </c>
      <c r="C868" s="1" t="s">
        <v>70</v>
      </c>
      <c r="D868">
        <v>1</v>
      </c>
      <c r="E868">
        <v>1</v>
      </c>
      <c r="F868" s="2">
        <v>43585.43</v>
      </c>
      <c r="G868" s="3">
        <v>41275</v>
      </c>
      <c r="H868" s="3">
        <v>41639</v>
      </c>
      <c r="I868" s="1" t="s">
        <v>71</v>
      </c>
      <c r="J868">
        <v>4521</v>
      </c>
      <c r="K868">
        <v>0</v>
      </c>
      <c r="L868" s="1" t="s">
        <v>384</v>
      </c>
      <c r="M868" s="1" t="s">
        <v>72</v>
      </c>
      <c r="N868" s="1" t="s">
        <v>134</v>
      </c>
      <c r="O868" s="1" t="s">
        <v>385</v>
      </c>
      <c r="P868" s="1" t="s">
        <v>386</v>
      </c>
      <c r="Q868" s="1" t="s">
        <v>387</v>
      </c>
      <c r="R868">
        <v>103</v>
      </c>
      <c r="S868" s="1" t="s">
        <v>135</v>
      </c>
      <c r="T868" s="1" t="s">
        <v>388</v>
      </c>
      <c r="U868" s="1" t="s">
        <v>135</v>
      </c>
      <c r="V868" s="1"/>
      <c r="W868" s="1"/>
      <c r="X868" s="1"/>
      <c r="Y868" s="1"/>
      <c r="AA868" s="1"/>
      <c r="AC868" s="1"/>
      <c r="AD868" s="1"/>
      <c r="AE868" s="1"/>
      <c r="AN868" s="1"/>
      <c r="AP868" s="1"/>
      <c r="AQ868" s="1"/>
      <c r="AR868" s="1"/>
      <c r="AS868" s="1"/>
      <c r="AT868" s="3"/>
      <c r="AU868" s="3"/>
      <c r="AV868" s="3"/>
      <c r="AW868" s="1"/>
      <c r="AX868" s="1"/>
      <c r="AZ868">
        <v>253</v>
      </c>
      <c r="BA868">
        <v>4654734.66</v>
      </c>
      <c r="BB868" s="1" t="s">
        <v>74</v>
      </c>
      <c r="BC868">
        <v>496</v>
      </c>
      <c r="BD868" s="1" t="s">
        <v>942</v>
      </c>
      <c r="BE868" s="1" t="s">
        <v>99</v>
      </c>
      <c r="BF868">
        <v>0</v>
      </c>
      <c r="BG868" s="1"/>
      <c r="BH868" s="1" t="s">
        <v>394</v>
      </c>
      <c r="BI868">
        <v>25000</v>
      </c>
      <c r="BJ868" s="1" t="s">
        <v>1251</v>
      </c>
      <c r="BL868" s="1"/>
      <c r="BN868" s="1"/>
      <c r="BO868">
        <v>599</v>
      </c>
      <c r="BP868">
        <v>4654734.66</v>
      </c>
      <c r="BQ868">
        <v>4654734.66</v>
      </c>
    </row>
    <row r="869" spans="1:69" x14ac:dyDescent="0.35">
      <c r="A869" s="1" t="s">
        <v>68</v>
      </c>
      <c r="B869" s="1" t="s">
        <v>69</v>
      </c>
      <c r="C869" s="1" t="s">
        <v>70</v>
      </c>
      <c r="D869">
        <v>1</v>
      </c>
      <c r="E869">
        <v>1</v>
      </c>
      <c r="F869" s="2">
        <v>43585.43</v>
      </c>
      <c r="G869" s="3">
        <v>41275</v>
      </c>
      <c r="H869" s="3">
        <v>41639</v>
      </c>
      <c r="I869" s="1" t="s">
        <v>71</v>
      </c>
      <c r="J869">
        <v>4521</v>
      </c>
      <c r="K869">
        <v>0</v>
      </c>
      <c r="L869" s="1" t="s">
        <v>384</v>
      </c>
      <c r="M869" s="1" t="s">
        <v>72</v>
      </c>
      <c r="N869" s="1" t="s">
        <v>134</v>
      </c>
      <c r="O869" s="1" t="s">
        <v>385</v>
      </c>
      <c r="P869" s="1" t="s">
        <v>386</v>
      </c>
      <c r="Q869" s="1" t="s">
        <v>387</v>
      </c>
      <c r="R869">
        <v>103</v>
      </c>
      <c r="S869" s="1" t="s">
        <v>135</v>
      </c>
      <c r="T869" s="1" t="s">
        <v>388</v>
      </c>
      <c r="U869" s="1" t="s">
        <v>135</v>
      </c>
      <c r="V869" s="1"/>
      <c r="W869" s="1"/>
      <c r="X869" s="1"/>
      <c r="Y869" s="1"/>
      <c r="AA869" s="1"/>
      <c r="AC869" s="1"/>
      <c r="AD869" s="1"/>
      <c r="AE869" s="1"/>
      <c r="AN869" s="1"/>
      <c r="AP869" s="1"/>
      <c r="AQ869" s="1"/>
      <c r="AR869" s="1"/>
      <c r="AS869" s="1"/>
      <c r="AT869" s="3"/>
      <c r="AU869" s="3"/>
      <c r="AV869" s="3"/>
      <c r="AW869" s="1"/>
      <c r="AX869" s="1"/>
      <c r="AZ869">
        <v>253</v>
      </c>
      <c r="BA869">
        <v>4654734.66</v>
      </c>
      <c r="BB869" s="1" t="s">
        <v>74</v>
      </c>
      <c r="BC869">
        <v>497</v>
      </c>
      <c r="BD869" s="1" t="s">
        <v>943</v>
      </c>
      <c r="BE869" s="1" t="s">
        <v>394</v>
      </c>
      <c r="BF869">
        <v>100000</v>
      </c>
      <c r="BG869" s="1" t="s">
        <v>1253</v>
      </c>
      <c r="BH869" s="1" t="s">
        <v>99</v>
      </c>
      <c r="BI869">
        <v>0</v>
      </c>
      <c r="BJ869" s="1"/>
      <c r="BL869" s="1"/>
      <c r="BN869" s="1"/>
      <c r="BO869">
        <v>599</v>
      </c>
      <c r="BP869">
        <v>4654734.66</v>
      </c>
      <c r="BQ869">
        <v>4654734.66</v>
      </c>
    </row>
    <row r="870" spans="1:69" x14ac:dyDescent="0.35">
      <c r="A870" s="1" t="s">
        <v>68</v>
      </c>
      <c r="B870" s="1" t="s">
        <v>69</v>
      </c>
      <c r="C870" s="1" t="s">
        <v>70</v>
      </c>
      <c r="D870">
        <v>1</v>
      </c>
      <c r="E870">
        <v>1</v>
      </c>
      <c r="F870" s="2">
        <v>43585.43</v>
      </c>
      <c r="G870" s="3">
        <v>41275</v>
      </c>
      <c r="H870" s="3">
        <v>41639</v>
      </c>
      <c r="I870" s="1" t="s">
        <v>71</v>
      </c>
      <c r="J870">
        <v>4521</v>
      </c>
      <c r="K870">
        <v>0</v>
      </c>
      <c r="L870" s="1" t="s">
        <v>384</v>
      </c>
      <c r="M870" s="1" t="s">
        <v>72</v>
      </c>
      <c r="N870" s="1" t="s">
        <v>134</v>
      </c>
      <c r="O870" s="1" t="s">
        <v>385</v>
      </c>
      <c r="P870" s="1" t="s">
        <v>386</v>
      </c>
      <c r="Q870" s="1" t="s">
        <v>387</v>
      </c>
      <c r="R870">
        <v>103</v>
      </c>
      <c r="S870" s="1" t="s">
        <v>135</v>
      </c>
      <c r="T870" s="1" t="s">
        <v>388</v>
      </c>
      <c r="U870" s="1" t="s">
        <v>135</v>
      </c>
      <c r="V870" s="1"/>
      <c r="W870" s="1"/>
      <c r="X870" s="1"/>
      <c r="Y870" s="1"/>
      <c r="AA870" s="1"/>
      <c r="AC870" s="1"/>
      <c r="AD870" s="1"/>
      <c r="AE870" s="1"/>
      <c r="AN870" s="1"/>
      <c r="AP870" s="1"/>
      <c r="AQ870" s="1"/>
      <c r="AR870" s="1"/>
      <c r="AS870" s="1"/>
      <c r="AT870" s="3"/>
      <c r="AU870" s="3"/>
      <c r="AV870" s="3"/>
      <c r="AW870" s="1"/>
      <c r="AX870" s="1"/>
      <c r="AZ870">
        <v>253</v>
      </c>
      <c r="BA870">
        <v>4654734.66</v>
      </c>
      <c r="BB870" s="1" t="s">
        <v>74</v>
      </c>
      <c r="BC870">
        <v>498</v>
      </c>
      <c r="BD870" s="1" t="s">
        <v>943</v>
      </c>
      <c r="BE870" s="1" t="s">
        <v>99</v>
      </c>
      <c r="BF870">
        <v>0</v>
      </c>
      <c r="BG870" s="1"/>
      <c r="BH870" s="1" t="s">
        <v>464</v>
      </c>
      <c r="BI870">
        <v>100000</v>
      </c>
      <c r="BJ870" s="1" t="s">
        <v>1253</v>
      </c>
      <c r="BL870" s="1"/>
      <c r="BN870" s="1"/>
      <c r="BO870">
        <v>599</v>
      </c>
      <c r="BP870">
        <v>4654734.66</v>
      </c>
      <c r="BQ870">
        <v>4654734.66</v>
      </c>
    </row>
    <row r="871" spans="1:69" x14ac:dyDescent="0.35">
      <c r="A871" s="1" t="s">
        <v>68</v>
      </c>
      <c r="B871" s="1" t="s">
        <v>69</v>
      </c>
      <c r="C871" s="1" t="s">
        <v>70</v>
      </c>
      <c r="D871">
        <v>1</v>
      </c>
      <c r="E871">
        <v>1</v>
      </c>
      <c r="F871" s="2">
        <v>43585.43</v>
      </c>
      <c r="G871" s="3">
        <v>41275</v>
      </c>
      <c r="H871" s="3">
        <v>41639</v>
      </c>
      <c r="I871" s="1" t="s">
        <v>71</v>
      </c>
      <c r="J871">
        <v>4521</v>
      </c>
      <c r="K871">
        <v>0</v>
      </c>
      <c r="L871" s="1" t="s">
        <v>384</v>
      </c>
      <c r="M871" s="1" t="s">
        <v>72</v>
      </c>
      <c r="N871" s="1" t="s">
        <v>134</v>
      </c>
      <c r="O871" s="1" t="s">
        <v>385</v>
      </c>
      <c r="P871" s="1" t="s">
        <v>386</v>
      </c>
      <c r="Q871" s="1" t="s">
        <v>387</v>
      </c>
      <c r="R871">
        <v>103</v>
      </c>
      <c r="S871" s="1" t="s">
        <v>135</v>
      </c>
      <c r="T871" s="1" t="s">
        <v>388</v>
      </c>
      <c r="U871" s="1" t="s">
        <v>135</v>
      </c>
      <c r="V871" s="1"/>
      <c r="W871" s="1"/>
      <c r="X871" s="1"/>
      <c r="Y871" s="1"/>
      <c r="AA871" s="1"/>
      <c r="AC871" s="1"/>
      <c r="AD871" s="1"/>
      <c r="AE871" s="1"/>
      <c r="AN871" s="1"/>
      <c r="AP871" s="1"/>
      <c r="AQ871" s="1"/>
      <c r="AR871" s="1"/>
      <c r="AS871" s="1"/>
      <c r="AT871" s="3"/>
      <c r="AU871" s="3"/>
      <c r="AV871" s="3"/>
      <c r="AW871" s="1"/>
      <c r="AX871" s="1"/>
      <c r="AZ871">
        <v>253</v>
      </c>
      <c r="BA871">
        <v>4654734.66</v>
      </c>
      <c r="BB871" s="1" t="s">
        <v>74</v>
      </c>
      <c r="BC871">
        <v>499</v>
      </c>
      <c r="BD871" s="1" t="s">
        <v>944</v>
      </c>
      <c r="BE871" s="1" t="s">
        <v>452</v>
      </c>
      <c r="BF871">
        <v>3450</v>
      </c>
      <c r="BG871" s="1" t="s">
        <v>1257</v>
      </c>
      <c r="BH871" s="1" t="s">
        <v>99</v>
      </c>
      <c r="BI871">
        <v>0</v>
      </c>
      <c r="BJ871" s="1"/>
      <c r="BL871" s="1"/>
      <c r="BN871" s="1"/>
      <c r="BO871">
        <v>599</v>
      </c>
      <c r="BP871">
        <v>4654734.66</v>
      </c>
      <c r="BQ871">
        <v>4654734.66</v>
      </c>
    </row>
    <row r="872" spans="1:69" x14ac:dyDescent="0.35">
      <c r="A872" s="1" t="s">
        <v>68</v>
      </c>
      <c r="B872" s="1" t="s">
        <v>69</v>
      </c>
      <c r="C872" s="1" t="s">
        <v>70</v>
      </c>
      <c r="D872">
        <v>1</v>
      </c>
      <c r="E872">
        <v>1</v>
      </c>
      <c r="F872" s="2">
        <v>43585.43</v>
      </c>
      <c r="G872" s="3">
        <v>41275</v>
      </c>
      <c r="H872" s="3">
        <v>41639</v>
      </c>
      <c r="I872" s="1" t="s">
        <v>71</v>
      </c>
      <c r="J872">
        <v>4521</v>
      </c>
      <c r="K872">
        <v>0</v>
      </c>
      <c r="L872" s="1" t="s">
        <v>384</v>
      </c>
      <c r="M872" s="1" t="s">
        <v>72</v>
      </c>
      <c r="N872" s="1" t="s">
        <v>134</v>
      </c>
      <c r="O872" s="1" t="s">
        <v>385</v>
      </c>
      <c r="P872" s="1" t="s">
        <v>386</v>
      </c>
      <c r="Q872" s="1" t="s">
        <v>387</v>
      </c>
      <c r="R872">
        <v>103</v>
      </c>
      <c r="S872" s="1" t="s">
        <v>135</v>
      </c>
      <c r="T872" s="1" t="s">
        <v>388</v>
      </c>
      <c r="U872" s="1" t="s">
        <v>135</v>
      </c>
      <c r="V872" s="1"/>
      <c r="W872" s="1"/>
      <c r="X872" s="1"/>
      <c r="Y872" s="1"/>
      <c r="AA872" s="1"/>
      <c r="AC872" s="1"/>
      <c r="AD872" s="1"/>
      <c r="AE872" s="1"/>
      <c r="AN872" s="1"/>
      <c r="AP872" s="1"/>
      <c r="AQ872" s="1"/>
      <c r="AR872" s="1"/>
      <c r="AS872" s="1"/>
      <c r="AT872" s="3"/>
      <c r="AU872" s="3"/>
      <c r="AV872" s="3"/>
      <c r="AW872" s="1"/>
      <c r="AX872" s="1"/>
      <c r="AZ872">
        <v>253</v>
      </c>
      <c r="BA872">
        <v>4654734.66</v>
      </c>
      <c r="BB872" s="1" t="s">
        <v>74</v>
      </c>
      <c r="BC872">
        <v>500</v>
      </c>
      <c r="BD872" s="1" t="s">
        <v>944</v>
      </c>
      <c r="BE872" s="1" t="s">
        <v>99</v>
      </c>
      <c r="BF872">
        <v>0</v>
      </c>
      <c r="BG872" s="1"/>
      <c r="BH872" s="1" t="s">
        <v>468</v>
      </c>
      <c r="BI872">
        <v>18450</v>
      </c>
      <c r="BJ872" s="1" t="s">
        <v>1257</v>
      </c>
      <c r="BL872" s="1"/>
      <c r="BN872" s="1"/>
      <c r="BO872">
        <v>599</v>
      </c>
      <c r="BP872">
        <v>4654734.66</v>
      </c>
      <c r="BQ872">
        <v>4654734.66</v>
      </c>
    </row>
    <row r="873" spans="1:69" x14ac:dyDescent="0.35">
      <c r="A873" s="1" t="s">
        <v>68</v>
      </c>
      <c r="B873" s="1" t="s">
        <v>69</v>
      </c>
      <c r="C873" s="1" t="s">
        <v>70</v>
      </c>
      <c r="D873">
        <v>1</v>
      </c>
      <c r="E873">
        <v>1</v>
      </c>
      <c r="F873" s="2">
        <v>43585.43</v>
      </c>
      <c r="G873" s="3">
        <v>41275</v>
      </c>
      <c r="H873" s="3">
        <v>41639</v>
      </c>
      <c r="I873" s="1" t="s">
        <v>71</v>
      </c>
      <c r="J873">
        <v>4521</v>
      </c>
      <c r="K873">
        <v>0</v>
      </c>
      <c r="L873" s="1" t="s">
        <v>384</v>
      </c>
      <c r="M873" s="1" t="s">
        <v>72</v>
      </c>
      <c r="N873" s="1" t="s">
        <v>134</v>
      </c>
      <c r="O873" s="1" t="s">
        <v>385</v>
      </c>
      <c r="P873" s="1" t="s">
        <v>386</v>
      </c>
      <c r="Q873" s="1" t="s">
        <v>387</v>
      </c>
      <c r="R873">
        <v>103</v>
      </c>
      <c r="S873" s="1" t="s">
        <v>135</v>
      </c>
      <c r="T873" s="1" t="s">
        <v>388</v>
      </c>
      <c r="U873" s="1" t="s">
        <v>135</v>
      </c>
      <c r="V873" s="1"/>
      <c r="W873" s="1"/>
      <c r="X873" s="1"/>
      <c r="Y873" s="1"/>
      <c r="AA873" s="1"/>
      <c r="AC873" s="1"/>
      <c r="AD873" s="1"/>
      <c r="AE873" s="1"/>
      <c r="AN873" s="1"/>
      <c r="AP873" s="1"/>
      <c r="AQ873" s="1"/>
      <c r="AR873" s="1"/>
      <c r="AS873" s="1"/>
      <c r="AT873" s="3"/>
      <c r="AU873" s="3"/>
      <c r="AV873" s="3"/>
      <c r="AW873" s="1"/>
      <c r="AX873" s="1"/>
      <c r="AZ873">
        <v>253</v>
      </c>
      <c r="BA873">
        <v>4654734.66</v>
      </c>
      <c r="BB873" s="1" t="s">
        <v>74</v>
      </c>
      <c r="BC873">
        <v>501</v>
      </c>
      <c r="BD873" s="1" t="s">
        <v>944</v>
      </c>
      <c r="BE873" s="1" t="s">
        <v>473</v>
      </c>
      <c r="BF873">
        <v>15000</v>
      </c>
      <c r="BG873" s="1" t="s">
        <v>1257</v>
      </c>
      <c r="BH873" s="1" t="s">
        <v>99</v>
      </c>
      <c r="BI873">
        <v>0</v>
      </c>
      <c r="BJ873" s="1"/>
      <c r="BL873" s="1"/>
      <c r="BN873" s="1"/>
      <c r="BO873">
        <v>599</v>
      </c>
      <c r="BP873">
        <v>4654734.66</v>
      </c>
      <c r="BQ873">
        <v>4654734.66</v>
      </c>
    </row>
    <row r="874" spans="1:69" x14ac:dyDescent="0.35">
      <c r="A874" s="1" t="s">
        <v>68</v>
      </c>
      <c r="B874" s="1" t="s">
        <v>69</v>
      </c>
      <c r="C874" s="1" t="s">
        <v>70</v>
      </c>
      <c r="D874">
        <v>1</v>
      </c>
      <c r="E874">
        <v>1</v>
      </c>
      <c r="F874" s="2">
        <v>43585.43</v>
      </c>
      <c r="G874" s="3">
        <v>41275</v>
      </c>
      <c r="H874" s="3">
        <v>41639</v>
      </c>
      <c r="I874" s="1" t="s">
        <v>71</v>
      </c>
      <c r="J874">
        <v>4521</v>
      </c>
      <c r="K874">
        <v>0</v>
      </c>
      <c r="L874" s="1" t="s">
        <v>384</v>
      </c>
      <c r="M874" s="1" t="s">
        <v>72</v>
      </c>
      <c r="N874" s="1" t="s">
        <v>134</v>
      </c>
      <c r="O874" s="1" t="s">
        <v>385</v>
      </c>
      <c r="P874" s="1" t="s">
        <v>386</v>
      </c>
      <c r="Q874" s="1" t="s">
        <v>387</v>
      </c>
      <c r="R874">
        <v>103</v>
      </c>
      <c r="S874" s="1" t="s">
        <v>135</v>
      </c>
      <c r="T874" s="1" t="s">
        <v>388</v>
      </c>
      <c r="U874" s="1" t="s">
        <v>135</v>
      </c>
      <c r="V874" s="1"/>
      <c r="W874" s="1"/>
      <c r="X874" s="1"/>
      <c r="Y874" s="1"/>
      <c r="AA874" s="1"/>
      <c r="AC874" s="1"/>
      <c r="AD874" s="1"/>
      <c r="AE874" s="1"/>
      <c r="AN874" s="1"/>
      <c r="AP874" s="1"/>
      <c r="AQ874" s="1"/>
      <c r="AR874" s="1"/>
      <c r="AS874" s="1"/>
      <c r="AT874" s="3"/>
      <c r="AU874" s="3"/>
      <c r="AV874" s="3"/>
      <c r="AW874" s="1"/>
      <c r="AX874" s="1"/>
      <c r="AZ874">
        <v>253</v>
      </c>
      <c r="BA874">
        <v>4654734.66</v>
      </c>
      <c r="BB874" s="1" t="s">
        <v>74</v>
      </c>
      <c r="BC874">
        <v>502</v>
      </c>
      <c r="BD874" s="1" t="s">
        <v>945</v>
      </c>
      <c r="BE874" s="1" t="s">
        <v>480</v>
      </c>
      <c r="BF874">
        <v>15000</v>
      </c>
      <c r="BG874" s="1" t="s">
        <v>1257</v>
      </c>
      <c r="BH874" s="1" t="s">
        <v>99</v>
      </c>
      <c r="BI874">
        <v>0</v>
      </c>
      <c r="BJ874" s="1"/>
      <c r="BL874" s="1"/>
      <c r="BN874" s="1"/>
      <c r="BO874">
        <v>599</v>
      </c>
      <c r="BP874">
        <v>4654734.66</v>
      </c>
      <c r="BQ874">
        <v>4654734.66</v>
      </c>
    </row>
    <row r="875" spans="1:69" x14ac:dyDescent="0.35">
      <c r="A875" s="1" t="s">
        <v>68</v>
      </c>
      <c r="B875" s="1" t="s">
        <v>69</v>
      </c>
      <c r="C875" s="1" t="s">
        <v>70</v>
      </c>
      <c r="D875">
        <v>1</v>
      </c>
      <c r="E875">
        <v>1</v>
      </c>
      <c r="F875" s="2">
        <v>43585.43</v>
      </c>
      <c r="G875" s="3">
        <v>41275</v>
      </c>
      <c r="H875" s="3">
        <v>41639</v>
      </c>
      <c r="I875" s="1" t="s">
        <v>71</v>
      </c>
      <c r="J875">
        <v>4521</v>
      </c>
      <c r="K875">
        <v>0</v>
      </c>
      <c r="L875" s="1" t="s">
        <v>384</v>
      </c>
      <c r="M875" s="1" t="s">
        <v>72</v>
      </c>
      <c r="N875" s="1" t="s">
        <v>134</v>
      </c>
      <c r="O875" s="1" t="s">
        <v>385</v>
      </c>
      <c r="P875" s="1" t="s">
        <v>386</v>
      </c>
      <c r="Q875" s="1" t="s">
        <v>387</v>
      </c>
      <c r="R875">
        <v>103</v>
      </c>
      <c r="S875" s="1" t="s">
        <v>135</v>
      </c>
      <c r="T875" s="1" t="s">
        <v>388</v>
      </c>
      <c r="U875" s="1" t="s">
        <v>135</v>
      </c>
      <c r="V875" s="1"/>
      <c r="W875" s="1"/>
      <c r="X875" s="1"/>
      <c r="Y875" s="1"/>
      <c r="AA875" s="1"/>
      <c r="AC875" s="1"/>
      <c r="AD875" s="1"/>
      <c r="AE875" s="1"/>
      <c r="AN875" s="1"/>
      <c r="AP875" s="1"/>
      <c r="AQ875" s="1"/>
      <c r="AR875" s="1"/>
      <c r="AS875" s="1"/>
      <c r="AT875" s="3"/>
      <c r="AU875" s="3"/>
      <c r="AV875" s="3"/>
      <c r="AW875" s="1"/>
      <c r="AX875" s="1"/>
      <c r="AZ875">
        <v>253</v>
      </c>
      <c r="BA875">
        <v>4654734.66</v>
      </c>
      <c r="BB875" s="1" t="s">
        <v>74</v>
      </c>
      <c r="BC875">
        <v>503</v>
      </c>
      <c r="BD875" s="1" t="s">
        <v>945</v>
      </c>
      <c r="BE875" s="1" t="s">
        <v>99</v>
      </c>
      <c r="BF875">
        <v>0</v>
      </c>
      <c r="BG875" s="1"/>
      <c r="BH875" s="1" t="s">
        <v>136</v>
      </c>
      <c r="BI875">
        <v>15000</v>
      </c>
      <c r="BJ875" s="1" t="s">
        <v>1257</v>
      </c>
      <c r="BL875" s="1"/>
      <c r="BN875" s="1"/>
      <c r="BO875">
        <v>599</v>
      </c>
      <c r="BP875">
        <v>4654734.66</v>
      </c>
      <c r="BQ875">
        <v>4654734.66</v>
      </c>
    </row>
    <row r="876" spans="1:69" x14ac:dyDescent="0.35">
      <c r="A876" s="1" t="s">
        <v>68</v>
      </c>
      <c r="B876" s="1" t="s">
        <v>69</v>
      </c>
      <c r="C876" s="1" t="s">
        <v>70</v>
      </c>
      <c r="D876">
        <v>1</v>
      </c>
      <c r="E876">
        <v>1</v>
      </c>
      <c r="F876" s="2">
        <v>43585.43</v>
      </c>
      <c r="G876" s="3">
        <v>41275</v>
      </c>
      <c r="H876" s="3">
        <v>41639</v>
      </c>
      <c r="I876" s="1" t="s">
        <v>71</v>
      </c>
      <c r="J876">
        <v>4521</v>
      </c>
      <c r="K876">
        <v>0</v>
      </c>
      <c r="L876" s="1" t="s">
        <v>384</v>
      </c>
      <c r="M876" s="1" t="s">
        <v>72</v>
      </c>
      <c r="N876" s="1" t="s">
        <v>134</v>
      </c>
      <c r="O876" s="1" t="s">
        <v>385</v>
      </c>
      <c r="P876" s="1" t="s">
        <v>386</v>
      </c>
      <c r="Q876" s="1" t="s">
        <v>387</v>
      </c>
      <c r="R876">
        <v>103</v>
      </c>
      <c r="S876" s="1" t="s">
        <v>135</v>
      </c>
      <c r="T876" s="1" t="s">
        <v>388</v>
      </c>
      <c r="U876" s="1" t="s">
        <v>135</v>
      </c>
      <c r="V876" s="1"/>
      <c r="W876" s="1"/>
      <c r="X876" s="1"/>
      <c r="Y876" s="1"/>
      <c r="AA876" s="1"/>
      <c r="AC876" s="1"/>
      <c r="AD876" s="1"/>
      <c r="AE876" s="1"/>
      <c r="AN876" s="1"/>
      <c r="AP876" s="1"/>
      <c r="AQ876" s="1"/>
      <c r="AR876" s="1"/>
      <c r="AS876" s="1"/>
      <c r="AT876" s="3"/>
      <c r="AU876" s="3"/>
      <c r="AV876" s="3"/>
      <c r="AW876" s="1"/>
      <c r="AX876" s="1"/>
      <c r="AZ876">
        <v>253</v>
      </c>
      <c r="BA876">
        <v>4654734.66</v>
      </c>
      <c r="BB876" s="1" t="s">
        <v>74</v>
      </c>
      <c r="BC876">
        <v>504</v>
      </c>
      <c r="BD876" s="1" t="s">
        <v>946</v>
      </c>
      <c r="BE876" s="1" t="s">
        <v>472</v>
      </c>
      <c r="BF876">
        <v>1747.98</v>
      </c>
      <c r="BG876" s="1" t="s">
        <v>1061</v>
      </c>
      <c r="BH876" s="1" t="s">
        <v>99</v>
      </c>
      <c r="BI876">
        <v>0</v>
      </c>
      <c r="BJ876" s="1"/>
      <c r="BL876" s="1"/>
      <c r="BN876" s="1"/>
      <c r="BO876">
        <v>599</v>
      </c>
      <c r="BP876">
        <v>4654734.66</v>
      </c>
      <c r="BQ876">
        <v>4654734.66</v>
      </c>
    </row>
    <row r="877" spans="1:69" x14ac:dyDescent="0.35">
      <c r="A877" s="1" t="s">
        <v>68</v>
      </c>
      <c r="B877" s="1" t="s">
        <v>69</v>
      </c>
      <c r="C877" s="1" t="s">
        <v>70</v>
      </c>
      <c r="D877">
        <v>1</v>
      </c>
      <c r="E877">
        <v>1</v>
      </c>
      <c r="F877" s="2">
        <v>43585.43</v>
      </c>
      <c r="G877" s="3">
        <v>41275</v>
      </c>
      <c r="H877" s="3">
        <v>41639</v>
      </c>
      <c r="I877" s="1" t="s">
        <v>71</v>
      </c>
      <c r="J877">
        <v>4521</v>
      </c>
      <c r="K877">
        <v>0</v>
      </c>
      <c r="L877" s="1" t="s">
        <v>384</v>
      </c>
      <c r="M877" s="1" t="s">
        <v>72</v>
      </c>
      <c r="N877" s="1" t="s">
        <v>134</v>
      </c>
      <c r="O877" s="1" t="s">
        <v>385</v>
      </c>
      <c r="P877" s="1" t="s">
        <v>386</v>
      </c>
      <c r="Q877" s="1" t="s">
        <v>387</v>
      </c>
      <c r="R877">
        <v>103</v>
      </c>
      <c r="S877" s="1" t="s">
        <v>135</v>
      </c>
      <c r="T877" s="1" t="s">
        <v>388</v>
      </c>
      <c r="U877" s="1" t="s">
        <v>135</v>
      </c>
      <c r="V877" s="1"/>
      <c r="W877" s="1"/>
      <c r="X877" s="1"/>
      <c r="Y877" s="1"/>
      <c r="AA877" s="1"/>
      <c r="AC877" s="1"/>
      <c r="AD877" s="1"/>
      <c r="AE877" s="1"/>
      <c r="AN877" s="1"/>
      <c r="AP877" s="1"/>
      <c r="AQ877" s="1"/>
      <c r="AR877" s="1"/>
      <c r="AS877" s="1"/>
      <c r="AT877" s="3"/>
      <c r="AU877" s="3"/>
      <c r="AV877" s="3"/>
      <c r="AW877" s="1"/>
      <c r="AX877" s="1"/>
      <c r="AZ877">
        <v>253</v>
      </c>
      <c r="BA877">
        <v>4654734.66</v>
      </c>
      <c r="BB877" s="1" t="s">
        <v>74</v>
      </c>
      <c r="BC877">
        <v>505</v>
      </c>
      <c r="BD877" s="1" t="s">
        <v>946</v>
      </c>
      <c r="BE877" s="1" t="s">
        <v>99</v>
      </c>
      <c r="BF877">
        <v>0</v>
      </c>
      <c r="BG877" s="1"/>
      <c r="BH877" s="1" t="s">
        <v>389</v>
      </c>
      <c r="BI877">
        <v>1747.98</v>
      </c>
      <c r="BJ877" s="1" t="s">
        <v>1061</v>
      </c>
      <c r="BL877" s="1"/>
      <c r="BN877" s="1"/>
      <c r="BO877">
        <v>599</v>
      </c>
      <c r="BP877">
        <v>4654734.66</v>
      </c>
      <c r="BQ877">
        <v>4654734.66</v>
      </c>
    </row>
    <row r="878" spans="1:69" x14ac:dyDescent="0.35">
      <c r="A878" s="1" t="s">
        <v>68</v>
      </c>
      <c r="B878" s="1" t="s">
        <v>69</v>
      </c>
      <c r="C878" s="1" t="s">
        <v>70</v>
      </c>
      <c r="D878">
        <v>1</v>
      </c>
      <c r="E878">
        <v>1</v>
      </c>
      <c r="F878" s="2">
        <v>43585.43</v>
      </c>
      <c r="G878" s="3">
        <v>41275</v>
      </c>
      <c r="H878" s="3">
        <v>41639</v>
      </c>
      <c r="I878" s="1" t="s">
        <v>71</v>
      </c>
      <c r="J878">
        <v>4521</v>
      </c>
      <c r="K878">
        <v>0</v>
      </c>
      <c r="L878" s="1" t="s">
        <v>384</v>
      </c>
      <c r="M878" s="1" t="s">
        <v>72</v>
      </c>
      <c r="N878" s="1" t="s">
        <v>134</v>
      </c>
      <c r="O878" s="1" t="s">
        <v>385</v>
      </c>
      <c r="P878" s="1" t="s">
        <v>386</v>
      </c>
      <c r="Q878" s="1" t="s">
        <v>387</v>
      </c>
      <c r="R878">
        <v>103</v>
      </c>
      <c r="S878" s="1" t="s">
        <v>135</v>
      </c>
      <c r="T878" s="1" t="s">
        <v>388</v>
      </c>
      <c r="U878" s="1" t="s">
        <v>135</v>
      </c>
      <c r="V878" s="1"/>
      <c r="W878" s="1"/>
      <c r="X878" s="1"/>
      <c r="Y878" s="1"/>
      <c r="AA878" s="1"/>
      <c r="AC878" s="1"/>
      <c r="AD878" s="1"/>
      <c r="AE878" s="1"/>
      <c r="AN878" s="1"/>
      <c r="AP878" s="1"/>
      <c r="AQ878" s="1"/>
      <c r="AR878" s="1"/>
      <c r="AS878" s="1"/>
      <c r="AT878" s="3"/>
      <c r="AU878" s="3"/>
      <c r="AV878" s="3"/>
      <c r="AW878" s="1"/>
      <c r="AX878" s="1"/>
      <c r="AZ878">
        <v>253</v>
      </c>
      <c r="BA878">
        <v>4654734.66</v>
      </c>
      <c r="BB878" s="1" t="s">
        <v>74</v>
      </c>
      <c r="BC878">
        <v>506</v>
      </c>
      <c r="BD878" s="1" t="s">
        <v>947</v>
      </c>
      <c r="BE878" s="1" t="s">
        <v>472</v>
      </c>
      <c r="BF878">
        <v>584</v>
      </c>
      <c r="BG878" s="1" t="s">
        <v>1061</v>
      </c>
      <c r="BH878" s="1" t="s">
        <v>99</v>
      </c>
      <c r="BI878">
        <v>0</v>
      </c>
      <c r="BJ878" s="1"/>
      <c r="BL878" s="1"/>
      <c r="BN878" s="1"/>
      <c r="BO878">
        <v>599</v>
      </c>
      <c r="BP878">
        <v>4654734.66</v>
      </c>
      <c r="BQ878">
        <v>4654734.66</v>
      </c>
    </row>
    <row r="879" spans="1:69" x14ac:dyDescent="0.35">
      <c r="A879" s="1" t="s">
        <v>68</v>
      </c>
      <c r="B879" s="1" t="s">
        <v>69</v>
      </c>
      <c r="C879" s="1" t="s">
        <v>70</v>
      </c>
      <c r="D879">
        <v>1</v>
      </c>
      <c r="E879">
        <v>1</v>
      </c>
      <c r="F879" s="2">
        <v>43585.43</v>
      </c>
      <c r="G879" s="3">
        <v>41275</v>
      </c>
      <c r="H879" s="3">
        <v>41639</v>
      </c>
      <c r="I879" s="1" t="s">
        <v>71</v>
      </c>
      <c r="J879">
        <v>4521</v>
      </c>
      <c r="K879">
        <v>0</v>
      </c>
      <c r="L879" s="1" t="s">
        <v>384</v>
      </c>
      <c r="M879" s="1" t="s">
        <v>72</v>
      </c>
      <c r="N879" s="1" t="s">
        <v>134</v>
      </c>
      <c r="O879" s="1" t="s">
        <v>385</v>
      </c>
      <c r="P879" s="1" t="s">
        <v>386</v>
      </c>
      <c r="Q879" s="1" t="s">
        <v>387</v>
      </c>
      <c r="R879">
        <v>103</v>
      </c>
      <c r="S879" s="1" t="s">
        <v>135</v>
      </c>
      <c r="T879" s="1" t="s">
        <v>388</v>
      </c>
      <c r="U879" s="1" t="s">
        <v>135</v>
      </c>
      <c r="V879" s="1"/>
      <c r="W879" s="1"/>
      <c r="X879" s="1"/>
      <c r="Y879" s="1"/>
      <c r="AA879" s="1"/>
      <c r="AC879" s="1"/>
      <c r="AD879" s="1"/>
      <c r="AE879" s="1"/>
      <c r="AN879" s="1"/>
      <c r="AP879" s="1"/>
      <c r="AQ879" s="1"/>
      <c r="AR879" s="1"/>
      <c r="AS879" s="1"/>
      <c r="AT879" s="3"/>
      <c r="AU879" s="3"/>
      <c r="AV879" s="3"/>
      <c r="AW879" s="1"/>
      <c r="AX879" s="1"/>
      <c r="AZ879">
        <v>253</v>
      </c>
      <c r="BA879">
        <v>4654734.66</v>
      </c>
      <c r="BB879" s="1" t="s">
        <v>74</v>
      </c>
      <c r="BC879">
        <v>507</v>
      </c>
      <c r="BD879" s="1" t="s">
        <v>947</v>
      </c>
      <c r="BE879" s="1" t="s">
        <v>99</v>
      </c>
      <c r="BF879">
        <v>0</v>
      </c>
      <c r="BG879" s="1"/>
      <c r="BH879" s="1" t="s">
        <v>390</v>
      </c>
      <c r="BI879">
        <v>584</v>
      </c>
      <c r="BJ879" s="1" t="s">
        <v>1061</v>
      </c>
      <c r="BL879" s="1"/>
      <c r="BN879" s="1"/>
      <c r="BO879">
        <v>599</v>
      </c>
      <c r="BP879">
        <v>4654734.66</v>
      </c>
      <c r="BQ879">
        <v>4654734.66</v>
      </c>
    </row>
    <row r="880" spans="1:69" x14ac:dyDescent="0.35">
      <c r="A880" s="1" t="s">
        <v>68</v>
      </c>
      <c r="B880" s="1" t="s">
        <v>69</v>
      </c>
      <c r="C880" s="1" t="s">
        <v>70</v>
      </c>
      <c r="D880">
        <v>1</v>
      </c>
      <c r="E880">
        <v>1</v>
      </c>
      <c r="F880" s="2">
        <v>43585.43</v>
      </c>
      <c r="G880" s="3">
        <v>41275</v>
      </c>
      <c r="H880" s="3">
        <v>41639</v>
      </c>
      <c r="I880" s="1" t="s">
        <v>71</v>
      </c>
      <c r="J880">
        <v>4521</v>
      </c>
      <c r="K880">
        <v>0</v>
      </c>
      <c r="L880" s="1" t="s">
        <v>384</v>
      </c>
      <c r="M880" s="1" t="s">
        <v>72</v>
      </c>
      <c r="N880" s="1" t="s">
        <v>134</v>
      </c>
      <c r="O880" s="1" t="s">
        <v>385</v>
      </c>
      <c r="P880" s="1" t="s">
        <v>386</v>
      </c>
      <c r="Q880" s="1" t="s">
        <v>387</v>
      </c>
      <c r="R880">
        <v>103</v>
      </c>
      <c r="S880" s="1" t="s">
        <v>135</v>
      </c>
      <c r="T880" s="1" t="s">
        <v>388</v>
      </c>
      <c r="U880" s="1" t="s">
        <v>135</v>
      </c>
      <c r="V880" s="1"/>
      <c r="W880" s="1"/>
      <c r="X880" s="1"/>
      <c r="Y880" s="1"/>
      <c r="AA880" s="1"/>
      <c r="AC880" s="1"/>
      <c r="AD880" s="1"/>
      <c r="AE880" s="1"/>
      <c r="AN880" s="1"/>
      <c r="AP880" s="1"/>
      <c r="AQ880" s="1"/>
      <c r="AR880" s="1"/>
      <c r="AS880" s="1"/>
      <c r="AT880" s="3"/>
      <c r="AU880" s="3"/>
      <c r="AV880" s="3"/>
      <c r="AW880" s="1"/>
      <c r="AX880" s="1"/>
      <c r="AZ880">
        <v>253</v>
      </c>
      <c r="BA880">
        <v>4654734.66</v>
      </c>
      <c r="BB880" s="1" t="s">
        <v>74</v>
      </c>
      <c r="BC880">
        <v>508</v>
      </c>
      <c r="BD880" s="1" t="s">
        <v>948</v>
      </c>
      <c r="BE880" s="1" t="s">
        <v>472</v>
      </c>
      <c r="BF880">
        <v>1932.5</v>
      </c>
      <c r="BG880" s="1" t="s">
        <v>1061</v>
      </c>
      <c r="BH880" s="1" t="s">
        <v>99</v>
      </c>
      <c r="BI880">
        <v>0</v>
      </c>
      <c r="BJ880" s="1"/>
      <c r="BL880" s="1"/>
      <c r="BN880" s="1"/>
      <c r="BO880">
        <v>599</v>
      </c>
      <c r="BP880">
        <v>4654734.66</v>
      </c>
      <c r="BQ880">
        <v>4654734.66</v>
      </c>
    </row>
    <row r="881" spans="1:69" x14ac:dyDescent="0.35">
      <c r="A881" s="1" t="s">
        <v>68</v>
      </c>
      <c r="B881" s="1" t="s">
        <v>69</v>
      </c>
      <c r="C881" s="1" t="s">
        <v>70</v>
      </c>
      <c r="D881">
        <v>1</v>
      </c>
      <c r="E881">
        <v>1</v>
      </c>
      <c r="F881" s="2">
        <v>43585.43</v>
      </c>
      <c r="G881" s="3">
        <v>41275</v>
      </c>
      <c r="H881" s="3">
        <v>41639</v>
      </c>
      <c r="I881" s="1" t="s">
        <v>71</v>
      </c>
      <c r="J881">
        <v>4521</v>
      </c>
      <c r="K881">
        <v>0</v>
      </c>
      <c r="L881" s="1" t="s">
        <v>384</v>
      </c>
      <c r="M881" s="1" t="s">
        <v>72</v>
      </c>
      <c r="N881" s="1" t="s">
        <v>134</v>
      </c>
      <c r="O881" s="1" t="s">
        <v>385</v>
      </c>
      <c r="P881" s="1" t="s">
        <v>386</v>
      </c>
      <c r="Q881" s="1" t="s">
        <v>387</v>
      </c>
      <c r="R881">
        <v>103</v>
      </c>
      <c r="S881" s="1" t="s">
        <v>135</v>
      </c>
      <c r="T881" s="1" t="s">
        <v>388</v>
      </c>
      <c r="U881" s="1" t="s">
        <v>135</v>
      </c>
      <c r="V881" s="1"/>
      <c r="W881" s="1"/>
      <c r="X881" s="1"/>
      <c r="Y881" s="1"/>
      <c r="AA881" s="1"/>
      <c r="AC881" s="1"/>
      <c r="AD881" s="1"/>
      <c r="AE881" s="1"/>
      <c r="AN881" s="1"/>
      <c r="AP881" s="1"/>
      <c r="AQ881" s="1"/>
      <c r="AR881" s="1"/>
      <c r="AS881" s="1"/>
      <c r="AT881" s="3"/>
      <c r="AU881" s="3"/>
      <c r="AV881" s="3"/>
      <c r="AW881" s="1"/>
      <c r="AX881" s="1"/>
      <c r="AZ881">
        <v>253</v>
      </c>
      <c r="BA881">
        <v>4654734.66</v>
      </c>
      <c r="BB881" s="1" t="s">
        <v>74</v>
      </c>
      <c r="BC881">
        <v>509</v>
      </c>
      <c r="BD881" s="1" t="s">
        <v>948</v>
      </c>
      <c r="BE881" s="1" t="s">
        <v>99</v>
      </c>
      <c r="BF881">
        <v>0</v>
      </c>
      <c r="BG881" s="1"/>
      <c r="BH881" s="1" t="s">
        <v>391</v>
      </c>
      <c r="BI881">
        <v>1932.5</v>
      </c>
      <c r="BJ881" s="1" t="s">
        <v>1061</v>
      </c>
      <c r="BL881" s="1"/>
      <c r="BN881" s="1"/>
      <c r="BO881">
        <v>599</v>
      </c>
      <c r="BP881">
        <v>4654734.66</v>
      </c>
      <c r="BQ881">
        <v>4654734.66</v>
      </c>
    </row>
    <row r="882" spans="1:69" x14ac:dyDescent="0.35">
      <c r="A882" s="1" t="s">
        <v>68</v>
      </c>
      <c r="B882" s="1" t="s">
        <v>69</v>
      </c>
      <c r="C882" s="1" t="s">
        <v>70</v>
      </c>
      <c r="D882">
        <v>1</v>
      </c>
      <c r="E882">
        <v>1</v>
      </c>
      <c r="F882" s="2">
        <v>43585.43</v>
      </c>
      <c r="G882" s="3">
        <v>41275</v>
      </c>
      <c r="H882" s="3">
        <v>41639</v>
      </c>
      <c r="I882" s="1" t="s">
        <v>71</v>
      </c>
      <c r="J882">
        <v>4521</v>
      </c>
      <c r="K882">
        <v>0</v>
      </c>
      <c r="L882" s="1" t="s">
        <v>384</v>
      </c>
      <c r="M882" s="1" t="s">
        <v>72</v>
      </c>
      <c r="N882" s="1" t="s">
        <v>134</v>
      </c>
      <c r="O882" s="1" t="s">
        <v>385</v>
      </c>
      <c r="P882" s="1" t="s">
        <v>386</v>
      </c>
      <c r="Q882" s="1" t="s">
        <v>387</v>
      </c>
      <c r="R882">
        <v>103</v>
      </c>
      <c r="S882" s="1" t="s">
        <v>135</v>
      </c>
      <c r="T882" s="1" t="s">
        <v>388</v>
      </c>
      <c r="U882" s="1" t="s">
        <v>135</v>
      </c>
      <c r="V882" s="1"/>
      <c r="W882" s="1"/>
      <c r="X882" s="1"/>
      <c r="Y882" s="1"/>
      <c r="AA882" s="1"/>
      <c r="AC882" s="1"/>
      <c r="AD882" s="1"/>
      <c r="AE882" s="1"/>
      <c r="AN882" s="1"/>
      <c r="AP882" s="1"/>
      <c r="AQ882" s="1"/>
      <c r="AR882" s="1"/>
      <c r="AS882" s="1"/>
      <c r="AT882" s="3"/>
      <c r="AU882" s="3"/>
      <c r="AV882" s="3"/>
      <c r="AW882" s="1"/>
      <c r="AX882" s="1"/>
      <c r="AZ882">
        <v>253</v>
      </c>
      <c r="BA882">
        <v>4654734.66</v>
      </c>
      <c r="BB882" s="1" t="s">
        <v>74</v>
      </c>
      <c r="BC882">
        <v>510</v>
      </c>
      <c r="BD882" s="1" t="s">
        <v>949</v>
      </c>
      <c r="BE882" s="1" t="s">
        <v>479</v>
      </c>
      <c r="BF882">
        <v>4264.4799999999996</v>
      </c>
      <c r="BG882" s="1" t="s">
        <v>1061</v>
      </c>
      <c r="BH882" s="1" t="s">
        <v>99</v>
      </c>
      <c r="BI882">
        <v>0</v>
      </c>
      <c r="BJ882" s="1"/>
      <c r="BL882" s="1"/>
      <c r="BN882" s="1"/>
      <c r="BO882">
        <v>599</v>
      </c>
      <c r="BP882">
        <v>4654734.66</v>
      </c>
      <c r="BQ882">
        <v>4654734.66</v>
      </c>
    </row>
    <row r="883" spans="1:69" x14ac:dyDescent="0.35">
      <c r="A883" s="1" t="s">
        <v>68</v>
      </c>
      <c r="B883" s="1" t="s">
        <v>69</v>
      </c>
      <c r="C883" s="1" t="s">
        <v>70</v>
      </c>
      <c r="D883">
        <v>1</v>
      </c>
      <c r="E883">
        <v>1</v>
      </c>
      <c r="F883" s="2">
        <v>43585.43</v>
      </c>
      <c r="G883" s="3">
        <v>41275</v>
      </c>
      <c r="H883" s="3">
        <v>41639</v>
      </c>
      <c r="I883" s="1" t="s">
        <v>71</v>
      </c>
      <c r="J883">
        <v>4521</v>
      </c>
      <c r="K883">
        <v>0</v>
      </c>
      <c r="L883" s="1" t="s">
        <v>384</v>
      </c>
      <c r="M883" s="1" t="s">
        <v>72</v>
      </c>
      <c r="N883" s="1" t="s">
        <v>134</v>
      </c>
      <c r="O883" s="1" t="s">
        <v>385</v>
      </c>
      <c r="P883" s="1" t="s">
        <v>386</v>
      </c>
      <c r="Q883" s="1" t="s">
        <v>387</v>
      </c>
      <c r="R883">
        <v>103</v>
      </c>
      <c r="S883" s="1" t="s">
        <v>135</v>
      </c>
      <c r="T883" s="1" t="s">
        <v>388</v>
      </c>
      <c r="U883" s="1" t="s">
        <v>135</v>
      </c>
      <c r="V883" s="1"/>
      <c r="W883" s="1"/>
      <c r="X883" s="1"/>
      <c r="Y883" s="1"/>
      <c r="AA883" s="1"/>
      <c r="AC883" s="1"/>
      <c r="AD883" s="1"/>
      <c r="AE883" s="1"/>
      <c r="AN883" s="1"/>
      <c r="AP883" s="1"/>
      <c r="AQ883" s="1"/>
      <c r="AR883" s="1"/>
      <c r="AS883" s="1"/>
      <c r="AT883" s="3"/>
      <c r="AU883" s="3"/>
      <c r="AV883" s="3"/>
      <c r="AW883" s="1"/>
      <c r="AX883" s="1"/>
      <c r="AZ883">
        <v>253</v>
      </c>
      <c r="BA883">
        <v>4654734.66</v>
      </c>
      <c r="BB883" s="1" t="s">
        <v>74</v>
      </c>
      <c r="BC883">
        <v>511</v>
      </c>
      <c r="BD883" s="1" t="s">
        <v>949</v>
      </c>
      <c r="BE883" s="1" t="s">
        <v>99</v>
      </c>
      <c r="BF883">
        <v>0</v>
      </c>
      <c r="BG883" s="1"/>
      <c r="BH883" s="1" t="s">
        <v>136</v>
      </c>
      <c r="BI883">
        <v>4264.4799999999996</v>
      </c>
      <c r="BJ883" s="1" t="s">
        <v>1061</v>
      </c>
      <c r="BL883" s="1"/>
      <c r="BN883" s="1"/>
      <c r="BO883">
        <v>599</v>
      </c>
      <c r="BP883">
        <v>4654734.66</v>
      </c>
      <c r="BQ883">
        <v>4654734.66</v>
      </c>
    </row>
    <row r="884" spans="1:69" x14ac:dyDescent="0.35">
      <c r="A884" s="1" t="s">
        <v>68</v>
      </c>
      <c r="B884" s="1" t="s">
        <v>69</v>
      </c>
      <c r="C884" s="1" t="s">
        <v>70</v>
      </c>
      <c r="D884">
        <v>1</v>
      </c>
      <c r="E884">
        <v>1</v>
      </c>
      <c r="F884" s="2">
        <v>43585.43</v>
      </c>
      <c r="G884" s="3">
        <v>41275</v>
      </c>
      <c r="H884" s="3">
        <v>41639</v>
      </c>
      <c r="I884" s="1" t="s">
        <v>71</v>
      </c>
      <c r="J884">
        <v>4521</v>
      </c>
      <c r="K884">
        <v>0</v>
      </c>
      <c r="L884" s="1" t="s">
        <v>384</v>
      </c>
      <c r="M884" s="1" t="s">
        <v>72</v>
      </c>
      <c r="N884" s="1" t="s">
        <v>134</v>
      </c>
      <c r="O884" s="1" t="s">
        <v>385</v>
      </c>
      <c r="P884" s="1" t="s">
        <v>386</v>
      </c>
      <c r="Q884" s="1" t="s">
        <v>387</v>
      </c>
      <c r="R884">
        <v>103</v>
      </c>
      <c r="S884" s="1" t="s">
        <v>135</v>
      </c>
      <c r="T884" s="1" t="s">
        <v>388</v>
      </c>
      <c r="U884" s="1" t="s">
        <v>135</v>
      </c>
      <c r="V884" s="1"/>
      <c r="W884" s="1"/>
      <c r="X884" s="1"/>
      <c r="Y884" s="1"/>
      <c r="AA884" s="1"/>
      <c r="AC884" s="1"/>
      <c r="AD884" s="1"/>
      <c r="AE884" s="1"/>
      <c r="AN884" s="1"/>
      <c r="AP884" s="1"/>
      <c r="AQ884" s="1"/>
      <c r="AR884" s="1"/>
      <c r="AS884" s="1"/>
      <c r="AT884" s="3"/>
      <c r="AU884" s="3"/>
      <c r="AV884" s="3"/>
      <c r="AW884" s="1"/>
      <c r="AX884" s="1"/>
      <c r="AZ884">
        <v>253</v>
      </c>
      <c r="BA884">
        <v>4654734.66</v>
      </c>
      <c r="BB884" s="1" t="s">
        <v>74</v>
      </c>
      <c r="BC884">
        <v>512</v>
      </c>
      <c r="BD884" s="1" t="s">
        <v>950</v>
      </c>
      <c r="BE884" s="1" t="s">
        <v>480</v>
      </c>
      <c r="BF884">
        <v>884</v>
      </c>
      <c r="BG884" s="1" t="s">
        <v>1061</v>
      </c>
      <c r="BH884" s="1" t="s">
        <v>99</v>
      </c>
      <c r="BI884">
        <v>0</v>
      </c>
      <c r="BJ884" s="1"/>
      <c r="BL884" s="1"/>
      <c r="BN884" s="1"/>
      <c r="BO884">
        <v>599</v>
      </c>
      <c r="BP884">
        <v>4654734.66</v>
      </c>
      <c r="BQ884">
        <v>4654734.66</v>
      </c>
    </row>
    <row r="885" spans="1:69" x14ac:dyDescent="0.35">
      <c r="A885" s="1" t="s">
        <v>68</v>
      </c>
      <c r="B885" s="1" t="s">
        <v>69</v>
      </c>
      <c r="C885" s="1" t="s">
        <v>70</v>
      </c>
      <c r="D885">
        <v>1</v>
      </c>
      <c r="E885">
        <v>1</v>
      </c>
      <c r="F885" s="2">
        <v>43585.43</v>
      </c>
      <c r="G885" s="3">
        <v>41275</v>
      </c>
      <c r="H885" s="3">
        <v>41639</v>
      </c>
      <c r="I885" s="1" t="s">
        <v>71</v>
      </c>
      <c r="J885">
        <v>4521</v>
      </c>
      <c r="K885">
        <v>0</v>
      </c>
      <c r="L885" s="1" t="s">
        <v>384</v>
      </c>
      <c r="M885" s="1" t="s">
        <v>72</v>
      </c>
      <c r="N885" s="1" t="s">
        <v>134</v>
      </c>
      <c r="O885" s="1" t="s">
        <v>385</v>
      </c>
      <c r="P885" s="1" t="s">
        <v>386</v>
      </c>
      <c r="Q885" s="1" t="s">
        <v>387</v>
      </c>
      <c r="R885">
        <v>103</v>
      </c>
      <c r="S885" s="1" t="s">
        <v>135</v>
      </c>
      <c r="T885" s="1" t="s">
        <v>388</v>
      </c>
      <c r="U885" s="1" t="s">
        <v>135</v>
      </c>
      <c r="V885" s="1"/>
      <c r="W885" s="1"/>
      <c r="X885" s="1"/>
      <c r="Y885" s="1"/>
      <c r="AA885" s="1"/>
      <c r="AC885" s="1"/>
      <c r="AD885" s="1"/>
      <c r="AE885" s="1"/>
      <c r="AN885" s="1"/>
      <c r="AP885" s="1"/>
      <c r="AQ885" s="1"/>
      <c r="AR885" s="1"/>
      <c r="AS885" s="1"/>
      <c r="AT885" s="3"/>
      <c r="AU885" s="3"/>
      <c r="AV885" s="3"/>
      <c r="AW885" s="1"/>
      <c r="AX885" s="1"/>
      <c r="AZ885">
        <v>253</v>
      </c>
      <c r="BA885">
        <v>4654734.66</v>
      </c>
      <c r="BB885" s="1" t="s">
        <v>74</v>
      </c>
      <c r="BC885">
        <v>513</v>
      </c>
      <c r="BD885" s="1" t="s">
        <v>950</v>
      </c>
      <c r="BE885" s="1" t="s">
        <v>99</v>
      </c>
      <c r="BF885">
        <v>0</v>
      </c>
      <c r="BG885" s="1"/>
      <c r="BH885" s="1" t="s">
        <v>136</v>
      </c>
      <c r="BI885">
        <v>884</v>
      </c>
      <c r="BJ885" s="1" t="s">
        <v>1061</v>
      </c>
      <c r="BL885" s="1"/>
      <c r="BN885" s="1"/>
      <c r="BO885">
        <v>599</v>
      </c>
      <c r="BP885">
        <v>4654734.66</v>
      </c>
      <c r="BQ885">
        <v>4654734.66</v>
      </c>
    </row>
    <row r="886" spans="1:69" x14ac:dyDescent="0.35">
      <c r="A886" s="1" t="s">
        <v>68</v>
      </c>
      <c r="B886" s="1" t="s">
        <v>69</v>
      </c>
      <c r="C886" s="1" t="s">
        <v>70</v>
      </c>
      <c r="D886">
        <v>1</v>
      </c>
      <c r="E886">
        <v>1</v>
      </c>
      <c r="F886" s="2">
        <v>43585.43</v>
      </c>
      <c r="G886" s="3">
        <v>41275</v>
      </c>
      <c r="H886" s="3">
        <v>41639</v>
      </c>
      <c r="I886" s="1" t="s">
        <v>71</v>
      </c>
      <c r="J886">
        <v>4521</v>
      </c>
      <c r="K886">
        <v>0</v>
      </c>
      <c r="L886" s="1" t="s">
        <v>384</v>
      </c>
      <c r="M886" s="1" t="s">
        <v>72</v>
      </c>
      <c r="N886" s="1" t="s">
        <v>134</v>
      </c>
      <c r="O886" s="1" t="s">
        <v>385</v>
      </c>
      <c r="P886" s="1" t="s">
        <v>386</v>
      </c>
      <c r="Q886" s="1" t="s">
        <v>387</v>
      </c>
      <c r="R886">
        <v>103</v>
      </c>
      <c r="S886" s="1" t="s">
        <v>135</v>
      </c>
      <c r="T886" s="1" t="s">
        <v>388</v>
      </c>
      <c r="U886" s="1" t="s">
        <v>135</v>
      </c>
      <c r="V886" s="1"/>
      <c r="W886" s="1"/>
      <c r="X886" s="1"/>
      <c r="Y886" s="1"/>
      <c r="AA886" s="1"/>
      <c r="AC886" s="1"/>
      <c r="AD886" s="1"/>
      <c r="AE886" s="1"/>
      <c r="AN886" s="1"/>
      <c r="AP886" s="1"/>
      <c r="AQ886" s="1"/>
      <c r="AR886" s="1"/>
      <c r="AS886" s="1"/>
      <c r="AT886" s="3"/>
      <c r="AU886" s="3"/>
      <c r="AV886" s="3"/>
      <c r="AW886" s="1"/>
      <c r="AX886" s="1"/>
      <c r="AZ886">
        <v>253</v>
      </c>
      <c r="BA886">
        <v>4654734.66</v>
      </c>
      <c r="BB886" s="1" t="s">
        <v>74</v>
      </c>
      <c r="BC886">
        <v>514</v>
      </c>
      <c r="BD886" s="1" t="s">
        <v>951</v>
      </c>
      <c r="BE886" s="1" t="s">
        <v>479</v>
      </c>
      <c r="BF886">
        <v>1232.5</v>
      </c>
      <c r="BG886" s="1" t="s">
        <v>1061</v>
      </c>
      <c r="BH886" s="1" t="s">
        <v>99</v>
      </c>
      <c r="BI886">
        <v>0</v>
      </c>
      <c r="BJ886" s="1"/>
      <c r="BL886" s="1"/>
      <c r="BN886" s="1"/>
      <c r="BO886">
        <v>599</v>
      </c>
      <c r="BP886">
        <v>4654734.66</v>
      </c>
      <c r="BQ886">
        <v>4654734.66</v>
      </c>
    </row>
    <row r="887" spans="1:69" x14ac:dyDescent="0.35">
      <c r="A887" s="1" t="s">
        <v>68</v>
      </c>
      <c r="B887" s="1" t="s">
        <v>69</v>
      </c>
      <c r="C887" s="1" t="s">
        <v>70</v>
      </c>
      <c r="D887">
        <v>1</v>
      </c>
      <c r="E887">
        <v>1</v>
      </c>
      <c r="F887" s="2">
        <v>43585.43</v>
      </c>
      <c r="G887" s="3">
        <v>41275</v>
      </c>
      <c r="H887" s="3">
        <v>41639</v>
      </c>
      <c r="I887" s="1" t="s">
        <v>71</v>
      </c>
      <c r="J887">
        <v>4521</v>
      </c>
      <c r="K887">
        <v>0</v>
      </c>
      <c r="L887" s="1" t="s">
        <v>384</v>
      </c>
      <c r="M887" s="1" t="s">
        <v>72</v>
      </c>
      <c r="N887" s="1" t="s">
        <v>134</v>
      </c>
      <c r="O887" s="1" t="s">
        <v>385</v>
      </c>
      <c r="P887" s="1" t="s">
        <v>386</v>
      </c>
      <c r="Q887" s="1" t="s">
        <v>387</v>
      </c>
      <c r="R887">
        <v>103</v>
      </c>
      <c r="S887" s="1" t="s">
        <v>135</v>
      </c>
      <c r="T887" s="1" t="s">
        <v>388</v>
      </c>
      <c r="U887" s="1" t="s">
        <v>135</v>
      </c>
      <c r="V887" s="1"/>
      <c r="W887" s="1"/>
      <c r="X887" s="1"/>
      <c r="Y887" s="1"/>
      <c r="AA887" s="1"/>
      <c r="AC887" s="1"/>
      <c r="AD887" s="1"/>
      <c r="AE887" s="1"/>
      <c r="AN887" s="1"/>
      <c r="AP887" s="1"/>
      <c r="AQ887" s="1"/>
      <c r="AR887" s="1"/>
      <c r="AS887" s="1"/>
      <c r="AT887" s="3"/>
      <c r="AU887" s="3"/>
      <c r="AV887" s="3"/>
      <c r="AW887" s="1"/>
      <c r="AX887" s="1"/>
      <c r="AZ887">
        <v>253</v>
      </c>
      <c r="BA887">
        <v>4654734.66</v>
      </c>
      <c r="BB887" s="1" t="s">
        <v>74</v>
      </c>
      <c r="BC887">
        <v>515</v>
      </c>
      <c r="BD887" s="1" t="s">
        <v>951</v>
      </c>
      <c r="BE887" s="1" t="s">
        <v>99</v>
      </c>
      <c r="BF887">
        <v>0</v>
      </c>
      <c r="BG887" s="1"/>
      <c r="BH887" s="1" t="s">
        <v>136</v>
      </c>
      <c r="BI887">
        <v>1232.5</v>
      </c>
      <c r="BJ887" s="1" t="s">
        <v>1061</v>
      </c>
      <c r="BL887" s="1"/>
      <c r="BN887" s="1"/>
      <c r="BO887">
        <v>599</v>
      </c>
      <c r="BP887">
        <v>4654734.66</v>
      </c>
      <c r="BQ887">
        <v>4654734.66</v>
      </c>
    </row>
    <row r="888" spans="1:69" x14ac:dyDescent="0.35">
      <c r="A888" s="1" t="s">
        <v>68</v>
      </c>
      <c r="B888" s="1" t="s">
        <v>69</v>
      </c>
      <c r="C888" s="1" t="s">
        <v>70</v>
      </c>
      <c r="D888">
        <v>1</v>
      </c>
      <c r="E888">
        <v>1</v>
      </c>
      <c r="F888" s="2">
        <v>43585.43</v>
      </c>
      <c r="G888" s="3">
        <v>41275</v>
      </c>
      <c r="H888" s="3">
        <v>41639</v>
      </c>
      <c r="I888" s="1" t="s">
        <v>71</v>
      </c>
      <c r="J888">
        <v>4521</v>
      </c>
      <c r="K888">
        <v>0</v>
      </c>
      <c r="L888" s="1" t="s">
        <v>384</v>
      </c>
      <c r="M888" s="1" t="s">
        <v>72</v>
      </c>
      <c r="N888" s="1" t="s">
        <v>134</v>
      </c>
      <c r="O888" s="1" t="s">
        <v>385</v>
      </c>
      <c r="P888" s="1" t="s">
        <v>386</v>
      </c>
      <c r="Q888" s="1" t="s">
        <v>387</v>
      </c>
      <c r="R888">
        <v>103</v>
      </c>
      <c r="S888" s="1" t="s">
        <v>135</v>
      </c>
      <c r="T888" s="1" t="s">
        <v>388</v>
      </c>
      <c r="U888" s="1" t="s">
        <v>135</v>
      </c>
      <c r="V888" s="1"/>
      <c r="W888" s="1"/>
      <c r="X888" s="1"/>
      <c r="Y888" s="1"/>
      <c r="AA888" s="1"/>
      <c r="AC888" s="1"/>
      <c r="AD888" s="1"/>
      <c r="AE888" s="1"/>
      <c r="AN888" s="1"/>
      <c r="AP888" s="1"/>
      <c r="AQ888" s="1"/>
      <c r="AR888" s="1"/>
      <c r="AS888" s="1"/>
      <c r="AT888" s="3"/>
      <c r="AU888" s="3"/>
      <c r="AV888" s="3"/>
      <c r="AW888" s="1"/>
      <c r="AX888" s="1"/>
      <c r="AZ888">
        <v>253</v>
      </c>
      <c r="BA888">
        <v>4654734.66</v>
      </c>
      <c r="BB888" s="1" t="s">
        <v>74</v>
      </c>
      <c r="BC888">
        <v>516</v>
      </c>
      <c r="BD888" s="1" t="s">
        <v>952</v>
      </c>
      <c r="BE888" s="1" t="s">
        <v>472</v>
      </c>
      <c r="BF888">
        <v>747.98</v>
      </c>
      <c r="BG888" s="1" t="s">
        <v>1061</v>
      </c>
      <c r="BH888" s="1" t="s">
        <v>99</v>
      </c>
      <c r="BI888">
        <v>0</v>
      </c>
      <c r="BJ888" s="1"/>
      <c r="BL888" s="1"/>
      <c r="BN888" s="1"/>
      <c r="BO888">
        <v>599</v>
      </c>
      <c r="BP888">
        <v>4654734.66</v>
      </c>
      <c r="BQ888">
        <v>4654734.66</v>
      </c>
    </row>
    <row r="889" spans="1:69" x14ac:dyDescent="0.35">
      <c r="A889" s="1" t="s">
        <v>68</v>
      </c>
      <c r="B889" s="1" t="s">
        <v>69</v>
      </c>
      <c r="C889" s="1" t="s">
        <v>70</v>
      </c>
      <c r="D889">
        <v>1</v>
      </c>
      <c r="E889">
        <v>1</v>
      </c>
      <c r="F889" s="2">
        <v>43585.43</v>
      </c>
      <c r="G889" s="3">
        <v>41275</v>
      </c>
      <c r="H889" s="3">
        <v>41639</v>
      </c>
      <c r="I889" s="1" t="s">
        <v>71</v>
      </c>
      <c r="J889">
        <v>4521</v>
      </c>
      <c r="K889">
        <v>0</v>
      </c>
      <c r="L889" s="1" t="s">
        <v>384</v>
      </c>
      <c r="M889" s="1" t="s">
        <v>72</v>
      </c>
      <c r="N889" s="1" t="s">
        <v>134</v>
      </c>
      <c r="O889" s="1" t="s">
        <v>385</v>
      </c>
      <c r="P889" s="1" t="s">
        <v>386</v>
      </c>
      <c r="Q889" s="1" t="s">
        <v>387</v>
      </c>
      <c r="R889">
        <v>103</v>
      </c>
      <c r="S889" s="1" t="s">
        <v>135</v>
      </c>
      <c r="T889" s="1" t="s">
        <v>388</v>
      </c>
      <c r="U889" s="1" t="s">
        <v>135</v>
      </c>
      <c r="V889" s="1"/>
      <c r="W889" s="1"/>
      <c r="X889" s="1"/>
      <c r="Y889" s="1"/>
      <c r="AA889" s="1"/>
      <c r="AC889" s="1"/>
      <c r="AD889" s="1"/>
      <c r="AE889" s="1"/>
      <c r="AN889" s="1"/>
      <c r="AP889" s="1"/>
      <c r="AQ889" s="1"/>
      <c r="AR889" s="1"/>
      <c r="AS889" s="1"/>
      <c r="AT889" s="3"/>
      <c r="AU889" s="3"/>
      <c r="AV889" s="3"/>
      <c r="AW889" s="1"/>
      <c r="AX889" s="1"/>
      <c r="AZ889">
        <v>253</v>
      </c>
      <c r="BA889">
        <v>4654734.66</v>
      </c>
      <c r="BB889" s="1" t="s">
        <v>74</v>
      </c>
      <c r="BC889">
        <v>517</v>
      </c>
      <c r="BD889" s="1" t="s">
        <v>952</v>
      </c>
      <c r="BE889" s="1" t="s">
        <v>99</v>
      </c>
      <c r="BF889">
        <v>0</v>
      </c>
      <c r="BG889" s="1"/>
      <c r="BH889" s="1" t="s">
        <v>389</v>
      </c>
      <c r="BI889">
        <v>747.98</v>
      </c>
      <c r="BJ889" s="1" t="s">
        <v>1061</v>
      </c>
      <c r="BL889" s="1"/>
      <c r="BN889" s="1"/>
      <c r="BO889">
        <v>599</v>
      </c>
      <c r="BP889">
        <v>4654734.66</v>
      </c>
      <c r="BQ889">
        <v>4654734.66</v>
      </c>
    </row>
    <row r="890" spans="1:69" x14ac:dyDescent="0.35">
      <c r="A890" s="1" t="s">
        <v>68</v>
      </c>
      <c r="B890" s="1" t="s">
        <v>69</v>
      </c>
      <c r="C890" s="1" t="s">
        <v>70</v>
      </c>
      <c r="D890">
        <v>1</v>
      </c>
      <c r="E890">
        <v>1</v>
      </c>
      <c r="F890" s="2">
        <v>43585.43</v>
      </c>
      <c r="G890" s="3">
        <v>41275</v>
      </c>
      <c r="H890" s="3">
        <v>41639</v>
      </c>
      <c r="I890" s="1" t="s">
        <v>71</v>
      </c>
      <c r="J890">
        <v>4521</v>
      </c>
      <c r="K890">
        <v>0</v>
      </c>
      <c r="L890" s="1" t="s">
        <v>384</v>
      </c>
      <c r="M890" s="1" t="s">
        <v>72</v>
      </c>
      <c r="N890" s="1" t="s">
        <v>134</v>
      </c>
      <c r="O890" s="1" t="s">
        <v>385</v>
      </c>
      <c r="P890" s="1" t="s">
        <v>386</v>
      </c>
      <c r="Q890" s="1" t="s">
        <v>387</v>
      </c>
      <c r="R890">
        <v>103</v>
      </c>
      <c r="S890" s="1" t="s">
        <v>135</v>
      </c>
      <c r="T890" s="1" t="s">
        <v>388</v>
      </c>
      <c r="U890" s="1" t="s">
        <v>135</v>
      </c>
      <c r="V890" s="1"/>
      <c r="W890" s="1"/>
      <c r="X890" s="1"/>
      <c r="Y890" s="1"/>
      <c r="AA890" s="1"/>
      <c r="AC890" s="1"/>
      <c r="AD890" s="1"/>
      <c r="AE890" s="1"/>
      <c r="AN890" s="1"/>
      <c r="AP890" s="1"/>
      <c r="AQ890" s="1"/>
      <c r="AR890" s="1"/>
      <c r="AS890" s="1"/>
      <c r="AT890" s="3"/>
      <c r="AU890" s="3"/>
      <c r="AV890" s="3"/>
      <c r="AW890" s="1"/>
      <c r="AX890" s="1"/>
      <c r="AZ890">
        <v>253</v>
      </c>
      <c r="BA890">
        <v>4654734.66</v>
      </c>
      <c r="BB890" s="1" t="s">
        <v>74</v>
      </c>
      <c r="BC890">
        <v>518</v>
      </c>
      <c r="BD890" s="1" t="s">
        <v>953</v>
      </c>
      <c r="BE890" s="1" t="s">
        <v>472</v>
      </c>
      <c r="BF890">
        <v>884</v>
      </c>
      <c r="BG890" s="1" t="s">
        <v>1061</v>
      </c>
      <c r="BH890" s="1" t="s">
        <v>99</v>
      </c>
      <c r="BI890">
        <v>0</v>
      </c>
      <c r="BJ890" s="1"/>
      <c r="BL890" s="1"/>
      <c r="BN890" s="1"/>
      <c r="BO890">
        <v>599</v>
      </c>
      <c r="BP890">
        <v>4654734.66</v>
      </c>
      <c r="BQ890">
        <v>4654734.66</v>
      </c>
    </row>
    <row r="891" spans="1:69" x14ac:dyDescent="0.35">
      <c r="A891" s="1" t="s">
        <v>68</v>
      </c>
      <c r="B891" s="1" t="s">
        <v>69</v>
      </c>
      <c r="C891" s="1" t="s">
        <v>70</v>
      </c>
      <c r="D891">
        <v>1</v>
      </c>
      <c r="E891">
        <v>1</v>
      </c>
      <c r="F891" s="2">
        <v>43585.43</v>
      </c>
      <c r="G891" s="3">
        <v>41275</v>
      </c>
      <c r="H891" s="3">
        <v>41639</v>
      </c>
      <c r="I891" s="1" t="s">
        <v>71</v>
      </c>
      <c r="J891">
        <v>4521</v>
      </c>
      <c r="K891">
        <v>0</v>
      </c>
      <c r="L891" s="1" t="s">
        <v>384</v>
      </c>
      <c r="M891" s="1" t="s">
        <v>72</v>
      </c>
      <c r="N891" s="1" t="s">
        <v>134</v>
      </c>
      <c r="O891" s="1" t="s">
        <v>385</v>
      </c>
      <c r="P891" s="1" t="s">
        <v>386</v>
      </c>
      <c r="Q891" s="1" t="s">
        <v>387</v>
      </c>
      <c r="R891">
        <v>103</v>
      </c>
      <c r="S891" s="1" t="s">
        <v>135</v>
      </c>
      <c r="T891" s="1" t="s">
        <v>388</v>
      </c>
      <c r="U891" s="1" t="s">
        <v>135</v>
      </c>
      <c r="V891" s="1"/>
      <c r="W891" s="1"/>
      <c r="X891" s="1"/>
      <c r="Y891" s="1"/>
      <c r="AA891" s="1"/>
      <c r="AC891" s="1"/>
      <c r="AD891" s="1"/>
      <c r="AE891" s="1"/>
      <c r="AN891" s="1"/>
      <c r="AP891" s="1"/>
      <c r="AQ891" s="1"/>
      <c r="AR891" s="1"/>
      <c r="AS891" s="1"/>
      <c r="AT891" s="3"/>
      <c r="AU891" s="3"/>
      <c r="AV891" s="3"/>
      <c r="AW891" s="1"/>
      <c r="AX891" s="1"/>
      <c r="AZ891">
        <v>253</v>
      </c>
      <c r="BA891">
        <v>4654734.66</v>
      </c>
      <c r="BB891" s="1" t="s">
        <v>74</v>
      </c>
      <c r="BC891">
        <v>519</v>
      </c>
      <c r="BD891" s="1" t="s">
        <v>953</v>
      </c>
      <c r="BE891" s="1" t="s">
        <v>99</v>
      </c>
      <c r="BF891">
        <v>0</v>
      </c>
      <c r="BG891" s="1"/>
      <c r="BH891" s="1" t="s">
        <v>390</v>
      </c>
      <c r="BI891">
        <v>884</v>
      </c>
      <c r="BJ891" s="1" t="s">
        <v>1061</v>
      </c>
      <c r="BL891" s="1"/>
      <c r="BN891" s="1"/>
      <c r="BO891">
        <v>599</v>
      </c>
      <c r="BP891">
        <v>4654734.66</v>
      </c>
      <c r="BQ891">
        <v>4654734.66</v>
      </c>
    </row>
    <row r="892" spans="1:69" x14ac:dyDescent="0.35">
      <c r="A892" s="1" t="s">
        <v>68</v>
      </c>
      <c r="B892" s="1" t="s">
        <v>69</v>
      </c>
      <c r="C892" s="1" t="s">
        <v>70</v>
      </c>
      <c r="D892">
        <v>1</v>
      </c>
      <c r="E892">
        <v>1</v>
      </c>
      <c r="F892" s="2">
        <v>43585.43</v>
      </c>
      <c r="G892" s="3">
        <v>41275</v>
      </c>
      <c r="H892" s="3">
        <v>41639</v>
      </c>
      <c r="I892" s="1" t="s">
        <v>71</v>
      </c>
      <c r="J892">
        <v>4521</v>
      </c>
      <c r="K892">
        <v>0</v>
      </c>
      <c r="L892" s="1" t="s">
        <v>384</v>
      </c>
      <c r="M892" s="1" t="s">
        <v>72</v>
      </c>
      <c r="N892" s="1" t="s">
        <v>134</v>
      </c>
      <c r="O892" s="1" t="s">
        <v>385</v>
      </c>
      <c r="P892" s="1" t="s">
        <v>386</v>
      </c>
      <c r="Q892" s="1" t="s">
        <v>387</v>
      </c>
      <c r="R892">
        <v>103</v>
      </c>
      <c r="S892" s="1" t="s">
        <v>135</v>
      </c>
      <c r="T892" s="1" t="s">
        <v>388</v>
      </c>
      <c r="U892" s="1" t="s">
        <v>135</v>
      </c>
      <c r="V892" s="1"/>
      <c r="W892" s="1"/>
      <c r="X892" s="1"/>
      <c r="Y892" s="1"/>
      <c r="AA892" s="1"/>
      <c r="AC892" s="1"/>
      <c r="AD892" s="1"/>
      <c r="AE892" s="1"/>
      <c r="AN892" s="1"/>
      <c r="AP892" s="1"/>
      <c r="AQ892" s="1"/>
      <c r="AR892" s="1"/>
      <c r="AS892" s="1"/>
      <c r="AT892" s="3"/>
      <c r="AU892" s="3"/>
      <c r="AV892" s="3"/>
      <c r="AW892" s="1"/>
      <c r="AX892" s="1"/>
      <c r="AZ892">
        <v>253</v>
      </c>
      <c r="BA892">
        <v>4654734.66</v>
      </c>
      <c r="BB892" s="1" t="s">
        <v>74</v>
      </c>
      <c r="BC892">
        <v>520</v>
      </c>
      <c r="BD892" s="1" t="s">
        <v>954</v>
      </c>
      <c r="BE892" s="1" t="s">
        <v>479</v>
      </c>
      <c r="BF892">
        <v>1631.98</v>
      </c>
      <c r="BG892" s="1" t="s">
        <v>1061</v>
      </c>
      <c r="BH892" s="1" t="s">
        <v>99</v>
      </c>
      <c r="BI892">
        <v>0</v>
      </c>
      <c r="BJ892" s="1"/>
      <c r="BL892" s="1"/>
      <c r="BN892" s="1"/>
      <c r="BO892">
        <v>599</v>
      </c>
      <c r="BP892">
        <v>4654734.66</v>
      </c>
      <c r="BQ892">
        <v>4654734.66</v>
      </c>
    </row>
    <row r="893" spans="1:69" x14ac:dyDescent="0.35">
      <c r="A893" s="1" t="s">
        <v>68</v>
      </c>
      <c r="B893" s="1" t="s">
        <v>69</v>
      </c>
      <c r="C893" s="1" t="s">
        <v>70</v>
      </c>
      <c r="D893">
        <v>1</v>
      </c>
      <c r="E893">
        <v>1</v>
      </c>
      <c r="F893" s="2">
        <v>43585.43</v>
      </c>
      <c r="G893" s="3">
        <v>41275</v>
      </c>
      <c r="H893" s="3">
        <v>41639</v>
      </c>
      <c r="I893" s="1" t="s">
        <v>71</v>
      </c>
      <c r="J893">
        <v>4521</v>
      </c>
      <c r="K893">
        <v>0</v>
      </c>
      <c r="L893" s="1" t="s">
        <v>384</v>
      </c>
      <c r="M893" s="1" t="s">
        <v>72</v>
      </c>
      <c r="N893" s="1" t="s">
        <v>134</v>
      </c>
      <c r="O893" s="1" t="s">
        <v>385</v>
      </c>
      <c r="P893" s="1" t="s">
        <v>386</v>
      </c>
      <c r="Q893" s="1" t="s">
        <v>387</v>
      </c>
      <c r="R893">
        <v>103</v>
      </c>
      <c r="S893" s="1" t="s">
        <v>135</v>
      </c>
      <c r="T893" s="1" t="s">
        <v>388</v>
      </c>
      <c r="U893" s="1" t="s">
        <v>135</v>
      </c>
      <c r="V893" s="1"/>
      <c r="W893" s="1"/>
      <c r="X893" s="1"/>
      <c r="Y893" s="1"/>
      <c r="AA893" s="1"/>
      <c r="AC893" s="1"/>
      <c r="AD893" s="1"/>
      <c r="AE893" s="1"/>
      <c r="AN893" s="1"/>
      <c r="AP893" s="1"/>
      <c r="AQ893" s="1"/>
      <c r="AR893" s="1"/>
      <c r="AS893" s="1"/>
      <c r="AT893" s="3"/>
      <c r="AU893" s="3"/>
      <c r="AV893" s="3"/>
      <c r="AW893" s="1"/>
      <c r="AX893" s="1"/>
      <c r="AZ893">
        <v>253</v>
      </c>
      <c r="BA893">
        <v>4654734.66</v>
      </c>
      <c r="BB893" s="1" t="s">
        <v>74</v>
      </c>
      <c r="BC893">
        <v>521</v>
      </c>
      <c r="BD893" s="1" t="s">
        <v>954</v>
      </c>
      <c r="BE893" s="1" t="s">
        <v>99</v>
      </c>
      <c r="BF893">
        <v>0</v>
      </c>
      <c r="BG893" s="1"/>
      <c r="BH893" s="1" t="s">
        <v>136</v>
      </c>
      <c r="BI893">
        <v>1631.98</v>
      </c>
      <c r="BJ893" s="1" t="s">
        <v>1061</v>
      </c>
      <c r="BL893" s="1"/>
      <c r="BN893" s="1"/>
      <c r="BO893">
        <v>599</v>
      </c>
      <c r="BP893">
        <v>4654734.66</v>
      </c>
      <c r="BQ893">
        <v>4654734.66</v>
      </c>
    </row>
    <row r="894" spans="1:69" x14ac:dyDescent="0.35">
      <c r="A894" s="1" t="s">
        <v>68</v>
      </c>
      <c r="B894" s="1" t="s">
        <v>69</v>
      </c>
      <c r="C894" s="1" t="s">
        <v>70</v>
      </c>
      <c r="D894">
        <v>1</v>
      </c>
      <c r="E894">
        <v>1</v>
      </c>
      <c r="F894" s="2">
        <v>43585.43</v>
      </c>
      <c r="G894" s="3">
        <v>41275</v>
      </c>
      <c r="H894" s="3">
        <v>41639</v>
      </c>
      <c r="I894" s="1" t="s">
        <v>71</v>
      </c>
      <c r="J894">
        <v>4521</v>
      </c>
      <c r="K894">
        <v>0</v>
      </c>
      <c r="L894" s="1" t="s">
        <v>384</v>
      </c>
      <c r="M894" s="1" t="s">
        <v>72</v>
      </c>
      <c r="N894" s="1" t="s">
        <v>134</v>
      </c>
      <c r="O894" s="1" t="s">
        <v>385</v>
      </c>
      <c r="P894" s="1" t="s">
        <v>386</v>
      </c>
      <c r="Q894" s="1" t="s">
        <v>387</v>
      </c>
      <c r="R894">
        <v>103</v>
      </c>
      <c r="S894" s="1" t="s">
        <v>135</v>
      </c>
      <c r="T894" s="1" t="s">
        <v>388</v>
      </c>
      <c r="U894" s="1" t="s">
        <v>135</v>
      </c>
      <c r="V894" s="1"/>
      <c r="W894" s="1"/>
      <c r="X894" s="1"/>
      <c r="Y894" s="1"/>
      <c r="AA894" s="1"/>
      <c r="AC894" s="1"/>
      <c r="AD894" s="1"/>
      <c r="AE894" s="1"/>
      <c r="AN894" s="1"/>
      <c r="AP894" s="1"/>
      <c r="AQ894" s="1"/>
      <c r="AR894" s="1"/>
      <c r="AS894" s="1"/>
      <c r="AT894" s="3"/>
      <c r="AU894" s="3"/>
      <c r="AV894" s="3"/>
      <c r="AW894" s="1"/>
      <c r="AX894" s="1"/>
      <c r="AZ894">
        <v>253</v>
      </c>
      <c r="BA894">
        <v>4654734.66</v>
      </c>
      <c r="BB894" s="1" t="s">
        <v>74</v>
      </c>
      <c r="BC894">
        <v>522</v>
      </c>
      <c r="BD894" s="1" t="s">
        <v>955</v>
      </c>
      <c r="BE894" s="1" t="s">
        <v>480</v>
      </c>
      <c r="BF894">
        <v>884</v>
      </c>
      <c r="BG894" s="1" t="s">
        <v>1061</v>
      </c>
      <c r="BH894" s="1" t="s">
        <v>99</v>
      </c>
      <c r="BI894">
        <v>0</v>
      </c>
      <c r="BJ894" s="1"/>
      <c r="BL894" s="1"/>
      <c r="BN894" s="1"/>
      <c r="BO894">
        <v>599</v>
      </c>
      <c r="BP894">
        <v>4654734.66</v>
      </c>
      <c r="BQ894">
        <v>4654734.66</v>
      </c>
    </row>
    <row r="895" spans="1:69" x14ac:dyDescent="0.35">
      <c r="A895" s="1" t="s">
        <v>68</v>
      </c>
      <c r="B895" s="1" t="s">
        <v>69</v>
      </c>
      <c r="C895" s="1" t="s">
        <v>70</v>
      </c>
      <c r="D895">
        <v>1</v>
      </c>
      <c r="E895">
        <v>1</v>
      </c>
      <c r="F895" s="2">
        <v>43585.43</v>
      </c>
      <c r="G895" s="3">
        <v>41275</v>
      </c>
      <c r="H895" s="3">
        <v>41639</v>
      </c>
      <c r="I895" s="1" t="s">
        <v>71</v>
      </c>
      <c r="J895">
        <v>4521</v>
      </c>
      <c r="K895">
        <v>0</v>
      </c>
      <c r="L895" s="1" t="s">
        <v>384</v>
      </c>
      <c r="M895" s="1" t="s">
        <v>72</v>
      </c>
      <c r="N895" s="1" t="s">
        <v>134</v>
      </c>
      <c r="O895" s="1" t="s">
        <v>385</v>
      </c>
      <c r="P895" s="1" t="s">
        <v>386</v>
      </c>
      <c r="Q895" s="1" t="s">
        <v>387</v>
      </c>
      <c r="R895">
        <v>103</v>
      </c>
      <c r="S895" s="1" t="s">
        <v>135</v>
      </c>
      <c r="T895" s="1" t="s">
        <v>388</v>
      </c>
      <c r="U895" s="1" t="s">
        <v>135</v>
      </c>
      <c r="V895" s="1"/>
      <c r="W895" s="1"/>
      <c r="X895" s="1"/>
      <c r="Y895" s="1"/>
      <c r="AA895" s="1"/>
      <c r="AC895" s="1"/>
      <c r="AD895" s="1"/>
      <c r="AE895" s="1"/>
      <c r="AN895" s="1"/>
      <c r="AP895" s="1"/>
      <c r="AQ895" s="1"/>
      <c r="AR895" s="1"/>
      <c r="AS895" s="1"/>
      <c r="AT895" s="3"/>
      <c r="AU895" s="3"/>
      <c r="AV895" s="3"/>
      <c r="AW895" s="1"/>
      <c r="AX895" s="1"/>
      <c r="AZ895">
        <v>253</v>
      </c>
      <c r="BA895">
        <v>4654734.66</v>
      </c>
      <c r="BB895" s="1" t="s">
        <v>74</v>
      </c>
      <c r="BC895">
        <v>523</v>
      </c>
      <c r="BD895" s="1" t="s">
        <v>955</v>
      </c>
      <c r="BE895" s="1" t="s">
        <v>99</v>
      </c>
      <c r="BF895">
        <v>0</v>
      </c>
      <c r="BG895" s="1"/>
      <c r="BH895" s="1" t="s">
        <v>136</v>
      </c>
      <c r="BI895">
        <v>884</v>
      </c>
      <c r="BJ895" s="1" t="s">
        <v>1061</v>
      </c>
      <c r="BL895" s="1"/>
      <c r="BN895" s="1"/>
      <c r="BO895">
        <v>599</v>
      </c>
      <c r="BP895">
        <v>4654734.66</v>
      </c>
      <c r="BQ895">
        <v>4654734.66</v>
      </c>
    </row>
    <row r="896" spans="1:69" x14ac:dyDescent="0.35">
      <c r="A896" s="1" t="s">
        <v>68</v>
      </c>
      <c r="B896" s="1" t="s">
        <v>69</v>
      </c>
      <c r="C896" s="1" t="s">
        <v>70</v>
      </c>
      <c r="D896">
        <v>1</v>
      </c>
      <c r="E896">
        <v>1</v>
      </c>
      <c r="F896" s="2">
        <v>43585.43</v>
      </c>
      <c r="G896" s="3">
        <v>41275</v>
      </c>
      <c r="H896" s="3">
        <v>41639</v>
      </c>
      <c r="I896" s="1" t="s">
        <v>71</v>
      </c>
      <c r="J896">
        <v>4521</v>
      </c>
      <c r="K896">
        <v>0</v>
      </c>
      <c r="L896" s="1" t="s">
        <v>384</v>
      </c>
      <c r="M896" s="1" t="s">
        <v>72</v>
      </c>
      <c r="N896" s="1" t="s">
        <v>134</v>
      </c>
      <c r="O896" s="1" t="s">
        <v>385</v>
      </c>
      <c r="P896" s="1" t="s">
        <v>386</v>
      </c>
      <c r="Q896" s="1" t="s">
        <v>387</v>
      </c>
      <c r="R896">
        <v>103</v>
      </c>
      <c r="S896" s="1" t="s">
        <v>135</v>
      </c>
      <c r="T896" s="1" t="s">
        <v>388</v>
      </c>
      <c r="U896" s="1" t="s">
        <v>135</v>
      </c>
      <c r="V896" s="1"/>
      <c r="W896" s="1"/>
      <c r="X896" s="1"/>
      <c r="Y896" s="1"/>
      <c r="AA896" s="1"/>
      <c r="AC896" s="1"/>
      <c r="AD896" s="1"/>
      <c r="AE896" s="1"/>
      <c r="AN896" s="1"/>
      <c r="AP896" s="1"/>
      <c r="AQ896" s="1"/>
      <c r="AR896" s="1"/>
      <c r="AS896" s="1"/>
      <c r="AT896" s="3"/>
      <c r="AU896" s="3"/>
      <c r="AV896" s="3"/>
      <c r="AW896" s="1"/>
      <c r="AX896" s="1"/>
      <c r="AZ896">
        <v>253</v>
      </c>
      <c r="BA896">
        <v>4654734.66</v>
      </c>
      <c r="BB896" s="1" t="s">
        <v>74</v>
      </c>
      <c r="BC896">
        <v>524</v>
      </c>
      <c r="BD896" s="1" t="s">
        <v>956</v>
      </c>
      <c r="BE896" s="1" t="s">
        <v>479</v>
      </c>
      <c r="BF896">
        <v>1232.5</v>
      </c>
      <c r="BG896" s="1" t="s">
        <v>1061</v>
      </c>
      <c r="BH896" s="1" t="s">
        <v>99</v>
      </c>
      <c r="BI896">
        <v>0</v>
      </c>
      <c r="BJ896" s="1"/>
      <c r="BL896" s="1"/>
      <c r="BN896" s="1"/>
      <c r="BO896">
        <v>599</v>
      </c>
      <c r="BP896">
        <v>4654734.66</v>
      </c>
      <c r="BQ896">
        <v>4654734.66</v>
      </c>
    </row>
    <row r="897" spans="1:69" x14ac:dyDescent="0.35">
      <c r="A897" s="1" t="s">
        <v>68</v>
      </c>
      <c r="B897" s="1" t="s">
        <v>69</v>
      </c>
      <c r="C897" s="1" t="s">
        <v>70</v>
      </c>
      <c r="D897">
        <v>1</v>
      </c>
      <c r="E897">
        <v>1</v>
      </c>
      <c r="F897" s="2">
        <v>43585.43</v>
      </c>
      <c r="G897" s="3">
        <v>41275</v>
      </c>
      <c r="H897" s="3">
        <v>41639</v>
      </c>
      <c r="I897" s="1" t="s">
        <v>71</v>
      </c>
      <c r="J897">
        <v>4521</v>
      </c>
      <c r="K897">
        <v>0</v>
      </c>
      <c r="L897" s="1" t="s">
        <v>384</v>
      </c>
      <c r="M897" s="1" t="s">
        <v>72</v>
      </c>
      <c r="N897" s="1" t="s">
        <v>134</v>
      </c>
      <c r="O897" s="1" t="s">
        <v>385</v>
      </c>
      <c r="P897" s="1" t="s">
        <v>386</v>
      </c>
      <c r="Q897" s="1" t="s">
        <v>387</v>
      </c>
      <c r="R897">
        <v>103</v>
      </c>
      <c r="S897" s="1" t="s">
        <v>135</v>
      </c>
      <c r="T897" s="1" t="s">
        <v>388</v>
      </c>
      <c r="U897" s="1" t="s">
        <v>135</v>
      </c>
      <c r="V897" s="1"/>
      <c r="W897" s="1"/>
      <c r="X897" s="1"/>
      <c r="Y897" s="1"/>
      <c r="AA897" s="1"/>
      <c r="AC897" s="1"/>
      <c r="AD897" s="1"/>
      <c r="AE897" s="1"/>
      <c r="AN897" s="1"/>
      <c r="AP897" s="1"/>
      <c r="AQ897" s="1"/>
      <c r="AR897" s="1"/>
      <c r="AS897" s="1"/>
      <c r="AT897" s="3"/>
      <c r="AU897" s="3"/>
      <c r="AV897" s="3"/>
      <c r="AW897" s="1"/>
      <c r="AX897" s="1"/>
      <c r="AZ897">
        <v>253</v>
      </c>
      <c r="BA897">
        <v>4654734.66</v>
      </c>
      <c r="BB897" s="1" t="s">
        <v>74</v>
      </c>
      <c r="BC897">
        <v>525</v>
      </c>
      <c r="BD897" s="1" t="s">
        <v>956</v>
      </c>
      <c r="BE897" s="1" t="s">
        <v>99</v>
      </c>
      <c r="BF897">
        <v>0</v>
      </c>
      <c r="BG897" s="1"/>
      <c r="BH897" s="1" t="s">
        <v>136</v>
      </c>
      <c r="BI897">
        <v>1232.5</v>
      </c>
      <c r="BJ897" s="1" t="s">
        <v>1061</v>
      </c>
      <c r="BL897" s="1"/>
      <c r="BN897" s="1"/>
      <c r="BO897">
        <v>599</v>
      </c>
      <c r="BP897">
        <v>4654734.66</v>
      </c>
      <c r="BQ897">
        <v>4654734.66</v>
      </c>
    </row>
    <row r="898" spans="1:69" x14ac:dyDescent="0.35">
      <c r="A898" s="1" t="s">
        <v>68</v>
      </c>
      <c r="B898" s="1" t="s">
        <v>69</v>
      </c>
      <c r="C898" s="1" t="s">
        <v>70</v>
      </c>
      <c r="D898">
        <v>1</v>
      </c>
      <c r="E898">
        <v>1</v>
      </c>
      <c r="F898" s="2">
        <v>43585.43</v>
      </c>
      <c r="G898" s="3">
        <v>41275</v>
      </c>
      <c r="H898" s="3">
        <v>41639</v>
      </c>
      <c r="I898" s="1" t="s">
        <v>71</v>
      </c>
      <c r="J898">
        <v>4521</v>
      </c>
      <c r="K898">
        <v>0</v>
      </c>
      <c r="L898" s="1" t="s">
        <v>384</v>
      </c>
      <c r="M898" s="1" t="s">
        <v>72</v>
      </c>
      <c r="N898" s="1" t="s">
        <v>134</v>
      </c>
      <c r="O898" s="1" t="s">
        <v>385</v>
      </c>
      <c r="P898" s="1" t="s">
        <v>386</v>
      </c>
      <c r="Q898" s="1" t="s">
        <v>387</v>
      </c>
      <c r="R898">
        <v>103</v>
      </c>
      <c r="S898" s="1" t="s">
        <v>135</v>
      </c>
      <c r="T898" s="1" t="s">
        <v>388</v>
      </c>
      <c r="U898" s="1" t="s">
        <v>135</v>
      </c>
      <c r="V898" s="1"/>
      <c r="W898" s="1"/>
      <c r="X898" s="1"/>
      <c r="Y898" s="1"/>
      <c r="AA898" s="1"/>
      <c r="AC898" s="1"/>
      <c r="AD898" s="1"/>
      <c r="AE898" s="1"/>
      <c r="AN898" s="1"/>
      <c r="AP898" s="1"/>
      <c r="AQ898" s="1"/>
      <c r="AR898" s="1"/>
      <c r="AS898" s="1"/>
      <c r="AT898" s="3"/>
      <c r="AU898" s="3"/>
      <c r="AV898" s="3"/>
      <c r="AW898" s="1"/>
      <c r="AX898" s="1"/>
      <c r="AZ898">
        <v>253</v>
      </c>
      <c r="BA898">
        <v>4654734.66</v>
      </c>
      <c r="BB898" s="1" t="s">
        <v>74</v>
      </c>
      <c r="BC898">
        <v>526</v>
      </c>
      <c r="BD898" s="1" t="s">
        <v>957</v>
      </c>
      <c r="BE898" s="1" t="s">
        <v>411</v>
      </c>
      <c r="BF898">
        <v>22000</v>
      </c>
      <c r="BG898" s="1" t="s">
        <v>1033</v>
      </c>
      <c r="BH898" s="1" t="s">
        <v>99</v>
      </c>
      <c r="BI898">
        <v>0</v>
      </c>
      <c r="BJ898" s="1"/>
      <c r="BL898" s="1"/>
      <c r="BN898" s="1"/>
      <c r="BO898">
        <v>599</v>
      </c>
      <c r="BP898">
        <v>4654734.66</v>
      </c>
      <c r="BQ898">
        <v>4654734.66</v>
      </c>
    </row>
    <row r="899" spans="1:69" x14ac:dyDescent="0.35">
      <c r="A899" s="1" t="s">
        <v>68</v>
      </c>
      <c r="B899" s="1" t="s">
        <v>69</v>
      </c>
      <c r="C899" s="1" t="s">
        <v>70</v>
      </c>
      <c r="D899">
        <v>1</v>
      </c>
      <c r="E899">
        <v>1</v>
      </c>
      <c r="F899" s="2">
        <v>43585.43</v>
      </c>
      <c r="G899" s="3">
        <v>41275</v>
      </c>
      <c r="H899" s="3">
        <v>41639</v>
      </c>
      <c r="I899" s="1" t="s">
        <v>71</v>
      </c>
      <c r="J899">
        <v>4521</v>
      </c>
      <c r="K899">
        <v>0</v>
      </c>
      <c r="L899" s="1" t="s">
        <v>384</v>
      </c>
      <c r="M899" s="1" t="s">
        <v>72</v>
      </c>
      <c r="N899" s="1" t="s">
        <v>134</v>
      </c>
      <c r="O899" s="1" t="s">
        <v>385</v>
      </c>
      <c r="P899" s="1" t="s">
        <v>386</v>
      </c>
      <c r="Q899" s="1" t="s">
        <v>387</v>
      </c>
      <c r="R899">
        <v>103</v>
      </c>
      <c r="S899" s="1" t="s">
        <v>135</v>
      </c>
      <c r="T899" s="1" t="s">
        <v>388</v>
      </c>
      <c r="U899" s="1" t="s">
        <v>135</v>
      </c>
      <c r="V899" s="1"/>
      <c r="W899" s="1"/>
      <c r="X899" s="1"/>
      <c r="Y899" s="1"/>
      <c r="AA899" s="1"/>
      <c r="AC899" s="1"/>
      <c r="AD899" s="1"/>
      <c r="AE899" s="1"/>
      <c r="AN899" s="1"/>
      <c r="AP899" s="1"/>
      <c r="AQ899" s="1"/>
      <c r="AR899" s="1"/>
      <c r="AS899" s="1"/>
      <c r="AT899" s="3"/>
      <c r="AU899" s="3"/>
      <c r="AV899" s="3"/>
      <c r="AW899" s="1"/>
      <c r="AX899" s="1"/>
      <c r="AZ899">
        <v>253</v>
      </c>
      <c r="BA899">
        <v>4654734.66</v>
      </c>
      <c r="BB899" s="1" t="s">
        <v>74</v>
      </c>
      <c r="BC899">
        <v>527</v>
      </c>
      <c r="BD899" s="1" t="s">
        <v>957</v>
      </c>
      <c r="BE899" s="1" t="s">
        <v>99</v>
      </c>
      <c r="BF899">
        <v>0</v>
      </c>
      <c r="BG899" s="1"/>
      <c r="BH899" s="1" t="s">
        <v>488</v>
      </c>
      <c r="BI899">
        <v>22000</v>
      </c>
      <c r="BJ899" s="1" t="s">
        <v>1033</v>
      </c>
      <c r="BL899" s="1"/>
      <c r="BN899" s="1"/>
      <c r="BO899">
        <v>599</v>
      </c>
      <c r="BP899">
        <v>4654734.66</v>
      </c>
      <c r="BQ899">
        <v>4654734.66</v>
      </c>
    </row>
    <row r="900" spans="1:69" x14ac:dyDescent="0.35">
      <c r="A900" s="1" t="s">
        <v>68</v>
      </c>
      <c r="B900" s="1" t="s">
        <v>69</v>
      </c>
      <c r="C900" s="1" t="s">
        <v>70</v>
      </c>
      <c r="D900">
        <v>1</v>
      </c>
      <c r="E900">
        <v>1</v>
      </c>
      <c r="F900" s="2">
        <v>43585.43</v>
      </c>
      <c r="G900" s="3">
        <v>41275</v>
      </c>
      <c r="H900" s="3">
        <v>41639</v>
      </c>
      <c r="I900" s="1" t="s">
        <v>71</v>
      </c>
      <c r="J900">
        <v>4521</v>
      </c>
      <c r="K900">
        <v>0</v>
      </c>
      <c r="L900" s="1" t="s">
        <v>384</v>
      </c>
      <c r="M900" s="1" t="s">
        <v>72</v>
      </c>
      <c r="N900" s="1" t="s">
        <v>134</v>
      </c>
      <c r="O900" s="1" t="s">
        <v>385</v>
      </c>
      <c r="P900" s="1" t="s">
        <v>386</v>
      </c>
      <c r="Q900" s="1" t="s">
        <v>387</v>
      </c>
      <c r="R900">
        <v>103</v>
      </c>
      <c r="S900" s="1" t="s">
        <v>135</v>
      </c>
      <c r="T900" s="1" t="s">
        <v>388</v>
      </c>
      <c r="U900" s="1" t="s">
        <v>135</v>
      </c>
      <c r="V900" s="1"/>
      <c r="W900" s="1"/>
      <c r="X900" s="1"/>
      <c r="Y900" s="1"/>
      <c r="AA900" s="1"/>
      <c r="AC900" s="1"/>
      <c r="AD900" s="1"/>
      <c r="AE900" s="1"/>
      <c r="AN900" s="1"/>
      <c r="AP900" s="1"/>
      <c r="AQ900" s="1"/>
      <c r="AR900" s="1"/>
      <c r="AS900" s="1"/>
      <c r="AT900" s="3"/>
      <c r="AU900" s="3"/>
      <c r="AV900" s="3"/>
      <c r="AW900" s="1"/>
      <c r="AX900" s="1"/>
      <c r="AZ900">
        <v>253</v>
      </c>
      <c r="BA900">
        <v>4654734.66</v>
      </c>
      <c r="BB900" s="1" t="s">
        <v>74</v>
      </c>
      <c r="BC900">
        <v>528</v>
      </c>
      <c r="BD900" s="1" t="s">
        <v>958</v>
      </c>
      <c r="BE900" s="1" t="s">
        <v>407</v>
      </c>
      <c r="BF900">
        <v>28905</v>
      </c>
      <c r="BG900" s="1" t="s">
        <v>619</v>
      </c>
      <c r="BH900" s="1" t="s">
        <v>99</v>
      </c>
      <c r="BI900">
        <v>0</v>
      </c>
      <c r="BJ900" s="1"/>
      <c r="BL900" s="1"/>
      <c r="BN900" s="1"/>
      <c r="BO900">
        <v>599</v>
      </c>
      <c r="BP900">
        <v>4654734.66</v>
      </c>
      <c r="BQ900">
        <v>4654734.66</v>
      </c>
    </row>
    <row r="901" spans="1:69" x14ac:dyDescent="0.35">
      <c r="A901" s="1" t="s">
        <v>68</v>
      </c>
      <c r="B901" s="1" t="s">
        <v>69</v>
      </c>
      <c r="C901" s="1" t="s">
        <v>70</v>
      </c>
      <c r="D901">
        <v>1</v>
      </c>
      <c r="E901">
        <v>1</v>
      </c>
      <c r="F901" s="2">
        <v>43585.43</v>
      </c>
      <c r="G901" s="3">
        <v>41275</v>
      </c>
      <c r="H901" s="3">
        <v>41639</v>
      </c>
      <c r="I901" s="1" t="s">
        <v>71</v>
      </c>
      <c r="J901">
        <v>4521</v>
      </c>
      <c r="K901">
        <v>0</v>
      </c>
      <c r="L901" s="1" t="s">
        <v>384</v>
      </c>
      <c r="M901" s="1" t="s">
        <v>72</v>
      </c>
      <c r="N901" s="1" t="s">
        <v>134</v>
      </c>
      <c r="O901" s="1" t="s">
        <v>385</v>
      </c>
      <c r="P901" s="1" t="s">
        <v>386</v>
      </c>
      <c r="Q901" s="1" t="s">
        <v>387</v>
      </c>
      <c r="R901">
        <v>103</v>
      </c>
      <c r="S901" s="1" t="s">
        <v>135</v>
      </c>
      <c r="T901" s="1" t="s">
        <v>388</v>
      </c>
      <c r="U901" s="1" t="s">
        <v>135</v>
      </c>
      <c r="V901" s="1"/>
      <c r="W901" s="1"/>
      <c r="X901" s="1"/>
      <c r="Y901" s="1"/>
      <c r="AA901" s="1"/>
      <c r="AC901" s="1"/>
      <c r="AD901" s="1"/>
      <c r="AE901" s="1"/>
      <c r="AN901" s="1"/>
      <c r="AP901" s="1"/>
      <c r="AQ901" s="1"/>
      <c r="AR901" s="1"/>
      <c r="AS901" s="1"/>
      <c r="AT901" s="3"/>
      <c r="AU901" s="3"/>
      <c r="AV901" s="3"/>
      <c r="AW901" s="1"/>
      <c r="AX901" s="1"/>
      <c r="AZ901">
        <v>253</v>
      </c>
      <c r="BA901">
        <v>4654734.66</v>
      </c>
      <c r="BB901" s="1" t="s">
        <v>74</v>
      </c>
      <c r="BC901">
        <v>529</v>
      </c>
      <c r="BD901" s="1" t="s">
        <v>958</v>
      </c>
      <c r="BE901" s="1" t="s">
        <v>99</v>
      </c>
      <c r="BF901">
        <v>0</v>
      </c>
      <c r="BG901" s="1"/>
      <c r="BH901" s="1" t="s">
        <v>489</v>
      </c>
      <c r="BI901">
        <v>23500</v>
      </c>
      <c r="BJ901" s="1" t="s">
        <v>619</v>
      </c>
      <c r="BL901" s="1"/>
      <c r="BN901" s="1"/>
      <c r="BO901">
        <v>599</v>
      </c>
      <c r="BP901">
        <v>4654734.66</v>
      </c>
      <c r="BQ901">
        <v>4654734.66</v>
      </c>
    </row>
    <row r="902" spans="1:69" x14ac:dyDescent="0.35">
      <c r="A902" s="1" t="s">
        <v>68</v>
      </c>
      <c r="B902" s="1" t="s">
        <v>69</v>
      </c>
      <c r="C902" s="1" t="s">
        <v>70</v>
      </c>
      <c r="D902">
        <v>1</v>
      </c>
      <c r="E902">
        <v>1</v>
      </c>
      <c r="F902" s="2">
        <v>43585.43</v>
      </c>
      <c r="G902" s="3">
        <v>41275</v>
      </c>
      <c r="H902" s="3">
        <v>41639</v>
      </c>
      <c r="I902" s="1" t="s">
        <v>71</v>
      </c>
      <c r="J902">
        <v>4521</v>
      </c>
      <c r="K902">
        <v>0</v>
      </c>
      <c r="L902" s="1" t="s">
        <v>384</v>
      </c>
      <c r="M902" s="1" t="s">
        <v>72</v>
      </c>
      <c r="N902" s="1" t="s">
        <v>134</v>
      </c>
      <c r="O902" s="1" t="s">
        <v>385</v>
      </c>
      <c r="P902" s="1" t="s">
        <v>386</v>
      </c>
      <c r="Q902" s="1" t="s">
        <v>387</v>
      </c>
      <c r="R902">
        <v>103</v>
      </c>
      <c r="S902" s="1" t="s">
        <v>135</v>
      </c>
      <c r="T902" s="1" t="s">
        <v>388</v>
      </c>
      <c r="U902" s="1" t="s">
        <v>135</v>
      </c>
      <c r="V902" s="1"/>
      <c r="W902" s="1"/>
      <c r="X902" s="1"/>
      <c r="Y902" s="1"/>
      <c r="AA902" s="1"/>
      <c r="AC902" s="1"/>
      <c r="AD902" s="1"/>
      <c r="AE902" s="1"/>
      <c r="AN902" s="1"/>
      <c r="AP902" s="1"/>
      <c r="AQ902" s="1"/>
      <c r="AR902" s="1"/>
      <c r="AS902" s="1"/>
      <c r="AT902" s="3"/>
      <c r="AU902" s="3"/>
      <c r="AV902" s="3"/>
      <c r="AW902" s="1"/>
      <c r="AX902" s="1"/>
      <c r="AZ902">
        <v>253</v>
      </c>
      <c r="BA902">
        <v>4654734.66</v>
      </c>
      <c r="BB902" s="1" t="s">
        <v>74</v>
      </c>
      <c r="BC902">
        <v>530</v>
      </c>
      <c r="BD902" s="1" t="s">
        <v>958</v>
      </c>
      <c r="BE902" s="1" t="s">
        <v>99</v>
      </c>
      <c r="BF902">
        <v>0</v>
      </c>
      <c r="BG902" s="1"/>
      <c r="BH902" s="1" t="s">
        <v>451</v>
      </c>
      <c r="BI902">
        <v>5405</v>
      </c>
      <c r="BJ902" s="1" t="s">
        <v>619</v>
      </c>
      <c r="BL902" s="1"/>
      <c r="BN902" s="1"/>
      <c r="BO902">
        <v>599</v>
      </c>
      <c r="BP902">
        <v>4654734.66</v>
      </c>
      <c r="BQ902">
        <v>4654734.66</v>
      </c>
    </row>
    <row r="903" spans="1:69" x14ac:dyDescent="0.35">
      <c r="A903" s="1" t="s">
        <v>68</v>
      </c>
      <c r="B903" s="1" t="s">
        <v>69</v>
      </c>
      <c r="C903" s="1" t="s">
        <v>70</v>
      </c>
      <c r="D903">
        <v>1</v>
      </c>
      <c r="E903">
        <v>1</v>
      </c>
      <c r="F903" s="2">
        <v>43585.43</v>
      </c>
      <c r="G903" s="3">
        <v>41275</v>
      </c>
      <c r="H903" s="3">
        <v>41639</v>
      </c>
      <c r="I903" s="1" t="s">
        <v>71</v>
      </c>
      <c r="J903">
        <v>4521</v>
      </c>
      <c r="K903">
        <v>0</v>
      </c>
      <c r="L903" s="1" t="s">
        <v>384</v>
      </c>
      <c r="M903" s="1" t="s">
        <v>72</v>
      </c>
      <c r="N903" s="1" t="s">
        <v>134</v>
      </c>
      <c r="O903" s="1" t="s">
        <v>385</v>
      </c>
      <c r="P903" s="1" t="s">
        <v>386</v>
      </c>
      <c r="Q903" s="1" t="s">
        <v>387</v>
      </c>
      <c r="R903">
        <v>103</v>
      </c>
      <c r="S903" s="1" t="s">
        <v>135</v>
      </c>
      <c r="T903" s="1" t="s">
        <v>388</v>
      </c>
      <c r="U903" s="1" t="s">
        <v>135</v>
      </c>
      <c r="V903" s="1"/>
      <c r="W903" s="1"/>
      <c r="X903" s="1"/>
      <c r="Y903" s="1"/>
      <c r="AA903" s="1"/>
      <c r="AC903" s="1"/>
      <c r="AD903" s="1"/>
      <c r="AE903" s="1"/>
      <c r="AN903" s="1"/>
      <c r="AP903" s="1"/>
      <c r="AQ903" s="1"/>
      <c r="AR903" s="1"/>
      <c r="AS903" s="1"/>
      <c r="AT903" s="3"/>
      <c r="AU903" s="3"/>
      <c r="AV903" s="3"/>
      <c r="AW903" s="1"/>
      <c r="AX903" s="1"/>
      <c r="AZ903">
        <v>253</v>
      </c>
      <c r="BA903">
        <v>4654734.66</v>
      </c>
      <c r="BB903" s="1" t="s">
        <v>74</v>
      </c>
      <c r="BC903">
        <v>531</v>
      </c>
      <c r="BD903" s="1" t="s">
        <v>959</v>
      </c>
      <c r="BE903" s="1" t="s">
        <v>466</v>
      </c>
      <c r="BF903">
        <v>7852</v>
      </c>
      <c r="BG903" s="1" t="s">
        <v>1030</v>
      </c>
      <c r="BH903" s="1" t="s">
        <v>99</v>
      </c>
      <c r="BI903">
        <v>0</v>
      </c>
      <c r="BJ903" s="1"/>
      <c r="BL903" s="1"/>
      <c r="BN903" s="1"/>
      <c r="BO903">
        <v>599</v>
      </c>
      <c r="BP903">
        <v>4654734.66</v>
      </c>
      <c r="BQ903">
        <v>4654734.66</v>
      </c>
    </row>
    <row r="904" spans="1:69" x14ac:dyDescent="0.35">
      <c r="A904" s="1" t="s">
        <v>68</v>
      </c>
      <c r="B904" s="1" t="s">
        <v>69</v>
      </c>
      <c r="C904" s="1" t="s">
        <v>70</v>
      </c>
      <c r="D904">
        <v>1</v>
      </c>
      <c r="E904">
        <v>1</v>
      </c>
      <c r="F904" s="2">
        <v>43585.43</v>
      </c>
      <c r="G904" s="3">
        <v>41275</v>
      </c>
      <c r="H904" s="3">
        <v>41639</v>
      </c>
      <c r="I904" s="1" t="s">
        <v>71</v>
      </c>
      <c r="J904">
        <v>4521</v>
      </c>
      <c r="K904">
        <v>0</v>
      </c>
      <c r="L904" s="1" t="s">
        <v>384</v>
      </c>
      <c r="M904" s="1" t="s">
        <v>72</v>
      </c>
      <c r="N904" s="1" t="s">
        <v>134</v>
      </c>
      <c r="O904" s="1" t="s">
        <v>385</v>
      </c>
      <c r="P904" s="1" t="s">
        <v>386</v>
      </c>
      <c r="Q904" s="1" t="s">
        <v>387</v>
      </c>
      <c r="R904">
        <v>103</v>
      </c>
      <c r="S904" s="1" t="s">
        <v>135</v>
      </c>
      <c r="T904" s="1" t="s">
        <v>388</v>
      </c>
      <c r="U904" s="1" t="s">
        <v>135</v>
      </c>
      <c r="V904" s="1"/>
      <c r="W904" s="1"/>
      <c r="X904" s="1"/>
      <c r="Y904" s="1"/>
      <c r="AA904" s="1"/>
      <c r="AC904" s="1"/>
      <c r="AD904" s="1"/>
      <c r="AE904" s="1"/>
      <c r="AN904" s="1"/>
      <c r="AP904" s="1"/>
      <c r="AQ904" s="1"/>
      <c r="AR904" s="1"/>
      <c r="AS904" s="1"/>
      <c r="AT904" s="3"/>
      <c r="AU904" s="3"/>
      <c r="AV904" s="3"/>
      <c r="AW904" s="1"/>
      <c r="AX904" s="1"/>
      <c r="AZ904">
        <v>253</v>
      </c>
      <c r="BA904">
        <v>4654734.66</v>
      </c>
      <c r="BB904" s="1" t="s">
        <v>74</v>
      </c>
      <c r="BC904">
        <v>532</v>
      </c>
      <c r="BD904" s="1" t="s">
        <v>959</v>
      </c>
      <c r="BE904" s="1" t="s">
        <v>99</v>
      </c>
      <c r="BF904">
        <v>0</v>
      </c>
      <c r="BG904" s="1"/>
      <c r="BH904" s="1" t="s">
        <v>427</v>
      </c>
      <c r="BI904">
        <v>9657.9599999999991</v>
      </c>
      <c r="BJ904" s="1" t="s">
        <v>1030</v>
      </c>
      <c r="BL904" s="1"/>
      <c r="BN904" s="1"/>
      <c r="BO904">
        <v>599</v>
      </c>
      <c r="BP904">
        <v>4654734.66</v>
      </c>
      <c r="BQ904">
        <v>4654734.66</v>
      </c>
    </row>
    <row r="905" spans="1:69" x14ac:dyDescent="0.35">
      <c r="A905" s="1" t="s">
        <v>68</v>
      </c>
      <c r="B905" s="1" t="s">
        <v>69</v>
      </c>
      <c r="C905" s="1" t="s">
        <v>70</v>
      </c>
      <c r="D905">
        <v>1</v>
      </c>
      <c r="E905">
        <v>1</v>
      </c>
      <c r="F905" s="2">
        <v>43585.43</v>
      </c>
      <c r="G905" s="3">
        <v>41275</v>
      </c>
      <c r="H905" s="3">
        <v>41639</v>
      </c>
      <c r="I905" s="1" t="s">
        <v>71</v>
      </c>
      <c r="J905">
        <v>4521</v>
      </c>
      <c r="K905">
        <v>0</v>
      </c>
      <c r="L905" s="1" t="s">
        <v>384</v>
      </c>
      <c r="M905" s="1" t="s">
        <v>72</v>
      </c>
      <c r="N905" s="1" t="s">
        <v>134</v>
      </c>
      <c r="O905" s="1" t="s">
        <v>385</v>
      </c>
      <c r="P905" s="1" t="s">
        <v>386</v>
      </c>
      <c r="Q905" s="1" t="s">
        <v>387</v>
      </c>
      <c r="R905">
        <v>103</v>
      </c>
      <c r="S905" s="1" t="s">
        <v>135</v>
      </c>
      <c r="T905" s="1" t="s">
        <v>388</v>
      </c>
      <c r="U905" s="1" t="s">
        <v>135</v>
      </c>
      <c r="V905" s="1"/>
      <c r="W905" s="1"/>
      <c r="X905" s="1"/>
      <c r="Y905" s="1"/>
      <c r="AA905" s="1"/>
      <c r="AC905" s="1"/>
      <c r="AD905" s="1"/>
      <c r="AE905" s="1"/>
      <c r="AN905" s="1"/>
      <c r="AP905" s="1"/>
      <c r="AQ905" s="1"/>
      <c r="AR905" s="1"/>
      <c r="AS905" s="1"/>
      <c r="AT905" s="3"/>
      <c r="AU905" s="3"/>
      <c r="AV905" s="3"/>
      <c r="AW905" s="1"/>
      <c r="AX905" s="1"/>
      <c r="AZ905">
        <v>253</v>
      </c>
      <c r="BA905">
        <v>4654734.66</v>
      </c>
      <c r="BB905" s="1" t="s">
        <v>74</v>
      </c>
      <c r="BC905">
        <v>533</v>
      </c>
      <c r="BD905" s="1" t="s">
        <v>959</v>
      </c>
      <c r="BE905" s="1" t="s">
        <v>452</v>
      </c>
      <c r="BF905">
        <v>1805.96</v>
      </c>
      <c r="BG905" s="1" t="s">
        <v>1030</v>
      </c>
      <c r="BH905" s="1" t="s">
        <v>99</v>
      </c>
      <c r="BI905">
        <v>0</v>
      </c>
      <c r="BJ905" s="1"/>
      <c r="BL905" s="1"/>
      <c r="BN905" s="1"/>
      <c r="BO905">
        <v>599</v>
      </c>
      <c r="BP905">
        <v>4654734.66</v>
      </c>
      <c r="BQ905">
        <v>4654734.66</v>
      </c>
    </row>
    <row r="906" spans="1:69" x14ac:dyDescent="0.35">
      <c r="A906" s="1" t="s">
        <v>68</v>
      </c>
      <c r="B906" s="1" t="s">
        <v>69</v>
      </c>
      <c r="C906" s="1" t="s">
        <v>70</v>
      </c>
      <c r="D906">
        <v>1</v>
      </c>
      <c r="E906">
        <v>1</v>
      </c>
      <c r="F906" s="2">
        <v>43585.43</v>
      </c>
      <c r="G906" s="3">
        <v>41275</v>
      </c>
      <c r="H906" s="3">
        <v>41639</v>
      </c>
      <c r="I906" s="1" t="s">
        <v>71</v>
      </c>
      <c r="J906">
        <v>4521</v>
      </c>
      <c r="K906">
        <v>0</v>
      </c>
      <c r="L906" s="1" t="s">
        <v>384</v>
      </c>
      <c r="M906" s="1" t="s">
        <v>72</v>
      </c>
      <c r="N906" s="1" t="s">
        <v>134</v>
      </c>
      <c r="O906" s="1" t="s">
        <v>385</v>
      </c>
      <c r="P906" s="1" t="s">
        <v>386</v>
      </c>
      <c r="Q906" s="1" t="s">
        <v>387</v>
      </c>
      <c r="R906">
        <v>103</v>
      </c>
      <c r="S906" s="1" t="s">
        <v>135</v>
      </c>
      <c r="T906" s="1" t="s">
        <v>388</v>
      </c>
      <c r="U906" s="1" t="s">
        <v>135</v>
      </c>
      <c r="V906" s="1"/>
      <c r="W906" s="1"/>
      <c r="X906" s="1"/>
      <c r="Y906" s="1"/>
      <c r="AA906" s="1"/>
      <c r="AC906" s="1"/>
      <c r="AD906" s="1"/>
      <c r="AE906" s="1"/>
      <c r="AN906" s="1"/>
      <c r="AP906" s="1"/>
      <c r="AQ906" s="1"/>
      <c r="AR906" s="1"/>
      <c r="AS906" s="1"/>
      <c r="AT906" s="3"/>
      <c r="AU906" s="3"/>
      <c r="AV906" s="3"/>
      <c r="AW906" s="1"/>
      <c r="AX906" s="1"/>
      <c r="AZ906">
        <v>253</v>
      </c>
      <c r="BA906">
        <v>4654734.66</v>
      </c>
      <c r="BB906" s="1" t="s">
        <v>74</v>
      </c>
      <c r="BC906">
        <v>534</v>
      </c>
      <c r="BD906" s="1" t="s">
        <v>960</v>
      </c>
      <c r="BE906" s="1" t="s">
        <v>468</v>
      </c>
      <c r="BF906">
        <v>15000</v>
      </c>
      <c r="BG906" s="1" t="s">
        <v>1040</v>
      </c>
      <c r="BH906" s="1" t="s">
        <v>99</v>
      </c>
      <c r="BI906">
        <v>0</v>
      </c>
      <c r="BJ906" s="1"/>
      <c r="BL906" s="1"/>
      <c r="BN906" s="1"/>
      <c r="BO906">
        <v>599</v>
      </c>
      <c r="BP906">
        <v>4654734.66</v>
      </c>
      <c r="BQ906">
        <v>4654734.66</v>
      </c>
    </row>
    <row r="907" spans="1:69" x14ac:dyDescent="0.35">
      <c r="A907" s="1" t="s">
        <v>68</v>
      </c>
      <c r="B907" s="1" t="s">
        <v>69</v>
      </c>
      <c r="C907" s="1" t="s">
        <v>70</v>
      </c>
      <c r="D907">
        <v>1</v>
      </c>
      <c r="E907">
        <v>1</v>
      </c>
      <c r="F907" s="2">
        <v>43585.43</v>
      </c>
      <c r="G907" s="3">
        <v>41275</v>
      </c>
      <c r="H907" s="3">
        <v>41639</v>
      </c>
      <c r="I907" s="1" t="s">
        <v>71</v>
      </c>
      <c r="J907">
        <v>4521</v>
      </c>
      <c r="K907">
        <v>0</v>
      </c>
      <c r="L907" s="1" t="s">
        <v>384</v>
      </c>
      <c r="M907" s="1" t="s">
        <v>72</v>
      </c>
      <c r="N907" s="1" t="s">
        <v>134</v>
      </c>
      <c r="O907" s="1" t="s">
        <v>385</v>
      </c>
      <c r="P907" s="1" t="s">
        <v>386</v>
      </c>
      <c r="Q907" s="1" t="s">
        <v>387</v>
      </c>
      <c r="R907">
        <v>103</v>
      </c>
      <c r="S907" s="1" t="s">
        <v>135</v>
      </c>
      <c r="T907" s="1" t="s">
        <v>388</v>
      </c>
      <c r="U907" s="1" t="s">
        <v>135</v>
      </c>
      <c r="V907" s="1"/>
      <c r="W907" s="1"/>
      <c r="X907" s="1"/>
      <c r="Y907" s="1"/>
      <c r="AA907" s="1"/>
      <c r="AC907" s="1"/>
      <c r="AD907" s="1"/>
      <c r="AE907" s="1"/>
      <c r="AN907" s="1"/>
      <c r="AP907" s="1"/>
      <c r="AQ907" s="1"/>
      <c r="AR907" s="1"/>
      <c r="AS907" s="1"/>
      <c r="AT907" s="3"/>
      <c r="AU907" s="3"/>
      <c r="AV907" s="3"/>
      <c r="AW907" s="1"/>
      <c r="AX907" s="1"/>
      <c r="AZ907">
        <v>253</v>
      </c>
      <c r="BA907">
        <v>4654734.66</v>
      </c>
      <c r="BB907" s="1" t="s">
        <v>74</v>
      </c>
      <c r="BC907">
        <v>535</v>
      </c>
      <c r="BD907" s="1" t="s">
        <v>960</v>
      </c>
      <c r="BE907" s="1" t="s">
        <v>99</v>
      </c>
      <c r="BF907">
        <v>0</v>
      </c>
      <c r="BG907" s="1"/>
      <c r="BH907" s="1" t="s">
        <v>430</v>
      </c>
      <c r="BI907">
        <v>18450</v>
      </c>
      <c r="BJ907" s="1" t="s">
        <v>1040</v>
      </c>
      <c r="BL907" s="1"/>
      <c r="BN907" s="1"/>
      <c r="BO907">
        <v>599</v>
      </c>
      <c r="BP907">
        <v>4654734.66</v>
      </c>
      <c r="BQ907">
        <v>4654734.66</v>
      </c>
    </row>
    <row r="908" spans="1:69" x14ac:dyDescent="0.35">
      <c r="A908" s="1" t="s">
        <v>68</v>
      </c>
      <c r="B908" s="1" t="s">
        <v>69</v>
      </c>
      <c r="C908" s="1" t="s">
        <v>70</v>
      </c>
      <c r="D908">
        <v>1</v>
      </c>
      <c r="E908">
        <v>1</v>
      </c>
      <c r="F908" s="2">
        <v>43585.43</v>
      </c>
      <c r="G908" s="3">
        <v>41275</v>
      </c>
      <c r="H908" s="3">
        <v>41639</v>
      </c>
      <c r="I908" s="1" t="s">
        <v>71</v>
      </c>
      <c r="J908">
        <v>4521</v>
      </c>
      <c r="K908">
        <v>0</v>
      </c>
      <c r="L908" s="1" t="s">
        <v>384</v>
      </c>
      <c r="M908" s="1" t="s">
        <v>72</v>
      </c>
      <c r="N908" s="1" t="s">
        <v>134</v>
      </c>
      <c r="O908" s="1" t="s">
        <v>385</v>
      </c>
      <c r="P908" s="1" t="s">
        <v>386</v>
      </c>
      <c r="Q908" s="1" t="s">
        <v>387</v>
      </c>
      <c r="R908">
        <v>103</v>
      </c>
      <c r="S908" s="1" t="s">
        <v>135</v>
      </c>
      <c r="T908" s="1" t="s">
        <v>388</v>
      </c>
      <c r="U908" s="1" t="s">
        <v>135</v>
      </c>
      <c r="V908" s="1"/>
      <c r="W908" s="1"/>
      <c r="X908" s="1"/>
      <c r="Y908" s="1"/>
      <c r="AA908" s="1"/>
      <c r="AC908" s="1"/>
      <c r="AD908" s="1"/>
      <c r="AE908" s="1"/>
      <c r="AN908" s="1"/>
      <c r="AP908" s="1"/>
      <c r="AQ908" s="1"/>
      <c r="AR908" s="1"/>
      <c r="AS908" s="1"/>
      <c r="AT908" s="3"/>
      <c r="AU908" s="3"/>
      <c r="AV908" s="3"/>
      <c r="AW908" s="1"/>
      <c r="AX908" s="1"/>
      <c r="AZ908">
        <v>253</v>
      </c>
      <c r="BA908">
        <v>4654734.66</v>
      </c>
      <c r="BB908" s="1" t="s">
        <v>74</v>
      </c>
      <c r="BC908">
        <v>536</v>
      </c>
      <c r="BD908" s="1" t="s">
        <v>960</v>
      </c>
      <c r="BE908" s="1" t="s">
        <v>452</v>
      </c>
      <c r="BF908">
        <v>3450</v>
      </c>
      <c r="BG908" s="1" t="s">
        <v>1040</v>
      </c>
      <c r="BH908" s="1" t="s">
        <v>99</v>
      </c>
      <c r="BI908">
        <v>0</v>
      </c>
      <c r="BJ908" s="1"/>
      <c r="BL908" s="1"/>
      <c r="BN908" s="1"/>
      <c r="BO908">
        <v>599</v>
      </c>
      <c r="BP908">
        <v>4654734.66</v>
      </c>
      <c r="BQ908">
        <v>4654734.66</v>
      </c>
    </row>
    <row r="909" spans="1:69" x14ac:dyDescent="0.35">
      <c r="A909" s="1" t="s">
        <v>68</v>
      </c>
      <c r="B909" s="1" t="s">
        <v>69</v>
      </c>
      <c r="C909" s="1" t="s">
        <v>70</v>
      </c>
      <c r="D909">
        <v>1</v>
      </c>
      <c r="E909">
        <v>1</v>
      </c>
      <c r="F909" s="2">
        <v>43585.43</v>
      </c>
      <c r="G909" s="3">
        <v>41275</v>
      </c>
      <c r="H909" s="3">
        <v>41639</v>
      </c>
      <c r="I909" s="1" t="s">
        <v>71</v>
      </c>
      <c r="J909">
        <v>4521</v>
      </c>
      <c r="K909">
        <v>0</v>
      </c>
      <c r="L909" s="1" t="s">
        <v>384</v>
      </c>
      <c r="M909" s="1" t="s">
        <v>72</v>
      </c>
      <c r="N909" s="1" t="s">
        <v>134</v>
      </c>
      <c r="O909" s="1" t="s">
        <v>385</v>
      </c>
      <c r="P909" s="1" t="s">
        <v>386</v>
      </c>
      <c r="Q909" s="1" t="s">
        <v>387</v>
      </c>
      <c r="R909">
        <v>103</v>
      </c>
      <c r="S909" s="1" t="s">
        <v>135</v>
      </c>
      <c r="T909" s="1" t="s">
        <v>388</v>
      </c>
      <c r="U909" s="1" t="s">
        <v>135</v>
      </c>
      <c r="V909" s="1"/>
      <c r="W909" s="1"/>
      <c r="X909" s="1"/>
      <c r="Y909" s="1"/>
      <c r="AA909" s="1"/>
      <c r="AC909" s="1"/>
      <c r="AD909" s="1"/>
      <c r="AE909" s="1"/>
      <c r="AN909" s="1"/>
      <c r="AP909" s="1"/>
      <c r="AQ909" s="1"/>
      <c r="AR909" s="1"/>
      <c r="AS909" s="1"/>
      <c r="AT909" s="3"/>
      <c r="AU909" s="3"/>
      <c r="AV909" s="3"/>
      <c r="AW909" s="1"/>
      <c r="AX909" s="1"/>
      <c r="AZ909">
        <v>253</v>
      </c>
      <c r="BA909">
        <v>4654734.66</v>
      </c>
      <c r="BB909" s="1" t="s">
        <v>74</v>
      </c>
      <c r="BC909">
        <v>537</v>
      </c>
      <c r="BD909" s="1" t="s">
        <v>961</v>
      </c>
      <c r="BE909" s="1" t="s">
        <v>402</v>
      </c>
      <c r="BF909">
        <v>105685.51</v>
      </c>
      <c r="BG909" s="1" t="s">
        <v>1282</v>
      </c>
      <c r="BH909" s="1" t="s">
        <v>99</v>
      </c>
      <c r="BI909">
        <v>0</v>
      </c>
      <c r="BJ909" s="1"/>
      <c r="BK909">
        <v>25216.05</v>
      </c>
      <c r="BL909" s="1" t="s">
        <v>1295</v>
      </c>
      <c r="BN909" s="1"/>
      <c r="BO909">
        <v>599</v>
      </c>
      <c r="BP909">
        <v>4654734.66</v>
      </c>
      <c r="BQ909">
        <v>4654734.66</v>
      </c>
    </row>
    <row r="910" spans="1:69" x14ac:dyDescent="0.35">
      <c r="A910" s="1" t="s">
        <v>68</v>
      </c>
      <c r="B910" s="1" t="s">
        <v>69</v>
      </c>
      <c r="C910" s="1" t="s">
        <v>70</v>
      </c>
      <c r="D910">
        <v>1</v>
      </c>
      <c r="E910">
        <v>1</v>
      </c>
      <c r="F910" s="2">
        <v>43585.43</v>
      </c>
      <c r="G910" s="3">
        <v>41275</v>
      </c>
      <c r="H910" s="3">
        <v>41639</v>
      </c>
      <c r="I910" s="1" t="s">
        <v>71</v>
      </c>
      <c r="J910">
        <v>4521</v>
      </c>
      <c r="K910">
        <v>0</v>
      </c>
      <c r="L910" s="1" t="s">
        <v>384</v>
      </c>
      <c r="M910" s="1" t="s">
        <v>72</v>
      </c>
      <c r="N910" s="1" t="s">
        <v>134</v>
      </c>
      <c r="O910" s="1" t="s">
        <v>385</v>
      </c>
      <c r="P910" s="1" t="s">
        <v>386</v>
      </c>
      <c r="Q910" s="1" t="s">
        <v>387</v>
      </c>
      <c r="R910">
        <v>103</v>
      </c>
      <c r="S910" s="1" t="s">
        <v>135</v>
      </c>
      <c r="T910" s="1" t="s">
        <v>388</v>
      </c>
      <c r="U910" s="1" t="s">
        <v>135</v>
      </c>
      <c r="V910" s="1"/>
      <c r="W910" s="1"/>
      <c r="X910" s="1"/>
      <c r="Y910" s="1"/>
      <c r="AA910" s="1"/>
      <c r="AC910" s="1"/>
      <c r="AD910" s="1"/>
      <c r="AE910" s="1"/>
      <c r="AN910" s="1"/>
      <c r="AP910" s="1"/>
      <c r="AQ910" s="1"/>
      <c r="AR910" s="1"/>
      <c r="AS910" s="1"/>
      <c r="AT910" s="3"/>
      <c r="AU910" s="3"/>
      <c r="AV910" s="3"/>
      <c r="AW910" s="1"/>
      <c r="AX910" s="1"/>
      <c r="AZ910">
        <v>253</v>
      </c>
      <c r="BA910">
        <v>4654734.66</v>
      </c>
      <c r="BB910" s="1" t="s">
        <v>74</v>
      </c>
      <c r="BC910">
        <v>538</v>
      </c>
      <c r="BD910" s="1" t="s">
        <v>961</v>
      </c>
      <c r="BE910" s="1" t="s">
        <v>99</v>
      </c>
      <c r="BF910">
        <v>0</v>
      </c>
      <c r="BG910" s="1"/>
      <c r="BH910" s="1" t="s">
        <v>489</v>
      </c>
      <c r="BI910">
        <v>85923.16</v>
      </c>
      <c r="BJ910" s="1" t="s">
        <v>1291</v>
      </c>
      <c r="BL910" s="1"/>
      <c r="BM910">
        <v>20500.849999999999</v>
      </c>
      <c r="BN910" s="1" t="s">
        <v>1295</v>
      </c>
      <c r="BO910">
        <v>599</v>
      </c>
      <c r="BP910">
        <v>4654734.66</v>
      </c>
      <c r="BQ910">
        <v>4654734.66</v>
      </c>
    </row>
    <row r="911" spans="1:69" x14ac:dyDescent="0.35">
      <c r="A911" s="1" t="s">
        <v>68</v>
      </c>
      <c r="B911" s="1" t="s">
        <v>69</v>
      </c>
      <c r="C911" s="1" t="s">
        <v>70</v>
      </c>
      <c r="D911">
        <v>1</v>
      </c>
      <c r="E911">
        <v>1</v>
      </c>
      <c r="F911" s="2">
        <v>43585.43</v>
      </c>
      <c r="G911" s="3">
        <v>41275</v>
      </c>
      <c r="H911" s="3">
        <v>41639</v>
      </c>
      <c r="I911" s="1" t="s">
        <v>71</v>
      </c>
      <c r="J911">
        <v>4521</v>
      </c>
      <c r="K911">
        <v>0</v>
      </c>
      <c r="L911" s="1" t="s">
        <v>384</v>
      </c>
      <c r="M911" s="1" t="s">
        <v>72</v>
      </c>
      <c r="N911" s="1" t="s">
        <v>134</v>
      </c>
      <c r="O911" s="1" t="s">
        <v>385</v>
      </c>
      <c r="P911" s="1" t="s">
        <v>386</v>
      </c>
      <c r="Q911" s="1" t="s">
        <v>387</v>
      </c>
      <c r="R911">
        <v>103</v>
      </c>
      <c r="S911" s="1" t="s">
        <v>135</v>
      </c>
      <c r="T911" s="1" t="s">
        <v>388</v>
      </c>
      <c r="U911" s="1" t="s">
        <v>135</v>
      </c>
      <c r="V911" s="1"/>
      <c r="W911" s="1"/>
      <c r="X911" s="1"/>
      <c r="Y911" s="1"/>
      <c r="AA911" s="1"/>
      <c r="AC911" s="1"/>
      <c r="AD911" s="1"/>
      <c r="AE911" s="1"/>
      <c r="AN911" s="1"/>
      <c r="AP911" s="1"/>
      <c r="AQ911" s="1"/>
      <c r="AR911" s="1"/>
      <c r="AS911" s="1"/>
      <c r="AT911" s="3"/>
      <c r="AU911" s="3"/>
      <c r="AV911" s="3"/>
      <c r="AW911" s="1"/>
      <c r="AX911" s="1"/>
      <c r="AZ911">
        <v>253</v>
      </c>
      <c r="BA911">
        <v>4654734.66</v>
      </c>
      <c r="BB911" s="1" t="s">
        <v>74</v>
      </c>
      <c r="BC911">
        <v>539</v>
      </c>
      <c r="BD911" s="1" t="s">
        <v>961</v>
      </c>
      <c r="BE911" s="1" t="s">
        <v>99</v>
      </c>
      <c r="BF911">
        <v>0</v>
      </c>
      <c r="BG911" s="1"/>
      <c r="BH911" s="1" t="s">
        <v>451</v>
      </c>
      <c r="BI911">
        <v>19762.330000000002</v>
      </c>
      <c r="BJ911" s="1" t="s">
        <v>1292</v>
      </c>
      <c r="BL911" s="1"/>
      <c r="BM911">
        <v>4715.2</v>
      </c>
      <c r="BN911" s="1" t="s">
        <v>1295</v>
      </c>
      <c r="BO911">
        <v>599</v>
      </c>
      <c r="BP911">
        <v>4654734.66</v>
      </c>
      <c r="BQ911">
        <v>4654734.66</v>
      </c>
    </row>
    <row r="912" spans="1:69" x14ac:dyDescent="0.35">
      <c r="A912" s="1" t="s">
        <v>68</v>
      </c>
      <c r="B912" s="1" t="s">
        <v>69</v>
      </c>
      <c r="C912" s="1" t="s">
        <v>70</v>
      </c>
      <c r="D912">
        <v>1</v>
      </c>
      <c r="E912">
        <v>1</v>
      </c>
      <c r="F912" s="2">
        <v>43585.43</v>
      </c>
      <c r="G912" s="3">
        <v>41275</v>
      </c>
      <c r="H912" s="3">
        <v>41639</v>
      </c>
      <c r="I912" s="1" t="s">
        <v>71</v>
      </c>
      <c r="J912">
        <v>4521</v>
      </c>
      <c r="K912">
        <v>0</v>
      </c>
      <c r="L912" s="1" t="s">
        <v>384</v>
      </c>
      <c r="M912" s="1" t="s">
        <v>72</v>
      </c>
      <c r="N912" s="1" t="s">
        <v>134</v>
      </c>
      <c r="O912" s="1" t="s">
        <v>385</v>
      </c>
      <c r="P912" s="1" t="s">
        <v>386</v>
      </c>
      <c r="Q912" s="1" t="s">
        <v>387</v>
      </c>
      <c r="R912">
        <v>103</v>
      </c>
      <c r="S912" s="1" t="s">
        <v>135</v>
      </c>
      <c r="T912" s="1" t="s">
        <v>388</v>
      </c>
      <c r="U912" s="1" t="s">
        <v>135</v>
      </c>
      <c r="V912" s="1"/>
      <c r="W912" s="1"/>
      <c r="X912" s="1"/>
      <c r="Y912" s="1"/>
      <c r="AA912" s="1"/>
      <c r="AC912" s="1"/>
      <c r="AD912" s="1"/>
      <c r="AE912" s="1"/>
      <c r="AN912" s="1"/>
      <c r="AP912" s="1"/>
      <c r="AQ912" s="1"/>
      <c r="AR912" s="1"/>
      <c r="AS912" s="1"/>
      <c r="AT912" s="3"/>
      <c r="AU912" s="3"/>
      <c r="AV912" s="3"/>
      <c r="AW912" s="1"/>
      <c r="AX912" s="1"/>
      <c r="AZ912">
        <v>253</v>
      </c>
      <c r="BA912">
        <v>4654734.66</v>
      </c>
      <c r="BB912" s="1" t="s">
        <v>74</v>
      </c>
      <c r="BC912">
        <v>540</v>
      </c>
      <c r="BD912" s="1" t="s">
        <v>961</v>
      </c>
      <c r="BE912" s="1" t="s">
        <v>99</v>
      </c>
      <c r="BF912">
        <v>0</v>
      </c>
      <c r="BG912" s="1"/>
      <c r="BH912" s="1" t="s">
        <v>492</v>
      </c>
      <c r="BI912">
        <v>0.02</v>
      </c>
      <c r="BJ912" s="1" t="s">
        <v>85</v>
      </c>
      <c r="BL912" s="1"/>
      <c r="BN912" s="1"/>
      <c r="BO912">
        <v>599</v>
      </c>
      <c r="BP912">
        <v>4654734.66</v>
      </c>
      <c r="BQ912">
        <v>4654734.66</v>
      </c>
    </row>
    <row r="913" spans="1:69" x14ac:dyDescent="0.35">
      <c r="A913" s="1" t="s">
        <v>68</v>
      </c>
      <c r="B913" s="1" t="s">
        <v>69</v>
      </c>
      <c r="C913" s="1" t="s">
        <v>70</v>
      </c>
      <c r="D913">
        <v>1</v>
      </c>
      <c r="E913">
        <v>1</v>
      </c>
      <c r="F913" s="2">
        <v>43585.43</v>
      </c>
      <c r="G913" s="3">
        <v>41275</v>
      </c>
      <c r="H913" s="3">
        <v>41639</v>
      </c>
      <c r="I913" s="1" t="s">
        <v>71</v>
      </c>
      <c r="J913">
        <v>4521</v>
      </c>
      <c r="K913">
        <v>0</v>
      </c>
      <c r="L913" s="1" t="s">
        <v>384</v>
      </c>
      <c r="M913" s="1" t="s">
        <v>72</v>
      </c>
      <c r="N913" s="1" t="s">
        <v>134</v>
      </c>
      <c r="O913" s="1" t="s">
        <v>385</v>
      </c>
      <c r="P913" s="1" t="s">
        <v>386</v>
      </c>
      <c r="Q913" s="1" t="s">
        <v>387</v>
      </c>
      <c r="R913">
        <v>103</v>
      </c>
      <c r="S913" s="1" t="s">
        <v>135</v>
      </c>
      <c r="T913" s="1" t="s">
        <v>388</v>
      </c>
      <c r="U913" s="1" t="s">
        <v>135</v>
      </c>
      <c r="V913" s="1"/>
      <c r="W913" s="1"/>
      <c r="X913" s="1"/>
      <c r="Y913" s="1"/>
      <c r="AA913" s="1"/>
      <c r="AC913" s="1"/>
      <c r="AD913" s="1"/>
      <c r="AE913" s="1"/>
      <c r="AN913" s="1"/>
      <c r="AP913" s="1"/>
      <c r="AQ913" s="1"/>
      <c r="AR913" s="1"/>
      <c r="AS913" s="1"/>
      <c r="AT913" s="3"/>
      <c r="AU913" s="3"/>
      <c r="AV913" s="3"/>
      <c r="AW913" s="1"/>
      <c r="AX913" s="1"/>
      <c r="AZ913">
        <v>253</v>
      </c>
      <c r="BA913">
        <v>4654734.66</v>
      </c>
      <c r="BB913" s="1" t="s">
        <v>74</v>
      </c>
      <c r="BC913">
        <v>541</v>
      </c>
      <c r="BD913" s="1" t="s">
        <v>962</v>
      </c>
      <c r="BE913" s="1" t="s">
        <v>470</v>
      </c>
      <c r="BF913">
        <v>21945.119999999999</v>
      </c>
      <c r="BG913" s="1" t="s">
        <v>1283</v>
      </c>
      <c r="BH913" s="1" t="s">
        <v>99</v>
      </c>
      <c r="BI913">
        <v>0</v>
      </c>
      <c r="BJ913" s="1"/>
      <c r="BK913">
        <v>5236</v>
      </c>
      <c r="BL913" s="1" t="s">
        <v>1295</v>
      </c>
      <c r="BN913" s="1"/>
      <c r="BO913">
        <v>599</v>
      </c>
      <c r="BP913">
        <v>4654734.66</v>
      </c>
      <c r="BQ913">
        <v>4654734.66</v>
      </c>
    </row>
    <row r="914" spans="1:69" x14ac:dyDescent="0.35">
      <c r="A914" s="1" t="s">
        <v>68</v>
      </c>
      <c r="B914" s="1" t="s">
        <v>69</v>
      </c>
      <c r="C914" s="1" t="s">
        <v>70</v>
      </c>
      <c r="D914">
        <v>1</v>
      </c>
      <c r="E914">
        <v>1</v>
      </c>
      <c r="F914" s="2">
        <v>43585.43</v>
      </c>
      <c r="G914" s="3">
        <v>41275</v>
      </c>
      <c r="H914" s="3">
        <v>41639</v>
      </c>
      <c r="I914" s="1" t="s">
        <v>71</v>
      </c>
      <c r="J914">
        <v>4521</v>
      </c>
      <c r="K914">
        <v>0</v>
      </c>
      <c r="L914" s="1" t="s">
        <v>384</v>
      </c>
      <c r="M914" s="1" t="s">
        <v>72</v>
      </c>
      <c r="N914" s="1" t="s">
        <v>134</v>
      </c>
      <c r="O914" s="1" t="s">
        <v>385</v>
      </c>
      <c r="P914" s="1" t="s">
        <v>386</v>
      </c>
      <c r="Q914" s="1" t="s">
        <v>387</v>
      </c>
      <c r="R914">
        <v>103</v>
      </c>
      <c r="S914" s="1" t="s">
        <v>135</v>
      </c>
      <c r="T914" s="1" t="s">
        <v>388</v>
      </c>
      <c r="U914" s="1" t="s">
        <v>135</v>
      </c>
      <c r="V914" s="1"/>
      <c r="W914" s="1"/>
      <c r="X914" s="1"/>
      <c r="Y914" s="1"/>
      <c r="AA914" s="1"/>
      <c r="AC914" s="1"/>
      <c r="AD914" s="1"/>
      <c r="AE914" s="1"/>
      <c r="AN914" s="1"/>
      <c r="AP914" s="1"/>
      <c r="AQ914" s="1"/>
      <c r="AR914" s="1"/>
      <c r="AS914" s="1"/>
      <c r="AT914" s="3"/>
      <c r="AU914" s="3"/>
      <c r="AV914" s="3"/>
      <c r="AW914" s="1"/>
      <c r="AX914" s="1"/>
      <c r="AZ914">
        <v>253</v>
      </c>
      <c r="BA914">
        <v>4654734.66</v>
      </c>
      <c r="BB914" s="1" t="s">
        <v>74</v>
      </c>
      <c r="BC914">
        <v>542</v>
      </c>
      <c r="BD914" s="1" t="s">
        <v>962</v>
      </c>
      <c r="BE914" s="1" t="s">
        <v>99</v>
      </c>
      <c r="BF914">
        <v>0</v>
      </c>
      <c r="BG914" s="1"/>
      <c r="BH914" s="1" t="s">
        <v>447</v>
      </c>
      <c r="BI914">
        <v>26992.5</v>
      </c>
      <c r="BJ914" s="1" t="s">
        <v>1293</v>
      </c>
      <c r="BL914" s="1"/>
      <c r="BM914">
        <v>6440.28</v>
      </c>
      <c r="BN914" s="1" t="s">
        <v>1295</v>
      </c>
      <c r="BO914">
        <v>599</v>
      </c>
      <c r="BP914">
        <v>4654734.66</v>
      </c>
      <c r="BQ914">
        <v>4654734.66</v>
      </c>
    </row>
    <row r="915" spans="1:69" x14ac:dyDescent="0.35">
      <c r="A915" s="1" t="s">
        <v>68</v>
      </c>
      <c r="B915" s="1" t="s">
        <v>69</v>
      </c>
      <c r="C915" s="1" t="s">
        <v>70</v>
      </c>
      <c r="D915">
        <v>1</v>
      </c>
      <c r="E915">
        <v>1</v>
      </c>
      <c r="F915" s="2">
        <v>43585.43</v>
      </c>
      <c r="G915" s="3">
        <v>41275</v>
      </c>
      <c r="H915" s="3">
        <v>41639</v>
      </c>
      <c r="I915" s="1" t="s">
        <v>71</v>
      </c>
      <c r="J915">
        <v>4521</v>
      </c>
      <c r="K915">
        <v>0</v>
      </c>
      <c r="L915" s="1" t="s">
        <v>384</v>
      </c>
      <c r="M915" s="1" t="s">
        <v>72</v>
      </c>
      <c r="N915" s="1" t="s">
        <v>134</v>
      </c>
      <c r="O915" s="1" t="s">
        <v>385</v>
      </c>
      <c r="P915" s="1" t="s">
        <v>386</v>
      </c>
      <c r="Q915" s="1" t="s">
        <v>387</v>
      </c>
      <c r="R915">
        <v>103</v>
      </c>
      <c r="S915" s="1" t="s">
        <v>135</v>
      </c>
      <c r="T915" s="1" t="s">
        <v>388</v>
      </c>
      <c r="U915" s="1" t="s">
        <v>135</v>
      </c>
      <c r="V915" s="1"/>
      <c r="W915" s="1"/>
      <c r="X915" s="1"/>
      <c r="Y915" s="1"/>
      <c r="AA915" s="1"/>
      <c r="AC915" s="1"/>
      <c r="AD915" s="1"/>
      <c r="AE915" s="1"/>
      <c r="AN915" s="1"/>
      <c r="AP915" s="1"/>
      <c r="AQ915" s="1"/>
      <c r="AR915" s="1"/>
      <c r="AS915" s="1"/>
      <c r="AT915" s="3"/>
      <c r="AU915" s="3"/>
      <c r="AV915" s="3"/>
      <c r="AW915" s="1"/>
      <c r="AX915" s="1"/>
      <c r="AZ915">
        <v>253</v>
      </c>
      <c r="BA915">
        <v>4654734.66</v>
      </c>
      <c r="BB915" s="1" t="s">
        <v>74</v>
      </c>
      <c r="BC915">
        <v>543</v>
      </c>
      <c r="BD915" s="1" t="s">
        <v>962</v>
      </c>
      <c r="BE915" s="1" t="s">
        <v>451</v>
      </c>
      <c r="BF915">
        <v>5140.47</v>
      </c>
      <c r="BG915" s="1" t="s">
        <v>1284</v>
      </c>
      <c r="BH915" s="1" t="s">
        <v>99</v>
      </c>
      <c r="BI915">
        <v>0</v>
      </c>
      <c r="BJ915" s="1"/>
      <c r="BK915">
        <v>1204.28</v>
      </c>
      <c r="BL915" s="1" t="s">
        <v>1295</v>
      </c>
      <c r="BN915" s="1"/>
      <c r="BO915">
        <v>599</v>
      </c>
      <c r="BP915">
        <v>4654734.66</v>
      </c>
      <c r="BQ915">
        <v>4654734.66</v>
      </c>
    </row>
    <row r="916" spans="1:69" x14ac:dyDescent="0.35">
      <c r="A916" s="1" t="s">
        <v>68</v>
      </c>
      <c r="B916" s="1" t="s">
        <v>69</v>
      </c>
      <c r="C916" s="1" t="s">
        <v>70</v>
      </c>
      <c r="D916">
        <v>1</v>
      </c>
      <c r="E916">
        <v>1</v>
      </c>
      <c r="F916" s="2">
        <v>43585.43</v>
      </c>
      <c r="G916" s="3">
        <v>41275</v>
      </c>
      <c r="H916" s="3">
        <v>41639</v>
      </c>
      <c r="I916" s="1" t="s">
        <v>71</v>
      </c>
      <c r="J916">
        <v>4521</v>
      </c>
      <c r="K916">
        <v>0</v>
      </c>
      <c r="L916" s="1" t="s">
        <v>384</v>
      </c>
      <c r="M916" s="1" t="s">
        <v>72</v>
      </c>
      <c r="N916" s="1" t="s">
        <v>134</v>
      </c>
      <c r="O916" s="1" t="s">
        <v>385</v>
      </c>
      <c r="P916" s="1" t="s">
        <v>386</v>
      </c>
      <c r="Q916" s="1" t="s">
        <v>387</v>
      </c>
      <c r="R916">
        <v>103</v>
      </c>
      <c r="S916" s="1" t="s">
        <v>135</v>
      </c>
      <c r="T916" s="1" t="s">
        <v>388</v>
      </c>
      <c r="U916" s="1" t="s">
        <v>135</v>
      </c>
      <c r="V916" s="1"/>
      <c r="W916" s="1"/>
      <c r="X916" s="1"/>
      <c r="Y916" s="1"/>
      <c r="AA916" s="1"/>
      <c r="AC916" s="1"/>
      <c r="AD916" s="1"/>
      <c r="AE916" s="1"/>
      <c r="AN916" s="1"/>
      <c r="AP916" s="1"/>
      <c r="AQ916" s="1"/>
      <c r="AR916" s="1"/>
      <c r="AS916" s="1"/>
      <c r="AT916" s="3"/>
      <c r="AU916" s="3"/>
      <c r="AV916" s="3"/>
      <c r="AW916" s="1"/>
      <c r="AX916" s="1"/>
      <c r="AZ916">
        <v>253</v>
      </c>
      <c r="BA916">
        <v>4654734.66</v>
      </c>
      <c r="BB916" s="1" t="s">
        <v>74</v>
      </c>
      <c r="BC916">
        <v>544</v>
      </c>
      <c r="BD916" s="1" t="s">
        <v>962</v>
      </c>
      <c r="BE916" s="1" t="s">
        <v>99</v>
      </c>
      <c r="BF916">
        <v>0</v>
      </c>
      <c r="BG916" s="1"/>
      <c r="BH916" s="1" t="s">
        <v>492</v>
      </c>
      <c r="BI916">
        <v>93.09</v>
      </c>
      <c r="BJ916" s="1" t="s">
        <v>1294</v>
      </c>
      <c r="BL916" s="1"/>
      <c r="BN916" s="1"/>
      <c r="BO916">
        <v>599</v>
      </c>
      <c r="BP916">
        <v>4654734.66</v>
      </c>
      <c r="BQ916">
        <v>4654734.66</v>
      </c>
    </row>
    <row r="917" spans="1:69" x14ac:dyDescent="0.35">
      <c r="A917" s="1" t="s">
        <v>68</v>
      </c>
      <c r="B917" s="1" t="s">
        <v>69</v>
      </c>
      <c r="C917" s="1" t="s">
        <v>70</v>
      </c>
      <c r="D917">
        <v>1</v>
      </c>
      <c r="E917">
        <v>1</v>
      </c>
      <c r="F917" s="2">
        <v>43585.43</v>
      </c>
      <c r="G917" s="3">
        <v>41275</v>
      </c>
      <c r="H917" s="3">
        <v>41639</v>
      </c>
      <c r="I917" s="1" t="s">
        <v>71</v>
      </c>
      <c r="J917">
        <v>4521</v>
      </c>
      <c r="K917">
        <v>0</v>
      </c>
      <c r="L917" s="1" t="s">
        <v>384</v>
      </c>
      <c r="M917" s="1" t="s">
        <v>72</v>
      </c>
      <c r="N917" s="1" t="s">
        <v>134</v>
      </c>
      <c r="O917" s="1" t="s">
        <v>385</v>
      </c>
      <c r="P917" s="1" t="s">
        <v>386</v>
      </c>
      <c r="Q917" s="1" t="s">
        <v>387</v>
      </c>
      <c r="R917">
        <v>103</v>
      </c>
      <c r="S917" s="1" t="s">
        <v>135</v>
      </c>
      <c r="T917" s="1" t="s">
        <v>388</v>
      </c>
      <c r="U917" s="1" t="s">
        <v>135</v>
      </c>
      <c r="V917" s="1"/>
      <c r="W917" s="1"/>
      <c r="X917" s="1"/>
      <c r="Y917" s="1"/>
      <c r="AA917" s="1"/>
      <c r="AC917" s="1"/>
      <c r="AD917" s="1"/>
      <c r="AE917" s="1"/>
      <c r="AN917" s="1"/>
      <c r="AP917" s="1"/>
      <c r="AQ917" s="1"/>
      <c r="AR917" s="1"/>
      <c r="AS917" s="1"/>
      <c r="AT917" s="3"/>
      <c r="AU917" s="3"/>
      <c r="AV917" s="3"/>
      <c r="AW917" s="1"/>
      <c r="AX917" s="1"/>
      <c r="AZ917">
        <v>253</v>
      </c>
      <c r="BA917">
        <v>4654734.66</v>
      </c>
      <c r="BB917" s="1" t="s">
        <v>74</v>
      </c>
      <c r="BC917">
        <v>545</v>
      </c>
      <c r="BD917" s="1" t="s">
        <v>963</v>
      </c>
      <c r="BE917" s="1" t="s">
        <v>466</v>
      </c>
      <c r="BF917">
        <v>450</v>
      </c>
      <c r="BG917" s="1" t="s">
        <v>1064</v>
      </c>
      <c r="BH917" s="1" t="s">
        <v>99</v>
      </c>
      <c r="BI917">
        <v>0</v>
      </c>
      <c r="BJ917" s="1"/>
      <c r="BL917" s="1"/>
      <c r="BN917" s="1"/>
      <c r="BO917">
        <v>599</v>
      </c>
      <c r="BP917">
        <v>4654734.66</v>
      </c>
      <c r="BQ917">
        <v>4654734.66</v>
      </c>
    </row>
    <row r="918" spans="1:69" x14ac:dyDescent="0.35">
      <c r="A918" s="1" t="s">
        <v>68</v>
      </c>
      <c r="B918" s="1" t="s">
        <v>69</v>
      </c>
      <c r="C918" s="1" t="s">
        <v>70</v>
      </c>
      <c r="D918">
        <v>1</v>
      </c>
      <c r="E918">
        <v>1</v>
      </c>
      <c r="F918" s="2">
        <v>43585.43</v>
      </c>
      <c r="G918" s="3">
        <v>41275</v>
      </c>
      <c r="H918" s="3">
        <v>41639</v>
      </c>
      <c r="I918" s="1" t="s">
        <v>71</v>
      </c>
      <c r="J918">
        <v>4521</v>
      </c>
      <c r="K918">
        <v>0</v>
      </c>
      <c r="L918" s="1" t="s">
        <v>384</v>
      </c>
      <c r="M918" s="1" t="s">
        <v>72</v>
      </c>
      <c r="N918" s="1" t="s">
        <v>134</v>
      </c>
      <c r="O918" s="1" t="s">
        <v>385</v>
      </c>
      <c r="P918" s="1" t="s">
        <v>386</v>
      </c>
      <c r="Q918" s="1" t="s">
        <v>387</v>
      </c>
      <c r="R918">
        <v>103</v>
      </c>
      <c r="S918" s="1" t="s">
        <v>135</v>
      </c>
      <c r="T918" s="1" t="s">
        <v>388</v>
      </c>
      <c r="U918" s="1" t="s">
        <v>135</v>
      </c>
      <c r="V918" s="1"/>
      <c r="W918" s="1"/>
      <c r="X918" s="1"/>
      <c r="Y918" s="1"/>
      <c r="AA918" s="1"/>
      <c r="AC918" s="1"/>
      <c r="AD918" s="1"/>
      <c r="AE918" s="1"/>
      <c r="AN918" s="1"/>
      <c r="AP918" s="1"/>
      <c r="AQ918" s="1"/>
      <c r="AR918" s="1"/>
      <c r="AS918" s="1"/>
      <c r="AT918" s="3"/>
      <c r="AU918" s="3"/>
      <c r="AV918" s="3"/>
      <c r="AW918" s="1"/>
      <c r="AX918" s="1"/>
      <c r="AZ918">
        <v>253</v>
      </c>
      <c r="BA918">
        <v>4654734.66</v>
      </c>
      <c r="BB918" s="1" t="s">
        <v>74</v>
      </c>
      <c r="BC918">
        <v>546</v>
      </c>
      <c r="BD918" s="1" t="s">
        <v>963</v>
      </c>
      <c r="BE918" s="1" t="s">
        <v>99</v>
      </c>
      <c r="BF918">
        <v>0</v>
      </c>
      <c r="BG918" s="1"/>
      <c r="BH918" s="1" t="s">
        <v>425</v>
      </c>
      <c r="BI918">
        <v>450</v>
      </c>
      <c r="BJ918" s="1" t="s">
        <v>1064</v>
      </c>
      <c r="BL918" s="1"/>
      <c r="BN918" s="1"/>
      <c r="BO918">
        <v>599</v>
      </c>
      <c r="BP918">
        <v>4654734.66</v>
      </c>
      <c r="BQ918">
        <v>4654734.66</v>
      </c>
    </row>
    <row r="919" spans="1:69" x14ac:dyDescent="0.35">
      <c r="A919" s="1" t="s">
        <v>68</v>
      </c>
      <c r="B919" s="1" t="s">
        <v>69</v>
      </c>
      <c r="C919" s="1" t="s">
        <v>70</v>
      </c>
      <c r="D919">
        <v>1</v>
      </c>
      <c r="E919">
        <v>1</v>
      </c>
      <c r="F919" s="2">
        <v>43585.43</v>
      </c>
      <c r="G919" s="3">
        <v>41275</v>
      </c>
      <c r="H919" s="3">
        <v>41639</v>
      </c>
      <c r="I919" s="1" t="s">
        <v>71</v>
      </c>
      <c r="J919">
        <v>4521</v>
      </c>
      <c r="K919">
        <v>0</v>
      </c>
      <c r="L919" s="1" t="s">
        <v>384</v>
      </c>
      <c r="M919" s="1" t="s">
        <v>72</v>
      </c>
      <c r="N919" s="1" t="s">
        <v>134</v>
      </c>
      <c r="O919" s="1" t="s">
        <v>385</v>
      </c>
      <c r="P919" s="1" t="s">
        <v>386</v>
      </c>
      <c r="Q919" s="1" t="s">
        <v>387</v>
      </c>
      <c r="R919">
        <v>103</v>
      </c>
      <c r="S919" s="1" t="s">
        <v>135</v>
      </c>
      <c r="T919" s="1" t="s">
        <v>388</v>
      </c>
      <c r="U919" s="1" t="s">
        <v>135</v>
      </c>
      <c r="V919" s="1"/>
      <c r="W919" s="1"/>
      <c r="X919" s="1"/>
      <c r="Y919" s="1"/>
      <c r="AA919" s="1"/>
      <c r="AC919" s="1"/>
      <c r="AD919" s="1"/>
      <c r="AE919" s="1"/>
      <c r="AN919" s="1"/>
      <c r="AP919" s="1"/>
      <c r="AQ919" s="1"/>
      <c r="AR919" s="1"/>
      <c r="AS919" s="1"/>
      <c r="AT919" s="3"/>
      <c r="AU919" s="3"/>
      <c r="AV919" s="3"/>
      <c r="AW919" s="1"/>
      <c r="AX919" s="1"/>
      <c r="AZ919">
        <v>253</v>
      </c>
      <c r="BA919">
        <v>4654734.66</v>
      </c>
      <c r="BB919" s="1" t="s">
        <v>74</v>
      </c>
      <c r="BC919">
        <v>547</v>
      </c>
      <c r="BD919" s="1" t="s">
        <v>963</v>
      </c>
      <c r="BE919" s="1" t="s">
        <v>452</v>
      </c>
      <c r="BF919">
        <v>103.5</v>
      </c>
      <c r="BG919" s="1" t="s">
        <v>1064</v>
      </c>
      <c r="BH919" s="1" t="s">
        <v>99</v>
      </c>
      <c r="BI919">
        <v>0</v>
      </c>
      <c r="BJ919" s="1"/>
      <c r="BL919" s="1"/>
      <c r="BN919" s="1"/>
      <c r="BO919">
        <v>599</v>
      </c>
      <c r="BP919">
        <v>4654734.66</v>
      </c>
      <c r="BQ919">
        <v>4654734.66</v>
      </c>
    </row>
    <row r="920" spans="1:69" x14ac:dyDescent="0.35">
      <c r="A920" s="1" t="s">
        <v>68</v>
      </c>
      <c r="B920" s="1" t="s">
        <v>69</v>
      </c>
      <c r="C920" s="1" t="s">
        <v>70</v>
      </c>
      <c r="D920">
        <v>1</v>
      </c>
      <c r="E920">
        <v>1</v>
      </c>
      <c r="F920" s="2">
        <v>43585.43</v>
      </c>
      <c r="G920" s="3">
        <v>41275</v>
      </c>
      <c r="H920" s="3">
        <v>41639</v>
      </c>
      <c r="I920" s="1" t="s">
        <v>71</v>
      </c>
      <c r="J920">
        <v>4521</v>
      </c>
      <c r="K920">
        <v>0</v>
      </c>
      <c r="L920" s="1" t="s">
        <v>384</v>
      </c>
      <c r="M920" s="1" t="s">
        <v>72</v>
      </c>
      <c r="N920" s="1" t="s">
        <v>134</v>
      </c>
      <c r="O920" s="1" t="s">
        <v>385</v>
      </c>
      <c r="P920" s="1" t="s">
        <v>386</v>
      </c>
      <c r="Q920" s="1" t="s">
        <v>387</v>
      </c>
      <c r="R920">
        <v>103</v>
      </c>
      <c r="S920" s="1" t="s">
        <v>135</v>
      </c>
      <c r="T920" s="1" t="s">
        <v>388</v>
      </c>
      <c r="U920" s="1" t="s">
        <v>135</v>
      </c>
      <c r="V920" s="1"/>
      <c r="W920" s="1"/>
      <c r="X920" s="1"/>
      <c r="Y920" s="1"/>
      <c r="AA920" s="1"/>
      <c r="AC920" s="1"/>
      <c r="AD920" s="1"/>
      <c r="AE920" s="1"/>
      <c r="AN920" s="1"/>
      <c r="AP920" s="1"/>
      <c r="AQ920" s="1"/>
      <c r="AR920" s="1"/>
      <c r="AS920" s="1"/>
      <c r="AT920" s="3"/>
      <c r="AU920" s="3"/>
      <c r="AV920" s="3"/>
      <c r="AW920" s="1"/>
      <c r="AX920" s="1"/>
      <c r="AZ920">
        <v>253</v>
      </c>
      <c r="BA920">
        <v>4654734.66</v>
      </c>
      <c r="BB920" s="1" t="s">
        <v>74</v>
      </c>
      <c r="BC920">
        <v>548</v>
      </c>
      <c r="BD920" s="1" t="s">
        <v>963</v>
      </c>
      <c r="BE920" s="1" t="s">
        <v>99</v>
      </c>
      <c r="BF920">
        <v>0</v>
      </c>
      <c r="BG920" s="1"/>
      <c r="BH920" s="1" t="s">
        <v>451</v>
      </c>
      <c r="BI920">
        <v>103.5</v>
      </c>
      <c r="BJ920" s="1" t="s">
        <v>1064</v>
      </c>
      <c r="BL920" s="1"/>
      <c r="BN920" s="1"/>
      <c r="BO920">
        <v>599</v>
      </c>
      <c r="BP920">
        <v>4654734.66</v>
      </c>
      <c r="BQ920">
        <v>4654734.66</v>
      </c>
    </row>
    <row r="921" spans="1:69" x14ac:dyDescent="0.35">
      <c r="A921" s="1" t="s">
        <v>68</v>
      </c>
      <c r="B921" s="1" t="s">
        <v>69</v>
      </c>
      <c r="C921" s="1" t="s">
        <v>70</v>
      </c>
      <c r="D921">
        <v>1</v>
      </c>
      <c r="E921">
        <v>1</v>
      </c>
      <c r="F921" s="2">
        <v>43585.43</v>
      </c>
      <c r="G921" s="3">
        <v>41275</v>
      </c>
      <c r="H921" s="3">
        <v>41639</v>
      </c>
      <c r="I921" s="1" t="s">
        <v>71</v>
      </c>
      <c r="J921">
        <v>4521</v>
      </c>
      <c r="K921">
        <v>0</v>
      </c>
      <c r="L921" s="1" t="s">
        <v>384</v>
      </c>
      <c r="M921" s="1" t="s">
        <v>72</v>
      </c>
      <c r="N921" s="1" t="s">
        <v>134</v>
      </c>
      <c r="O921" s="1" t="s">
        <v>385</v>
      </c>
      <c r="P921" s="1" t="s">
        <v>386</v>
      </c>
      <c r="Q921" s="1" t="s">
        <v>387</v>
      </c>
      <c r="R921">
        <v>103</v>
      </c>
      <c r="S921" s="1" t="s">
        <v>135</v>
      </c>
      <c r="T921" s="1" t="s">
        <v>388</v>
      </c>
      <c r="U921" s="1" t="s">
        <v>135</v>
      </c>
      <c r="V921" s="1"/>
      <c r="W921" s="1"/>
      <c r="X921" s="1"/>
      <c r="Y921" s="1"/>
      <c r="AA921" s="1"/>
      <c r="AC921" s="1"/>
      <c r="AD921" s="1"/>
      <c r="AE921" s="1"/>
      <c r="AN921" s="1"/>
      <c r="AP921" s="1"/>
      <c r="AQ921" s="1"/>
      <c r="AR921" s="1"/>
      <c r="AS921" s="1"/>
      <c r="AT921" s="3"/>
      <c r="AU921" s="3"/>
      <c r="AV921" s="3"/>
      <c r="AW921" s="1"/>
      <c r="AX921" s="1"/>
      <c r="AZ921">
        <v>253</v>
      </c>
      <c r="BA921">
        <v>4654734.66</v>
      </c>
      <c r="BB921" s="1" t="s">
        <v>74</v>
      </c>
      <c r="BC921">
        <v>549</v>
      </c>
      <c r="BD921" s="1" t="s">
        <v>964</v>
      </c>
      <c r="BE921" s="1" t="s">
        <v>408</v>
      </c>
      <c r="BF921">
        <v>23828.400000000001</v>
      </c>
      <c r="BG921" s="1" t="s">
        <v>619</v>
      </c>
      <c r="BH921" s="1" t="s">
        <v>99</v>
      </c>
      <c r="BI921">
        <v>0</v>
      </c>
      <c r="BJ921" s="1"/>
      <c r="BL921" s="1"/>
      <c r="BN921" s="1"/>
      <c r="BO921">
        <v>599</v>
      </c>
      <c r="BP921">
        <v>4654734.66</v>
      </c>
      <c r="BQ921">
        <v>4654734.66</v>
      </c>
    </row>
    <row r="922" spans="1:69" x14ac:dyDescent="0.35">
      <c r="A922" s="1" t="s">
        <v>68</v>
      </c>
      <c r="B922" s="1" t="s">
        <v>69</v>
      </c>
      <c r="C922" s="1" t="s">
        <v>70</v>
      </c>
      <c r="D922">
        <v>1</v>
      </c>
      <c r="E922">
        <v>1</v>
      </c>
      <c r="F922" s="2">
        <v>43585.43</v>
      </c>
      <c r="G922" s="3">
        <v>41275</v>
      </c>
      <c r="H922" s="3">
        <v>41639</v>
      </c>
      <c r="I922" s="1" t="s">
        <v>71</v>
      </c>
      <c r="J922">
        <v>4521</v>
      </c>
      <c r="K922">
        <v>0</v>
      </c>
      <c r="L922" s="1" t="s">
        <v>384</v>
      </c>
      <c r="M922" s="1" t="s">
        <v>72</v>
      </c>
      <c r="N922" s="1" t="s">
        <v>134</v>
      </c>
      <c r="O922" s="1" t="s">
        <v>385</v>
      </c>
      <c r="P922" s="1" t="s">
        <v>386</v>
      </c>
      <c r="Q922" s="1" t="s">
        <v>387</v>
      </c>
      <c r="R922">
        <v>103</v>
      </c>
      <c r="S922" s="1" t="s">
        <v>135</v>
      </c>
      <c r="T922" s="1" t="s">
        <v>388</v>
      </c>
      <c r="U922" s="1" t="s">
        <v>135</v>
      </c>
      <c r="V922" s="1"/>
      <c r="W922" s="1"/>
      <c r="X922" s="1"/>
      <c r="Y922" s="1"/>
      <c r="AA922" s="1"/>
      <c r="AC922" s="1"/>
      <c r="AD922" s="1"/>
      <c r="AE922" s="1"/>
      <c r="AN922" s="1"/>
      <c r="AP922" s="1"/>
      <c r="AQ922" s="1"/>
      <c r="AR922" s="1"/>
      <c r="AS922" s="1"/>
      <c r="AT922" s="3"/>
      <c r="AU922" s="3"/>
      <c r="AV922" s="3"/>
      <c r="AW922" s="1"/>
      <c r="AX922" s="1"/>
      <c r="AZ922">
        <v>253</v>
      </c>
      <c r="BA922">
        <v>4654734.66</v>
      </c>
      <c r="BB922" s="1" t="s">
        <v>74</v>
      </c>
      <c r="BC922">
        <v>550</v>
      </c>
      <c r="BD922" s="1" t="s">
        <v>964</v>
      </c>
      <c r="BE922" s="1" t="s">
        <v>99</v>
      </c>
      <c r="BF922">
        <v>0</v>
      </c>
      <c r="BG922" s="1"/>
      <c r="BH922" s="1" t="s">
        <v>489</v>
      </c>
      <c r="BI922">
        <v>19372.68</v>
      </c>
      <c r="BJ922" s="1" t="s">
        <v>619</v>
      </c>
      <c r="BL922" s="1"/>
      <c r="BN922" s="1"/>
      <c r="BO922">
        <v>599</v>
      </c>
      <c r="BP922">
        <v>4654734.66</v>
      </c>
      <c r="BQ922">
        <v>4654734.66</v>
      </c>
    </row>
    <row r="923" spans="1:69" x14ac:dyDescent="0.35">
      <c r="A923" s="1" t="s">
        <v>68</v>
      </c>
      <c r="B923" s="1" t="s">
        <v>69</v>
      </c>
      <c r="C923" s="1" t="s">
        <v>70</v>
      </c>
      <c r="D923">
        <v>1</v>
      </c>
      <c r="E923">
        <v>1</v>
      </c>
      <c r="F923" s="2">
        <v>43585.43</v>
      </c>
      <c r="G923" s="3">
        <v>41275</v>
      </c>
      <c r="H923" s="3">
        <v>41639</v>
      </c>
      <c r="I923" s="1" t="s">
        <v>71</v>
      </c>
      <c r="J923">
        <v>4521</v>
      </c>
      <c r="K923">
        <v>0</v>
      </c>
      <c r="L923" s="1" t="s">
        <v>384</v>
      </c>
      <c r="M923" s="1" t="s">
        <v>72</v>
      </c>
      <c r="N923" s="1" t="s">
        <v>134</v>
      </c>
      <c r="O923" s="1" t="s">
        <v>385</v>
      </c>
      <c r="P923" s="1" t="s">
        <v>386</v>
      </c>
      <c r="Q923" s="1" t="s">
        <v>387</v>
      </c>
      <c r="R923">
        <v>103</v>
      </c>
      <c r="S923" s="1" t="s">
        <v>135</v>
      </c>
      <c r="T923" s="1" t="s">
        <v>388</v>
      </c>
      <c r="U923" s="1" t="s">
        <v>135</v>
      </c>
      <c r="V923" s="1"/>
      <c r="W923" s="1"/>
      <c r="X923" s="1"/>
      <c r="Y923" s="1"/>
      <c r="AA923" s="1"/>
      <c r="AC923" s="1"/>
      <c r="AD923" s="1"/>
      <c r="AE923" s="1"/>
      <c r="AN923" s="1"/>
      <c r="AP923" s="1"/>
      <c r="AQ923" s="1"/>
      <c r="AR923" s="1"/>
      <c r="AS923" s="1"/>
      <c r="AT923" s="3"/>
      <c r="AU923" s="3"/>
      <c r="AV923" s="3"/>
      <c r="AW923" s="1"/>
      <c r="AX923" s="1"/>
      <c r="AZ923">
        <v>253</v>
      </c>
      <c r="BA923">
        <v>4654734.66</v>
      </c>
      <c r="BB923" s="1" t="s">
        <v>74</v>
      </c>
      <c r="BC923">
        <v>551</v>
      </c>
      <c r="BD923" s="1" t="s">
        <v>964</v>
      </c>
      <c r="BE923" s="1" t="s">
        <v>99</v>
      </c>
      <c r="BF923">
        <v>0</v>
      </c>
      <c r="BG923" s="1"/>
      <c r="BH923" s="1" t="s">
        <v>451</v>
      </c>
      <c r="BI923">
        <v>4455.72</v>
      </c>
      <c r="BJ923" s="1" t="s">
        <v>619</v>
      </c>
      <c r="BL923" s="1"/>
      <c r="BN923" s="1"/>
      <c r="BO923">
        <v>599</v>
      </c>
      <c r="BP923">
        <v>4654734.66</v>
      </c>
      <c r="BQ923">
        <v>4654734.66</v>
      </c>
    </row>
    <row r="924" spans="1:69" x14ac:dyDescent="0.35">
      <c r="A924" s="1" t="s">
        <v>68</v>
      </c>
      <c r="B924" s="1" t="s">
        <v>69</v>
      </c>
      <c r="C924" s="1" t="s">
        <v>70</v>
      </c>
      <c r="D924">
        <v>1</v>
      </c>
      <c r="E924">
        <v>1</v>
      </c>
      <c r="F924" s="2">
        <v>43585.43</v>
      </c>
      <c r="G924" s="3">
        <v>41275</v>
      </c>
      <c r="H924" s="3">
        <v>41639</v>
      </c>
      <c r="I924" s="1" t="s">
        <v>71</v>
      </c>
      <c r="J924">
        <v>4521</v>
      </c>
      <c r="K924">
        <v>0</v>
      </c>
      <c r="L924" s="1" t="s">
        <v>384</v>
      </c>
      <c r="M924" s="1" t="s">
        <v>72</v>
      </c>
      <c r="N924" s="1" t="s">
        <v>134</v>
      </c>
      <c r="O924" s="1" t="s">
        <v>385</v>
      </c>
      <c r="P924" s="1" t="s">
        <v>386</v>
      </c>
      <c r="Q924" s="1" t="s">
        <v>387</v>
      </c>
      <c r="R924">
        <v>103</v>
      </c>
      <c r="S924" s="1" t="s">
        <v>135</v>
      </c>
      <c r="T924" s="1" t="s">
        <v>388</v>
      </c>
      <c r="U924" s="1" t="s">
        <v>135</v>
      </c>
      <c r="V924" s="1"/>
      <c r="W924" s="1"/>
      <c r="X924" s="1"/>
      <c r="Y924" s="1"/>
      <c r="AA924" s="1"/>
      <c r="AC924" s="1"/>
      <c r="AD924" s="1"/>
      <c r="AE924" s="1"/>
      <c r="AN924" s="1"/>
      <c r="AP924" s="1"/>
      <c r="AQ924" s="1"/>
      <c r="AR924" s="1"/>
      <c r="AS924" s="1"/>
      <c r="AT924" s="3"/>
      <c r="AU924" s="3"/>
      <c r="AV924" s="3"/>
      <c r="AW924" s="1"/>
      <c r="AX924" s="1"/>
      <c r="AZ924">
        <v>253</v>
      </c>
      <c r="BA924">
        <v>4654734.66</v>
      </c>
      <c r="BB924" s="1" t="s">
        <v>74</v>
      </c>
      <c r="BC924">
        <v>552</v>
      </c>
      <c r="BD924" s="1" t="s">
        <v>965</v>
      </c>
      <c r="BE924" s="1" t="s">
        <v>392</v>
      </c>
      <c r="BF924">
        <v>356.1</v>
      </c>
      <c r="BG924" s="1" t="s">
        <v>1234</v>
      </c>
      <c r="BH924" s="1" t="s">
        <v>99</v>
      </c>
      <c r="BI924">
        <v>0</v>
      </c>
      <c r="BJ924" s="1"/>
      <c r="BL924" s="1"/>
      <c r="BN924" s="1"/>
      <c r="BO924">
        <v>599</v>
      </c>
      <c r="BP924">
        <v>4654734.66</v>
      </c>
      <c r="BQ924">
        <v>4654734.66</v>
      </c>
    </row>
    <row r="925" spans="1:69" x14ac:dyDescent="0.35">
      <c r="A925" s="1" t="s">
        <v>68</v>
      </c>
      <c r="B925" s="1" t="s">
        <v>69</v>
      </c>
      <c r="C925" s="1" t="s">
        <v>70</v>
      </c>
      <c r="D925">
        <v>1</v>
      </c>
      <c r="E925">
        <v>1</v>
      </c>
      <c r="F925" s="2">
        <v>43585.43</v>
      </c>
      <c r="G925" s="3">
        <v>41275</v>
      </c>
      <c r="H925" s="3">
        <v>41639</v>
      </c>
      <c r="I925" s="1" t="s">
        <v>71</v>
      </c>
      <c r="J925">
        <v>4521</v>
      </c>
      <c r="K925">
        <v>0</v>
      </c>
      <c r="L925" s="1" t="s">
        <v>384</v>
      </c>
      <c r="M925" s="1" t="s">
        <v>72</v>
      </c>
      <c r="N925" s="1" t="s">
        <v>134</v>
      </c>
      <c r="O925" s="1" t="s">
        <v>385</v>
      </c>
      <c r="P925" s="1" t="s">
        <v>386</v>
      </c>
      <c r="Q925" s="1" t="s">
        <v>387</v>
      </c>
      <c r="R925">
        <v>103</v>
      </c>
      <c r="S925" s="1" t="s">
        <v>135</v>
      </c>
      <c r="T925" s="1" t="s">
        <v>388</v>
      </c>
      <c r="U925" s="1" t="s">
        <v>135</v>
      </c>
      <c r="V925" s="1"/>
      <c r="W925" s="1"/>
      <c r="X925" s="1"/>
      <c r="Y925" s="1"/>
      <c r="AA925" s="1"/>
      <c r="AC925" s="1"/>
      <c r="AD925" s="1"/>
      <c r="AE925" s="1"/>
      <c r="AN925" s="1"/>
      <c r="AP925" s="1"/>
      <c r="AQ925" s="1"/>
      <c r="AR925" s="1"/>
      <c r="AS925" s="1"/>
      <c r="AT925" s="3"/>
      <c r="AU925" s="3"/>
      <c r="AV925" s="3"/>
      <c r="AW925" s="1"/>
      <c r="AX925" s="1"/>
      <c r="AZ925">
        <v>253</v>
      </c>
      <c r="BA925">
        <v>4654734.66</v>
      </c>
      <c r="BB925" s="1" t="s">
        <v>74</v>
      </c>
      <c r="BC925">
        <v>553</v>
      </c>
      <c r="BD925" s="1" t="s">
        <v>965</v>
      </c>
      <c r="BE925" s="1" t="s">
        <v>99</v>
      </c>
      <c r="BF925">
        <v>0</v>
      </c>
      <c r="BG925" s="1"/>
      <c r="BH925" s="1" t="s">
        <v>454</v>
      </c>
      <c r="BI925">
        <v>356.1</v>
      </c>
      <c r="BJ925" s="1" t="s">
        <v>1234</v>
      </c>
      <c r="BL925" s="1"/>
      <c r="BN925" s="1"/>
      <c r="BO925">
        <v>599</v>
      </c>
      <c r="BP925">
        <v>4654734.66</v>
      </c>
      <c r="BQ925">
        <v>4654734.66</v>
      </c>
    </row>
    <row r="926" spans="1:69" x14ac:dyDescent="0.35">
      <c r="A926" s="1" t="s">
        <v>68</v>
      </c>
      <c r="B926" s="1" t="s">
        <v>69</v>
      </c>
      <c r="C926" s="1" t="s">
        <v>70</v>
      </c>
      <c r="D926">
        <v>1</v>
      </c>
      <c r="E926">
        <v>1</v>
      </c>
      <c r="F926" s="2">
        <v>43585.43</v>
      </c>
      <c r="G926" s="3">
        <v>41275</v>
      </c>
      <c r="H926" s="3">
        <v>41639</v>
      </c>
      <c r="I926" s="1" t="s">
        <v>71</v>
      </c>
      <c r="J926">
        <v>4521</v>
      </c>
      <c r="K926">
        <v>0</v>
      </c>
      <c r="L926" s="1" t="s">
        <v>384</v>
      </c>
      <c r="M926" s="1" t="s">
        <v>72</v>
      </c>
      <c r="N926" s="1" t="s">
        <v>134</v>
      </c>
      <c r="O926" s="1" t="s">
        <v>385</v>
      </c>
      <c r="P926" s="1" t="s">
        <v>386</v>
      </c>
      <c r="Q926" s="1" t="s">
        <v>387</v>
      </c>
      <c r="R926">
        <v>103</v>
      </c>
      <c r="S926" s="1" t="s">
        <v>135</v>
      </c>
      <c r="T926" s="1" t="s">
        <v>388</v>
      </c>
      <c r="U926" s="1" t="s">
        <v>135</v>
      </c>
      <c r="V926" s="1"/>
      <c r="W926" s="1"/>
      <c r="X926" s="1"/>
      <c r="Y926" s="1"/>
      <c r="AA926" s="1"/>
      <c r="AC926" s="1"/>
      <c r="AD926" s="1"/>
      <c r="AE926" s="1"/>
      <c r="AN926" s="1"/>
      <c r="AP926" s="1"/>
      <c r="AQ926" s="1"/>
      <c r="AR926" s="1"/>
      <c r="AS926" s="1"/>
      <c r="AT926" s="3"/>
      <c r="AU926" s="3"/>
      <c r="AV926" s="3"/>
      <c r="AW926" s="1"/>
      <c r="AX926" s="1"/>
      <c r="AZ926">
        <v>253</v>
      </c>
      <c r="BA926">
        <v>4654734.66</v>
      </c>
      <c r="BB926" s="1" t="s">
        <v>74</v>
      </c>
      <c r="BC926">
        <v>554</v>
      </c>
      <c r="BD926" s="1" t="s">
        <v>966</v>
      </c>
      <c r="BE926" s="1" t="s">
        <v>392</v>
      </c>
      <c r="BF926">
        <v>3965</v>
      </c>
      <c r="BG926" s="1" t="s">
        <v>1235</v>
      </c>
      <c r="BH926" s="1" t="s">
        <v>99</v>
      </c>
      <c r="BI926">
        <v>0</v>
      </c>
      <c r="BJ926" s="1"/>
      <c r="BL926" s="1"/>
      <c r="BN926" s="1"/>
      <c r="BO926">
        <v>599</v>
      </c>
      <c r="BP926">
        <v>4654734.66</v>
      </c>
      <c r="BQ926">
        <v>4654734.66</v>
      </c>
    </row>
    <row r="927" spans="1:69" x14ac:dyDescent="0.35">
      <c r="A927" s="1" t="s">
        <v>68</v>
      </c>
      <c r="B927" s="1" t="s">
        <v>69</v>
      </c>
      <c r="C927" s="1" t="s">
        <v>70</v>
      </c>
      <c r="D927">
        <v>1</v>
      </c>
      <c r="E927">
        <v>1</v>
      </c>
      <c r="F927" s="2">
        <v>43585.43</v>
      </c>
      <c r="G927" s="3">
        <v>41275</v>
      </c>
      <c r="H927" s="3">
        <v>41639</v>
      </c>
      <c r="I927" s="1" t="s">
        <v>71</v>
      </c>
      <c r="J927">
        <v>4521</v>
      </c>
      <c r="K927">
        <v>0</v>
      </c>
      <c r="L927" s="1" t="s">
        <v>384</v>
      </c>
      <c r="M927" s="1" t="s">
        <v>72</v>
      </c>
      <c r="N927" s="1" t="s">
        <v>134</v>
      </c>
      <c r="O927" s="1" t="s">
        <v>385</v>
      </c>
      <c r="P927" s="1" t="s">
        <v>386</v>
      </c>
      <c r="Q927" s="1" t="s">
        <v>387</v>
      </c>
      <c r="R927">
        <v>103</v>
      </c>
      <c r="S927" s="1" t="s">
        <v>135</v>
      </c>
      <c r="T927" s="1" t="s">
        <v>388</v>
      </c>
      <c r="U927" s="1" t="s">
        <v>135</v>
      </c>
      <c r="V927" s="1"/>
      <c r="W927" s="1"/>
      <c r="X927" s="1"/>
      <c r="Y927" s="1"/>
      <c r="AA927" s="1"/>
      <c r="AC927" s="1"/>
      <c r="AD927" s="1"/>
      <c r="AE927" s="1"/>
      <c r="AN927" s="1"/>
      <c r="AP927" s="1"/>
      <c r="AQ927" s="1"/>
      <c r="AR927" s="1"/>
      <c r="AS927" s="1"/>
      <c r="AT927" s="3"/>
      <c r="AU927" s="3"/>
      <c r="AV927" s="3"/>
      <c r="AW927" s="1"/>
      <c r="AX927" s="1"/>
      <c r="AZ927">
        <v>253</v>
      </c>
      <c r="BA927">
        <v>4654734.66</v>
      </c>
      <c r="BB927" s="1" t="s">
        <v>74</v>
      </c>
      <c r="BC927">
        <v>555</v>
      </c>
      <c r="BD927" s="1" t="s">
        <v>966</v>
      </c>
      <c r="BE927" s="1" t="s">
        <v>99</v>
      </c>
      <c r="BF927">
        <v>0</v>
      </c>
      <c r="BG927" s="1"/>
      <c r="BH927" s="1" t="s">
        <v>75</v>
      </c>
      <c r="BI927">
        <v>3965</v>
      </c>
      <c r="BJ927" s="1" t="s">
        <v>1235</v>
      </c>
      <c r="BL927" s="1"/>
      <c r="BN927" s="1"/>
      <c r="BO927">
        <v>599</v>
      </c>
      <c r="BP927">
        <v>4654734.66</v>
      </c>
      <c r="BQ927">
        <v>4654734.66</v>
      </c>
    </row>
    <row r="928" spans="1:69" x14ac:dyDescent="0.35">
      <c r="A928" s="1" t="s">
        <v>68</v>
      </c>
      <c r="B928" s="1" t="s">
        <v>69</v>
      </c>
      <c r="C928" s="1" t="s">
        <v>70</v>
      </c>
      <c r="D928">
        <v>1</v>
      </c>
      <c r="E928">
        <v>1</v>
      </c>
      <c r="F928" s="2">
        <v>43585.43</v>
      </c>
      <c r="G928" s="3">
        <v>41275</v>
      </c>
      <c r="H928" s="3">
        <v>41639</v>
      </c>
      <c r="I928" s="1" t="s">
        <v>71</v>
      </c>
      <c r="J928">
        <v>4521</v>
      </c>
      <c r="K928">
        <v>0</v>
      </c>
      <c r="L928" s="1" t="s">
        <v>384</v>
      </c>
      <c r="M928" s="1" t="s">
        <v>72</v>
      </c>
      <c r="N928" s="1" t="s">
        <v>134</v>
      </c>
      <c r="O928" s="1" t="s">
        <v>385</v>
      </c>
      <c r="P928" s="1" t="s">
        <v>386</v>
      </c>
      <c r="Q928" s="1" t="s">
        <v>387</v>
      </c>
      <c r="R928">
        <v>103</v>
      </c>
      <c r="S928" s="1" t="s">
        <v>135</v>
      </c>
      <c r="T928" s="1" t="s">
        <v>388</v>
      </c>
      <c r="U928" s="1" t="s">
        <v>135</v>
      </c>
      <c r="V928" s="1"/>
      <c r="W928" s="1"/>
      <c r="X928" s="1"/>
      <c r="Y928" s="1"/>
      <c r="AA928" s="1"/>
      <c r="AC928" s="1"/>
      <c r="AD928" s="1"/>
      <c r="AE928" s="1"/>
      <c r="AN928" s="1"/>
      <c r="AP928" s="1"/>
      <c r="AQ928" s="1"/>
      <c r="AR928" s="1"/>
      <c r="AS928" s="1"/>
      <c r="AT928" s="3"/>
      <c r="AU928" s="3"/>
      <c r="AV928" s="3"/>
      <c r="AW928" s="1"/>
      <c r="AX928" s="1"/>
      <c r="AZ928">
        <v>253</v>
      </c>
      <c r="BA928">
        <v>4654734.66</v>
      </c>
      <c r="BB928" s="1" t="s">
        <v>74</v>
      </c>
      <c r="BC928">
        <v>556</v>
      </c>
      <c r="BD928" s="1" t="s">
        <v>967</v>
      </c>
      <c r="BE928" s="1" t="s">
        <v>394</v>
      </c>
      <c r="BF928">
        <v>250000</v>
      </c>
      <c r="BG928" s="1" t="s">
        <v>1261</v>
      </c>
      <c r="BH928" s="1" t="s">
        <v>99</v>
      </c>
      <c r="BI928">
        <v>0</v>
      </c>
      <c r="BJ928" s="1"/>
      <c r="BL928" s="1"/>
      <c r="BN928" s="1"/>
      <c r="BO928">
        <v>599</v>
      </c>
      <c r="BP928">
        <v>4654734.66</v>
      </c>
      <c r="BQ928">
        <v>4654734.66</v>
      </c>
    </row>
    <row r="929" spans="1:69" x14ac:dyDescent="0.35">
      <c r="A929" s="1" t="s">
        <v>68</v>
      </c>
      <c r="B929" s="1" t="s">
        <v>69</v>
      </c>
      <c r="C929" s="1" t="s">
        <v>70</v>
      </c>
      <c r="D929">
        <v>1</v>
      </c>
      <c r="E929">
        <v>1</v>
      </c>
      <c r="F929" s="2">
        <v>43585.43</v>
      </c>
      <c r="G929" s="3">
        <v>41275</v>
      </c>
      <c r="H929" s="3">
        <v>41639</v>
      </c>
      <c r="I929" s="1" t="s">
        <v>71</v>
      </c>
      <c r="J929">
        <v>4521</v>
      </c>
      <c r="K929">
        <v>0</v>
      </c>
      <c r="L929" s="1" t="s">
        <v>384</v>
      </c>
      <c r="M929" s="1" t="s">
        <v>72</v>
      </c>
      <c r="N929" s="1" t="s">
        <v>134</v>
      </c>
      <c r="O929" s="1" t="s">
        <v>385</v>
      </c>
      <c r="P929" s="1" t="s">
        <v>386</v>
      </c>
      <c r="Q929" s="1" t="s">
        <v>387</v>
      </c>
      <c r="R929">
        <v>103</v>
      </c>
      <c r="S929" s="1" t="s">
        <v>135</v>
      </c>
      <c r="T929" s="1" t="s">
        <v>388</v>
      </c>
      <c r="U929" s="1" t="s">
        <v>135</v>
      </c>
      <c r="V929" s="1"/>
      <c r="W929" s="1"/>
      <c r="X929" s="1"/>
      <c r="Y929" s="1"/>
      <c r="AA929" s="1"/>
      <c r="AC929" s="1"/>
      <c r="AD929" s="1"/>
      <c r="AE929" s="1"/>
      <c r="AN929" s="1"/>
      <c r="AP929" s="1"/>
      <c r="AQ929" s="1"/>
      <c r="AR929" s="1"/>
      <c r="AS929" s="1"/>
      <c r="AT929" s="3"/>
      <c r="AU929" s="3"/>
      <c r="AV929" s="3"/>
      <c r="AW929" s="1"/>
      <c r="AX929" s="1"/>
      <c r="AZ929">
        <v>253</v>
      </c>
      <c r="BA929">
        <v>4654734.66</v>
      </c>
      <c r="BB929" s="1" t="s">
        <v>74</v>
      </c>
      <c r="BC929">
        <v>557</v>
      </c>
      <c r="BD929" s="1" t="s">
        <v>967</v>
      </c>
      <c r="BE929" s="1" t="s">
        <v>99</v>
      </c>
      <c r="BF929">
        <v>0</v>
      </c>
      <c r="BG929" s="1"/>
      <c r="BH929" s="1" t="s">
        <v>397</v>
      </c>
      <c r="BI929">
        <v>250000</v>
      </c>
      <c r="BJ929" s="1" t="s">
        <v>1261</v>
      </c>
      <c r="BL929" s="1"/>
      <c r="BN929" s="1"/>
      <c r="BO929">
        <v>599</v>
      </c>
      <c r="BP929">
        <v>4654734.66</v>
      </c>
      <c r="BQ929">
        <v>4654734.66</v>
      </c>
    </row>
    <row r="930" spans="1:69" x14ac:dyDescent="0.35">
      <c r="A930" s="1" t="s">
        <v>68</v>
      </c>
      <c r="B930" s="1" t="s">
        <v>69</v>
      </c>
      <c r="C930" s="1" t="s">
        <v>70</v>
      </c>
      <c r="D930">
        <v>1</v>
      </c>
      <c r="E930">
        <v>1</v>
      </c>
      <c r="F930" s="2">
        <v>43585.43</v>
      </c>
      <c r="G930" s="3">
        <v>41275</v>
      </c>
      <c r="H930" s="3">
        <v>41639</v>
      </c>
      <c r="I930" s="1" t="s">
        <v>71</v>
      </c>
      <c r="J930">
        <v>4521</v>
      </c>
      <c r="K930">
        <v>0</v>
      </c>
      <c r="L930" s="1" t="s">
        <v>384</v>
      </c>
      <c r="M930" s="1" t="s">
        <v>72</v>
      </c>
      <c r="N930" s="1" t="s">
        <v>134</v>
      </c>
      <c r="O930" s="1" t="s">
        <v>385</v>
      </c>
      <c r="P930" s="1" t="s">
        <v>386</v>
      </c>
      <c r="Q930" s="1" t="s">
        <v>387</v>
      </c>
      <c r="R930">
        <v>103</v>
      </c>
      <c r="S930" s="1" t="s">
        <v>135</v>
      </c>
      <c r="T930" s="1" t="s">
        <v>388</v>
      </c>
      <c r="U930" s="1" t="s">
        <v>135</v>
      </c>
      <c r="V930" s="1"/>
      <c r="W930" s="1"/>
      <c r="X930" s="1"/>
      <c r="Y930" s="1"/>
      <c r="AA930" s="1"/>
      <c r="AC930" s="1"/>
      <c r="AD930" s="1"/>
      <c r="AE930" s="1"/>
      <c r="AN930" s="1"/>
      <c r="AP930" s="1"/>
      <c r="AQ930" s="1"/>
      <c r="AR930" s="1"/>
      <c r="AS930" s="1"/>
      <c r="AT930" s="3"/>
      <c r="AU930" s="3"/>
      <c r="AV930" s="3"/>
      <c r="AW930" s="1"/>
      <c r="AX930" s="1"/>
      <c r="AZ930">
        <v>253</v>
      </c>
      <c r="BA930">
        <v>4654734.66</v>
      </c>
      <c r="BB930" s="1" t="s">
        <v>74</v>
      </c>
      <c r="BC930">
        <v>558</v>
      </c>
      <c r="BD930" s="1" t="s">
        <v>968</v>
      </c>
      <c r="BE930" s="1" t="s">
        <v>430</v>
      </c>
      <c r="BF930">
        <v>92250</v>
      </c>
      <c r="BG930" s="1" t="s">
        <v>1250</v>
      </c>
      <c r="BH930" s="1" t="s">
        <v>99</v>
      </c>
      <c r="BI930">
        <v>0</v>
      </c>
      <c r="BJ930" s="1"/>
      <c r="BL930" s="1"/>
      <c r="BN930" s="1"/>
      <c r="BO930">
        <v>599</v>
      </c>
      <c r="BP930">
        <v>4654734.66</v>
      </c>
      <c r="BQ930">
        <v>4654734.66</v>
      </c>
    </row>
    <row r="931" spans="1:69" x14ac:dyDescent="0.35">
      <c r="A931" s="1" t="s">
        <v>68</v>
      </c>
      <c r="B931" s="1" t="s">
        <v>69</v>
      </c>
      <c r="C931" s="1" t="s">
        <v>70</v>
      </c>
      <c r="D931">
        <v>1</v>
      </c>
      <c r="E931">
        <v>1</v>
      </c>
      <c r="F931" s="2">
        <v>43585.43</v>
      </c>
      <c r="G931" s="3">
        <v>41275</v>
      </c>
      <c r="H931" s="3">
        <v>41639</v>
      </c>
      <c r="I931" s="1" t="s">
        <v>71</v>
      </c>
      <c r="J931">
        <v>4521</v>
      </c>
      <c r="K931">
        <v>0</v>
      </c>
      <c r="L931" s="1" t="s">
        <v>384</v>
      </c>
      <c r="M931" s="1" t="s">
        <v>72</v>
      </c>
      <c r="N931" s="1" t="s">
        <v>134</v>
      </c>
      <c r="O931" s="1" t="s">
        <v>385</v>
      </c>
      <c r="P931" s="1" t="s">
        <v>386</v>
      </c>
      <c r="Q931" s="1" t="s">
        <v>387</v>
      </c>
      <c r="R931">
        <v>103</v>
      </c>
      <c r="S931" s="1" t="s">
        <v>135</v>
      </c>
      <c r="T931" s="1" t="s">
        <v>388</v>
      </c>
      <c r="U931" s="1" t="s">
        <v>135</v>
      </c>
      <c r="V931" s="1"/>
      <c r="W931" s="1"/>
      <c r="X931" s="1"/>
      <c r="Y931" s="1"/>
      <c r="AA931" s="1"/>
      <c r="AC931" s="1"/>
      <c r="AD931" s="1"/>
      <c r="AE931" s="1"/>
      <c r="AN931" s="1"/>
      <c r="AP931" s="1"/>
      <c r="AQ931" s="1"/>
      <c r="AR931" s="1"/>
      <c r="AS931" s="1"/>
      <c r="AT931" s="3"/>
      <c r="AU931" s="3"/>
      <c r="AV931" s="3"/>
      <c r="AW931" s="1"/>
      <c r="AX931" s="1"/>
      <c r="AZ931">
        <v>253</v>
      </c>
      <c r="BA931">
        <v>4654734.66</v>
      </c>
      <c r="BB931" s="1" t="s">
        <v>74</v>
      </c>
      <c r="BC931">
        <v>559</v>
      </c>
      <c r="BD931" s="1" t="s">
        <v>968</v>
      </c>
      <c r="BE931" s="1" t="s">
        <v>99</v>
      </c>
      <c r="BF931">
        <v>0</v>
      </c>
      <c r="BG931" s="1"/>
      <c r="BH931" s="1" t="s">
        <v>394</v>
      </c>
      <c r="BI931">
        <v>92250</v>
      </c>
      <c r="BJ931" s="1" t="s">
        <v>1250</v>
      </c>
      <c r="BL931" s="1"/>
      <c r="BN931" s="1"/>
      <c r="BO931">
        <v>599</v>
      </c>
      <c r="BP931">
        <v>4654734.66</v>
      </c>
      <c r="BQ931">
        <v>4654734.66</v>
      </c>
    </row>
    <row r="932" spans="1:69" x14ac:dyDescent="0.35">
      <c r="A932" s="1" t="s">
        <v>68</v>
      </c>
      <c r="B932" s="1" t="s">
        <v>69</v>
      </c>
      <c r="C932" s="1" t="s">
        <v>70</v>
      </c>
      <c r="D932">
        <v>1</v>
      </c>
      <c r="E932">
        <v>1</v>
      </c>
      <c r="F932" s="2">
        <v>43585.43</v>
      </c>
      <c r="G932" s="3">
        <v>41275</v>
      </c>
      <c r="H932" s="3">
        <v>41639</v>
      </c>
      <c r="I932" s="1" t="s">
        <v>71</v>
      </c>
      <c r="J932">
        <v>4521</v>
      </c>
      <c r="K932">
        <v>0</v>
      </c>
      <c r="L932" s="1" t="s">
        <v>384</v>
      </c>
      <c r="M932" s="1" t="s">
        <v>72</v>
      </c>
      <c r="N932" s="1" t="s">
        <v>134</v>
      </c>
      <c r="O932" s="1" t="s">
        <v>385</v>
      </c>
      <c r="P932" s="1" t="s">
        <v>386</v>
      </c>
      <c r="Q932" s="1" t="s">
        <v>387</v>
      </c>
      <c r="R932">
        <v>103</v>
      </c>
      <c r="S932" s="1" t="s">
        <v>135</v>
      </c>
      <c r="T932" s="1" t="s">
        <v>388</v>
      </c>
      <c r="U932" s="1" t="s">
        <v>135</v>
      </c>
      <c r="V932" s="1"/>
      <c r="W932" s="1"/>
      <c r="X932" s="1"/>
      <c r="Y932" s="1"/>
      <c r="AA932" s="1"/>
      <c r="AC932" s="1"/>
      <c r="AD932" s="1"/>
      <c r="AE932" s="1"/>
      <c r="AN932" s="1"/>
      <c r="AP932" s="1"/>
      <c r="AQ932" s="1"/>
      <c r="AR932" s="1"/>
      <c r="AS932" s="1"/>
      <c r="AT932" s="3"/>
      <c r="AU932" s="3"/>
      <c r="AV932" s="3"/>
      <c r="AW932" s="1"/>
      <c r="AX932" s="1"/>
      <c r="AZ932">
        <v>253</v>
      </c>
      <c r="BA932">
        <v>4654734.66</v>
      </c>
      <c r="BB932" s="1" t="s">
        <v>74</v>
      </c>
      <c r="BC932">
        <v>560</v>
      </c>
      <c r="BD932" s="1" t="s">
        <v>969</v>
      </c>
      <c r="BE932" s="1" t="s">
        <v>437</v>
      </c>
      <c r="BF932">
        <v>38990</v>
      </c>
      <c r="BG932" s="1" t="s">
        <v>1251</v>
      </c>
      <c r="BH932" s="1" t="s">
        <v>99</v>
      </c>
      <c r="BI932">
        <v>0</v>
      </c>
      <c r="BJ932" s="1"/>
      <c r="BL932" s="1"/>
      <c r="BN932" s="1"/>
      <c r="BO932">
        <v>599</v>
      </c>
      <c r="BP932">
        <v>4654734.66</v>
      </c>
      <c r="BQ932">
        <v>4654734.66</v>
      </c>
    </row>
    <row r="933" spans="1:69" x14ac:dyDescent="0.35">
      <c r="A933" s="1" t="s">
        <v>68</v>
      </c>
      <c r="B933" s="1" t="s">
        <v>69</v>
      </c>
      <c r="C933" s="1" t="s">
        <v>70</v>
      </c>
      <c r="D933">
        <v>1</v>
      </c>
      <c r="E933">
        <v>1</v>
      </c>
      <c r="F933" s="2">
        <v>43585.43</v>
      </c>
      <c r="G933" s="3">
        <v>41275</v>
      </c>
      <c r="H933" s="3">
        <v>41639</v>
      </c>
      <c r="I933" s="1" t="s">
        <v>71</v>
      </c>
      <c r="J933">
        <v>4521</v>
      </c>
      <c r="K933">
        <v>0</v>
      </c>
      <c r="L933" s="1" t="s">
        <v>384</v>
      </c>
      <c r="M933" s="1" t="s">
        <v>72</v>
      </c>
      <c r="N933" s="1" t="s">
        <v>134</v>
      </c>
      <c r="O933" s="1" t="s">
        <v>385</v>
      </c>
      <c r="P933" s="1" t="s">
        <v>386</v>
      </c>
      <c r="Q933" s="1" t="s">
        <v>387</v>
      </c>
      <c r="R933">
        <v>103</v>
      </c>
      <c r="S933" s="1" t="s">
        <v>135</v>
      </c>
      <c r="T933" s="1" t="s">
        <v>388</v>
      </c>
      <c r="U933" s="1" t="s">
        <v>135</v>
      </c>
      <c r="V933" s="1"/>
      <c r="W933" s="1"/>
      <c r="X933" s="1"/>
      <c r="Y933" s="1"/>
      <c r="AA933" s="1"/>
      <c r="AC933" s="1"/>
      <c r="AD933" s="1"/>
      <c r="AE933" s="1"/>
      <c r="AN933" s="1"/>
      <c r="AP933" s="1"/>
      <c r="AQ933" s="1"/>
      <c r="AR933" s="1"/>
      <c r="AS933" s="1"/>
      <c r="AT933" s="3"/>
      <c r="AU933" s="3"/>
      <c r="AV933" s="3"/>
      <c r="AW933" s="1"/>
      <c r="AX933" s="1"/>
      <c r="AZ933">
        <v>253</v>
      </c>
      <c r="BA933">
        <v>4654734.66</v>
      </c>
      <c r="BB933" s="1" t="s">
        <v>74</v>
      </c>
      <c r="BC933">
        <v>561</v>
      </c>
      <c r="BD933" s="1" t="s">
        <v>969</v>
      </c>
      <c r="BE933" s="1" t="s">
        <v>99</v>
      </c>
      <c r="BF933">
        <v>0</v>
      </c>
      <c r="BG933" s="1"/>
      <c r="BH933" s="1" t="s">
        <v>394</v>
      </c>
      <c r="BI933">
        <v>38990</v>
      </c>
      <c r="BJ933" s="1" t="s">
        <v>1251</v>
      </c>
      <c r="BL933" s="1"/>
      <c r="BN933" s="1"/>
      <c r="BO933">
        <v>599</v>
      </c>
      <c r="BP933">
        <v>4654734.66</v>
      </c>
      <c r="BQ933">
        <v>4654734.66</v>
      </c>
    </row>
    <row r="934" spans="1:69" x14ac:dyDescent="0.35">
      <c r="A934" s="1" t="s">
        <v>68</v>
      </c>
      <c r="B934" s="1" t="s">
        <v>69</v>
      </c>
      <c r="C934" s="1" t="s">
        <v>70</v>
      </c>
      <c r="D934">
        <v>1</v>
      </c>
      <c r="E934">
        <v>1</v>
      </c>
      <c r="F934" s="2">
        <v>43585.43</v>
      </c>
      <c r="G934" s="3">
        <v>41275</v>
      </c>
      <c r="H934" s="3">
        <v>41639</v>
      </c>
      <c r="I934" s="1" t="s">
        <v>71</v>
      </c>
      <c r="J934">
        <v>4521</v>
      </c>
      <c r="K934">
        <v>0</v>
      </c>
      <c r="L934" s="1" t="s">
        <v>384</v>
      </c>
      <c r="M934" s="1" t="s">
        <v>72</v>
      </c>
      <c r="N934" s="1" t="s">
        <v>134</v>
      </c>
      <c r="O934" s="1" t="s">
        <v>385</v>
      </c>
      <c r="P934" s="1" t="s">
        <v>386</v>
      </c>
      <c r="Q934" s="1" t="s">
        <v>387</v>
      </c>
      <c r="R934">
        <v>103</v>
      </c>
      <c r="S934" s="1" t="s">
        <v>135</v>
      </c>
      <c r="T934" s="1" t="s">
        <v>388</v>
      </c>
      <c r="U934" s="1" t="s">
        <v>135</v>
      </c>
      <c r="V934" s="1"/>
      <c r="W934" s="1"/>
      <c r="X934" s="1"/>
      <c r="Y934" s="1"/>
      <c r="AA934" s="1"/>
      <c r="AC934" s="1"/>
      <c r="AD934" s="1"/>
      <c r="AE934" s="1"/>
      <c r="AN934" s="1"/>
      <c r="AP934" s="1"/>
      <c r="AQ934" s="1"/>
      <c r="AR934" s="1"/>
      <c r="AS934" s="1"/>
      <c r="AT934" s="3"/>
      <c r="AU934" s="3"/>
      <c r="AV934" s="3"/>
      <c r="AW934" s="1"/>
      <c r="AX934" s="1"/>
      <c r="AZ934">
        <v>253</v>
      </c>
      <c r="BA934">
        <v>4654734.66</v>
      </c>
      <c r="BB934" s="1" t="s">
        <v>74</v>
      </c>
      <c r="BC934">
        <v>562</v>
      </c>
      <c r="BD934" s="1" t="s">
        <v>970</v>
      </c>
      <c r="BE934" s="1" t="s">
        <v>441</v>
      </c>
      <c r="BF934">
        <v>25000</v>
      </c>
      <c r="BG934" s="1" t="s">
        <v>1252</v>
      </c>
      <c r="BH934" s="1" t="s">
        <v>99</v>
      </c>
      <c r="BI934">
        <v>0</v>
      </c>
      <c r="BJ934" s="1"/>
      <c r="BL934" s="1"/>
      <c r="BN934" s="1"/>
      <c r="BO934">
        <v>599</v>
      </c>
      <c r="BP934">
        <v>4654734.66</v>
      </c>
      <c r="BQ934">
        <v>4654734.66</v>
      </c>
    </row>
    <row r="935" spans="1:69" x14ac:dyDescent="0.35">
      <c r="A935" s="1" t="s">
        <v>68</v>
      </c>
      <c r="B935" s="1" t="s">
        <v>69</v>
      </c>
      <c r="C935" s="1" t="s">
        <v>70</v>
      </c>
      <c r="D935">
        <v>1</v>
      </c>
      <c r="E935">
        <v>1</v>
      </c>
      <c r="F935" s="2">
        <v>43585.43</v>
      </c>
      <c r="G935" s="3">
        <v>41275</v>
      </c>
      <c r="H935" s="3">
        <v>41639</v>
      </c>
      <c r="I935" s="1" t="s">
        <v>71</v>
      </c>
      <c r="J935">
        <v>4521</v>
      </c>
      <c r="K935">
        <v>0</v>
      </c>
      <c r="L935" s="1" t="s">
        <v>384</v>
      </c>
      <c r="M935" s="1" t="s">
        <v>72</v>
      </c>
      <c r="N935" s="1" t="s">
        <v>134</v>
      </c>
      <c r="O935" s="1" t="s">
        <v>385</v>
      </c>
      <c r="P935" s="1" t="s">
        <v>386</v>
      </c>
      <c r="Q935" s="1" t="s">
        <v>387</v>
      </c>
      <c r="R935">
        <v>103</v>
      </c>
      <c r="S935" s="1" t="s">
        <v>135</v>
      </c>
      <c r="T935" s="1" t="s">
        <v>388</v>
      </c>
      <c r="U935" s="1" t="s">
        <v>135</v>
      </c>
      <c r="V935" s="1"/>
      <c r="W935" s="1"/>
      <c r="X935" s="1"/>
      <c r="Y935" s="1"/>
      <c r="AA935" s="1"/>
      <c r="AC935" s="1"/>
      <c r="AD935" s="1"/>
      <c r="AE935" s="1"/>
      <c r="AN935" s="1"/>
      <c r="AP935" s="1"/>
      <c r="AQ935" s="1"/>
      <c r="AR935" s="1"/>
      <c r="AS935" s="1"/>
      <c r="AT935" s="3"/>
      <c r="AU935" s="3"/>
      <c r="AV935" s="3"/>
      <c r="AW935" s="1"/>
      <c r="AX935" s="1"/>
      <c r="AZ935">
        <v>253</v>
      </c>
      <c r="BA935">
        <v>4654734.66</v>
      </c>
      <c r="BB935" s="1" t="s">
        <v>74</v>
      </c>
      <c r="BC935">
        <v>563</v>
      </c>
      <c r="BD935" s="1" t="s">
        <v>970</v>
      </c>
      <c r="BE935" s="1" t="s">
        <v>99</v>
      </c>
      <c r="BF935">
        <v>0</v>
      </c>
      <c r="BG935" s="1"/>
      <c r="BH935" s="1" t="s">
        <v>394</v>
      </c>
      <c r="BI935">
        <v>25000</v>
      </c>
      <c r="BJ935" s="1" t="s">
        <v>1252</v>
      </c>
      <c r="BL935" s="1"/>
      <c r="BN935" s="1"/>
      <c r="BO935">
        <v>599</v>
      </c>
      <c r="BP935">
        <v>4654734.66</v>
      </c>
      <c r="BQ935">
        <v>4654734.66</v>
      </c>
    </row>
    <row r="936" spans="1:69" x14ac:dyDescent="0.35">
      <c r="A936" s="1" t="s">
        <v>68</v>
      </c>
      <c r="B936" s="1" t="s">
        <v>69</v>
      </c>
      <c r="C936" s="1" t="s">
        <v>70</v>
      </c>
      <c r="D936">
        <v>1</v>
      </c>
      <c r="E936">
        <v>1</v>
      </c>
      <c r="F936" s="2">
        <v>43585.43</v>
      </c>
      <c r="G936" s="3">
        <v>41275</v>
      </c>
      <c r="H936" s="3">
        <v>41639</v>
      </c>
      <c r="I936" s="1" t="s">
        <v>71</v>
      </c>
      <c r="J936">
        <v>4521</v>
      </c>
      <c r="K936">
        <v>0</v>
      </c>
      <c r="L936" s="1" t="s">
        <v>384</v>
      </c>
      <c r="M936" s="1" t="s">
        <v>72</v>
      </c>
      <c r="N936" s="1" t="s">
        <v>134</v>
      </c>
      <c r="O936" s="1" t="s">
        <v>385</v>
      </c>
      <c r="P936" s="1" t="s">
        <v>386</v>
      </c>
      <c r="Q936" s="1" t="s">
        <v>387</v>
      </c>
      <c r="R936">
        <v>103</v>
      </c>
      <c r="S936" s="1" t="s">
        <v>135</v>
      </c>
      <c r="T936" s="1" t="s">
        <v>388</v>
      </c>
      <c r="U936" s="1" t="s">
        <v>135</v>
      </c>
      <c r="V936" s="1"/>
      <c r="W936" s="1"/>
      <c r="X936" s="1"/>
      <c r="Y936" s="1"/>
      <c r="AA936" s="1"/>
      <c r="AC936" s="1"/>
      <c r="AD936" s="1"/>
      <c r="AE936" s="1"/>
      <c r="AN936" s="1"/>
      <c r="AP936" s="1"/>
      <c r="AQ936" s="1"/>
      <c r="AR936" s="1"/>
      <c r="AS936" s="1"/>
      <c r="AT936" s="3"/>
      <c r="AU936" s="3"/>
      <c r="AV936" s="3"/>
      <c r="AW936" s="1"/>
      <c r="AX936" s="1"/>
      <c r="AZ936">
        <v>253</v>
      </c>
      <c r="BA936">
        <v>4654734.66</v>
      </c>
      <c r="BB936" s="1" t="s">
        <v>74</v>
      </c>
      <c r="BC936">
        <v>564</v>
      </c>
      <c r="BD936" s="1" t="s">
        <v>971</v>
      </c>
      <c r="BE936" s="1" t="s">
        <v>394</v>
      </c>
      <c r="BF936">
        <v>100000</v>
      </c>
      <c r="BG936" s="1" t="s">
        <v>1253</v>
      </c>
      <c r="BH936" s="1" t="s">
        <v>99</v>
      </c>
      <c r="BI936">
        <v>0</v>
      </c>
      <c r="BJ936" s="1"/>
      <c r="BL936" s="1"/>
      <c r="BN936" s="1"/>
      <c r="BO936">
        <v>599</v>
      </c>
      <c r="BP936">
        <v>4654734.66</v>
      </c>
      <c r="BQ936">
        <v>4654734.66</v>
      </c>
    </row>
    <row r="937" spans="1:69" x14ac:dyDescent="0.35">
      <c r="A937" s="1" t="s">
        <v>68</v>
      </c>
      <c r="B937" s="1" t="s">
        <v>69</v>
      </c>
      <c r="C937" s="1" t="s">
        <v>70</v>
      </c>
      <c r="D937">
        <v>1</v>
      </c>
      <c r="E937">
        <v>1</v>
      </c>
      <c r="F937" s="2">
        <v>43585.43</v>
      </c>
      <c r="G937" s="3">
        <v>41275</v>
      </c>
      <c r="H937" s="3">
        <v>41639</v>
      </c>
      <c r="I937" s="1" t="s">
        <v>71</v>
      </c>
      <c r="J937">
        <v>4521</v>
      </c>
      <c r="K937">
        <v>0</v>
      </c>
      <c r="L937" s="1" t="s">
        <v>384</v>
      </c>
      <c r="M937" s="1" t="s">
        <v>72</v>
      </c>
      <c r="N937" s="1" t="s">
        <v>134</v>
      </c>
      <c r="O937" s="1" t="s">
        <v>385</v>
      </c>
      <c r="P937" s="1" t="s">
        <v>386</v>
      </c>
      <c r="Q937" s="1" t="s">
        <v>387</v>
      </c>
      <c r="R937">
        <v>103</v>
      </c>
      <c r="S937" s="1" t="s">
        <v>135</v>
      </c>
      <c r="T937" s="1" t="s">
        <v>388</v>
      </c>
      <c r="U937" s="1" t="s">
        <v>135</v>
      </c>
      <c r="V937" s="1"/>
      <c r="W937" s="1"/>
      <c r="X937" s="1"/>
      <c r="Y937" s="1"/>
      <c r="AA937" s="1"/>
      <c r="AC937" s="1"/>
      <c r="AD937" s="1"/>
      <c r="AE937" s="1"/>
      <c r="AN937" s="1"/>
      <c r="AP937" s="1"/>
      <c r="AQ937" s="1"/>
      <c r="AR937" s="1"/>
      <c r="AS937" s="1"/>
      <c r="AT937" s="3"/>
      <c r="AU937" s="3"/>
      <c r="AV937" s="3"/>
      <c r="AW937" s="1"/>
      <c r="AX937" s="1"/>
      <c r="AZ937">
        <v>253</v>
      </c>
      <c r="BA937">
        <v>4654734.66</v>
      </c>
      <c r="BB937" s="1" t="s">
        <v>74</v>
      </c>
      <c r="BC937">
        <v>565</v>
      </c>
      <c r="BD937" s="1" t="s">
        <v>971</v>
      </c>
      <c r="BE937" s="1" t="s">
        <v>99</v>
      </c>
      <c r="BF937">
        <v>0</v>
      </c>
      <c r="BG937" s="1"/>
      <c r="BH937" s="1" t="s">
        <v>464</v>
      </c>
      <c r="BI937">
        <v>100000</v>
      </c>
      <c r="BJ937" s="1" t="s">
        <v>1253</v>
      </c>
      <c r="BL937" s="1"/>
      <c r="BN937" s="1"/>
      <c r="BO937">
        <v>599</v>
      </c>
      <c r="BP937">
        <v>4654734.66</v>
      </c>
      <c r="BQ937">
        <v>4654734.66</v>
      </c>
    </row>
    <row r="938" spans="1:69" x14ac:dyDescent="0.35">
      <c r="A938" s="1" t="s">
        <v>68</v>
      </c>
      <c r="B938" s="1" t="s">
        <v>69</v>
      </c>
      <c r="C938" s="1" t="s">
        <v>70</v>
      </c>
      <c r="D938">
        <v>1</v>
      </c>
      <c r="E938">
        <v>1</v>
      </c>
      <c r="F938" s="2">
        <v>43585.43</v>
      </c>
      <c r="G938" s="3">
        <v>41275</v>
      </c>
      <c r="H938" s="3">
        <v>41639</v>
      </c>
      <c r="I938" s="1" t="s">
        <v>71</v>
      </c>
      <c r="J938">
        <v>4521</v>
      </c>
      <c r="K938">
        <v>0</v>
      </c>
      <c r="L938" s="1" t="s">
        <v>384</v>
      </c>
      <c r="M938" s="1" t="s">
        <v>72</v>
      </c>
      <c r="N938" s="1" t="s">
        <v>134</v>
      </c>
      <c r="O938" s="1" t="s">
        <v>385</v>
      </c>
      <c r="P938" s="1" t="s">
        <v>386</v>
      </c>
      <c r="Q938" s="1" t="s">
        <v>387</v>
      </c>
      <c r="R938">
        <v>103</v>
      </c>
      <c r="S938" s="1" t="s">
        <v>135</v>
      </c>
      <c r="T938" s="1" t="s">
        <v>388</v>
      </c>
      <c r="U938" s="1" t="s">
        <v>135</v>
      </c>
      <c r="V938" s="1"/>
      <c r="W938" s="1"/>
      <c r="X938" s="1"/>
      <c r="Y938" s="1"/>
      <c r="AA938" s="1"/>
      <c r="AC938" s="1"/>
      <c r="AD938" s="1"/>
      <c r="AE938" s="1"/>
      <c r="AN938" s="1"/>
      <c r="AP938" s="1"/>
      <c r="AQ938" s="1"/>
      <c r="AR938" s="1"/>
      <c r="AS938" s="1"/>
      <c r="AT938" s="3"/>
      <c r="AU938" s="3"/>
      <c r="AV938" s="3"/>
      <c r="AW938" s="1"/>
      <c r="AX938" s="1"/>
      <c r="AZ938">
        <v>253</v>
      </c>
      <c r="BA938">
        <v>4654734.66</v>
      </c>
      <c r="BB938" s="1" t="s">
        <v>74</v>
      </c>
      <c r="BC938">
        <v>566</v>
      </c>
      <c r="BD938" s="1" t="s">
        <v>1592</v>
      </c>
      <c r="BE938" s="1" t="s">
        <v>464</v>
      </c>
      <c r="BF938">
        <v>600000</v>
      </c>
      <c r="BG938" s="1" t="s">
        <v>1594</v>
      </c>
      <c r="BH938" s="1" t="s">
        <v>99</v>
      </c>
      <c r="BI938">
        <v>0</v>
      </c>
      <c r="BJ938" s="1"/>
      <c r="BL938" s="1"/>
      <c r="BN938" s="1"/>
      <c r="BO938">
        <v>599</v>
      </c>
      <c r="BP938">
        <v>4654734.66</v>
      </c>
      <c r="BQ938">
        <v>4654734.66</v>
      </c>
    </row>
    <row r="939" spans="1:69" x14ac:dyDescent="0.35">
      <c r="A939" s="1" t="s">
        <v>68</v>
      </c>
      <c r="B939" s="1" t="s">
        <v>69</v>
      </c>
      <c r="C939" s="1" t="s">
        <v>70</v>
      </c>
      <c r="D939">
        <v>1</v>
      </c>
      <c r="E939">
        <v>1</v>
      </c>
      <c r="F939" s="2">
        <v>43585.43</v>
      </c>
      <c r="G939" s="3">
        <v>41275</v>
      </c>
      <c r="H939" s="3">
        <v>41639</v>
      </c>
      <c r="I939" s="1" t="s">
        <v>71</v>
      </c>
      <c r="J939">
        <v>4521</v>
      </c>
      <c r="K939">
        <v>0</v>
      </c>
      <c r="L939" s="1" t="s">
        <v>384</v>
      </c>
      <c r="M939" s="1" t="s">
        <v>72</v>
      </c>
      <c r="N939" s="1" t="s">
        <v>134</v>
      </c>
      <c r="O939" s="1" t="s">
        <v>385</v>
      </c>
      <c r="P939" s="1" t="s">
        <v>386</v>
      </c>
      <c r="Q939" s="1" t="s">
        <v>387</v>
      </c>
      <c r="R939">
        <v>103</v>
      </c>
      <c r="S939" s="1" t="s">
        <v>135</v>
      </c>
      <c r="T939" s="1" t="s">
        <v>388</v>
      </c>
      <c r="U939" s="1" t="s">
        <v>135</v>
      </c>
      <c r="V939" s="1"/>
      <c r="W939" s="1"/>
      <c r="X939" s="1"/>
      <c r="Y939" s="1"/>
      <c r="AA939" s="1"/>
      <c r="AC939" s="1"/>
      <c r="AD939" s="1"/>
      <c r="AE939" s="1"/>
      <c r="AN939" s="1"/>
      <c r="AP939" s="1"/>
      <c r="AQ939" s="1"/>
      <c r="AR939" s="1"/>
      <c r="AS939" s="1"/>
      <c r="AT939" s="3"/>
      <c r="AU939" s="3"/>
      <c r="AV939" s="3"/>
      <c r="AW939" s="1"/>
      <c r="AX939" s="1"/>
      <c r="AZ939">
        <v>253</v>
      </c>
      <c r="BA939">
        <v>4654734.66</v>
      </c>
      <c r="BB939" s="1" t="s">
        <v>74</v>
      </c>
      <c r="BC939">
        <v>567</v>
      </c>
      <c r="BD939" s="1" t="s">
        <v>1592</v>
      </c>
      <c r="BE939" s="1" t="s">
        <v>99</v>
      </c>
      <c r="BF939">
        <v>0</v>
      </c>
      <c r="BG939" s="1"/>
      <c r="BH939" s="1" t="s">
        <v>1588</v>
      </c>
      <c r="BI939">
        <v>600000</v>
      </c>
      <c r="BJ939" s="1" t="s">
        <v>1594</v>
      </c>
      <c r="BL939" s="1"/>
      <c r="BN939" s="1"/>
      <c r="BO939">
        <v>599</v>
      </c>
      <c r="BP939">
        <v>4654734.66</v>
      </c>
      <c r="BQ939">
        <v>4654734.66</v>
      </c>
    </row>
    <row r="940" spans="1:69" x14ac:dyDescent="0.35">
      <c r="A940" s="1" t="s">
        <v>68</v>
      </c>
      <c r="B940" s="1" t="s">
        <v>69</v>
      </c>
      <c r="C940" s="1" t="s">
        <v>70</v>
      </c>
      <c r="D940">
        <v>1</v>
      </c>
      <c r="E940">
        <v>1</v>
      </c>
      <c r="F940" s="2">
        <v>43585.43</v>
      </c>
      <c r="G940" s="3">
        <v>41275</v>
      </c>
      <c r="H940" s="3">
        <v>41639</v>
      </c>
      <c r="I940" s="1" t="s">
        <v>71</v>
      </c>
      <c r="J940">
        <v>4521</v>
      </c>
      <c r="K940">
        <v>0</v>
      </c>
      <c r="L940" s="1" t="s">
        <v>384</v>
      </c>
      <c r="M940" s="1" t="s">
        <v>72</v>
      </c>
      <c r="N940" s="1" t="s">
        <v>134</v>
      </c>
      <c r="O940" s="1" t="s">
        <v>385</v>
      </c>
      <c r="P940" s="1" t="s">
        <v>386</v>
      </c>
      <c r="Q940" s="1" t="s">
        <v>387</v>
      </c>
      <c r="R940">
        <v>103</v>
      </c>
      <c r="S940" s="1" t="s">
        <v>135</v>
      </c>
      <c r="T940" s="1" t="s">
        <v>388</v>
      </c>
      <c r="U940" s="1" t="s">
        <v>135</v>
      </c>
      <c r="V940" s="1"/>
      <c r="W940" s="1"/>
      <c r="X940" s="1"/>
      <c r="Y940" s="1"/>
      <c r="AA940" s="1"/>
      <c r="AC940" s="1"/>
      <c r="AD940" s="1"/>
      <c r="AE940" s="1"/>
      <c r="AN940" s="1"/>
      <c r="AP940" s="1"/>
      <c r="AQ940" s="1"/>
      <c r="AR940" s="1"/>
      <c r="AS940" s="1"/>
      <c r="AT940" s="3"/>
      <c r="AU940" s="3"/>
      <c r="AV940" s="3"/>
      <c r="AW940" s="1"/>
      <c r="AX940" s="1"/>
      <c r="AZ940">
        <v>253</v>
      </c>
      <c r="BA940">
        <v>4654734.66</v>
      </c>
      <c r="BB940" s="1" t="s">
        <v>74</v>
      </c>
      <c r="BC940">
        <v>568</v>
      </c>
      <c r="BD940" s="1" t="s">
        <v>1593</v>
      </c>
      <c r="BE940" s="1" t="s">
        <v>137</v>
      </c>
      <c r="BF940">
        <v>25567.14</v>
      </c>
      <c r="BG940" s="1" t="s">
        <v>1595</v>
      </c>
      <c r="BH940" s="1" t="s">
        <v>99</v>
      </c>
      <c r="BI940">
        <v>0</v>
      </c>
      <c r="BJ940" s="1"/>
      <c r="BL940" s="1"/>
      <c r="BN940" s="1"/>
      <c r="BO940">
        <v>599</v>
      </c>
      <c r="BP940">
        <v>4654734.66</v>
      </c>
      <c r="BQ940">
        <v>4654734.66</v>
      </c>
    </row>
    <row r="941" spans="1:69" x14ac:dyDescent="0.35">
      <c r="A941" s="1" t="s">
        <v>68</v>
      </c>
      <c r="B941" s="1" t="s">
        <v>69</v>
      </c>
      <c r="C941" s="1" t="s">
        <v>70</v>
      </c>
      <c r="D941">
        <v>1</v>
      </c>
      <c r="E941">
        <v>1</v>
      </c>
      <c r="F941" s="2">
        <v>43585.43</v>
      </c>
      <c r="G941" s="3">
        <v>41275</v>
      </c>
      <c r="H941" s="3">
        <v>41639</v>
      </c>
      <c r="I941" s="1" t="s">
        <v>71</v>
      </c>
      <c r="J941">
        <v>4521</v>
      </c>
      <c r="K941">
        <v>0</v>
      </c>
      <c r="L941" s="1" t="s">
        <v>384</v>
      </c>
      <c r="M941" s="1" t="s">
        <v>72</v>
      </c>
      <c r="N941" s="1" t="s">
        <v>134</v>
      </c>
      <c r="O941" s="1" t="s">
        <v>385</v>
      </c>
      <c r="P941" s="1" t="s">
        <v>386</v>
      </c>
      <c r="Q941" s="1" t="s">
        <v>387</v>
      </c>
      <c r="R941">
        <v>103</v>
      </c>
      <c r="S941" s="1" t="s">
        <v>135</v>
      </c>
      <c r="T941" s="1" t="s">
        <v>388</v>
      </c>
      <c r="U941" s="1" t="s">
        <v>135</v>
      </c>
      <c r="V941" s="1"/>
      <c r="W941" s="1"/>
      <c r="X941" s="1"/>
      <c r="Y941" s="1"/>
      <c r="AA941" s="1"/>
      <c r="AC941" s="1"/>
      <c r="AD941" s="1"/>
      <c r="AE941" s="1"/>
      <c r="AN941" s="1"/>
      <c r="AP941" s="1"/>
      <c r="AQ941" s="1"/>
      <c r="AR941" s="1"/>
      <c r="AS941" s="1"/>
      <c r="AT941" s="3"/>
      <c r="AU941" s="3"/>
      <c r="AV941" s="3"/>
      <c r="AW941" s="1"/>
      <c r="AX941" s="1"/>
      <c r="AZ941">
        <v>253</v>
      </c>
      <c r="BA941">
        <v>4654734.66</v>
      </c>
      <c r="BB941" s="1" t="s">
        <v>74</v>
      </c>
      <c r="BC941">
        <v>569</v>
      </c>
      <c r="BD941" s="1" t="s">
        <v>1593</v>
      </c>
      <c r="BE941" s="1" t="s">
        <v>99</v>
      </c>
      <c r="BF941">
        <v>0</v>
      </c>
      <c r="BG941" s="1"/>
      <c r="BH941" s="1" t="s">
        <v>1589</v>
      </c>
      <c r="BI941">
        <v>25567.14</v>
      </c>
      <c r="BJ941" s="1" t="s">
        <v>1595</v>
      </c>
      <c r="BL941" s="1"/>
      <c r="BN941" s="1"/>
      <c r="BO941">
        <v>599</v>
      </c>
      <c r="BP941">
        <v>4654734.66</v>
      </c>
      <c r="BQ941">
        <v>4654734.66</v>
      </c>
    </row>
    <row r="942" spans="1:69" x14ac:dyDescent="0.35">
      <c r="A942" s="1" t="s">
        <v>68</v>
      </c>
      <c r="B942" s="1" t="s">
        <v>69</v>
      </c>
      <c r="C942" s="1" t="s">
        <v>70</v>
      </c>
      <c r="D942">
        <v>1</v>
      </c>
      <c r="E942">
        <v>1</v>
      </c>
      <c r="F942" s="2">
        <v>43585.43</v>
      </c>
      <c r="G942" s="3">
        <v>41275</v>
      </c>
      <c r="H942" s="3">
        <v>41639</v>
      </c>
      <c r="I942" s="1" t="s">
        <v>71</v>
      </c>
      <c r="J942">
        <v>4521</v>
      </c>
      <c r="K942">
        <v>0</v>
      </c>
      <c r="L942" s="1" t="s">
        <v>384</v>
      </c>
      <c r="M942" s="1" t="s">
        <v>72</v>
      </c>
      <c r="N942" s="1" t="s">
        <v>134</v>
      </c>
      <c r="O942" s="1" t="s">
        <v>385</v>
      </c>
      <c r="P942" s="1" t="s">
        <v>386</v>
      </c>
      <c r="Q942" s="1" t="s">
        <v>387</v>
      </c>
      <c r="R942">
        <v>103</v>
      </c>
      <c r="S942" s="1" t="s">
        <v>135</v>
      </c>
      <c r="T942" s="1" t="s">
        <v>388</v>
      </c>
      <c r="U942" s="1" t="s">
        <v>135</v>
      </c>
      <c r="V942" s="1"/>
      <c r="W942" s="1"/>
      <c r="X942" s="1"/>
      <c r="Y942" s="1"/>
      <c r="AA942" s="1"/>
      <c r="AC942" s="1"/>
      <c r="AD942" s="1"/>
      <c r="AE942" s="1"/>
      <c r="AN942" s="1"/>
      <c r="AP942" s="1"/>
      <c r="AQ942" s="1"/>
      <c r="AR942" s="1"/>
      <c r="AS942" s="1"/>
      <c r="AT942" s="3"/>
      <c r="AU942" s="3"/>
      <c r="AV942" s="3"/>
      <c r="AW942" s="1"/>
      <c r="AX942" s="1"/>
      <c r="AZ942">
        <v>253</v>
      </c>
      <c r="BA942">
        <v>4654734.66</v>
      </c>
      <c r="BB942" s="1" t="s">
        <v>74</v>
      </c>
      <c r="BC942">
        <v>570</v>
      </c>
      <c r="BD942" s="1" t="s">
        <v>1646</v>
      </c>
      <c r="BE942" s="1" t="s">
        <v>1641</v>
      </c>
      <c r="BF942">
        <v>75900</v>
      </c>
      <c r="BG942" s="1" t="s">
        <v>1649</v>
      </c>
      <c r="BH942" s="1" t="s">
        <v>99</v>
      </c>
      <c r="BI942">
        <v>0</v>
      </c>
      <c r="BJ942" s="1"/>
      <c r="BL942" s="1"/>
      <c r="BN942" s="1"/>
      <c r="BO942">
        <v>599</v>
      </c>
      <c r="BP942">
        <v>4654734.66</v>
      </c>
      <c r="BQ942">
        <v>4654734.66</v>
      </c>
    </row>
    <row r="943" spans="1:69" x14ac:dyDescent="0.35">
      <c r="A943" s="1" t="s">
        <v>68</v>
      </c>
      <c r="B943" s="1" t="s">
        <v>69</v>
      </c>
      <c r="C943" s="1" t="s">
        <v>70</v>
      </c>
      <c r="D943">
        <v>1</v>
      </c>
      <c r="E943">
        <v>1</v>
      </c>
      <c r="F943" s="2">
        <v>43585.43</v>
      </c>
      <c r="G943" s="3">
        <v>41275</v>
      </c>
      <c r="H943" s="3">
        <v>41639</v>
      </c>
      <c r="I943" s="1" t="s">
        <v>71</v>
      </c>
      <c r="J943">
        <v>4521</v>
      </c>
      <c r="K943">
        <v>0</v>
      </c>
      <c r="L943" s="1" t="s">
        <v>384</v>
      </c>
      <c r="M943" s="1" t="s">
        <v>72</v>
      </c>
      <c r="N943" s="1" t="s">
        <v>134</v>
      </c>
      <c r="O943" s="1" t="s">
        <v>385</v>
      </c>
      <c r="P943" s="1" t="s">
        <v>386</v>
      </c>
      <c r="Q943" s="1" t="s">
        <v>387</v>
      </c>
      <c r="R943">
        <v>103</v>
      </c>
      <c r="S943" s="1" t="s">
        <v>135</v>
      </c>
      <c r="T943" s="1" t="s">
        <v>388</v>
      </c>
      <c r="U943" s="1" t="s">
        <v>135</v>
      </c>
      <c r="V943" s="1"/>
      <c r="W943" s="1"/>
      <c r="X943" s="1"/>
      <c r="Y943" s="1"/>
      <c r="AA943" s="1"/>
      <c r="AC943" s="1"/>
      <c r="AD943" s="1"/>
      <c r="AE943" s="1"/>
      <c r="AN943" s="1"/>
      <c r="AP943" s="1"/>
      <c r="AQ943" s="1"/>
      <c r="AR943" s="1"/>
      <c r="AS943" s="1"/>
      <c r="AT943" s="3"/>
      <c r="AU943" s="3"/>
      <c r="AV943" s="3"/>
      <c r="AW943" s="1"/>
      <c r="AX943" s="1"/>
      <c r="AZ943">
        <v>253</v>
      </c>
      <c r="BA943">
        <v>4654734.66</v>
      </c>
      <c r="BB943" s="1" t="s">
        <v>74</v>
      </c>
      <c r="BC943">
        <v>571</v>
      </c>
      <c r="BD943" s="1" t="s">
        <v>1646</v>
      </c>
      <c r="BE943" s="1" t="s">
        <v>99</v>
      </c>
      <c r="BF943">
        <v>0</v>
      </c>
      <c r="BG943" s="1"/>
      <c r="BH943" s="1" t="s">
        <v>75</v>
      </c>
      <c r="BI943">
        <v>75900</v>
      </c>
      <c r="BJ943" s="1" t="s">
        <v>1649</v>
      </c>
      <c r="BL943" s="1"/>
      <c r="BN943" s="1"/>
      <c r="BO943">
        <v>599</v>
      </c>
      <c r="BP943">
        <v>4654734.66</v>
      </c>
      <c r="BQ943">
        <v>4654734.66</v>
      </c>
    </row>
    <row r="944" spans="1:69" x14ac:dyDescent="0.35">
      <c r="A944" s="1" t="s">
        <v>68</v>
      </c>
      <c r="B944" s="1" t="s">
        <v>69</v>
      </c>
      <c r="C944" s="1" t="s">
        <v>70</v>
      </c>
      <c r="D944">
        <v>1</v>
      </c>
      <c r="E944">
        <v>1</v>
      </c>
      <c r="F944" s="2">
        <v>43585.43</v>
      </c>
      <c r="G944" s="3">
        <v>41275</v>
      </c>
      <c r="H944" s="3">
        <v>41639</v>
      </c>
      <c r="I944" s="1" t="s">
        <v>71</v>
      </c>
      <c r="J944">
        <v>4521</v>
      </c>
      <c r="K944">
        <v>0</v>
      </c>
      <c r="L944" s="1" t="s">
        <v>384</v>
      </c>
      <c r="M944" s="1" t="s">
        <v>72</v>
      </c>
      <c r="N944" s="1" t="s">
        <v>134</v>
      </c>
      <c r="O944" s="1" t="s">
        <v>385</v>
      </c>
      <c r="P944" s="1" t="s">
        <v>386</v>
      </c>
      <c r="Q944" s="1" t="s">
        <v>387</v>
      </c>
      <c r="R944">
        <v>103</v>
      </c>
      <c r="S944" s="1" t="s">
        <v>135</v>
      </c>
      <c r="T944" s="1" t="s">
        <v>388</v>
      </c>
      <c r="U944" s="1" t="s">
        <v>135</v>
      </c>
      <c r="V944" s="1"/>
      <c r="W944" s="1"/>
      <c r="X944" s="1"/>
      <c r="Y944" s="1"/>
      <c r="AA944" s="1"/>
      <c r="AC944" s="1"/>
      <c r="AD944" s="1"/>
      <c r="AE944" s="1"/>
      <c r="AN944" s="1"/>
      <c r="AP944" s="1"/>
      <c r="AQ944" s="1"/>
      <c r="AR944" s="1"/>
      <c r="AS944" s="1"/>
      <c r="AT944" s="3"/>
      <c r="AU944" s="3"/>
      <c r="AV944" s="3"/>
      <c r="AW944" s="1"/>
      <c r="AX944" s="1"/>
      <c r="AZ944">
        <v>253</v>
      </c>
      <c r="BA944">
        <v>4654734.66</v>
      </c>
      <c r="BB944" s="1" t="s">
        <v>74</v>
      </c>
      <c r="BC944">
        <v>572</v>
      </c>
      <c r="BD944" s="1" t="s">
        <v>1647</v>
      </c>
      <c r="BE944" s="1" t="s">
        <v>1640</v>
      </c>
      <c r="BF944">
        <v>120560</v>
      </c>
      <c r="BG944" s="1" t="s">
        <v>1649</v>
      </c>
      <c r="BH944" s="1" t="s">
        <v>99</v>
      </c>
      <c r="BI944">
        <v>0</v>
      </c>
      <c r="BJ944" s="1"/>
      <c r="BL944" s="1"/>
      <c r="BN944" s="1"/>
      <c r="BO944">
        <v>599</v>
      </c>
      <c r="BP944">
        <v>4654734.66</v>
      </c>
      <c r="BQ944">
        <v>4654734.66</v>
      </c>
    </row>
    <row r="945" spans="1:69" x14ac:dyDescent="0.35">
      <c r="A945" s="1" t="s">
        <v>68</v>
      </c>
      <c r="B945" s="1" t="s">
        <v>69</v>
      </c>
      <c r="C945" s="1" t="s">
        <v>70</v>
      </c>
      <c r="D945">
        <v>1</v>
      </c>
      <c r="E945">
        <v>1</v>
      </c>
      <c r="F945" s="2">
        <v>43585.43</v>
      </c>
      <c r="G945" s="3">
        <v>41275</v>
      </c>
      <c r="H945" s="3">
        <v>41639</v>
      </c>
      <c r="I945" s="1" t="s">
        <v>71</v>
      </c>
      <c r="J945">
        <v>4521</v>
      </c>
      <c r="K945">
        <v>0</v>
      </c>
      <c r="L945" s="1" t="s">
        <v>384</v>
      </c>
      <c r="M945" s="1" t="s">
        <v>72</v>
      </c>
      <c r="N945" s="1" t="s">
        <v>134</v>
      </c>
      <c r="O945" s="1" t="s">
        <v>385</v>
      </c>
      <c r="P945" s="1" t="s">
        <v>386</v>
      </c>
      <c r="Q945" s="1" t="s">
        <v>387</v>
      </c>
      <c r="R945">
        <v>103</v>
      </c>
      <c r="S945" s="1" t="s">
        <v>135</v>
      </c>
      <c r="T945" s="1" t="s">
        <v>388</v>
      </c>
      <c r="U945" s="1" t="s">
        <v>135</v>
      </c>
      <c r="V945" s="1"/>
      <c r="W945" s="1"/>
      <c r="X945" s="1"/>
      <c r="Y945" s="1"/>
      <c r="AA945" s="1"/>
      <c r="AC945" s="1"/>
      <c r="AD945" s="1"/>
      <c r="AE945" s="1"/>
      <c r="AN945" s="1"/>
      <c r="AP945" s="1"/>
      <c r="AQ945" s="1"/>
      <c r="AR945" s="1"/>
      <c r="AS945" s="1"/>
      <c r="AT945" s="3"/>
      <c r="AU945" s="3"/>
      <c r="AV945" s="3"/>
      <c r="AW945" s="1"/>
      <c r="AX945" s="1"/>
      <c r="AZ945">
        <v>253</v>
      </c>
      <c r="BA945">
        <v>4654734.66</v>
      </c>
      <c r="BB945" s="1" t="s">
        <v>74</v>
      </c>
      <c r="BC945">
        <v>573</v>
      </c>
      <c r="BD945" s="1" t="s">
        <v>1647</v>
      </c>
      <c r="BE945" s="1" t="s">
        <v>99</v>
      </c>
      <c r="BF945">
        <v>0</v>
      </c>
      <c r="BG945" s="1"/>
      <c r="BH945" s="1" t="s">
        <v>75</v>
      </c>
      <c r="BI945">
        <v>120560</v>
      </c>
      <c r="BJ945" s="1" t="s">
        <v>1649</v>
      </c>
      <c r="BL945" s="1"/>
      <c r="BN945" s="1"/>
      <c r="BO945">
        <v>599</v>
      </c>
      <c r="BP945">
        <v>4654734.66</v>
      </c>
      <c r="BQ945">
        <v>4654734.66</v>
      </c>
    </row>
    <row r="946" spans="1:69" x14ac:dyDescent="0.35">
      <c r="A946" s="1" t="s">
        <v>68</v>
      </c>
      <c r="B946" s="1" t="s">
        <v>69</v>
      </c>
      <c r="C946" s="1" t="s">
        <v>70</v>
      </c>
      <c r="D946">
        <v>1</v>
      </c>
      <c r="E946">
        <v>1</v>
      </c>
      <c r="F946" s="2">
        <v>43585.43</v>
      </c>
      <c r="G946" s="3">
        <v>41275</v>
      </c>
      <c r="H946" s="3">
        <v>41639</v>
      </c>
      <c r="I946" s="1" t="s">
        <v>71</v>
      </c>
      <c r="J946">
        <v>4521</v>
      </c>
      <c r="K946">
        <v>0</v>
      </c>
      <c r="L946" s="1" t="s">
        <v>384</v>
      </c>
      <c r="M946" s="1" t="s">
        <v>72</v>
      </c>
      <c r="N946" s="1" t="s">
        <v>134</v>
      </c>
      <c r="O946" s="1" t="s">
        <v>385</v>
      </c>
      <c r="P946" s="1" t="s">
        <v>386</v>
      </c>
      <c r="Q946" s="1" t="s">
        <v>387</v>
      </c>
      <c r="R946">
        <v>103</v>
      </c>
      <c r="S946" s="1" t="s">
        <v>135</v>
      </c>
      <c r="T946" s="1" t="s">
        <v>388</v>
      </c>
      <c r="U946" s="1" t="s">
        <v>135</v>
      </c>
      <c r="V946" s="1"/>
      <c r="W946" s="1"/>
      <c r="X946" s="1"/>
      <c r="Y946" s="1"/>
      <c r="AA946" s="1"/>
      <c r="AC946" s="1"/>
      <c r="AD946" s="1"/>
      <c r="AE946" s="1"/>
      <c r="AN946" s="1"/>
      <c r="AP946" s="1"/>
      <c r="AQ946" s="1"/>
      <c r="AR946" s="1"/>
      <c r="AS946" s="1"/>
      <c r="AT946" s="3"/>
      <c r="AU946" s="3"/>
      <c r="AV946" s="3"/>
      <c r="AW946" s="1"/>
      <c r="AX946" s="1"/>
      <c r="AZ946">
        <v>253</v>
      </c>
      <c r="BA946">
        <v>4654734.66</v>
      </c>
      <c r="BB946" s="1" t="s">
        <v>74</v>
      </c>
      <c r="BC946">
        <v>574</v>
      </c>
      <c r="BD946" s="1" t="s">
        <v>1648</v>
      </c>
      <c r="BE946" s="1" t="s">
        <v>1642</v>
      </c>
      <c r="BF946">
        <v>39236</v>
      </c>
      <c r="BG946" s="1" t="s">
        <v>1649</v>
      </c>
      <c r="BH946" s="1" t="s">
        <v>99</v>
      </c>
      <c r="BI946">
        <v>0</v>
      </c>
      <c r="BJ946" s="1"/>
      <c r="BL946" s="1"/>
      <c r="BN946" s="1"/>
      <c r="BO946">
        <v>599</v>
      </c>
      <c r="BP946">
        <v>4654734.66</v>
      </c>
      <c r="BQ946">
        <v>4654734.66</v>
      </c>
    </row>
    <row r="947" spans="1:69" x14ac:dyDescent="0.35">
      <c r="A947" s="1" t="s">
        <v>68</v>
      </c>
      <c r="B947" s="1" t="s">
        <v>69</v>
      </c>
      <c r="C947" s="1" t="s">
        <v>70</v>
      </c>
      <c r="D947">
        <v>1</v>
      </c>
      <c r="E947">
        <v>1</v>
      </c>
      <c r="F947" s="2">
        <v>43585.43</v>
      </c>
      <c r="G947" s="3">
        <v>41275</v>
      </c>
      <c r="H947" s="3">
        <v>41639</v>
      </c>
      <c r="I947" s="1" t="s">
        <v>71</v>
      </c>
      <c r="J947">
        <v>4521</v>
      </c>
      <c r="K947">
        <v>0</v>
      </c>
      <c r="L947" s="1" t="s">
        <v>384</v>
      </c>
      <c r="M947" s="1" t="s">
        <v>72</v>
      </c>
      <c r="N947" s="1" t="s">
        <v>134</v>
      </c>
      <c r="O947" s="1" t="s">
        <v>385</v>
      </c>
      <c r="P947" s="1" t="s">
        <v>386</v>
      </c>
      <c r="Q947" s="1" t="s">
        <v>387</v>
      </c>
      <c r="R947">
        <v>103</v>
      </c>
      <c r="S947" s="1" t="s">
        <v>135</v>
      </c>
      <c r="T947" s="1" t="s">
        <v>388</v>
      </c>
      <c r="U947" s="1" t="s">
        <v>135</v>
      </c>
      <c r="V947" s="1"/>
      <c r="W947" s="1"/>
      <c r="X947" s="1"/>
      <c r="Y947" s="1"/>
      <c r="AA947" s="1"/>
      <c r="AC947" s="1"/>
      <c r="AD947" s="1"/>
      <c r="AE947" s="1"/>
      <c r="AN947" s="1"/>
      <c r="AP947" s="1"/>
      <c r="AQ947" s="1"/>
      <c r="AR947" s="1"/>
      <c r="AS947" s="1"/>
      <c r="AT947" s="3"/>
      <c r="AU947" s="3"/>
      <c r="AV947" s="3"/>
      <c r="AW947" s="1"/>
      <c r="AX947" s="1"/>
      <c r="AZ947">
        <v>253</v>
      </c>
      <c r="BA947">
        <v>4654734.66</v>
      </c>
      <c r="BB947" s="1" t="s">
        <v>74</v>
      </c>
      <c r="BC947">
        <v>575</v>
      </c>
      <c r="BD947" s="1" t="s">
        <v>1648</v>
      </c>
      <c r="BE947" s="1" t="s">
        <v>99</v>
      </c>
      <c r="BF947">
        <v>0</v>
      </c>
      <c r="BG947" s="1"/>
      <c r="BH947" s="1" t="s">
        <v>75</v>
      </c>
      <c r="BI947">
        <v>39236</v>
      </c>
      <c r="BJ947" s="1" t="s">
        <v>1649</v>
      </c>
      <c r="BL947" s="1"/>
      <c r="BN947" s="1"/>
      <c r="BO947">
        <v>599</v>
      </c>
      <c r="BP947">
        <v>4654734.66</v>
      </c>
      <c r="BQ947">
        <v>4654734.66</v>
      </c>
    </row>
    <row r="948" spans="1:69" x14ac:dyDescent="0.35">
      <c r="A948" s="1" t="s">
        <v>68</v>
      </c>
      <c r="B948" s="1" t="s">
        <v>69</v>
      </c>
      <c r="C948" s="1" t="s">
        <v>70</v>
      </c>
      <c r="D948">
        <v>1</v>
      </c>
      <c r="E948">
        <v>1</v>
      </c>
      <c r="F948" s="2">
        <v>43585.43</v>
      </c>
      <c r="G948" s="3">
        <v>41275</v>
      </c>
      <c r="H948" s="3">
        <v>41639</v>
      </c>
      <c r="I948" s="1" t="s">
        <v>71</v>
      </c>
      <c r="J948">
        <v>4521</v>
      </c>
      <c r="K948">
        <v>0</v>
      </c>
      <c r="L948" s="1" t="s">
        <v>384</v>
      </c>
      <c r="M948" s="1" t="s">
        <v>72</v>
      </c>
      <c r="N948" s="1" t="s">
        <v>134</v>
      </c>
      <c r="O948" s="1" t="s">
        <v>385</v>
      </c>
      <c r="P948" s="1" t="s">
        <v>386</v>
      </c>
      <c r="Q948" s="1" t="s">
        <v>387</v>
      </c>
      <c r="R948">
        <v>103</v>
      </c>
      <c r="S948" s="1" t="s">
        <v>135</v>
      </c>
      <c r="T948" s="1" t="s">
        <v>388</v>
      </c>
      <c r="U948" s="1" t="s">
        <v>135</v>
      </c>
      <c r="V948" s="1"/>
      <c r="W948" s="1"/>
      <c r="X948" s="1"/>
      <c r="Y948" s="1"/>
      <c r="AA948" s="1"/>
      <c r="AC948" s="1"/>
      <c r="AD948" s="1"/>
      <c r="AE948" s="1"/>
      <c r="AN948" s="1"/>
      <c r="AP948" s="1"/>
      <c r="AQ948" s="1"/>
      <c r="AR948" s="1"/>
      <c r="AS948" s="1"/>
      <c r="AT948" s="3"/>
      <c r="AU948" s="3"/>
      <c r="AV948" s="3"/>
      <c r="AW948" s="1"/>
      <c r="AX948" s="1"/>
      <c r="AZ948">
        <v>253</v>
      </c>
      <c r="BA948">
        <v>4654734.66</v>
      </c>
      <c r="BB948" s="1" t="s">
        <v>74</v>
      </c>
      <c r="BC948">
        <v>576</v>
      </c>
      <c r="BD948" s="1" t="s">
        <v>1268</v>
      </c>
      <c r="BE948" s="1" t="s">
        <v>443</v>
      </c>
      <c r="BF948">
        <v>1106.6300000000001</v>
      </c>
      <c r="BG948" s="1" t="s">
        <v>1285</v>
      </c>
      <c r="BH948" s="1" t="s">
        <v>99</v>
      </c>
      <c r="BI948">
        <v>0</v>
      </c>
      <c r="BJ948" s="1"/>
      <c r="BK948">
        <v>191.16</v>
      </c>
      <c r="BL948" s="1" t="s">
        <v>1296</v>
      </c>
      <c r="BN948" s="1"/>
      <c r="BO948">
        <v>599</v>
      </c>
      <c r="BP948">
        <v>4654734.66</v>
      </c>
      <c r="BQ948">
        <v>4654734.66</v>
      </c>
    </row>
    <row r="949" spans="1:69" x14ac:dyDescent="0.35">
      <c r="A949" s="1" t="s">
        <v>68</v>
      </c>
      <c r="B949" s="1" t="s">
        <v>69</v>
      </c>
      <c r="C949" s="1" t="s">
        <v>70</v>
      </c>
      <c r="D949">
        <v>1</v>
      </c>
      <c r="E949">
        <v>1</v>
      </c>
      <c r="F949" s="2">
        <v>43585.43</v>
      </c>
      <c r="G949" s="3">
        <v>41275</v>
      </c>
      <c r="H949" s="3">
        <v>41639</v>
      </c>
      <c r="I949" s="1" t="s">
        <v>71</v>
      </c>
      <c r="J949">
        <v>4521</v>
      </c>
      <c r="K949">
        <v>0</v>
      </c>
      <c r="L949" s="1" t="s">
        <v>384</v>
      </c>
      <c r="M949" s="1" t="s">
        <v>72</v>
      </c>
      <c r="N949" s="1" t="s">
        <v>134</v>
      </c>
      <c r="O949" s="1" t="s">
        <v>385</v>
      </c>
      <c r="P949" s="1" t="s">
        <v>386</v>
      </c>
      <c r="Q949" s="1" t="s">
        <v>387</v>
      </c>
      <c r="R949">
        <v>103</v>
      </c>
      <c r="S949" s="1" t="s">
        <v>135</v>
      </c>
      <c r="T949" s="1" t="s">
        <v>388</v>
      </c>
      <c r="U949" s="1" t="s">
        <v>135</v>
      </c>
      <c r="V949" s="1"/>
      <c r="W949" s="1"/>
      <c r="X949" s="1"/>
      <c r="Y949" s="1"/>
      <c r="AA949" s="1"/>
      <c r="AC949" s="1"/>
      <c r="AD949" s="1"/>
      <c r="AE949" s="1"/>
      <c r="AN949" s="1"/>
      <c r="AP949" s="1"/>
      <c r="AQ949" s="1"/>
      <c r="AR949" s="1"/>
      <c r="AS949" s="1"/>
      <c r="AT949" s="3"/>
      <c r="AU949" s="3"/>
      <c r="AV949" s="3"/>
      <c r="AW949" s="1"/>
      <c r="AX949" s="1"/>
      <c r="AZ949">
        <v>253</v>
      </c>
      <c r="BA949">
        <v>4654734.66</v>
      </c>
      <c r="BB949" s="1" t="s">
        <v>74</v>
      </c>
      <c r="BC949">
        <v>577</v>
      </c>
      <c r="BD949" s="1" t="s">
        <v>1268</v>
      </c>
      <c r="BE949" s="1" t="s">
        <v>99</v>
      </c>
      <c r="BF949">
        <v>0</v>
      </c>
      <c r="BG949" s="1"/>
      <c r="BH949" s="1" t="s">
        <v>443</v>
      </c>
      <c r="BI949">
        <v>1106.6300000000001</v>
      </c>
      <c r="BJ949" s="1" t="s">
        <v>1285</v>
      </c>
      <c r="BL949" s="1"/>
      <c r="BM949">
        <v>191.16</v>
      </c>
      <c r="BN949" s="1" t="s">
        <v>1296</v>
      </c>
      <c r="BO949">
        <v>599</v>
      </c>
      <c r="BP949">
        <v>4654734.66</v>
      </c>
      <c r="BQ949">
        <v>4654734.66</v>
      </c>
    </row>
    <row r="950" spans="1:69" x14ac:dyDescent="0.35">
      <c r="A950" s="1" t="s">
        <v>68</v>
      </c>
      <c r="B950" s="1" t="s">
        <v>69</v>
      </c>
      <c r="C950" s="1" t="s">
        <v>70</v>
      </c>
      <c r="D950">
        <v>1</v>
      </c>
      <c r="E950">
        <v>1</v>
      </c>
      <c r="F950" s="2">
        <v>43585.43</v>
      </c>
      <c r="G950" s="3">
        <v>41275</v>
      </c>
      <c r="H950" s="3">
        <v>41639</v>
      </c>
      <c r="I950" s="1" t="s">
        <v>71</v>
      </c>
      <c r="J950">
        <v>4521</v>
      </c>
      <c r="K950">
        <v>0</v>
      </c>
      <c r="L950" s="1" t="s">
        <v>384</v>
      </c>
      <c r="M950" s="1" t="s">
        <v>72</v>
      </c>
      <c r="N950" s="1" t="s">
        <v>134</v>
      </c>
      <c r="O950" s="1" t="s">
        <v>385</v>
      </c>
      <c r="P950" s="1" t="s">
        <v>386</v>
      </c>
      <c r="Q950" s="1" t="s">
        <v>387</v>
      </c>
      <c r="R950">
        <v>103</v>
      </c>
      <c r="S950" s="1" t="s">
        <v>135</v>
      </c>
      <c r="T950" s="1" t="s">
        <v>388</v>
      </c>
      <c r="U950" s="1" t="s">
        <v>135</v>
      </c>
      <c r="V950" s="1"/>
      <c r="W950" s="1"/>
      <c r="X950" s="1"/>
      <c r="Y950" s="1"/>
      <c r="AA950" s="1"/>
      <c r="AC950" s="1"/>
      <c r="AD950" s="1"/>
      <c r="AE950" s="1"/>
      <c r="AN950" s="1"/>
      <c r="AP950" s="1"/>
      <c r="AQ950" s="1"/>
      <c r="AR950" s="1"/>
      <c r="AS950" s="1"/>
      <c r="AT950" s="3"/>
      <c r="AU950" s="3"/>
      <c r="AV950" s="3"/>
      <c r="AW950" s="1"/>
      <c r="AX950" s="1"/>
      <c r="AZ950">
        <v>253</v>
      </c>
      <c r="BA950">
        <v>4654734.66</v>
      </c>
      <c r="BB950" s="1" t="s">
        <v>74</v>
      </c>
      <c r="BC950">
        <v>578</v>
      </c>
      <c r="BD950" s="1" t="s">
        <v>1269</v>
      </c>
      <c r="BE950" s="1" t="s">
        <v>443</v>
      </c>
      <c r="BF950">
        <v>1158.9000000000001</v>
      </c>
      <c r="BG950" s="1" t="s">
        <v>1286</v>
      </c>
      <c r="BH950" s="1" t="s">
        <v>99</v>
      </c>
      <c r="BI950">
        <v>0</v>
      </c>
      <c r="BJ950" s="1"/>
      <c r="BK950">
        <v>242.89</v>
      </c>
      <c r="BL950" s="1" t="s">
        <v>1296</v>
      </c>
      <c r="BN950" s="1"/>
      <c r="BO950">
        <v>599</v>
      </c>
      <c r="BP950">
        <v>4654734.66</v>
      </c>
      <c r="BQ950">
        <v>4654734.66</v>
      </c>
    </row>
    <row r="951" spans="1:69" x14ac:dyDescent="0.35">
      <c r="A951" s="1" t="s">
        <v>68</v>
      </c>
      <c r="B951" s="1" t="s">
        <v>69</v>
      </c>
      <c r="C951" s="1" t="s">
        <v>70</v>
      </c>
      <c r="D951">
        <v>1</v>
      </c>
      <c r="E951">
        <v>1</v>
      </c>
      <c r="F951" s="2">
        <v>43585.43</v>
      </c>
      <c r="G951" s="3">
        <v>41275</v>
      </c>
      <c r="H951" s="3">
        <v>41639</v>
      </c>
      <c r="I951" s="1" t="s">
        <v>71</v>
      </c>
      <c r="J951">
        <v>4521</v>
      </c>
      <c r="K951">
        <v>0</v>
      </c>
      <c r="L951" s="1" t="s">
        <v>384</v>
      </c>
      <c r="M951" s="1" t="s">
        <v>72</v>
      </c>
      <c r="N951" s="1" t="s">
        <v>134</v>
      </c>
      <c r="O951" s="1" t="s">
        <v>385</v>
      </c>
      <c r="P951" s="1" t="s">
        <v>386</v>
      </c>
      <c r="Q951" s="1" t="s">
        <v>387</v>
      </c>
      <c r="R951">
        <v>103</v>
      </c>
      <c r="S951" s="1" t="s">
        <v>135</v>
      </c>
      <c r="T951" s="1" t="s">
        <v>388</v>
      </c>
      <c r="U951" s="1" t="s">
        <v>135</v>
      </c>
      <c r="V951" s="1"/>
      <c r="W951" s="1"/>
      <c r="X951" s="1"/>
      <c r="Y951" s="1"/>
      <c r="AA951" s="1"/>
      <c r="AC951" s="1"/>
      <c r="AD951" s="1"/>
      <c r="AE951" s="1"/>
      <c r="AN951" s="1"/>
      <c r="AP951" s="1"/>
      <c r="AQ951" s="1"/>
      <c r="AR951" s="1"/>
      <c r="AS951" s="1"/>
      <c r="AT951" s="3"/>
      <c r="AU951" s="3"/>
      <c r="AV951" s="3"/>
      <c r="AW951" s="1"/>
      <c r="AX951" s="1"/>
      <c r="AZ951">
        <v>253</v>
      </c>
      <c r="BA951">
        <v>4654734.66</v>
      </c>
      <c r="BB951" s="1" t="s">
        <v>74</v>
      </c>
      <c r="BC951">
        <v>579</v>
      </c>
      <c r="BD951" s="1" t="s">
        <v>1269</v>
      </c>
      <c r="BE951" s="1" t="s">
        <v>99</v>
      </c>
      <c r="BF951">
        <v>0</v>
      </c>
      <c r="BG951" s="1"/>
      <c r="BH951" s="1" t="s">
        <v>443</v>
      </c>
      <c r="BI951">
        <v>1158.9000000000001</v>
      </c>
      <c r="BJ951" s="1" t="s">
        <v>1286</v>
      </c>
      <c r="BL951" s="1"/>
      <c r="BM951">
        <v>242.89</v>
      </c>
      <c r="BN951" s="1" t="s">
        <v>1296</v>
      </c>
      <c r="BO951">
        <v>599</v>
      </c>
      <c r="BP951">
        <v>4654734.66</v>
      </c>
      <c r="BQ951">
        <v>4654734.66</v>
      </c>
    </row>
    <row r="952" spans="1:69" x14ac:dyDescent="0.35">
      <c r="A952" s="1" t="s">
        <v>68</v>
      </c>
      <c r="B952" s="1" t="s">
        <v>69</v>
      </c>
      <c r="C952" s="1" t="s">
        <v>70</v>
      </c>
      <c r="D952">
        <v>1</v>
      </c>
      <c r="E952">
        <v>1</v>
      </c>
      <c r="F952" s="2">
        <v>43585.43</v>
      </c>
      <c r="G952" s="3">
        <v>41275</v>
      </c>
      <c r="H952" s="3">
        <v>41639</v>
      </c>
      <c r="I952" s="1" t="s">
        <v>71</v>
      </c>
      <c r="J952">
        <v>4521</v>
      </c>
      <c r="K952">
        <v>0</v>
      </c>
      <c r="L952" s="1" t="s">
        <v>384</v>
      </c>
      <c r="M952" s="1" t="s">
        <v>72</v>
      </c>
      <c r="N952" s="1" t="s">
        <v>134</v>
      </c>
      <c r="O952" s="1" t="s">
        <v>385</v>
      </c>
      <c r="P952" s="1" t="s">
        <v>386</v>
      </c>
      <c r="Q952" s="1" t="s">
        <v>387</v>
      </c>
      <c r="R952">
        <v>103</v>
      </c>
      <c r="S952" s="1" t="s">
        <v>135</v>
      </c>
      <c r="T952" s="1" t="s">
        <v>388</v>
      </c>
      <c r="U952" s="1" t="s">
        <v>135</v>
      </c>
      <c r="V952" s="1"/>
      <c r="W952" s="1"/>
      <c r="X952" s="1"/>
      <c r="Y952" s="1"/>
      <c r="AA952" s="1"/>
      <c r="AC952" s="1"/>
      <c r="AD952" s="1"/>
      <c r="AE952" s="1"/>
      <c r="AN952" s="1"/>
      <c r="AP952" s="1"/>
      <c r="AQ952" s="1"/>
      <c r="AR952" s="1"/>
      <c r="AS952" s="1"/>
      <c r="AT952" s="3"/>
      <c r="AU952" s="3"/>
      <c r="AV952" s="3"/>
      <c r="AW952" s="1"/>
      <c r="AX952" s="1"/>
      <c r="AZ952">
        <v>253</v>
      </c>
      <c r="BA952">
        <v>4654734.66</v>
      </c>
      <c r="BB952" s="1" t="s">
        <v>74</v>
      </c>
      <c r="BC952">
        <v>580</v>
      </c>
      <c r="BD952" s="1" t="s">
        <v>1270</v>
      </c>
      <c r="BE952" s="1" t="s">
        <v>443</v>
      </c>
      <c r="BF952">
        <v>10111.969999999999</v>
      </c>
      <c r="BG952" s="1" t="s">
        <v>1287</v>
      </c>
      <c r="BH952" s="1" t="s">
        <v>99</v>
      </c>
      <c r="BI952">
        <v>0</v>
      </c>
      <c r="BJ952" s="1"/>
      <c r="BK952">
        <v>2308.5100000000002</v>
      </c>
      <c r="BL952" s="1" t="s">
        <v>1296</v>
      </c>
      <c r="BN952" s="1"/>
      <c r="BO952">
        <v>599</v>
      </c>
      <c r="BP952">
        <v>4654734.66</v>
      </c>
      <c r="BQ952">
        <v>4654734.66</v>
      </c>
    </row>
    <row r="953" spans="1:69" x14ac:dyDescent="0.35">
      <c r="A953" s="1" t="s">
        <v>68</v>
      </c>
      <c r="B953" s="1" t="s">
        <v>69</v>
      </c>
      <c r="C953" s="1" t="s">
        <v>70</v>
      </c>
      <c r="D953">
        <v>1</v>
      </c>
      <c r="E953">
        <v>1</v>
      </c>
      <c r="F953" s="2">
        <v>43585.43</v>
      </c>
      <c r="G953" s="3">
        <v>41275</v>
      </c>
      <c r="H953" s="3">
        <v>41639</v>
      </c>
      <c r="I953" s="1" t="s">
        <v>71</v>
      </c>
      <c r="J953">
        <v>4521</v>
      </c>
      <c r="K953">
        <v>0</v>
      </c>
      <c r="L953" s="1" t="s">
        <v>384</v>
      </c>
      <c r="M953" s="1" t="s">
        <v>72</v>
      </c>
      <c r="N953" s="1" t="s">
        <v>134</v>
      </c>
      <c r="O953" s="1" t="s">
        <v>385</v>
      </c>
      <c r="P953" s="1" t="s">
        <v>386</v>
      </c>
      <c r="Q953" s="1" t="s">
        <v>387</v>
      </c>
      <c r="R953">
        <v>103</v>
      </c>
      <c r="S953" s="1" t="s">
        <v>135</v>
      </c>
      <c r="T953" s="1" t="s">
        <v>388</v>
      </c>
      <c r="U953" s="1" t="s">
        <v>135</v>
      </c>
      <c r="V953" s="1"/>
      <c r="W953" s="1"/>
      <c r="X953" s="1"/>
      <c r="Y953" s="1"/>
      <c r="AA953" s="1"/>
      <c r="AC953" s="1"/>
      <c r="AD953" s="1"/>
      <c r="AE953" s="1"/>
      <c r="AN953" s="1"/>
      <c r="AP953" s="1"/>
      <c r="AQ953" s="1"/>
      <c r="AR953" s="1"/>
      <c r="AS953" s="1"/>
      <c r="AT953" s="3"/>
      <c r="AU953" s="3"/>
      <c r="AV953" s="3"/>
      <c r="AW953" s="1"/>
      <c r="AX953" s="1"/>
      <c r="AZ953">
        <v>253</v>
      </c>
      <c r="BA953">
        <v>4654734.66</v>
      </c>
      <c r="BB953" s="1" t="s">
        <v>74</v>
      </c>
      <c r="BC953">
        <v>581</v>
      </c>
      <c r="BD953" s="1" t="s">
        <v>1270</v>
      </c>
      <c r="BE953" s="1" t="s">
        <v>99</v>
      </c>
      <c r="BF953">
        <v>0</v>
      </c>
      <c r="BG953" s="1"/>
      <c r="BH953" s="1" t="s">
        <v>443</v>
      </c>
      <c r="BI953">
        <v>10111.969999999999</v>
      </c>
      <c r="BJ953" s="1" t="s">
        <v>1287</v>
      </c>
      <c r="BL953" s="1"/>
      <c r="BM953">
        <v>2308.5100000000002</v>
      </c>
      <c r="BN953" s="1" t="s">
        <v>1296</v>
      </c>
      <c r="BO953">
        <v>599</v>
      </c>
      <c r="BP953">
        <v>4654734.66</v>
      </c>
      <c r="BQ953">
        <v>4654734.66</v>
      </c>
    </row>
    <row r="954" spans="1:69" x14ac:dyDescent="0.35">
      <c r="A954" s="1" t="s">
        <v>68</v>
      </c>
      <c r="B954" s="1" t="s">
        <v>69</v>
      </c>
      <c r="C954" s="1" t="s">
        <v>70</v>
      </c>
      <c r="D954">
        <v>1</v>
      </c>
      <c r="E954">
        <v>1</v>
      </c>
      <c r="F954" s="2">
        <v>43585.43</v>
      </c>
      <c r="G954" s="3">
        <v>41275</v>
      </c>
      <c r="H954" s="3">
        <v>41639</v>
      </c>
      <c r="I954" s="1" t="s">
        <v>71</v>
      </c>
      <c r="J954">
        <v>4521</v>
      </c>
      <c r="K954">
        <v>0</v>
      </c>
      <c r="L954" s="1" t="s">
        <v>384</v>
      </c>
      <c r="M954" s="1" t="s">
        <v>72</v>
      </c>
      <c r="N954" s="1" t="s">
        <v>134</v>
      </c>
      <c r="O954" s="1" t="s">
        <v>385</v>
      </c>
      <c r="P954" s="1" t="s">
        <v>386</v>
      </c>
      <c r="Q954" s="1" t="s">
        <v>387</v>
      </c>
      <c r="R954">
        <v>103</v>
      </c>
      <c r="S954" s="1" t="s">
        <v>135</v>
      </c>
      <c r="T954" s="1" t="s">
        <v>388</v>
      </c>
      <c r="U954" s="1" t="s">
        <v>135</v>
      </c>
      <c r="V954" s="1"/>
      <c r="W954" s="1"/>
      <c r="X954" s="1"/>
      <c r="Y954" s="1"/>
      <c r="AA954" s="1"/>
      <c r="AC954" s="1"/>
      <c r="AD954" s="1"/>
      <c r="AE954" s="1"/>
      <c r="AN954" s="1"/>
      <c r="AP954" s="1"/>
      <c r="AQ954" s="1"/>
      <c r="AR954" s="1"/>
      <c r="AS954" s="1"/>
      <c r="AT954" s="3"/>
      <c r="AU954" s="3"/>
      <c r="AV954" s="3"/>
      <c r="AW954" s="1"/>
      <c r="AX954" s="1"/>
      <c r="AZ954">
        <v>253</v>
      </c>
      <c r="BA954">
        <v>4654734.66</v>
      </c>
      <c r="BB954" s="1" t="s">
        <v>74</v>
      </c>
      <c r="BC954">
        <v>582</v>
      </c>
      <c r="BD954" s="1" t="s">
        <v>1271</v>
      </c>
      <c r="BE954" s="1" t="s">
        <v>448</v>
      </c>
      <c r="BF954">
        <v>753.94</v>
      </c>
      <c r="BG954" s="1" t="s">
        <v>1288</v>
      </c>
      <c r="BH954" s="1" t="s">
        <v>99</v>
      </c>
      <c r="BI954">
        <v>0</v>
      </c>
      <c r="BJ954" s="1"/>
      <c r="BK954">
        <v>172.12</v>
      </c>
      <c r="BL954" s="1" t="s">
        <v>1296</v>
      </c>
      <c r="BN954" s="1"/>
      <c r="BO954">
        <v>599</v>
      </c>
      <c r="BP954">
        <v>4654734.66</v>
      </c>
      <c r="BQ954">
        <v>4654734.66</v>
      </c>
    </row>
    <row r="955" spans="1:69" x14ac:dyDescent="0.35">
      <c r="A955" s="1" t="s">
        <v>68</v>
      </c>
      <c r="B955" s="1" t="s">
        <v>69</v>
      </c>
      <c r="C955" s="1" t="s">
        <v>70</v>
      </c>
      <c r="D955">
        <v>1</v>
      </c>
      <c r="E955">
        <v>1</v>
      </c>
      <c r="F955" s="2">
        <v>43585.43</v>
      </c>
      <c r="G955" s="3">
        <v>41275</v>
      </c>
      <c r="H955" s="3">
        <v>41639</v>
      </c>
      <c r="I955" s="1" t="s">
        <v>71</v>
      </c>
      <c r="J955">
        <v>4521</v>
      </c>
      <c r="K955">
        <v>0</v>
      </c>
      <c r="L955" s="1" t="s">
        <v>384</v>
      </c>
      <c r="M955" s="1" t="s">
        <v>72</v>
      </c>
      <c r="N955" s="1" t="s">
        <v>134</v>
      </c>
      <c r="O955" s="1" t="s">
        <v>385</v>
      </c>
      <c r="P955" s="1" t="s">
        <v>386</v>
      </c>
      <c r="Q955" s="1" t="s">
        <v>387</v>
      </c>
      <c r="R955">
        <v>103</v>
      </c>
      <c r="S955" s="1" t="s">
        <v>135</v>
      </c>
      <c r="T955" s="1" t="s">
        <v>388</v>
      </c>
      <c r="U955" s="1" t="s">
        <v>135</v>
      </c>
      <c r="V955" s="1"/>
      <c r="W955" s="1"/>
      <c r="X955" s="1"/>
      <c r="Y955" s="1"/>
      <c r="AA955" s="1"/>
      <c r="AC955" s="1"/>
      <c r="AD955" s="1"/>
      <c r="AE955" s="1"/>
      <c r="AN955" s="1"/>
      <c r="AP955" s="1"/>
      <c r="AQ955" s="1"/>
      <c r="AR955" s="1"/>
      <c r="AS955" s="1"/>
      <c r="AT955" s="3"/>
      <c r="AU955" s="3"/>
      <c r="AV955" s="3"/>
      <c r="AW955" s="1"/>
      <c r="AX955" s="1"/>
      <c r="AZ955">
        <v>253</v>
      </c>
      <c r="BA955">
        <v>4654734.66</v>
      </c>
      <c r="BB955" s="1" t="s">
        <v>74</v>
      </c>
      <c r="BC955">
        <v>583</v>
      </c>
      <c r="BD955" s="1" t="s">
        <v>1271</v>
      </c>
      <c r="BE955" s="1" t="s">
        <v>99</v>
      </c>
      <c r="BF955">
        <v>0</v>
      </c>
      <c r="BG955" s="1"/>
      <c r="BH955" s="1" t="s">
        <v>443</v>
      </c>
      <c r="BI955">
        <v>753.94</v>
      </c>
      <c r="BJ955" s="1" t="s">
        <v>1288</v>
      </c>
      <c r="BL955" s="1"/>
      <c r="BM955">
        <v>172.12</v>
      </c>
      <c r="BN955" s="1" t="s">
        <v>1296</v>
      </c>
      <c r="BO955">
        <v>599</v>
      </c>
      <c r="BP955">
        <v>4654734.66</v>
      </c>
      <c r="BQ955">
        <v>4654734.66</v>
      </c>
    </row>
    <row r="956" spans="1:69" x14ac:dyDescent="0.35">
      <c r="A956" s="1" t="s">
        <v>68</v>
      </c>
      <c r="B956" s="1" t="s">
        <v>69</v>
      </c>
      <c r="C956" s="1" t="s">
        <v>70</v>
      </c>
      <c r="D956">
        <v>1</v>
      </c>
      <c r="E956">
        <v>1</v>
      </c>
      <c r="F956" s="2">
        <v>43585.43</v>
      </c>
      <c r="G956" s="3">
        <v>41275</v>
      </c>
      <c r="H956" s="3">
        <v>41639</v>
      </c>
      <c r="I956" s="1" t="s">
        <v>71</v>
      </c>
      <c r="J956">
        <v>4521</v>
      </c>
      <c r="K956">
        <v>0</v>
      </c>
      <c r="L956" s="1" t="s">
        <v>384</v>
      </c>
      <c r="M956" s="1" t="s">
        <v>72</v>
      </c>
      <c r="N956" s="1" t="s">
        <v>134</v>
      </c>
      <c r="O956" s="1" t="s">
        <v>385</v>
      </c>
      <c r="P956" s="1" t="s">
        <v>386</v>
      </c>
      <c r="Q956" s="1" t="s">
        <v>387</v>
      </c>
      <c r="R956">
        <v>103</v>
      </c>
      <c r="S956" s="1" t="s">
        <v>135</v>
      </c>
      <c r="T956" s="1" t="s">
        <v>388</v>
      </c>
      <c r="U956" s="1" t="s">
        <v>135</v>
      </c>
      <c r="V956" s="1"/>
      <c r="W956" s="1"/>
      <c r="X956" s="1"/>
      <c r="Y956" s="1"/>
      <c r="AA956" s="1"/>
      <c r="AC956" s="1"/>
      <c r="AD956" s="1"/>
      <c r="AE956" s="1"/>
      <c r="AN956" s="1"/>
      <c r="AP956" s="1"/>
      <c r="AQ956" s="1"/>
      <c r="AR956" s="1"/>
      <c r="AS956" s="1"/>
      <c r="AT956" s="3"/>
      <c r="AU956" s="3"/>
      <c r="AV956" s="3"/>
      <c r="AW956" s="1"/>
      <c r="AX956" s="1"/>
      <c r="AZ956">
        <v>253</v>
      </c>
      <c r="BA956">
        <v>4654734.66</v>
      </c>
      <c r="BB956" s="1" t="s">
        <v>74</v>
      </c>
      <c r="BC956">
        <v>584</v>
      </c>
      <c r="BD956" s="1" t="s">
        <v>1272</v>
      </c>
      <c r="BE956" s="1" t="s">
        <v>448</v>
      </c>
      <c r="BF956">
        <v>2190.15</v>
      </c>
      <c r="BG956" s="1" t="s">
        <v>1288</v>
      </c>
      <c r="BH956" s="1" t="s">
        <v>99</v>
      </c>
      <c r="BI956">
        <v>0</v>
      </c>
      <c r="BJ956" s="1"/>
      <c r="BK956">
        <v>500</v>
      </c>
      <c r="BL956" s="1" t="s">
        <v>1296</v>
      </c>
      <c r="BN956" s="1"/>
      <c r="BO956">
        <v>599</v>
      </c>
      <c r="BP956">
        <v>4654734.66</v>
      </c>
      <c r="BQ956">
        <v>4654734.66</v>
      </c>
    </row>
    <row r="957" spans="1:69" x14ac:dyDescent="0.35">
      <c r="A957" s="1" t="s">
        <v>68</v>
      </c>
      <c r="B957" s="1" t="s">
        <v>69</v>
      </c>
      <c r="C957" s="1" t="s">
        <v>70</v>
      </c>
      <c r="D957">
        <v>1</v>
      </c>
      <c r="E957">
        <v>1</v>
      </c>
      <c r="F957" s="2">
        <v>43585.43</v>
      </c>
      <c r="G957" s="3">
        <v>41275</v>
      </c>
      <c r="H957" s="3">
        <v>41639</v>
      </c>
      <c r="I957" s="1" t="s">
        <v>71</v>
      </c>
      <c r="J957">
        <v>4521</v>
      </c>
      <c r="K957">
        <v>0</v>
      </c>
      <c r="L957" s="1" t="s">
        <v>384</v>
      </c>
      <c r="M957" s="1" t="s">
        <v>72</v>
      </c>
      <c r="N957" s="1" t="s">
        <v>134</v>
      </c>
      <c r="O957" s="1" t="s">
        <v>385</v>
      </c>
      <c r="P957" s="1" t="s">
        <v>386</v>
      </c>
      <c r="Q957" s="1" t="s">
        <v>387</v>
      </c>
      <c r="R957">
        <v>103</v>
      </c>
      <c r="S957" s="1" t="s">
        <v>135</v>
      </c>
      <c r="T957" s="1" t="s">
        <v>388</v>
      </c>
      <c r="U957" s="1" t="s">
        <v>135</v>
      </c>
      <c r="V957" s="1"/>
      <c r="W957" s="1"/>
      <c r="X957" s="1"/>
      <c r="Y957" s="1"/>
      <c r="AA957" s="1"/>
      <c r="AC957" s="1"/>
      <c r="AD957" s="1"/>
      <c r="AE957" s="1"/>
      <c r="AN957" s="1"/>
      <c r="AP957" s="1"/>
      <c r="AQ957" s="1"/>
      <c r="AR957" s="1"/>
      <c r="AS957" s="1"/>
      <c r="AT957" s="3"/>
      <c r="AU957" s="3"/>
      <c r="AV957" s="3"/>
      <c r="AW957" s="1"/>
      <c r="AX957" s="1"/>
      <c r="AZ957">
        <v>253</v>
      </c>
      <c r="BA957">
        <v>4654734.66</v>
      </c>
      <c r="BB957" s="1" t="s">
        <v>74</v>
      </c>
      <c r="BC957">
        <v>585</v>
      </c>
      <c r="BD957" s="1" t="s">
        <v>1272</v>
      </c>
      <c r="BE957" s="1" t="s">
        <v>99</v>
      </c>
      <c r="BF957">
        <v>0</v>
      </c>
      <c r="BG957" s="1"/>
      <c r="BH957" s="1" t="s">
        <v>443</v>
      </c>
      <c r="BI957">
        <v>2190.15</v>
      </c>
      <c r="BJ957" s="1" t="s">
        <v>1288</v>
      </c>
      <c r="BL957" s="1"/>
      <c r="BM957">
        <v>500</v>
      </c>
      <c r="BN957" s="1" t="s">
        <v>1296</v>
      </c>
      <c r="BO957">
        <v>599</v>
      </c>
      <c r="BP957">
        <v>4654734.66</v>
      </c>
      <c r="BQ957">
        <v>4654734.66</v>
      </c>
    </row>
    <row r="958" spans="1:69" x14ac:dyDescent="0.35">
      <c r="A958" s="1" t="s">
        <v>68</v>
      </c>
      <c r="B958" s="1" t="s">
        <v>69</v>
      </c>
      <c r="C958" s="1" t="s">
        <v>70</v>
      </c>
      <c r="D958">
        <v>1</v>
      </c>
      <c r="E958">
        <v>1</v>
      </c>
      <c r="F958" s="2">
        <v>43585.43</v>
      </c>
      <c r="G958" s="3">
        <v>41275</v>
      </c>
      <c r="H958" s="3">
        <v>41639</v>
      </c>
      <c r="I958" s="1" t="s">
        <v>71</v>
      </c>
      <c r="J958">
        <v>4521</v>
      </c>
      <c r="K958">
        <v>0</v>
      </c>
      <c r="L958" s="1" t="s">
        <v>384</v>
      </c>
      <c r="M958" s="1" t="s">
        <v>72</v>
      </c>
      <c r="N958" s="1" t="s">
        <v>134</v>
      </c>
      <c r="O958" s="1" t="s">
        <v>385</v>
      </c>
      <c r="P958" s="1" t="s">
        <v>386</v>
      </c>
      <c r="Q958" s="1" t="s">
        <v>387</v>
      </c>
      <c r="R958">
        <v>103</v>
      </c>
      <c r="S958" s="1" t="s">
        <v>135</v>
      </c>
      <c r="T958" s="1" t="s">
        <v>388</v>
      </c>
      <c r="U958" s="1" t="s">
        <v>135</v>
      </c>
      <c r="V958" s="1"/>
      <c r="W958" s="1"/>
      <c r="X958" s="1"/>
      <c r="Y958" s="1"/>
      <c r="AA958" s="1"/>
      <c r="AC958" s="1"/>
      <c r="AD958" s="1"/>
      <c r="AE958" s="1"/>
      <c r="AN958" s="1"/>
      <c r="AP958" s="1"/>
      <c r="AQ958" s="1"/>
      <c r="AR958" s="1"/>
      <c r="AS958" s="1"/>
      <c r="AT958" s="3"/>
      <c r="AU958" s="3"/>
      <c r="AV958" s="3"/>
      <c r="AW958" s="1"/>
      <c r="AX958" s="1"/>
      <c r="AZ958">
        <v>253</v>
      </c>
      <c r="BA958">
        <v>4654734.66</v>
      </c>
      <c r="BB958" s="1" t="s">
        <v>74</v>
      </c>
      <c r="BC958">
        <v>586</v>
      </c>
      <c r="BD958" s="1" t="s">
        <v>1273</v>
      </c>
      <c r="BE958" s="1" t="s">
        <v>448</v>
      </c>
      <c r="BF958">
        <v>2550.6</v>
      </c>
      <c r="BG958" s="1" t="s">
        <v>1288</v>
      </c>
      <c r="BH958" s="1" t="s">
        <v>99</v>
      </c>
      <c r="BI958">
        <v>0</v>
      </c>
      <c r="BJ958" s="1"/>
      <c r="BK958">
        <v>582.29</v>
      </c>
      <c r="BL958" s="1" t="s">
        <v>1296</v>
      </c>
      <c r="BN958" s="1"/>
      <c r="BO958">
        <v>599</v>
      </c>
      <c r="BP958">
        <v>4654734.66</v>
      </c>
      <c r="BQ958">
        <v>4654734.66</v>
      </c>
    </row>
    <row r="959" spans="1:69" x14ac:dyDescent="0.35">
      <c r="A959" s="1" t="s">
        <v>68</v>
      </c>
      <c r="B959" s="1" t="s">
        <v>69</v>
      </c>
      <c r="C959" s="1" t="s">
        <v>70</v>
      </c>
      <c r="D959">
        <v>1</v>
      </c>
      <c r="E959">
        <v>1</v>
      </c>
      <c r="F959" s="2">
        <v>43585.43</v>
      </c>
      <c r="G959" s="3">
        <v>41275</v>
      </c>
      <c r="H959" s="3">
        <v>41639</v>
      </c>
      <c r="I959" s="1" t="s">
        <v>71</v>
      </c>
      <c r="J959">
        <v>4521</v>
      </c>
      <c r="K959">
        <v>0</v>
      </c>
      <c r="L959" s="1" t="s">
        <v>384</v>
      </c>
      <c r="M959" s="1" t="s">
        <v>72</v>
      </c>
      <c r="N959" s="1" t="s">
        <v>134</v>
      </c>
      <c r="O959" s="1" t="s">
        <v>385</v>
      </c>
      <c r="P959" s="1" t="s">
        <v>386</v>
      </c>
      <c r="Q959" s="1" t="s">
        <v>387</v>
      </c>
      <c r="R959">
        <v>103</v>
      </c>
      <c r="S959" s="1" t="s">
        <v>135</v>
      </c>
      <c r="T959" s="1" t="s">
        <v>388</v>
      </c>
      <c r="U959" s="1" t="s">
        <v>135</v>
      </c>
      <c r="V959" s="1"/>
      <c r="W959" s="1"/>
      <c r="X959" s="1"/>
      <c r="Y959" s="1"/>
      <c r="AA959" s="1"/>
      <c r="AC959" s="1"/>
      <c r="AD959" s="1"/>
      <c r="AE959" s="1"/>
      <c r="AN959" s="1"/>
      <c r="AP959" s="1"/>
      <c r="AQ959" s="1"/>
      <c r="AR959" s="1"/>
      <c r="AS959" s="1"/>
      <c r="AT959" s="3"/>
      <c r="AU959" s="3"/>
      <c r="AV959" s="3"/>
      <c r="AW959" s="1"/>
      <c r="AX959" s="1"/>
      <c r="AZ959">
        <v>253</v>
      </c>
      <c r="BA959">
        <v>4654734.66</v>
      </c>
      <c r="BB959" s="1" t="s">
        <v>74</v>
      </c>
      <c r="BC959">
        <v>587</v>
      </c>
      <c r="BD959" s="1" t="s">
        <v>1273</v>
      </c>
      <c r="BE959" s="1" t="s">
        <v>99</v>
      </c>
      <c r="BF959">
        <v>0</v>
      </c>
      <c r="BG959" s="1"/>
      <c r="BH959" s="1" t="s">
        <v>443</v>
      </c>
      <c r="BI959">
        <v>2550.6</v>
      </c>
      <c r="BJ959" s="1" t="s">
        <v>1288</v>
      </c>
      <c r="BL959" s="1"/>
      <c r="BM959">
        <v>582.29</v>
      </c>
      <c r="BN959" s="1" t="s">
        <v>1296</v>
      </c>
      <c r="BO959">
        <v>599</v>
      </c>
      <c r="BP959">
        <v>4654734.66</v>
      </c>
      <c r="BQ959">
        <v>4654734.66</v>
      </c>
    </row>
    <row r="960" spans="1:69" x14ac:dyDescent="0.35">
      <c r="A960" s="1" t="s">
        <v>68</v>
      </c>
      <c r="B960" s="1" t="s">
        <v>69</v>
      </c>
      <c r="C960" s="1" t="s">
        <v>70</v>
      </c>
      <c r="D960">
        <v>1</v>
      </c>
      <c r="E960">
        <v>1</v>
      </c>
      <c r="F960" s="2">
        <v>43585.43</v>
      </c>
      <c r="G960" s="3">
        <v>41275</v>
      </c>
      <c r="H960" s="3">
        <v>41639</v>
      </c>
      <c r="I960" s="1" t="s">
        <v>71</v>
      </c>
      <c r="J960">
        <v>4521</v>
      </c>
      <c r="K960">
        <v>0</v>
      </c>
      <c r="L960" s="1" t="s">
        <v>384</v>
      </c>
      <c r="M960" s="1" t="s">
        <v>72</v>
      </c>
      <c r="N960" s="1" t="s">
        <v>134</v>
      </c>
      <c r="O960" s="1" t="s">
        <v>385</v>
      </c>
      <c r="P960" s="1" t="s">
        <v>386</v>
      </c>
      <c r="Q960" s="1" t="s">
        <v>387</v>
      </c>
      <c r="R960">
        <v>103</v>
      </c>
      <c r="S960" s="1" t="s">
        <v>135</v>
      </c>
      <c r="T960" s="1" t="s">
        <v>388</v>
      </c>
      <c r="U960" s="1" t="s">
        <v>135</v>
      </c>
      <c r="V960" s="1"/>
      <c r="W960" s="1"/>
      <c r="X960" s="1"/>
      <c r="Y960" s="1"/>
      <c r="AA960" s="1"/>
      <c r="AC960" s="1"/>
      <c r="AD960" s="1"/>
      <c r="AE960" s="1"/>
      <c r="AN960" s="1"/>
      <c r="AP960" s="1"/>
      <c r="AQ960" s="1"/>
      <c r="AR960" s="1"/>
      <c r="AS960" s="1"/>
      <c r="AT960" s="3"/>
      <c r="AU960" s="3"/>
      <c r="AV960" s="3"/>
      <c r="AW960" s="1"/>
      <c r="AX960" s="1"/>
      <c r="AZ960">
        <v>253</v>
      </c>
      <c r="BA960">
        <v>4654734.66</v>
      </c>
      <c r="BB960" s="1" t="s">
        <v>74</v>
      </c>
      <c r="BC960">
        <v>588</v>
      </c>
      <c r="BD960" s="1" t="s">
        <v>1274</v>
      </c>
      <c r="BE960" s="1" t="s">
        <v>443</v>
      </c>
      <c r="BF960">
        <v>21.02</v>
      </c>
      <c r="BG960" s="1" t="s">
        <v>1289</v>
      </c>
      <c r="BH960" s="1" t="s">
        <v>99</v>
      </c>
      <c r="BI960">
        <v>0</v>
      </c>
      <c r="BJ960" s="1"/>
      <c r="BL960" s="1"/>
      <c r="BN960" s="1"/>
      <c r="BO960">
        <v>599</v>
      </c>
      <c r="BP960">
        <v>4654734.66</v>
      </c>
      <c r="BQ960">
        <v>4654734.66</v>
      </c>
    </row>
    <row r="961" spans="1:69" x14ac:dyDescent="0.35">
      <c r="A961" s="1" t="s">
        <v>68</v>
      </c>
      <c r="B961" s="1" t="s">
        <v>69</v>
      </c>
      <c r="C961" s="1" t="s">
        <v>70</v>
      </c>
      <c r="D961">
        <v>1</v>
      </c>
      <c r="E961">
        <v>1</v>
      </c>
      <c r="F961" s="2">
        <v>43585.43</v>
      </c>
      <c r="G961" s="3">
        <v>41275</v>
      </c>
      <c r="H961" s="3">
        <v>41639</v>
      </c>
      <c r="I961" s="1" t="s">
        <v>71</v>
      </c>
      <c r="J961">
        <v>4521</v>
      </c>
      <c r="K961">
        <v>0</v>
      </c>
      <c r="L961" s="1" t="s">
        <v>384</v>
      </c>
      <c r="M961" s="1" t="s">
        <v>72</v>
      </c>
      <c r="N961" s="1" t="s">
        <v>134</v>
      </c>
      <c r="O961" s="1" t="s">
        <v>385</v>
      </c>
      <c r="P961" s="1" t="s">
        <v>386</v>
      </c>
      <c r="Q961" s="1" t="s">
        <v>387</v>
      </c>
      <c r="R961">
        <v>103</v>
      </c>
      <c r="S961" s="1" t="s">
        <v>135</v>
      </c>
      <c r="T961" s="1" t="s">
        <v>388</v>
      </c>
      <c r="U961" s="1" t="s">
        <v>135</v>
      </c>
      <c r="V961" s="1"/>
      <c r="W961" s="1"/>
      <c r="X961" s="1"/>
      <c r="Y961" s="1"/>
      <c r="AA961" s="1"/>
      <c r="AC961" s="1"/>
      <c r="AD961" s="1"/>
      <c r="AE961" s="1"/>
      <c r="AN961" s="1"/>
      <c r="AP961" s="1"/>
      <c r="AQ961" s="1"/>
      <c r="AR961" s="1"/>
      <c r="AS961" s="1"/>
      <c r="AT961" s="3"/>
      <c r="AU961" s="3"/>
      <c r="AV961" s="3"/>
      <c r="AW961" s="1"/>
      <c r="AX961" s="1"/>
      <c r="AZ961">
        <v>253</v>
      </c>
      <c r="BA961">
        <v>4654734.66</v>
      </c>
      <c r="BB961" s="1" t="s">
        <v>74</v>
      </c>
      <c r="BC961">
        <v>589</v>
      </c>
      <c r="BD961" s="1" t="s">
        <v>1274</v>
      </c>
      <c r="BE961" s="1" t="s">
        <v>99</v>
      </c>
      <c r="BF961">
        <v>0</v>
      </c>
      <c r="BG961" s="1"/>
      <c r="BH961" s="1" t="s">
        <v>491</v>
      </c>
      <c r="BI961">
        <v>21.02</v>
      </c>
      <c r="BJ961" s="1" t="s">
        <v>1289</v>
      </c>
      <c r="BL961" s="1"/>
      <c r="BN961" s="1"/>
      <c r="BO961">
        <v>599</v>
      </c>
      <c r="BP961">
        <v>4654734.66</v>
      </c>
      <c r="BQ961">
        <v>4654734.66</v>
      </c>
    </row>
    <row r="962" spans="1:69" x14ac:dyDescent="0.35">
      <c r="A962" s="1" t="s">
        <v>68</v>
      </c>
      <c r="B962" s="1" t="s">
        <v>69</v>
      </c>
      <c r="C962" s="1" t="s">
        <v>70</v>
      </c>
      <c r="D962">
        <v>1</v>
      </c>
      <c r="E962">
        <v>1</v>
      </c>
      <c r="F962" s="2">
        <v>43585.43</v>
      </c>
      <c r="G962" s="3">
        <v>41275</v>
      </c>
      <c r="H962" s="3">
        <v>41639</v>
      </c>
      <c r="I962" s="1" t="s">
        <v>71</v>
      </c>
      <c r="J962">
        <v>4521</v>
      </c>
      <c r="K962">
        <v>0</v>
      </c>
      <c r="L962" s="1" t="s">
        <v>384</v>
      </c>
      <c r="M962" s="1" t="s">
        <v>72</v>
      </c>
      <c r="N962" s="1" t="s">
        <v>134</v>
      </c>
      <c r="O962" s="1" t="s">
        <v>385</v>
      </c>
      <c r="P962" s="1" t="s">
        <v>386</v>
      </c>
      <c r="Q962" s="1" t="s">
        <v>387</v>
      </c>
      <c r="R962">
        <v>103</v>
      </c>
      <c r="S962" s="1" t="s">
        <v>135</v>
      </c>
      <c r="T962" s="1" t="s">
        <v>388</v>
      </c>
      <c r="U962" s="1" t="s">
        <v>135</v>
      </c>
      <c r="V962" s="1"/>
      <c r="W962" s="1"/>
      <c r="X962" s="1"/>
      <c r="Y962" s="1"/>
      <c r="AA962" s="1"/>
      <c r="AC962" s="1"/>
      <c r="AD962" s="1"/>
      <c r="AE962" s="1"/>
      <c r="AN962" s="1"/>
      <c r="AP962" s="1"/>
      <c r="AQ962" s="1"/>
      <c r="AR962" s="1"/>
      <c r="AS962" s="1"/>
      <c r="AT962" s="3"/>
      <c r="AU962" s="3"/>
      <c r="AV962" s="3"/>
      <c r="AW962" s="1"/>
      <c r="AX962" s="1"/>
      <c r="AZ962">
        <v>253</v>
      </c>
      <c r="BA962">
        <v>4654734.66</v>
      </c>
      <c r="BB962" s="1" t="s">
        <v>74</v>
      </c>
      <c r="BC962">
        <v>590</v>
      </c>
      <c r="BD962" s="1" t="s">
        <v>1275</v>
      </c>
      <c r="BE962" s="1" t="s">
        <v>443</v>
      </c>
      <c r="BF962">
        <v>273.91000000000003</v>
      </c>
      <c r="BG962" s="1" t="s">
        <v>1289</v>
      </c>
      <c r="BH962" s="1" t="s">
        <v>99</v>
      </c>
      <c r="BI962">
        <v>0</v>
      </c>
      <c r="BJ962" s="1"/>
      <c r="BL962" s="1"/>
      <c r="BN962" s="1"/>
      <c r="BO962">
        <v>599</v>
      </c>
      <c r="BP962">
        <v>4654734.66</v>
      </c>
      <c r="BQ962">
        <v>4654734.66</v>
      </c>
    </row>
    <row r="963" spans="1:69" x14ac:dyDescent="0.35">
      <c r="A963" s="1" t="s">
        <v>68</v>
      </c>
      <c r="B963" s="1" t="s">
        <v>69</v>
      </c>
      <c r="C963" s="1" t="s">
        <v>70</v>
      </c>
      <c r="D963">
        <v>1</v>
      </c>
      <c r="E963">
        <v>1</v>
      </c>
      <c r="F963" s="2">
        <v>43585.43</v>
      </c>
      <c r="G963" s="3">
        <v>41275</v>
      </c>
      <c r="H963" s="3">
        <v>41639</v>
      </c>
      <c r="I963" s="1" t="s">
        <v>71</v>
      </c>
      <c r="J963">
        <v>4521</v>
      </c>
      <c r="K963">
        <v>0</v>
      </c>
      <c r="L963" s="1" t="s">
        <v>384</v>
      </c>
      <c r="M963" s="1" t="s">
        <v>72</v>
      </c>
      <c r="N963" s="1" t="s">
        <v>134</v>
      </c>
      <c r="O963" s="1" t="s">
        <v>385</v>
      </c>
      <c r="P963" s="1" t="s">
        <v>386</v>
      </c>
      <c r="Q963" s="1" t="s">
        <v>387</v>
      </c>
      <c r="R963">
        <v>103</v>
      </c>
      <c r="S963" s="1" t="s">
        <v>135</v>
      </c>
      <c r="T963" s="1" t="s">
        <v>388</v>
      </c>
      <c r="U963" s="1" t="s">
        <v>135</v>
      </c>
      <c r="V963" s="1"/>
      <c r="W963" s="1"/>
      <c r="X963" s="1"/>
      <c r="Y963" s="1"/>
      <c r="AA963" s="1"/>
      <c r="AC963" s="1"/>
      <c r="AD963" s="1"/>
      <c r="AE963" s="1"/>
      <c r="AN963" s="1"/>
      <c r="AP963" s="1"/>
      <c r="AQ963" s="1"/>
      <c r="AR963" s="1"/>
      <c r="AS963" s="1"/>
      <c r="AT963" s="3"/>
      <c r="AU963" s="3"/>
      <c r="AV963" s="3"/>
      <c r="AW963" s="1"/>
      <c r="AX963" s="1"/>
      <c r="AZ963">
        <v>253</v>
      </c>
      <c r="BA963">
        <v>4654734.66</v>
      </c>
      <c r="BB963" s="1" t="s">
        <v>74</v>
      </c>
      <c r="BC963">
        <v>591</v>
      </c>
      <c r="BD963" s="1" t="s">
        <v>1275</v>
      </c>
      <c r="BE963" s="1" t="s">
        <v>99</v>
      </c>
      <c r="BF963">
        <v>0</v>
      </c>
      <c r="BG963" s="1"/>
      <c r="BH963" s="1" t="s">
        <v>491</v>
      </c>
      <c r="BI963">
        <v>273.91000000000003</v>
      </c>
      <c r="BJ963" s="1" t="s">
        <v>1289</v>
      </c>
      <c r="BL963" s="1"/>
      <c r="BN963" s="1"/>
      <c r="BO963">
        <v>599</v>
      </c>
      <c r="BP963">
        <v>4654734.66</v>
      </c>
      <c r="BQ963">
        <v>4654734.66</v>
      </c>
    </row>
    <row r="964" spans="1:69" x14ac:dyDescent="0.35">
      <c r="A964" s="1" t="s">
        <v>68</v>
      </c>
      <c r="B964" s="1" t="s">
        <v>69</v>
      </c>
      <c r="C964" s="1" t="s">
        <v>70</v>
      </c>
      <c r="D964">
        <v>1</v>
      </c>
      <c r="E964">
        <v>1</v>
      </c>
      <c r="F964" s="2">
        <v>43585.43</v>
      </c>
      <c r="G964" s="3">
        <v>41275</v>
      </c>
      <c r="H964" s="3">
        <v>41639</v>
      </c>
      <c r="I964" s="1" t="s">
        <v>71</v>
      </c>
      <c r="J964">
        <v>4521</v>
      </c>
      <c r="K964">
        <v>0</v>
      </c>
      <c r="L964" s="1" t="s">
        <v>384</v>
      </c>
      <c r="M964" s="1" t="s">
        <v>72</v>
      </c>
      <c r="N964" s="1" t="s">
        <v>134</v>
      </c>
      <c r="O964" s="1" t="s">
        <v>385</v>
      </c>
      <c r="P964" s="1" t="s">
        <v>386</v>
      </c>
      <c r="Q964" s="1" t="s">
        <v>387</v>
      </c>
      <c r="R964">
        <v>103</v>
      </c>
      <c r="S964" s="1" t="s">
        <v>135</v>
      </c>
      <c r="T964" s="1" t="s">
        <v>388</v>
      </c>
      <c r="U964" s="1" t="s">
        <v>135</v>
      </c>
      <c r="V964" s="1"/>
      <c r="W964" s="1"/>
      <c r="X964" s="1"/>
      <c r="Y964" s="1"/>
      <c r="AA964" s="1"/>
      <c r="AC964" s="1"/>
      <c r="AD964" s="1"/>
      <c r="AE964" s="1"/>
      <c r="AN964" s="1"/>
      <c r="AP964" s="1"/>
      <c r="AQ964" s="1"/>
      <c r="AR964" s="1"/>
      <c r="AS964" s="1"/>
      <c r="AT964" s="3"/>
      <c r="AU964" s="3"/>
      <c r="AV964" s="3"/>
      <c r="AW964" s="1"/>
      <c r="AX964" s="1"/>
      <c r="AZ964">
        <v>253</v>
      </c>
      <c r="BA964">
        <v>4654734.66</v>
      </c>
      <c r="BB964" s="1" t="s">
        <v>74</v>
      </c>
      <c r="BC964">
        <v>592</v>
      </c>
      <c r="BD964" s="1" t="s">
        <v>1276</v>
      </c>
      <c r="BE964" s="1" t="s">
        <v>443</v>
      </c>
      <c r="BF964">
        <v>3505.93</v>
      </c>
      <c r="BG964" s="1" t="s">
        <v>1289</v>
      </c>
      <c r="BH964" s="1" t="s">
        <v>99</v>
      </c>
      <c r="BI964">
        <v>0</v>
      </c>
      <c r="BJ964" s="1"/>
      <c r="BL964" s="1"/>
      <c r="BN964" s="1"/>
      <c r="BO964">
        <v>599</v>
      </c>
      <c r="BP964">
        <v>4654734.66</v>
      </c>
      <c r="BQ964">
        <v>4654734.66</v>
      </c>
    </row>
    <row r="965" spans="1:69" x14ac:dyDescent="0.35">
      <c r="A965" s="1" t="s">
        <v>68</v>
      </c>
      <c r="B965" s="1" t="s">
        <v>69</v>
      </c>
      <c r="C965" s="1" t="s">
        <v>70</v>
      </c>
      <c r="D965">
        <v>1</v>
      </c>
      <c r="E965">
        <v>1</v>
      </c>
      <c r="F965" s="2">
        <v>43585.43</v>
      </c>
      <c r="G965" s="3">
        <v>41275</v>
      </c>
      <c r="H965" s="3">
        <v>41639</v>
      </c>
      <c r="I965" s="1" t="s">
        <v>71</v>
      </c>
      <c r="J965">
        <v>4521</v>
      </c>
      <c r="K965">
        <v>0</v>
      </c>
      <c r="L965" s="1" t="s">
        <v>384</v>
      </c>
      <c r="M965" s="1" t="s">
        <v>72</v>
      </c>
      <c r="N965" s="1" t="s">
        <v>134</v>
      </c>
      <c r="O965" s="1" t="s">
        <v>385</v>
      </c>
      <c r="P965" s="1" t="s">
        <v>386</v>
      </c>
      <c r="Q965" s="1" t="s">
        <v>387</v>
      </c>
      <c r="R965">
        <v>103</v>
      </c>
      <c r="S965" s="1" t="s">
        <v>135</v>
      </c>
      <c r="T965" s="1" t="s">
        <v>388</v>
      </c>
      <c r="U965" s="1" t="s">
        <v>135</v>
      </c>
      <c r="V965" s="1"/>
      <c r="W965" s="1"/>
      <c r="X965" s="1"/>
      <c r="Y965" s="1"/>
      <c r="AA965" s="1"/>
      <c r="AC965" s="1"/>
      <c r="AD965" s="1"/>
      <c r="AE965" s="1"/>
      <c r="AN965" s="1"/>
      <c r="AP965" s="1"/>
      <c r="AQ965" s="1"/>
      <c r="AR965" s="1"/>
      <c r="AS965" s="1"/>
      <c r="AT965" s="3"/>
      <c r="AU965" s="3"/>
      <c r="AV965" s="3"/>
      <c r="AW965" s="1"/>
      <c r="AX965" s="1"/>
      <c r="AZ965">
        <v>253</v>
      </c>
      <c r="BA965">
        <v>4654734.66</v>
      </c>
      <c r="BB965" s="1" t="s">
        <v>74</v>
      </c>
      <c r="BC965">
        <v>593</v>
      </c>
      <c r="BD965" s="1" t="s">
        <v>1276</v>
      </c>
      <c r="BE965" s="1" t="s">
        <v>99</v>
      </c>
      <c r="BF965">
        <v>0</v>
      </c>
      <c r="BG965" s="1"/>
      <c r="BH965" s="1" t="s">
        <v>491</v>
      </c>
      <c r="BI965">
        <v>3505.93</v>
      </c>
      <c r="BJ965" s="1" t="s">
        <v>1289</v>
      </c>
      <c r="BL965" s="1"/>
      <c r="BN965" s="1"/>
      <c r="BO965">
        <v>599</v>
      </c>
      <c r="BP965">
        <v>4654734.66</v>
      </c>
      <c r="BQ965">
        <v>4654734.66</v>
      </c>
    </row>
    <row r="966" spans="1:69" x14ac:dyDescent="0.35">
      <c r="A966" s="1" t="s">
        <v>68</v>
      </c>
      <c r="B966" s="1" t="s">
        <v>69</v>
      </c>
      <c r="C966" s="1" t="s">
        <v>70</v>
      </c>
      <c r="D966">
        <v>1</v>
      </c>
      <c r="E966">
        <v>1</v>
      </c>
      <c r="F966" s="2">
        <v>43585.43</v>
      </c>
      <c r="G966" s="3">
        <v>41275</v>
      </c>
      <c r="H966" s="3">
        <v>41639</v>
      </c>
      <c r="I966" s="1" t="s">
        <v>71</v>
      </c>
      <c r="J966">
        <v>4521</v>
      </c>
      <c r="K966">
        <v>0</v>
      </c>
      <c r="L966" s="1" t="s">
        <v>384</v>
      </c>
      <c r="M966" s="1" t="s">
        <v>72</v>
      </c>
      <c r="N966" s="1" t="s">
        <v>134</v>
      </c>
      <c r="O966" s="1" t="s">
        <v>385</v>
      </c>
      <c r="P966" s="1" t="s">
        <v>386</v>
      </c>
      <c r="Q966" s="1" t="s">
        <v>387</v>
      </c>
      <c r="R966">
        <v>103</v>
      </c>
      <c r="S966" s="1" t="s">
        <v>135</v>
      </c>
      <c r="T966" s="1" t="s">
        <v>388</v>
      </c>
      <c r="U966" s="1" t="s">
        <v>135</v>
      </c>
      <c r="V966" s="1"/>
      <c r="W966" s="1"/>
      <c r="X966" s="1"/>
      <c r="Y966" s="1"/>
      <c r="AA966" s="1"/>
      <c r="AC966" s="1"/>
      <c r="AD966" s="1"/>
      <c r="AE966" s="1"/>
      <c r="AN966" s="1"/>
      <c r="AP966" s="1"/>
      <c r="AQ966" s="1"/>
      <c r="AR966" s="1"/>
      <c r="AS966" s="1"/>
      <c r="AT966" s="3"/>
      <c r="AU966" s="3"/>
      <c r="AV966" s="3"/>
      <c r="AW966" s="1"/>
      <c r="AX966" s="1"/>
      <c r="AZ966">
        <v>253</v>
      </c>
      <c r="BA966">
        <v>4654734.66</v>
      </c>
      <c r="BB966" s="1" t="s">
        <v>74</v>
      </c>
      <c r="BC966">
        <v>594</v>
      </c>
      <c r="BD966" s="1" t="s">
        <v>1277</v>
      </c>
      <c r="BE966" s="1" t="s">
        <v>448</v>
      </c>
      <c r="BF966">
        <v>301.24</v>
      </c>
      <c r="BG966" s="1" t="s">
        <v>1290</v>
      </c>
      <c r="BH966" s="1" t="s">
        <v>99</v>
      </c>
      <c r="BI966">
        <v>0</v>
      </c>
      <c r="BJ966" s="1"/>
      <c r="BL966" s="1"/>
      <c r="BN966" s="1"/>
      <c r="BO966">
        <v>599</v>
      </c>
      <c r="BP966">
        <v>4654734.66</v>
      </c>
      <c r="BQ966">
        <v>4654734.66</v>
      </c>
    </row>
    <row r="967" spans="1:69" x14ac:dyDescent="0.35">
      <c r="A967" s="1" t="s">
        <v>68</v>
      </c>
      <c r="B967" s="1" t="s">
        <v>69</v>
      </c>
      <c r="C967" s="1" t="s">
        <v>70</v>
      </c>
      <c r="D967">
        <v>1</v>
      </c>
      <c r="E967">
        <v>1</v>
      </c>
      <c r="F967" s="2">
        <v>43585.43</v>
      </c>
      <c r="G967" s="3">
        <v>41275</v>
      </c>
      <c r="H967" s="3">
        <v>41639</v>
      </c>
      <c r="I967" s="1" t="s">
        <v>71</v>
      </c>
      <c r="J967">
        <v>4521</v>
      </c>
      <c r="K967">
        <v>0</v>
      </c>
      <c r="L967" s="1" t="s">
        <v>384</v>
      </c>
      <c r="M967" s="1" t="s">
        <v>72</v>
      </c>
      <c r="N967" s="1" t="s">
        <v>134</v>
      </c>
      <c r="O967" s="1" t="s">
        <v>385</v>
      </c>
      <c r="P967" s="1" t="s">
        <v>386</v>
      </c>
      <c r="Q967" s="1" t="s">
        <v>387</v>
      </c>
      <c r="R967">
        <v>103</v>
      </c>
      <c r="S967" s="1" t="s">
        <v>135</v>
      </c>
      <c r="T967" s="1" t="s">
        <v>388</v>
      </c>
      <c r="U967" s="1" t="s">
        <v>135</v>
      </c>
      <c r="V967" s="1"/>
      <c r="W967" s="1"/>
      <c r="X967" s="1"/>
      <c r="Y967" s="1"/>
      <c r="AA967" s="1"/>
      <c r="AC967" s="1"/>
      <c r="AD967" s="1"/>
      <c r="AE967" s="1"/>
      <c r="AN967" s="1"/>
      <c r="AP967" s="1"/>
      <c r="AQ967" s="1"/>
      <c r="AR967" s="1"/>
      <c r="AS967" s="1"/>
      <c r="AT967" s="3"/>
      <c r="AU967" s="3"/>
      <c r="AV967" s="3"/>
      <c r="AW967" s="1"/>
      <c r="AX967" s="1"/>
      <c r="AZ967">
        <v>253</v>
      </c>
      <c r="BA967">
        <v>4654734.66</v>
      </c>
      <c r="BB967" s="1" t="s">
        <v>74</v>
      </c>
      <c r="BC967">
        <v>595</v>
      </c>
      <c r="BD967" s="1" t="s">
        <v>1277</v>
      </c>
      <c r="BE967" s="1" t="s">
        <v>99</v>
      </c>
      <c r="BF967">
        <v>0</v>
      </c>
      <c r="BG967" s="1"/>
      <c r="BH967" s="1" t="s">
        <v>491</v>
      </c>
      <c r="BI967">
        <v>301.24</v>
      </c>
      <c r="BJ967" s="1" t="s">
        <v>1290</v>
      </c>
      <c r="BL967" s="1"/>
      <c r="BN967" s="1"/>
      <c r="BO967">
        <v>599</v>
      </c>
      <c r="BP967">
        <v>4654734.66</v>
      </c>
      <c r="BQ967">
        <v>4654734.66</v>
      </c>
    </row>
    <row r="968" spans="1:69" x14ac:dyDescent="0.35">
      <c r="A968" s="1" t="s">
        <v>68</v>
      </c>
      <c r="B968" s="1" t="s">
        <v>69</v>
      </c>
      <c r="C968" s="1" t="s">
        <v>70</v>
      </c>
      <c r="D968">
        <v>1</v>
      </c>
      <c r="E968">
        <v>1</v>
      </c>
      <c r="F968" s="2">
        <v>43585.43</v>
      </c>
      <c r="G968" s="3">
        <v>41275</v>
      </c>
      <c r="H968" s="3">
        <v>41639</v>
      </c>
      <c r="I968" s="1" t="s">
        <v>71</v>
      </c>
      <c r="J968">
        <v>4521</v>
      </c>
      <c r="K968">
        <v>0</v>
      </c>
      <c r="L968" s="1" t="s">
        <v>384</v>
      </c>
      <c r="M968" s="1" t="s">
        <v>72</v>
      </c>
      <c r="N968" s="1" t="s">
        <v>134</v>
      </c>
      <c r="O968" s="1" t="s">
        <v>385</v>
      </c>
      <c r="P968" s="1" t="s">
        <v>386</v>
      </c>
      <c r="Q968" s="1" t="s">
        <v>387</v>
      </c>
      <c r="R968">
        <v>103</v>
      </c>
      <c r="S968" s="1" t="s">
        <v>135</v>
      </c>
      <c r="T968" s="1" t="s">
        <v>388</v>
      </c>
      <c r="U968" s="1" t="s">
        <v>135</v>
      </c>
      <c r="V968" s="1"/>
      <c r="W968" s="1"/>
      <c r="X968" s="1"/>
      <c r="Y968" s="1"/>
      <c r="AA968" s="1"/>
      <c r="AC968" s="1"/>
      <c r="AD968" s="1"/>
      <c r="AE968" s="1"/>
      <c r="AN968" s="1"/>
      <c r="AP968" s="1"/>
      <c r="AQ968" s="1"/>
      <c r="AR968" s="1"/>
      <c r="AS968" s="1"/>
      <c r="AT968" s="3"/>
      <c r="AU968" s="3"/>
      <c r="AV968" s="3"/>
      <c r="AW968" s="1"/>
      <c r="AX968" s="1"/>
      <c r="AZ968">
        <v>253</v>
      </c>
      <c r="BA968">
        <v>4654734.66</v>
      </c>
      <c r="BB968" s="1" t="s">
        <v>74</v>
      </c>
      <c r="BC968">
        <v>596</v>
      </c>
      <c r="BD968" s="1" t="s">
        <v>1278</v>
      </c>
      <c r="BE968" s="1" t="s">
        <v>448</v>
      </c>
      <c r="BF968">
        <v>385.1</v>
      </c>
      <c r="BG968" s="1" t="s">
        <v>1290</v>
      </c>
      <c r="BH968" s="1" t="s">
        <v>99</v>
      </c>
      <c r="BI968">
        <v>0</v>
      </c>
      <c r="BJ968" s="1"/>
      <c r="BL968" s="1"/>
      <c r="BN968" s="1"/>
      <c r="BO968">
        <v>599</v>
      </c>
      <c r="BP968">
        <v>4654734.66</v>
      </c>
      <c r="BQ968">
        <v>4654734.66</v>
      </c>
    </row>
    <row r="969" spans="1:69" x14ac:dyDescent="0.35">
      <c r="A969" s="1" t="s">
        <v>68</v>
      </c>
      <c r="B969" s="1" t="s">
        <v>69</v>
      </c>
      <c r="C969" s="1" t="s">
        <v>70</v>
      </c>
      <c r="D969">
        <v>1</v>
      </c>
      <c r="E969">
        <v>1</v>
      </c>
      <c r="F969" s="2">
        <v>43585.43</v>
      </c>
      <c r="G969" s="3">
        <v>41275</v>
      </c>
      <c r="H969" s="3">
        <v>41639</v>
      </c>
      <c r="I969" s="1" t="s">
        <v>71</v>
      </c>
      <c r="J969">
        <v>4521</v>
      </c>
      <c r="K969">
        <v>0</v>
      </c>
      <c r="L969" s="1" t="s">
        <v>384</v>
      </c>
      <c r="M969" s="1" t="s">
        <v>72</v>
      </c>
      <c r="N969" s="1" t="s">
        <v>134</v>
      </c>
      <c r="O969" s="1" t="s">
        <v>385</v>
      </c>
      <c r="P969" s="1" t="s">
        <v>386</v>
      </c>
      <c r="Q969" s="1" t="s">
        <v>387</v>
      </c>
      <c r="R969">
        <v>103</v>
      </c>
      <c r="S969" s="1" t="s">
        <v>135</v>
      </c>
      <c r="T969" s="1" t="s">
        <v>388</v>
      </c>
      <c r="U969" s="1" t="s">
        <v>135</v>
      </c>
      <c r="V969" s="1"/>
      <c r="W969" s="1"/>
      <c r="X969" s="1"/>
      <c r="Y969" s="1"/>
      <c r="AA969" s="1"/>
      <c r="AC969" s="1"/>
      <c r="AD969" s="1"/>
      <c r="AE969" s="1"/>
      <c r="AN969" s="1"/>
      <c r="AP969" s="1"/>
      <c r="AQ969" s="1"/>
      <c r="AR969" s="1"/>
      <c r="AS969" s="1"/>
      <c r="AT969" s="3"/>
      <c r="AU969" s="3"/>
      <c r="AV969" s="3"/>
      <c r="AW969" s="1"/>
      <c r="AX969" s="1"/>
      <c r="AZ969">
        <v>253</v>
      </c>
      <c r="BA969">
        <v>4654734.66</v>
      </c>
      <c r="BB969" s="1" t="s">
        <v>74</v>
      </c>
      <c r="BC969">
        <v>597</v>
      </c>
      <c r="BD969" s="1" t="s">
        <v>1278</v>
      </c>
      <c r="BE969" s="1" t="s">
        <v>99</v>
      </c>
      <c r="BF969">
        <v>0</v>
      </c>
      <c r="BG969" s="1"/>
      <c r="BH969" s="1" t="s">
        <v>491</v>
      </c>
      <c r="BI969">
        <v>385.1</v>
      </c>
      <c r="BJ969" s="1" t="s">
        <v>1290</v>
      </c>
      <c r="BL969" s="1"/>
      <c r="BN969" s="1"/>
      <c r="BO969">
        <v>599</v>
      </c>
      <c r="BP969">
        <v>4654734.66</v>
      </c>
      <c r="BQ969">
        <v>4654734.66</v>
      </c>
    </row>
    <row r="970" spans="1:69" x14ac:dyDescent="0.35">
      <c r="A970" s="1" t="s">
        <v>68</v>
      </c>
      <c r="B970" s="1" t="s">
        <v>69</v>
      </c>
      <c r="C970" s="1" t="s">
        <v>70</v>
      </c>
      <c r="D970">
        <v>1</v>
      </c>
      <c r="E970">
        <v>1</v>
      </c>
      <c r="F970" s="2">
        <v>43585.43</v>
      </c>
      <c r="G970" s="3">
        <v>41275</v>
      </c>
      <c r="H970" s="3">
        <v>41639</v>
      </c>
      <c r="I970" s="1" t="s">
        <v>71</v>
      </c>
      <c r="J970">
        <v>4521</v>
      </c>
      <c r="K970">
        <v>0</v>
      </c>
      <c r="L970" s="1" t="s">
        <v>384</v>
      </c>
      <c r="M970" s="1" t="s">
        <v>72</v>
      </c>
      <c r="N970" s="1" t="s">
        <v>134</v>
      </c>
      <c r="O970" s="1" t="s">
        <v>385</v>
      </c>
      <c r="P970" s="1" t="s">
        <v>386</v>
      </c>
      <c r="Q970" s="1" t="s">
        <v>387</v>
      </c>
      <c r="R970">
        <v>103</v>
      </c>
      <c r="S970" s="1" t="s">
        <v>135</v>
      </c>
      <c r="T970" s="1" t="s">
        <v>388</v>
      </c>
      <c r="U970" s="1" t="s">
        <v>135</v>
      </c>
      <c r="V970" s="1"/>
      <c r="W970" s="1"/>
      <c r="X970" s="1"/>
      <c r="Y970" s="1"/>
      <c r="AA970" s="1"/>
      <c r="AC970" s="1"/>
      <c r="AD970" s="1"/>
      <c r="AE970" s="1"/>
      <c r="AN970" s="1"/>
      <c r="AP970" s="1"/>
      <c r="AQ970" s="1"/>
      <c r="AR970" s="1"/>
      <c r="AS970" s="1"/>
      <c r="AT970" s="3"/>
      <c r="AU970" s="3"/>
      <c r="AV970" s="3"/>
      <c r="AW970" s="1"/>
      <c r="AX970" s="1"/>
      <c r="AZ970">
        <v>253</v>
      </c>
      <c r="BA970">
        <v>4654734.66</v>
      </c>
      <c r="BB970" s="1" t="s">
        <v>74</v>
      </c>
      <c r="BC970">
        <v>598</v>
      </c>
      <c r="BD970" s="1" t="s">
        <v>1279</v>
      </c>
      <c r="BE970" s="1" t="s">
        <v>448</v>
      </c>
      <c r="BF970">
        <v>24.66</v>
      </c>
      <c r="BG970" s="1" t="s">
        <v>1290</v>
      </c>
      <c r="BH970" s="1" t="s">
        <v>99</v>
      </c>
      <c r="BI970">
        <v>0</v>
      </c>
      <c r="BJ970" s="1"/>
      <c r="BL970" s="1"/>
      <c r="BN970" s="1"/>
      <c r="BO970">
        <v>599</v>
      </c>
      <c r="BP970">
        <v>4654734.66</v>
      </c>
      <c r="BQ970">
        <v>4654734.66</v>
      </c>
    </row>
    <row r="971" spans="1:69" x14ac:dyDescent="0.35">
      <c r="A971" s="1" t="s">
        <v>68</v>
      </c>
      <c r="B971" s="1" t="s">
        <v>69</v>
      </c>
      <c r="C971" s="1" t="s">
        <v>70</v>
      </c>
      <c r="D971">
        <v>1</v>
      </c>
      <c r="E971">
        <v>1</v>
      </c>
      <c r="F971" s="2">
        <v>43585.43</v>
      </c>
      <c r="G971" s="3">
        <v>41275</v>
      </c>
      <c r="H971" s="3">
        <v>41639</v>
      </c>
      <c r="I971" s="1" t="s">
        <v>71</v>
      </c>
      <c r="J971">
        <v>4521</v>
      </c>
      <c r="K971">
        <v>0</v>
      </c>
      <c r="L971" s="1" t="s">
        <v>384</v>
      </c>
      <c r="M971" s="1" t="s">
        <v>72</v>
      </c>
      <c r="N971" s="1" t="s">
        <v>134</v>
      </c>
      <c r="O971" s="1" t="s">
        <v>385</v>
      </c>
      <c r="P971" s="1" t="s">
        <v>386</v>
      </c>
      <c r="Q971" s="1" t="s">
        <v>387</v>
      </c>
      <c r="R971">
        <v>103</v>
      </c>
      <c r="S971" s="1" t="s">
        <v>135</v>
      </c>
      <c r="T971" s="1" t="s">
        <v>388</v>
      </c>
      <c r="U971" s="1" t="s">
        <v>135</v>
      </c>
      <c r="V971" s="1"/>
      <c r="W971" s="1"/>
      <c r="X971" s="1"/>
      <c r="Y971" s="1"/>
      <c r="AA971" s="1"/>
      <c r="AC971" s="1"/>
      <c r="AD971" s="1"/>
      <c r="AE971" s="1"/>
      <c r="AN971" s="1"/>
      <c r="AP971" s="1"/>
      <c r="AQ971" s="1"/>
      <c r="AR971" s="1"/>
      <c r="AS971" s="1"/>
      <c r="AT971" s="3"/>
      <c r="AU971" s="3"/>
      <c r="AV971" s="3"/>
      <c r="AW971" s="1"/>
      <c r="AX971" s="1"/>
      <c r="AZ971">
        <v>253</v>
      </c>
      <c r="BA971">
        <v>4654734.66</v>
      </c>
      <c r="BB971" s="1" t="s">
        <v>74</v>
      </c>
      <c r="BC971">
        <v>599</v>
      </c>
      <c r="BD971" s="1" t="s">
        <v>1279</v>
      </c>
      <c r="BE971" s="1" t="s">
        <v>99</v>
      </c>
      <c r="BF971">
        <v>0</v>
      </c>
      <c r="BG971" s="1"/>
      <c r="BH971" s="1" t="s">
        <v>491</v>
      </c>
      <c r="BI971">
        <v>24.66</v>
      </c>
      <c r="BJ971" s="1" t="s">
        <v>1290</v>
      </c>
      <c r="BL971" s="1"/>
      <c r="BN971" s="1"/>
      <c r="BO971">
        <v>599</v>
      </c>
      <c r="BP971">
        <v>4654734.66</v>
      </c>
      <c r="BQ971">
        <v>4654734.66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334"/>
  <sheetViews>
    <sheetView workbookViewId="0">
      <selection activeCell="BF319" sqref="BF31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66.36328125" bestFit="1" customWidth="1"/>
    <col min="28" max="28" width="17.36328125" bestFit="1" customWidth="1"/>
    <col min="29" max="29" width="51.08984375" bestFit="1" customWidth="1"/>
    <col min="30" max="30" width="20.6328125" bestFit="1" customWidth="1"/>
    <col min="31" max="31" width="33.81640625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30.26953125" customWidth="1"/>
    <col min="43" max="43" width="47.6328125" customWidth="1"/>
    <col min="44" max="44" width="25.7265625" customWidth="1"/>
    <col min="45" max="45" width="37.26953125" bestFit="1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80.7265625" bestFit="1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0.26953125" customWidth="1"/>
    <col min="57" max="57" width="20.90625" bestFit="1" customWidth="1"/>
    <col min="58" max="58" width="17.90625" bestFit="1" customWidth="1"/>
    <col min="59" max="59" width="47.6328125" customWidth="1"/>
    <col min="60" max="60" width="17.6328125" customWidth="1"/>
    <col min="61" max="61" width="14.6328125" bestFit="1" customWidth="1"/>
    <col min="62" max="62" width="47.6328125" customWidth="1"/>
    <col min="63" max="63" width="24.1796875" bestFit="1" customWidth="1"/>
    <col min="64" max="64" width="21.90625" bestFit="1" customWidth="1"/>
    <col min="65" max="65" width="20.90625" bestFit="1" customWidth="1"/>
    <col min="66" max="66" width="18.6328125" bestFit="1" customWidth="1"/>
    <col min="67" max="67" width="28.453125" bestFit="1" customWidth="1"/>
    <col min="68" max="68" width="17.1796875" bestFit="1" customWidth="1"/>
    <col min="69" max="69" width="13.90625" bestFit="1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133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66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67</v>
      </c>
      <c r="BC1" t="s">
        <v>51</v>
      </c>
      <c r="BD1" t="s">
        <v>52</v>
      </c>
      <c r="BE1" t="s">
        <v>53</v>
      </c>
      <c r="BF1" t="s">
        <v>54</v>
      </c>
      <c r="BG1" t="s">
        <v>57</v>
      </c>
      <c r="BH1" t="s">
        <v>58</v>
      </c>
      <c r="BI1" t="s">
        <v>59</v>
      </c>
      <c r="BJ1" t="s">
        <v>62</v>
      </c>
      <c r="BK1" t="s">
        <v>55</v>
      </c>
      <c r="BL1" t="s">
        <v>56</v>
      </c>
      <c r="BM1" t="s">
        <v>60</v>
      </c>
      <c r="BN1" t="s">
        <v>61</v>
      </c>
      <c r="BO1" t="s">
        <v>63</v>
      </c>
      <c r="BP1" t="s">
        <v>64</v>
      </c>
      <c r="BQ1" t="s">
        <v>65</v>
      </c>
    </row>
    <row r="2" spans="1:69" x14ac:dyDescent="0.35">
      <c r="A2" s="1" t="s">
        <v>68</v>
      </c>
      <c r="B2" s="1" t="s">
        <v>69</v>
      </c>
      <c r="C2" s="1" t="s">
        <v>70</v>
      </c>
      <c r="D2">
        <v>1</v>
      </c>
      <c r="E2">
        <v>1</v>
      </c>
      <c r="F2" s="2">
        <v>43584.863483796296</v>
      </c>
      <c r="G2" s="3">
        <v>40909</v>
      </c>
      <c r="H2" s="3">
        <v>41274</v>
      </c>
      <c r="I2" s="1" t="s">
        <v>71</v>
      </c>
      <c r="J2">
        <v>4521</v>
      </c>
      <c r="K2">
        <v>0</v>
      </c>
      <c r="L2" s="1" t="s">
        <v>384</v>
      </c>
      <c r="M2" s="1" t="s">
        <v>72</v>
      </c>
      <c r="N2" s="1" t="s">
        <v>134</v>
      </c>
      <c r="O2" s="1" t="s">
        <v>385</v>
      </c>
      <c r="P2" s="1" t="s">
        <v>386</v>
      </c>
      <c r="Q2" s="1" t="s">
        <v>387</v>
      </c>
      <c r="R2">
        <v>103</v>
      </c>
      <c r="S2" s="1" t="s">
        <v>135</v>
      </c>
      <c r="T2" s="1" t="s">
        <v>388</v>
      </c>
      <c r="U2" s="1" t="s">
        <v>135</v>
      </c>
      <c r="V2" s="1" t="s">
        <v>74</v>
      </c>
      <c r="W2" s="1" t="s">
        <v>392</v>
      </c>
      <c r="X2" s="1" t="s">
        <v>497</v>
      </c>
      <c r="Y2" s="1" t="s">
        <v>76</v>
      </c>
      <c r="Z2">
        <v>1</v>
      </c>
      <c r="AA2" s="1" t="s">
        <v>79</v>
      </c>
      <c r="AB2">
        <v>100</v>
      </c>
      <c r="AC2" s="1" t="s">
        <v>600</v>
      </c>
      <c r="AD2" s="1" t="s">
        <v>88</v>
      </c>
      <c r="AE2" s="1" t="s">
        <v>677</v>
      </c>
      <c r="AF2">
        <v>0</v>
      </c>
      <c r="AG2">
        <v>0</v>
      </c>
      <c r="AH2">
        <v>7390</v>
      </c>
      <c r="AI2">
        <v>2800</v>
      </c>
      <c r="AJ2">
        <v>7390</v>
      </c>
      <c r="AK2">
        <v>2800</v>
      </c>
      <c r="AL2">
        <v>4590</v>
      </c>
      <c r="AM2">
        <v>0</v>
      </c>
      <c r="AN2" s="1"/>
      <c r="AP2" s="1"/>
      <c r="AQ2" s="1"/>
      <c r="AR2" s="1"/>
      <c r="AS2" s="1"/>
      <c r="AT2" s="3"/>
      <c r="AU2" s="3"/>
      <c r="AV2" s="3"/>
      <c r="AW2" s="1"/>
      <c r="AX2" s="1"/>
      <c r="AZ2">
        <v>76</v>
      </c>
      <c r="BA2">
        <v>260953.83</v>
      </c>
      <c r="BB2" s="1"/>
      <c r="BD2" s="1"/>
      <c r="BE2" s="1"/>
      <c r="BG2" s="1"/>
      <c r="BH2" s="1"/>
      <c r="BJ2" s="1"/>
      <c r="BL2" s="1"/>
      <c r="BN2" s="1"/>
      <c r="BO2">
        <v>186</v>
      </c>
      <c r="BP2">
        <v>260953.83</v>
      </c>
      <c r="BQ2">
        <v>260953.83</v>
      </c>
    </row>
    <row r="3" spans="1:69" x14ac:dyDescent="0.35">
      <c r="A3" s="1" t="s">
        <v>68</v>
      </c>
      <c r="B3" s="1" t="s">
        <v>69</v>
      </c>
      <c r="C3" s="1" t="s">
        <v>70</v>
      </c>
      <c r="D3">
        <v>1</v>
      </c>
      <c r="E3">
        <v>1</v>
      </c>
      <c r="F3" s="2">
        <v>43584.863483796296</v>
      </c>
      <c r="G3" s="3">
        <v>40909</v>
      </c>
      <c r="H3" s="3">
        <v>41274</v>
      </c>
      <c r="I3" s="1" t="s">
        <v>71</v>
      </c>
      <c r="J3">
        <v>4521</v>
      </c>
      <c r="K3">
        <v>0</v>
      </c>
      <c r="L3" s="1" t="s">
        <v>384</v>
      </c>
      <c r="M3" s="1" t="s">
        <v>72</v>
      </c>
      <c r="N3" s="1" t="s">
        <v>134</v>
      </c>
      <c r="O3" s="1" t="s">
        <v>385</v>
      </c>
      <c r="P3" s="1" t="s">
        <v>386</v>
      </c>
      <c r="Q3" s="1" t="s">
        <v>387</v>
      </c>
      <c r="R3">
        <v>103</v>
      </c>
      <c r="S3" s="1" t="s">
        <v>135</v>
      </c>
      <c r="T3" s="1" t="s">
        <v>388</v>
      </c>
      <c r="U3" s="1" t="s">
        <v>135</v>
      </c>
      <c r="V3" s="1" t="s">
        <v>74</v>
      </c>
      <c r="W3" s="1" t="s">
        <v>1297</v>
      </c>
      <c r="X3" s="1" t="s">
        <v>1315</v>
      </c>
      <c r="Y3" s="1" t="s">
        <v>76</v>
      </c>
      <c r="Z3">
        <v>1</v>
      </c>
      <c r="AA3" s="1" t="s">
        <v>79</v>
      </c>
      <c r="AB3">
        <v>101</v>
      </c>
      <c r="AC3" s="1" t="s">
        <v>1333</v>
      </c>
      <c r="AD3" s="1" t="s">
        <v>88</v>
      </c>
      <c r="AE3" s="1" t="s">
        <v>1343</v>
      </c>
      <c r="AF3">
        <v>0</v>
      </c>
      <c r="AG3">
        <v>0</v>
      </c>
      <c r="AH3">
        <v>2515.0300000000002</v>
      </c>
      <c r="AI3">
        <v>520</v>
      </c>
      <c r="AJ3">
        <v>2515.0300000000002</v>
      </c>
      <c r="AK3">
        <v>520</v>
      </c>
      <c r="AL3">
        <v>1995.03</v>
      </c>
      <c r="AM3">
        <v>0</v>
      </c>
      <c r="AN3" s="1"/>
      <c r="AP3" s="1"/>
      <c r="AQ3" s="1"/>
      <c r="AR3" s="1"/>
      <c r="AS3" s="1"/>
      <c r="AT3" s="3"/>
      <c r="AU3" s="3"/>
      <c r="AV3" s="3"/>
      <c r="AW3" s="1"/>
      <c r="AX3" s="1"/>
      <c r="AZ3">
        <v>76</v>
      </c>
      <c r="BA3">
        <v>260953.83</v>
      </c>
      <c r="BB3" s="1"/>
      <c r="BD3" s="1"/>
      <c r="BE3" s="1"/>
      <c r="BG3" s="1"/>
      <c r="BH3" s="1"/>
      <c r="BJ3" s="1"/>
      <c r="BL3" s="1"/>
      <c r="BN3" s="1"/>
      <c r="BO3">
        <v>186</v>
      </c>
      <c r="BP3">
        <v>260953.83</v>
      </c>
      <c r="BQ3">
        <v>260953.83</v>
      </c>
    </row>
    <row r="4" spans="1:69" x14ac:dyDescent="0.35">
      <c r="A4" s="1" t="s">
        <v>68</v>
      </c>
      <c r="B4" s="1" t="s">
        <v>69</v>
      </c>
      <c r="C4" s="1" t="s">
        <v>70</v>
      </c>
      <c r="D4">
        <v>1</v>
      </c>
      <c r="E4">
        <v>1</v>
      </c>
      <c r="F4" s="2">
        <v>43584.863483796296</v>
      </c>
      <c r="G4" s="3">
        <v>40909</v>
      </c>
      <c r="H4" s="3">
        <v>41274</v>
      </c>
      <c r="I4" s="1" t="s">
        <v>71</v>
      </c>
      <c r="J4">
        <v>4521</v>
      </c>
      <c r="K4">
        <v>0</v>
      </c>
      <c r="L4" s="1" t="s">
        <v>384</v>
      </c>
      <c r="M4" s="1" t="s">
        <v>72</v>
      </c>
      <c r="N4" s="1" t="s">
        <v>134</v>
      </c>
      <c r="O4" s="1" t="s">
        <v>385</v>
      </c>
      <c r="P4" s="1" t="s">
        <v>386</v>
      </c>
      <c r="Q4" s="1" t="s">
        <v>387</v>
      </c>
      <c r="R4">
        <v>103</v>
      </c>
      <c r="S4" s="1" t="s">
        <v>135</v>
      </c>
      <c r="T4" s="1" t="s">
        <v>388</v>
      </c>
      <c r="U4" s="1" t="s">
        <v>135</v>
      </c>
      <c r="V4" s="1" t="s">
        <v>74</v>
      </c>
      <c r="W4" s="1" t="s">
        <v>394</v>
      </c>
      <c r="X4" s="1" t="s">
        <v>499</v>
      </c>
      <c r="Y4" s="1" t="s">
        <v>76</v>
      </c>
      <c r="Z4">
        <v>1</v>
      </c>
      <c r="AA4" s="1" t="s">
        <v>79</v>
      </c>
      <c r="AB4">
        <v>130</v>
      </c>
      <c r="AC4" s="1" t="s">
        <v>601</v>
      </c>
      <c r="AD4" s="1" t="s">
        <v>88</v>
      </c>
      <c r="AE4" s="1" t="s">
        <v>146</v>
      </c>
      <c r="AF4">
        <v>0</v>
      </c>
      <c r="AG4">
        <v>0</v>
      </c>
      <c r="AH4">
        <v>0</v>
      </c>
      <c r="AI4">
        <v>24702.9</v>
      </c>
      <c r="AJ4">
        <v>0</v>
      </c>
      <c r="AK4">
        <v>24702.9</v>
      </c>
      <c r="AL4">
        <v>0</v>
      </c>
      <c r="AM4">
        <v>24702.9</v>
      </c>
      <c r="AN4" s="1"/>
      <c r="AP4" s="1"/>
      <c r="AQ4" s="1"/>
      <c r="AR4" s="1"/>
      <c r="AS4" s="1"/>
      <c r="AT4" s="3"/>
      <c r="AU4" s="3"/>
      <c r="AV4" s="3"/>
      <c r="AW4" s="1"/>
      <c r="AX4" s="1"/>
      <c r="AZ4">
        <v>76</v>
      </c>
      <c r="BA4">
        <v>260953.83</v>
      </c>
      <c r="BB4" s="1"/>
      <c r="BD4" s="1"/>
      <c r="BE4" s="1"/>
      <c r="BG4" s="1"/>
      <c r="BH4" s="1"/>
      <c r="BJ4" s="1"/>
      <c r="BL4" s="1"/>
      <c r="BN4" s="1"/>
      <c r="BO4">
        <v>186</v>
      </c>
      <c r="BP4">
        <v>260953.83</v>
      </c>
      <c r="BQ4">
        <v>260953.83</v>
      </c>
    </row>
    <row r="5" spans="1:69" x14ac:dyDescent="0.35">
      <c r="A5" s="1" t="s">
        <v>68</v>
      </c>
      <c r="B5" s="1" t="s">
        <v>69</v>
      </c>
      <c r="C5" s="1" t="s">
        <v>70</v>
      </c>
      <c r="D5">
        <v>1</v>
      </c>
      <c r="E5">
        <v>1</v>
      </c>
      <c r="F5" s="2">
        <v>43584.863483796296</v>
      </c>
      <c r="G5" s="3">
        <v>40909</v>
      </c>
      <c r="H5" s="3">
        <v>41274</v>
      </c>
      <c r="I5" s="1" t="s">
        <v>71</v>
      </c>
      <c r="J5">
        <v>4521</v>
      </c>
      <c r="K5">
        <v>0</v>
      </c>
      <c r="L5" s="1" t="s">
        <v>384</v>
      </c>
      <c r="M5" s="1" t="s">
        <v>72</v>
      </c>
      <c r="N5" s="1" t="s">
        <v>134</v>
      </c>
      <c r="O5" s="1" t="s">
        <v>385</v>
      </c>
      <c r="P5" s="1" t="s">
        <v>386</v>
      </c>
      <c r="Q5" s="1" t="s">
        <v>387</v>
      </c>
      <c r="R5">
        <v>103</v>
      </c>
      <c r="S5" s="1" t="s">
        <v>135</v>
      </c>
      <c r="T5" s="1" t="s">
        <v>388</v>
      </c>
      <c r="U5" s="1" t="s">
        <v>135</v>
      </c>
      <c r="V5" s="1" t="s">
        <v>74</v>
      </c>
      <c r="W5" s="1" t="s">
        <v>396</v>
      </c>
      <c r="X5" s="1" t="s">
        <v>501</v>
      </c>
      <c r="Y5" s="1" t="s">
        <v>76</v>
      </c>
      <c r="Z5">
        <v>1</v>
      </c>
      <c r="AA5" s="1" t="s">
        <v>79</v>
      </c>
      <c r="AB5">
        <v>132</v>
      </c>
      <c r="AC5" s="1" t="s">
        <v>501</v>
      </c>
      <c r="AD5" s="1"/>
      <c r="AE5" s="1" t="s">
        <v>501</v>
      </c>
      <c r="AF5">
        <v>0</v>
      </c>
      <c r="AG5">
        <v>0</v>
      </c>
      <c r="AH5">
        <v>74125</v>
      </c>
      <c r="AI5">
        <v>0</v>
      </c>
      <c r="AJ5">
        <v>74125</v>
      </c>
      <c r="AK5">
        <v>0</v>
      </c>
      <c r="AL5">
        <v>74125</v>
      </c>
      <c r="AM5">
        <v>0</v>
      </c>
      <c r="AN5" s="1"/>
      <c r="AP5" s="1"/>
      <c r="AQ5" s="1"/>
      <c r="AR5" s="1"/>
      <c r="AS5" s="1"/>
      <c r="AT5" s="3"/>
      <c r="AU5" s="3"/>
      <c r="AV5" s="3"/>
      <c r="AW5" s="1"/>
      <c r="AX5" s="1"/>
      <c r="AZ5">
        <v>76</v>
      </c>
      <c r="BA5">
        <v>260953.83</v>
      </c>
      <c r="BB5" s="1"/>
      <c r="BD5" s="1"/>
      <c r="BE5" s="1"/>
      <c r="BG5" s="1"/>
      <c r="BH5" s="1"/>
      <c r="BJ5" s="1"/>
      <c r="BL5" s="1"/>
      <c r="BN5" s="1"/>
      <c r="BO5">
        <v>186</v>
      </c>
      <c r="BP5">
        <v>260953.83</v>
      </c>
      <c r="BQ5">
        <v>260953.83</v>
      </c>
    </row>
    <row r="6" spans="1:69" x14ac:dyDescent="0.35">
      <c r="A6" s="1" t="s">
        <v>68</v>
      </c>
      <c r="B6" s="1" t="s">
        <v>69</v>
      </c>
      <c r="C6" s="1" t="s">
        <v>70</v>
      </c>
      <c r="D6">
        <v>1</v>
      </c>
      <c r="E6">
        <v>1</v>
      </c>
      <c r="F6" s="2">
        <v>43584.863483796296</v>
      </c>
      <c r="G6" s="3">
        <v>40909</v>
      </c>
      <c r="H6" s="3">
        <v>41274</v>
      </c>
      <c r="I6" s="1" t="s">
        <v>71</v>
      </c>
      <c r="J6">
        <v>4521</v>
      </c>
      <c r="K6">
        <v>0</v>
      </c>
      <c r="L6" s="1" t="s">
        <v>384</v>
      </c>
      <c r="M6" s="1" t="s">
        <v>72</v>
      </c>
      <c r="N6" s="1" t="s">
        <v>134</v>
      </c>
      <c r="O6" s="1" t="s">
        <v>385</v>
      </c>
      <c r="P6" s="1" t="s">
        <v>386</v>
      </c>
      <c r="Q6" s="1" t="s">
        <v>387</v>
      </c>
      <c r="R6">
        <v>103</v>
      </c>
      <c r="S6" s="1" t="s">
        <v>135</v>
      </c>
      <c r="T6" s="1" t="s">
        <v>388</v>
      </c>
      <c r="U6" s="1" t="s">
        <v>135</v>
      </c>
      <c r="V6" s="1" t="s">
        <v>74</v>
      </c>
      <c r="W6" s="1" t="s">
        <v>75</v>
      </c>
      <c r="X6" s="1" t="s">
        <v>503</v>
      </c>
      <c r="Y6" s="1" t="s">
        <v>76</v>
      </c>
      <c r="Z6">
        <v>2</v>
      </c>
      <c r="AA6" s="1" t="s">
        <v>80</v>
      </c>
      <c r="AB6">
        <v>200</v>
      </c>
      <c r="AC6" s="1" t="s">
        <v>503</v>
      </c>
      <c r="AD6" s="1"/>
      <c r="AE6" s="1" t="s">
        <v>503</v>
      </c>
      <c r="AF6">
        <v>0</v>
      </c>
      <c r="AG6">
        <v>0</v>
      </c>
      <c r="AH6">
        <v>0</v>
      </c>
      <c r="AI6">
        <v>1930</v>
      </c>
      <c r="AJ6">
        <v>0</v>
      </c>
      <c r="AK6">
        <v>1930</v>
      </c>
      <c r="AL6">
        <v>0</v>
      </c>
      <c r="AM6">
        <v>1930</v>
      </c>
      <c r="AN6" s="1"/>
      <c r="AP6" s="1"/>
      <c r="AQ6" s="1"/>
      <c r="AR6" s="1"/>
      <c r="AS6" s="1"/>
      <c r="AT6" s="3"/>
      <c r="AU6" s="3"/>
      <c r="AV6" s="3"/>
      <c r="AW6" s="1"/>
      <c r="AX6" s="1"/>
      <c r="AZ6">
        <v>76</v>
      </c>
      <c r="BA6">
        <v>260953.83</v>
      </c>
      <c r="BB6" s="1"/>
      <c r="BD6" s="1"/>
      <c r="BE6" s="1"/>
      <c r="BG6" s="1"/>
      <c r="BH6" s="1"/>
      <c r="BJ6" s="1"/>
      <c r="BL6" s="1"/>
      <c r="BN6" s="1"/>
      <c r="BO6">
        <v>186</v>
      </c>
      <c r="BP6">
        <v>260953.83</v>
      </c>
      <c r="BQ6">
        <v>260953.83</v>
      </c>
    </row>
    <row r="7" spans="1:69" x14ac:dyDescent="0.35">
      <c r="A7" s="1" t="s">
        <v>68</v>
      </c>
      <c r="B7" s="1" t="s">
        <v>69</v>
      </c>
      <c r="C7" s="1" t="s">
        <v>70</v>
      </c>
      <c r="D7">
        <v>1</v>
      </c>
      <c r="E7">
        <v>1</v>
      </c>
      <c r="F7" s="2">
        <v>43584.863483796296</v>
      </c>
      <c r="G7" s="3">
        <v>40909</v>
      </c>
      <c r="H7" s="3">
        <v>41274</v>
      </c>
      <c r="I7" s="1" t="s">
        <v>71</v>
      </c>
      <c r="J7">
        <v>4521</v>
      </c>
      <c r="K7">
        <v>0</v>
      </c>
      <c r="L7" s="1" t="s">
        <v>384</v>
      </c>
      <c r="M7" s="1" t="s">
        <v>72</v>
      </c>
      <c r="N7" s="1" t="s">
        <v>134</v>
      </c>
      <c r="O7" s="1" t="s">
        <v>385</v>
      </c>
      <c r="P7" s="1" t="s">
        <v>386</v>
      </c>
      <c r="Q7" s="1" t="s">
        <v>387</v>
      </c>
      <c r="R7">
        <v>103</v>
      </c>
      <c r="S7" s="1" t="s">
        <v>135</v>
      </c>
      <c r="T7" s="1" t="s">
        <v>388</v>
      </c>
      <c r="U7" s="1" t="s">
        <v>135</v>
      </c>
      <c r="V7" s="1" t="s">
        <v>74</v>
      </c>
      <c r="W7" s="1" t="s">
        <v>398</v>
      </c>
      <c r="X7" s="1" t="s">
        <v>504</v>
      </c>
      <c r="Y7" s="1" t="s">
        <v>76</v>
      </c>
      <c r="Z7">
        <v>2</v>
      </c>
      <c r="AA7" s="1" t="s">
        <v>80</v>
      </c>
      <c r="AB7">
        <v>201</v>
      </c>
      <c r="AC7" s="1" t="s">
        <v>603</v>
      </c>
      <c r="AD7" s="1" t="s">
        <v>622</v>
      </c>
      <c r="AE7" s="1" t="s">
        <v>681</v>
      </c>
      <c r="AF7">
        <v>0</v>
      </c>
      <c r="AG7">
        <v>0</v>
      </c>
      <c r="AH7">
        <v>2390.1799999999998</v>
      </c>
      <c r="AI7">
        <v>6785.03</v>
      </c>
      <c r="AJ7">
        <v>2390.1799999999998</v>
      </c>
      <c r="AK7">
        <v>6785.03</v>
      </c>
      <c r="AL7">
        <v>0</v>
      </c>
      <c r="AM7">
        <v>4394.8500000000004</v>
      </c>
      <c r="AN7" s="1"/>
      <c r="AP7" s="1"/>
      <c r="AQ7" s="1"/>
      <c r="AR7" s="1"/>
      <c r="AS7" s="1"/>
      <c r="AT7" s="3"/>
      <c r="AU7" s="3"/>
      <c r="AV7" s="3"/>
      <c r="AW7" s="1"/>
      <c r="AX7" s="1"/>
      <c r="AZ7">
        <v>76</v>
      </c>
      <c r="BA7">
        <v>260953.83</v>
      </c>
      <c r="BB7" s="1"/>
      <c r="BD7" s="1"/>
      <c r="BE7" s="1"/>
      <c r="BG7" s="1"/>
      <c r="BH7" s="1"/>
      <c r="BJ7" s="1"/>
      <c r="BL7" s="1"/>
      <c r="BN7" s="1"/>
      <c r="BO7">
        <v>186</v>
      </c>
      <c r="BP7">
        <v>260953.83</v>
      </c>
      <c r="BQ7">
        <v>260953.83</v>
      </c>
    </row>
    <row r="8" spans="1:69" x14ac:dyDescent="0.35">
      <c r="A8" s="1" t="s">
        <v>68</v>
      </c>
      <c r="B8" s="1" t="s">
        <v>69</v>
      </c>
      <c r="C8" s="1" t="s">
        <v>70</v>
      </c>
      <c r="D8">
        <v>1</v>
      </c>
      <c r="E8">
        <v>1</v>
      </c>
      <c r="F8" s="2">
        <v>43584.863483796296</v>
      </c>
      <c r="G8" s="3">
        <v>40909</v>
      </c>
      <c r="H8" s="3">
        <v>41274</v>
      </c>
      <c r="I8" s="1" t="s">
        <v>71</v>
      </c>
      <c r="J8">
        <v>4521</v>
      </c>
      <c r="K8">
        <v>0</v>
      </c>
      <c r="L8" s="1" t="s">
        <v>384</v>
      </c>
      <c r="M8" s="1" t="s">
        <v>72</v>
      </c>
      <c r="N8" s="1" t="s">
        <v>134</v>
      </c>
      <c r="O8" s="1" t="s">
        <v>385</v>
      </c>
      <c r="P8" s="1" t="s">
        <v>386</v>
      </c>
      <c r="Q8" s="1" t="s">
        <v>387</v>
      </c>
      <c r="R8">
        <v>103</v>
      </c>
      <c r="S8" s="1" t="s">
        <v>135</v>
      </c>
      <c r="T8" s="1" t="s">
        <v>388</v>
      </c>
      <c r="U8" s="1" t="s">
        <v>135</v>
      </c>
      <c r="V8" s="1" t="s">
        <v>74</v>
      </c>
      <c r="W8" s="1" t="s">
        <v>1298</v>
      </c>
      <c r="X8" s="1" t="s">
        <v>1316</v>
      </c>
      <c r="Y8" s="1" t="s">
        <v>76</v>
      </c>
      <c r="Z8">
        <v>2</v>
      </c>
      <c r="AA8" s="1" t="s">
        <v>80</v>
      </c>
      <c r="AB8">
        <v>201</v>
      </c>
      <c r="AC8" s="1" t="s">
        <v>603</v>
      </c>
      <c r="AD8" s="1" t="s">
        <v>1336</v>
      </c>
      <c r="AE8" s="1" t="s">
        <v>687</v>
      </c>
      <c r="AF8">
        <v>0</v>
      </c>
      <c r="AG8">
        <v>0</v>
      </c>
      <c r="AH8">
        <v>450</v>
      </c>
      <c r="AI8">
        <v>0</v>
      </c>
      <c r="AJ8">
        <v>450</v>
      </c>
      <c r="AK8">
        <v>0</v>
      </c>
      <c r="AL8">
        <v>450</v>
      </c>
      <c r="AM8">
        <v>0</v>
      </c>
      <c r="AN8" s="1"/>
      <c r="AP8" s="1"/>
      <c r="AQ8" s="1"/>
      <c r="AR8" s="1"/>
      <c r="AS8" s="1"/>
      <c r="AT8" s="3"/>
      <c r="AU8" s="3"/>
      <c r="AV8" s="3"/>
      <c r="AW8" s="1"/>
      <c r="AX8" s="1"/>
      <c r="AZ8">
        <v>76</v>
      </c>
      <c r="BA8">
        <v>260953.83</v>
      </c>
      <c r="BB8" s="1"/>
      <c r="BD8" s="1"/>
      <c r="BE8" s="1"/>
      <c r="BG8" s="1"/>
      <c r="BH8" s="1"/>
      <c r="BJ8" s="1"/>
      <c r="BL8" s="1"/>
      <c r="BN8" s="1"/>
      <c r="BO8">
        <v>186</v>
      </c>
      <c r="BP8">
        <v>260953.83</v>
      </c>
      <c r="BQ8">
        <v>260953.83</v>
      </c>
    </row>
    <row r="9" spans="1:69" x14ac:dyDescent="0.35">
      <c r="A9" s="1" t="s">
        <v>68</v>
      </c>
      <c r="B9" s="1" t="s">
        <v>69</v>
      </c>
      <c r="C9" s="1" t="s">
        <v>70</v>
      </c>
      <c r="D9">
        <v>1</v>
      </c>
      <c r="E9">
        <v>1</v>
      </c>
      <c r="F9" s="2">
        <v>43584.863483796296</v>
      </c>
      <c r="G9" s="3">
        <v>40909</v>
      </c>
      <c r="H9" s="3">
        <v>41274</v>
      </c>
      <c r="I9" s="1" t="s">
        <v>71</v>
      </c>
      <c r="J9">
        <v>4521</v>
      </c>
      <c r="K9">
        <v>0</v>
      </c>
      <c r="L9" s="1" t="s">
        <v>384</v>
      </c>
      <c r="M9" s="1" t="s">
        <v>72</v>
      </c>
      <c r="N9" s="1" t="s">
        <v>134</v>
      </c>
      <c r="O9" s="1" t="s">
        <v>385</v>
      </c>
      <c r="P9" s="1" t="s">
        <v>386</v>
      </c>
      <c r="Q9" s="1" t="s">
        <v>387</v>
      </c>
      <c r="R9">
        <v>103</v>
      </c>
      <c r="S9" s="1" t="s">
        <v>135</v>
      </c>
      <c r="T9" s="1" t="s">
        <v>388</v>
      </c>
      <c r="U9" s="1" t="s">
        <v>135</v>
      </c>
      <c r="V9" s="1" t="s">
        <v>74</v>
      </c>
      <c r="W9" s="1" t="s">
        <v>401</v>
      </c>
      <c r="X9" s="1" t="s">
        <v>507</v>
      </c>
      <c r="Y9" s="1" t="s">
        <v>76</v>
      </c>
      <c r="Z9">
        <v>2</v>
      </c>
      <c r="AA9" s="1" t="s">
        <v>80</v>
      </c>
      <c r="AB9">
        <v>201</v>
      </c>
      <c r="AC9" s="1" t="s">
        <v>603</v>
      </c>
      <c r="AD9" s="1" t="s">
        <v>625</v>
      </c>
      <c r="AE9" s="1" t="s">
        <v>684</v>
      </c>
      <c r="AF9">
        <v>0</v>
      </c>
      <c r="AG9">
        <v>0</v>
      </c>
      <c r="AH9">
        <v>704.79</v>
      </c>
      <c r="AI9">
        <v>0</v>
      </c>
      <c r="AJ9">
        <v>704.79</v>
      </c>
      <c r="AK9">
        <v>0</v>
      </c>
      <c r="AL9">
        <v>704.79</v>
      </c>
      <c r="AM9">
        <v>0</v>
      </c>
      <c r="AN9" s="1"/>
      <c r="AP9" s="1"/>
      <c r="AQ9" s="1"/>
      <c r="AR9" s="1"/>
      <c r="AS9" s="1"/>
      <c r="AT9" s="3"/>
      <c r="AU9" s="3"/>
      <c r="AV9" s="3"/>
      <c r="AW9" s="1"/>
      <c r="AX9" s="1"/>
      <c r="AZ9">
        <v>76</v>
      </c>
      <c r="BA9">
        <v>260953.83</v>
      </c>
      <c r="BB9" s="1"/>
      <c r="BD9" s="1"/>
      <c r="BE9" s="1"/>
      <c r="BG9" s="1"/>
      <c r="BH9" s="1"/>
      <c r="BJ9" s="1"/>
      <c r="BL9" s="1"/>
      <c r="BN9" s="1"/>
      <c r="BO9">
        <v>186</v>
      </c>
      <c r="BP9">
        <v>260953.83</v>
      </c>
      <c r="BQ9">
        <v>260953.83</v>
      </c>
    </row>
    <row r="10" spans="1:69" x14ac:dyDescent="0.35">
      <c r="A10" s="1" t="s">
        <v>68</v>
      </c>
      <c r="B10" s="1" t="s">
        <v>69</v>
      </c>
      <c r="C10" s="1" t="s">
        <v>70</v>
      </c>
      <c r="D10">
        <v>1</v>
      </c>
      <c r="E10">
        <v>1</v>
      </c>
      <c r="F10" s="2">
        <v>43584.863483796296</v>
      </c>
      <c r="G10" s="3">
        <v>40909</v>
      </c>
      <c r="H10" s="3">
        <v>41274</v>
      </c>
      <c r="I10" s="1" t="s">
        <v>71</v>
      </c>
      <c r="J10">
        <v>4521</v>
      </c>
      <c r="K10">
        <v>0</v>
      </c>
      <c r="L10" s="1" t="s">
        <v>384</v>
      </c>
      <c r="M10" s="1" t="s">
        <v>72</v>
      </c>
      <c r="N10" s="1" t="s">
        <v>134</v>
      </c>
      <c r="O10" s="1" t="s">
        <v>385</v>
      </c>
      <c r="P10" s="1" t="s">
        <v>386</v>
      </c>
      <c r="Q10" s="1" t="s">
        <v>387</v>
      </c>
      <c r="R10">
        <v>103</v>
      </c>
      <c r="S10" s="1" t="s">
        <v>135</v>
      </c>
      <c r="T10" s="1" t="s">
        <v>388</v>
      </c>
      <c r="U10" s="1" t="s">
        <v>135</v>
      </c>
      <c r="V10" s="1" t="s">
        <v>74</v>
      </c>
      <c r="W10" s="1" t="s">
        <v>1299</v>
      </c>
      <c r="X10" s="1" t="s">
        <v>1317</v>
      </c>
      <c r="Y10" s="1" t="s">
        <v>76</v>
      </c>
      <c r="Z10">
        <v>2</v>
      </c>
      <c r="AA10" s="1" t="s">
        <v>80</v>
      </c>
      <c r="AB10">
        <v>201</v>
      </c>
      <c r="AC10" s="1" t="s">
        <v>603</v>
      </c>
      <c r="AD10" s="1" t="s">
        <v>1337</v>
      </c>
      <c r="AE10" s="1" t="s">
        <v>702</v>
      </c>
      <c r="AF10">
        <v>0</v>
      </c>
      <c r="AG10">
        <v>0</v>
      </c>
      <c r="AH10">
        <v>565.79999999999995</v>
      </c>
      <c r="AI10">
        <v>0</v>
      </c>
      <c r="AJ10">
        <v>565.79999999999995</v>
      </c>
      <c r="AK10">
        <v>0</v>
      </c>
      <c r="AL10">
        <v>565.79999999999995</v>
      </c>
      <c r="AM10">
        <v>0</v>
      </c>
      <c r="AN10" s="1"/>
      <c r="AP10" s="1"/>
      <c r="AQ10" s="1"/>
      <c r="AR10" s="1"/>
      <c r="AS10" s="1"/>
      <c r="AT10" s="3"/>
      <c r="AU10" s="3"/>
      <c r="AV10" s="3"/>
      <c r="AW10" s="1"/>
      <c r="AX10" s="1"/>
      <c r="AZ10">
        <v>76</v>
      </c>
      <c r="BA10">
        <v>260953.83</v>
      </c>
      <c r="BB10" s="1"/>
      <c r="BD10" s="1"/>
      <c r="BE10" s="1"/>
      <c r="BG10" s="1"/>
      <c r="BH10" s="1"/>
      <c r="BJ10" s="1"/>
      <c r="BL10" s="1"/>
      <c r="BN10" s="1"/>
      <c r="BO10">
        <v>186</v>
      </c>
      <c r="BP10">
        <v>260953.83</v>
      </c>
      <c r="BQ10">
        <v>260953.83</v>
      </c>
    </row>
    <row r="11" spans="1:69" x14ac:dyDescent="0.35">
      <c r="A11" s="1" t="s">
        <v>68</v>
      </c>
      <c r="B11" s="1" t="s">
        <v>69</v>
      </c>
      <c r="C11" s="1" t="s">
        <v>70</v>
      </c>
      <c r="D11">
        <v>1</v>
      </c>
      <c r="E11">
        <v>1</v>
      </c>
      <c r="F11" s="2">
        <v>43584.863483796296</v>
      </c>
      <c r="G11" s="3">
        <v>40909</v>
      </c>
      <c r="H11" s="3">
        <v>41274</v>
      </c>
      <c r="I11" s="1" t="s">
        <v>71</v>
      </c>
      <c r="J11">
        <v>4521</v>
      </c>
      <c r="K11">
        <v>0</v>
      </c>
      <c r="L11" s="1" t="s">
        <v>384</v>
      </c>
      <c r="M11" s="1" t="s">
        <v>72</v>
      </c>
      <c r="N11" s="1" t="s">
        <v>134</v>
      </c>
      <c r="O11" s="1" t="s">
        <v>385</v>
      </c>
      <c r="P11" s="1" t="s">
        <v>386</v>
      </c>
      <c r="Q11" s="1" t="s">
        <v>387</v>
      </c>
      <c r="R11">
        <v>103</v>
      </c>
      <c r="S11" s="1" t="s">
        <v>135</v>
      </c>
      <c r="T11" s="1" t="s">
        <v>388</v>
      </c>
      <c r="U11" s="1" t="s">
        <v>135</v>
      </c>
      <c r="V11" s="1" t="s">
        <v>74</v>
      </c>
      <c r="W11" s="1" t="s">
        <v>402</v>
      </c>
      <c r="X11" s="1" t="s">
        <v>508</v>
      </c>
      <c r="Y11" s="1" t="s">
        <v>76</v>
      </c>
      <c r="Z11">
        <v>2</v>
      </c>
      <c r="AA11" s="1" t="s">
        <v>80</v>
      </c>
      <c r="AB11">
        <v>201</v>
      </c>
      <c r="AC11" s="1" t="s">
        <v>603</v>
      </c>
      <c r="AD11" s="1" t="s">
        <v>626</v>
      </c>
      <c r="AE11" s="1" t="s">
        <v>681</v>
      </c>
      <c r="AF11">
        <v>0</v>
      </c>
      <c r="AG11">
        <v>0</v>
      </c>
      <c r="AH11">
        <v>1480</v>
      </c>
      <c r="AI11">
        <v>0</v>
      </c>
      <c r="AJ11">
        <v>1480</v>
      </c>
      <c r="AK11">
        <v>0</v>
      </c>
      <c r="AL11">
        <v>1480</v>
      </c>
      <c r="AM11">
        <v>0</v>
      </c>
      <c r="AN11" s="1"/>
      <c r="AP11" s="1"/>
      <c r="AQ11" s="1"/>
      <c r="AR11" s="1"/>
      <c r="AS11" s="1"/>
      <c r="AT11" s="3"/>
      <c r="AU11" s="3"/>
      <c r="AV11" s="3"/>
      <c r="AW11" s="1"/>
      <c r="AX11" s="1"/>
      <c r="AZ11">
        <v>76</v>
      </c>
      <c r="BA11">
        <v>260953.83</v>
      </c>
      <c r="BB11" s="1"/>
      <c r="BD11" s="1"/>
      <c r="BE11" s="1"/>
      <c r="BG11" s="1"/>
      <c r="BH11" s="1"/>
      <c r="BJ11" s="1"/>
      <c r="BL11" s="1"/>
      <c r="BN11" s="1"/>
      <c r="BO11">
        <v>186</v>
      </c>
      <c r="BP11">
        <v>260953.83</v>
      </c>
      <c r="BQ11">
        <v>260953.83</v>
      </c>
    </row>
    <row r="12" spans="1:69" x14ac:dyDescent="0.35">
      <c r="A12" s="1" t="s">
        <v>68</v>
      </c>
      <c r="B12" s="1" t="s">
        <v>69</v>
      </c>
      <c r="C12" s="1" t="s">
        <v>70</v>
      </c>
      <c r="D12">
        <v>1</v>
      </c>
      <c r="E12">
        <v>1</v>
      </c>
      <c r="F12" s="2">
        <v>43584.863483796296</v>
      </c>
      <c r="G12" s="3">
        <v>40909</v>
      </c>
      <c r="H12" s="3">
        <v>41274</v>
      </c>
      <c r="I12" s="1" t="s">
        <v>71</v>
      </c>
      <c r="J12">
        <v>4521</v>
      </c>
      <c r="K12">
        <v>0</v>
      </c>
      <c r="L12" s="1" t="s">
        <v>384</v>
      </c>
      <c r="M12" s="1" t="s">
        <v>72</v>
      </c>
      <c r="N12" s="1" t="s">
        <v>134</v>
      </c>
      <c r="O12" s="1" t="s">
        <v>385</v>
      </c>
      <c r="P12" s="1" t="s">
        <v>386</v>
      </c>
      <c r="Q12" s="1" t="s">
        <v>387</v>
      </c>
      <c r="R12">
        <v>103</v>
      </c>
      <c r="S12" s="1" t="s">
        <v>135</v>
      </c>
      <c r="T12" s="1" t="s">
        <v>388</v>
      </c>
      <c r="U12" s="1" t="s">
        <v>135</v>
      </c>
      <c r="V12" s="1" t="s">
        <v>74</v>
      </c>
      <c r="W12" s="1" t="s">
        <v>404</v>
      </c>
      <c r="X12" s="1" t="s">
        <v>510</v>
      </c>
      <c r="Y12" s="1" t="s">
        <v>76</v>
      </c>
      <c r="Z12">
        <v>2</v>
      </c>
      <c r="AA12" s="1" t="s">
        <v>80</v>
      </c>
      <c r="AB12">
        <v>201</v>
      </c>
      <c r="AC12" s="1" t="s">
        <v>603</v>
      </c>
      <c r="AD12" s="1" t="s">
        <v>628</v>
      </c>
      <c r="AE12" s="1" t="s">
        <v>685</v>
      </c>
      <c r="AF12">
        <v>0</v>
      </c>
      <c r="AG12">
        <v>0</v>
      </c>
      <c r="AH12">
        <v>10942.79</v>
      </c>
      <c r="AI12">
        <v>0</v>
      </c>
      <c r="AJ12">
        <v>10942.79</v>
      </c>
      <c r="AK12">
        <v>0</v>
      </c>
      <c r="AL12">
        <v>10942.79</v>
      </c>
      <c r="AM12">
        <v>0</v>
      </c>
      <c r="AN12" s="1"/>
      <c r="AP12" s="1"/>
      <c r="AQ12" s="1"/>
      <c r="AR12" s="1"/>
      <c r="AS12" s="1"/>
      <c r="AT12" s="3"/>
      <c r="AU12" s="3"/>
      <c r="AV12" s="3"/>
      <c r="AW12" s="1"/>
      <c r="AX12" s="1"/>
      <c r="AZ12">
        <v>76</v>
      </c>
      <c r="BA12">
        <v>260953.83</v>
      </c>
      <c r="BB12" s="1"/>
      <c r="BD12" s="1"/>
      <c r="BE12" s="1"/>
      <c r="BG12" s="1"/>
      <c r="BH12" s="1"/>
      <c r="BJ12" s="1"/>
      <c r="BL12" s="1"/>
      <c r="BN12" s="1"/>
      <c r="BO12">
        <v>186</v>
      </c>
      <c r="BP12">
        <v>260953.83</v>
      </c>
      <c r="BQ12">
        <v>260953.83</v>
      </c>
    </row>
    <row r="13" spans="1:69" x14ac:dyDescent="0.35">
      <c r="A13" s="1" t="s">
        <v>68</v>
      </c>
      <c r="B13" s="1" t="s">
        <v>69</v>
      </c>
      <c r="C13" s="1" t="s">
        <v>70</v>
      </c>
      <c r="D13">
        <v>1</v>
      </c>
      <c r="E13">
        <v>1</v>
      </c>
      <c r="F13" s="2">
        <v>43584.863483796296</v>
      </c>
      <c r="G13" s="3">
        <v>40909</v>
      </c>
      <c r="H13" s="3">
        <v>41274</v>
      </c>
      <c r="I13" s="1" t="s">
        <v>71</v>
      </c>
      <c r="J13">
        <v>4521</v>
      </c>
      <c r="K13">
        <v>0</v>
      </c>
      <c r="L13" s="1" t="s">
        <v>384</v>
      </c>
      <c r="M13" s="1" t="s">
        <v>72</v>
      </c>
      <c r="N13" s="1" t="s">
        <v>134</v>
      </c>
      <c r="O13" s="1" t="s">
        <v>385</v>
      </c>
      <c r="P13" s="1" t="s">
        <v>386</v>
      </c>
      <c r="Q13" s="1" t="s">
        <v>387</v>
      </c>
      <c r="R13">
        <v>103</v>
      </c>
      <c r="S13" s="1" t="s">
        <v>135</v>
      </c>
      <c r="T13" s="1" t="s">
        <v>388</v>
      </c>
      <c r="U13" s="1" t="s">
        <v>135</v>
      </c>
      <c r="V13" s="1" t="s">
        <v>74</v>
      </c>
      <c r="W13" s="1" t="s">
        <v>407</v>
      </c>
      <c r="X13" s="1" t="s">
        <v>513</v>
      </c>
      <c r="Y13" s="1" t="s">
        <v>76</v>
      </c>
      <c r="Z13">
        <v>2</v>
      </c>
      <c r="AA13" s="1" t="s">
        <v>80</v>
      </c>
      <c r="AB13">
        <v>201</v>
      </c>
      <c r="AC13" s="1" t="s">
        <v>603</v>
      </c>
      <c r="AD13" s="1" t="s">
        <v>631</v>
      </c>
      <c r="AE13" s="1" t="s">
        <v>687</v>
      </c>
      <c r="AF13">
        <v>0</v>
      </c>
      <c r="AG13">
        <v>0</v>
      </c>
      <c r="AH13">
        <v>292.5</v>
      </c>
      <c r="AI13">
        <v>0</v>
      </c>
      <c r="AJ13">
        <v>292.5</v>
      </c>
      <c r="AK13">
        <v>0</v>
      </c>
      <c r="AL13">
        <v>292.5</v>
      </c>
      <c r="AM13">
        <v>0</v>
      </c>
      <c r="AN13" s="1"/>
      <c r="AP13" s="1"/>
      <c r="AQ13" s="1"/>
      <c r="AR13" s="1"/>
      <c r="AS13" s="1"/>
      <c r="AT13" s="3"/>
      <c r="AU13" s="3"/>
      <c r="AV13" s="3"/>
      <c r="AW13" s="1"/>
      <c r="AX13" s="1"/>
      <c r="AZ13">
        <v>76</v>
      </c>
      <c r="BA13">
        <v>260953.83</v>
      </c>
      <c r="BB13" s="1"/>
      <c r="BD13" s="1"/>
      <c r="BE13" s="1"/>
      <c r="BG13" s="1"/>
      <c r="BH13" s="1"/>
      <c r="BJ13" s="1"/>
      <c r="BL13" s="1"/>
      <c r="BN13" s="1"/>
      <c r="BO13">
        <v>186</v>
      </c>
      <c r="BP13">
        <v>260953.83</v>
      </c>
      <c r="BQ13">
        <v>260953.83</v>
      </c>
    </row>
    <row r="14" spans="1:69" x14ac:dyDescent="0.35">
      <c r="A14" s="1" t="s">
        <v>68</v>
      </c>
      <c r="B14" s="1" t="s">
        <v>69</v>
      </c>
      <c r="C14" s="1" t="s">
        <v>70</v>
      </c>
      <c r="D14">
        <v>1</v>
      </c>
      <c r="E14">
        <v>1</v>
      </c>
      <c r="F14" s="2">
        <v>43584.863483796296</v>
      </c>
      <c r="G14" s="3">
        <v>40909</v>
      </c>
      <c r="H14" s="3">
        <v>41274</v>
      </c>
      <c r="I14" s="1" t="s">
        <v>71</v>
      </c>
      <c r="J14">
        <v>4521</v>
      </c>
      <c r="K14">
        <v>0</v>
      </c>
      <c r="L14" s="1" t="s">
        <v>384</v>
      </c>
      <c r="M14" s="1" t="s">
        <v>72</v>
      </c>
      <c r="N14" s="1" t="s">
        <v>134</v>
      </c>
      <c r="O14" s="1" t="s">
        <v>385</v>
      </c>
      <c r="P14" s="1" t="s">
        <v>386</v>
      </c>
      <c r="Q14" s="1" t="s">
        <v>387</v>
      </c>
      <c r="R14">
        <v>103</v>
      </c>
      <c r="S14" s="1" t="s">
        <v>135</v>
      </c>
      <c r="T14" s="1" t="s">
        <v>388</v>
      </c>
      <c r="U14" s="1" t="s">
        <v>135</v>
      </c>
      <c r="V14" s="1" t="s">
        <v>74</v>
      </c>
      <c r="W14" s="1" t="s">
        <v>409</v>
      </c>
      <c r="X14" s="1" t="s">
        <v>515</v>
      </c>
      <c r="Y14" s="1" t="s">
        <v>76</v>
      </c>
      <c r="Z14">
        <v>2</v>
      </c>
      <c r="AA14" s="1" t="s">
        <v>80</v>
      </c>
      <c r="AB14">
        <v>201</v>
      </c>
      <c r="AC14" s="1" t="s">
        <v>603</v>
      </c>
      <c r="AD14" s="1" t="s">
        <v>633</v>
      </c>
      <c r="AE14" s="1" t="s">
        <v>689</v>
      </c>
      <c r="AF14">
        <v>0</v>
      </c>
      <c r="AG14">
        <v>0</v>
      </c>
      <c r="AH14">
        <v>12</v>
      </c>
      <c r="AI14">
        <v>0</v>
      </c>
      <c r="AJ14">
        <v>12</v>
      </c>
      <c r="AK14">
        <v>0</v>
      </c>
      <c r="AL14">
        <v>12</v>
      </c>
      <c r="AM14">
        <v>0</v>
      </c>
      <c r="AN14" s="1"/>
      <c r="AP14" s="1"/>
      <c r="AQ14" s="1"/>
      <c r="AR14" s="1"/>
      <c r="AS14" s="1"/>
      <c r="AT14" s="3"/>
      <c r="AU14" s="3"/>
      <c r="AV14" s="3"/>
      <c r="AW14" s="1"/>
      <c r="AX14" s="1"/>
      <c r="AZ14">
        <v>76</v>
      </c>
      <c r="BA14">
        <v>260953.83</v>
      </c>
      <c r="BB14" s="1"/>
      <c r="BD14" s="1"/>
      <c r="BE14" s="1"/>
      <c r="BG14" s="1"/>
      <c r="BH14" s="1"/>
      <c r="BJ14" s="1"/>
      <c r="BL14" s="1"/>
      <c r="BN14" s="1"/>
      <c r="BO14">
        <v>186</v>
      </c>
      <c r="BP14">
        <v>260953.83</v>
      </c>
      <c r="BQ14">
        <v>260953.83</v>
      </c>
    </row>
    <row r="15" spans="1:69" x14ac:dyDescent="0.35">
      <c r="A15" s="1" t="s">
        <v>68</v>
      </c>
      <c r="B15" s="1" t="s">
        <v>69</v>
      </c>
      <c r="C15" s="1" t="s">
        <v>70</v>
      </c>
      <c r="D15">
        <v>1</v>
      </c>
      <c r="E15">
        <v>1</v>
      </c>
      <c r="F15" s="2">
        <v>43584.863483796296</v>
      </c>
      <c r="G15" s="3">
        <v>40909</v>
      </c>
      <c r="H15" s="3">
        <v>41274</v>
      </c>
      <c r="I15" s="1" t="s">
        <v>71</v>
      </c>
      <c r="J15">
        <v>4521</v>
      </c>
      <c r="K15">
        <v>0</v>
      </c>
      <c r="L15" s="1" t="s">
        <v>384</v>
      </c>
      <c r="M15" s="1" t="s">
        <v>72</v>
      </c>
      <c r="N15" s="1" t="s">
        <v>134</v>
      </c>
      <c r="O15" s="1" t="s">
        <v>385</v>
      </c>
      <c r="P15" s="1" t="s">
        <v>386</v>
      </c>
      <c r="Q15" s="1" t="s">
        <v>387</v>
      </c>
      <c r="R15">
        <v>103</v>
      </c>
      <c r="S15" s="1" t="s">
        <v>135</v>
      </c>
      <c r="T15" s="1" t="s">
        <v>388</v>
      </c>
      <c r="U15" s="1" t="s">
        <v>135</v>
      </c>
      <c r="V15" s="1" t="s">
        <v>74</v>
      </c>
      <c r="W15" s="1" t="s">
        <v>410</v>
      </c>
      <c r="X15" s="1" t="s">
        <v>516</v>
      </c>
      <c r="Y15" s="1" t="s">
        <v>76</v>
      </c>
      <c r="Z15">
        <v>2</v>
      </c>
      <c r="AA15" s="1" t="s">
        <v>80</v>
      </c>
      <c r="AB15">
        <v>201</v>
      </c>
      <c r="AC15" s="1" t="s">
        <v>603</v>
      </c>
      <c r="AD15" s="1" t="s">
        <v>634</v>
      </c>
      <c r="AE15" s="1" t="s">
        <v>690</v>
      </c>
      <c r="AF15">
        <v>0</v>
      </c>
      <c r="AG15">
        <v>0</v>
      </c>
      <c r="AH15">
        <v>3000</v>
      </c>
      <c r="AI15">
        <v>5560.83</v>
      </c>
      <c r="AJ15">
        <v>3000</v>
      </c>
      <c r="AK15">
        <v>5560.83</v>
      </c>
      <c r="AL15">
        <v>0</v>
      </c>
      <c r="AM15">
        <v>2560.83</v>
      </c>
      <c r="AN15" s="1"/>
      <c r="AP15" s="1"/>
      <c r="AQ15" s="1"/>
      <c r="AR15" s="1"/>
      <c r="AS15" s="1"/>
      <c r="AT15" s="3"/>
      <c r="AU15" s="3"/>
      <c r="AV15" s="3"/>
      <c r="AW15" s="1"/>
      <c r="AX15" s="1"/>
      <c r="AZ15">
        <v>76</v>
      </c>
      <c r="BA15">
        <v>260953.83</v>
      </c>
      <c r="BB15" s="1"/>
      <c r="BD15" s="1"/>
      <c r="BE15" s="1"/>
      <c r="BG15" s="1"/>
      <c r="BH15" s="1"/>
      <c r="BJ15" s="1"/>
      <c r="BL15" s="1"/>
      <c r="BN15" s="1"/>
      <c r="BO15">
        <v>186</v>
      </c>
      <c r="BP15">
        <v>260953.83</v>
      </c>
      <c r="BQ15">
        <v>260953.83</v>
      </c>
    </row>
    <row r="16" spans="1:69" x14ac:dyDescent="0.35">
      <c r="A16" s="1" t="s">
        <v>68</v>
      </c>
      <c r="B16" s="1" t="s">
        <v>69</v>
      </c>
      <c r="C16" s="1" t="s">
        <v>70</v>
      </c>
      <c r="D16">
        <v>1</v>
      </c>
      <c r="E16">
        <v>1</v>
      </c>
      <c r="F16" s="2">
        <v>43584.863483796296</v>
      </c>
      <c r="G16" s="3">
        <v>40909</v>
      </c>
      <c r="H16" s="3">
        <v>41274</v>
      </c>
      <c r="I16" s="1" t="s">
        <v>71</v>
      </c>
      <c r="J16">
        <v>4521</v>
      </c>
      <c r="K16">
        <v>0</v>
      </c>
      <c r="L16" s="1" t="s">
        <v>384</v>
      </c>
      <c r="M16" s="1" t="s">
        <v>72</v>
      </c>
      <c r="N16" s="1" t="s">
        <v>134</v>
      </c>
      <c r="O16" s="1" t="s">
        <v>385</v>
      </c>
      <c r="P16" s="1" t="s">
        <v>386</v>
      </c>
      <c r="Q16" s="1" t="s">
        <v>387</v>
      </c>
      <c r="R16">
        <v>103</v>
      </c>
      <c r="S16" s="1" t="s">
        <v>135</v>
      </c>
      <c r="T16" s="1" t="s">
        <v>388</v>
      </c>
      <c r="U16" s="1" t="s">
        <v>135</v>
      </c>
      <c r="V16" s="1" t="s">
        <v>74</v>
      </c>
      <c r="W16" s="1" t="s">
        <v>411</v>
      </c>
      <c r="X16" s="1" t="s">
        <v>517</v>
      </c>
      <c r="Y16" s="1" t="s">
        <v>76</v>
      </c>
      <c r="Z16">
        <v>2</v>
      </c>
      <c r="AA16" s="1" t="s">
        <v>80</v>
      </c>
      <c r="AB16">
        <v>201</v>
      </c>
      <c r="AC16" s="1" t="s">
        <v>603</v>
      </c>
      <c r="AD16" s="1" t="s">
        <v>635</v>
      </c>
      <c r="AE16" s="1" t="s">
        <v>691</v>
      </c>
      <c r="AF16">
        <v>0</v>
      </c>
      <c r="AG16">
        <v>0</v>
      </c>
      <c r="AH16">
        <v>0</v>
      </c>
      <c r="AI16">
        <v>74125</v>
      </c>
      <c r="AJ16">
        <v>0</v>
      </c>
      <c r="AK16">
        <v>74125</v>
      </c>
      <c r="AL16">
        <v>0</v>
      </c>
      <c r="AM16">
        <v>74125</v>
      </c>
      <c r="AN16" s="1"/>
      <c r="AP16" s="1"/>
      <c r="AQ16" s="1"/>
      <c r="AR16" s="1"/>
      <c r="AS16" s="1"/>
      <c r="AT16" s="3"/>
      <c r="AU16" s="3"/>
      <c r="AV16" s="3"/>
      <c r="AW16" s="1"/>
      <c r="AX16" s="1"/>
      <c r="AZ16">
        <v>76</v>
      </c>
      <c r="BA16">
        <v>260953.83</v>
      </c>
      <c r="BB16" s="1"/>
      <c r="BD16" s="1"/>
      <c r="BE16" s="1"/>
      <c r="BG16" s="1"/>
      <c r="BH16" s="1"/>
      <c r="BJ16" s="1"/>
      <c r="BL16" s="1"/>
      <c r="BN16" s="1"/>
      <c r="BO16">
        <v>186</v>
      </c>
      <c r="BP16">
        <v>260953.83</v>
      </c>
      <c r="BQ16">
        <v>260953.83</v>
      </c>
    </row>
    <row r="17" spans="1:69" x14ac:dyDescent="0.35">
      <c r="A17" s="1" t="s">
        <v>68</v>
      </c>
      <c r="B17" s="1" t="s">
        <v>69</v>
      </c>
      <c r="C17" s="1" t="s">
        <v>70</v>
      </c>
      <c r="D17">
        <v>1</v>
      </c>
      <c r="E17">
        <v>1</v>
      </c>
      <c r="F17" s="2">
        <v>43584.863483796296</v>
      </c>
      <c r="G17" s="3">
        <v>40909</v>
      </c>
      <c r="H17" s="3">
        <v>41274</v>
      </c>
      <c r="I17" s="1" t="s">
        <v>71</v>
      </c>
      <c r="J17">
        <v>4521</v>
      </c>
      <c r="K17">
        <v>0</v>
      </c>
      <c r="L17" s="1" t="s">
        <v>384</v>
      </c>
      <c r="M17" s="1" t="s">
        <v>72</v>
      </c>
      <c r="N17" s="1" t="s">
        <v>134</v>
      </c>
      <c r="O17" s="1" t="s">
        <v>385</v>
      </c>
      <c r="P17" s="1" t="s">
        <v>386</v>
      </c>
      <c r="Q17" s="1" t="s">
        <v>387</v>
      </c>
      <c r="R17">
        <v>103</v>
      </c>
      <c r="S17" s="1" t="s">
        <v>135</v>
      </c>
      <c r="T17" s="1" t="s">
        <v>388</v>
      </c>
      <c r="U17" s="1" t="s">
        <v>135</v>
      </c>
      <c r="V17" s="1" t="s">
        <v>74</v>
      </c>
      <c r="W17" s="1" t="s">
        <v>1300</v>
      </c>
      <c r="X17" s="1" t="s">
        <v>1318</v>
      </c>
      <c r="Y17" s="1" t="s">
        <v>76</v>
      </c>
      <c r="Z17">
        <v>2</v>
      </c>
      <c r="AA17" s="1" t="s">
        <v>80</v>
      </c>
      <c r="AB17">
        <v>201</v>
      </c>
      <c r="AC17" s="1" t="s">
        <v>603</v>
      </c>
      <c r="AD17" s="1" t="s">
        <v>1338</v>
      </c>
      <c r="AE17" s="1" t="s">
        <v>1344</v>
      </c>
      <c r="AF17">
        <v>0</v>
      </c>
      <c r="AG17">
        <v>0</v>
      </c>
      <c r="AH17">
        <v>272.83999999999997</v>
      </c>
      <c r="AI17">
        <v>0</v>
      </c>
      <c r="AJ17">
        <v>272.83999999999997</v>
      </c>
      <c r="AK17">
        <v>0</v>
      </c>
      <c r="AL17">
        <v>272.83999999999997</v>
      </c>
      <c r="AM17">
        <v>0</v>
      </c>
      <c r="AN17" s="1"/>
      <c r="AP17" s="1"/>
      <c r="AQ17" s="1"/>
      <c r="AR17" s="1"/>
      <c r="AS17" s="1"/>
      <c r="AT17" s="3"/>
      <c r="AU17" s="3"/>
      <c r="AV17" s="3"/>
      <c r="AW17" s="1"/>
      <c r="AX17" s="1"/>
      <c r="AZ17">
        <v>76</v>
      </c>
      <c r="BA17">
        <v>260953.83</v>
      </c>
      <c r="BB17" s="1"/>
      <c r="BD17" s="1"/>
      <c r="BE17" s="1"/>
      <c r="BG17" s="1"/>
      <c r="BH17" s="1"/>
      <c r="BJ17" s="1"/>
      <c r="BL17" s="1"/>
      <c r="BN17" s="1"/>
      <c r="BO17">
        <v>186</v>
      </c>
      <c r="BP17">
        <v>260953.83</v>
      </c>
      <c r="BQ17">
        <v>260953.83</v>
      </c>
    </row>
    <row r="18" spans="1:69" x14ac:dyDescent="0.35">
      <c r="A18" s="1" t="s">
        <v>68</v>
      </c>
      <c r="B18" s="1" t="s">
        <v>69</v>
      </c>
      <c r="C18" s="1" t="s">
        <v>70</v>
      </c>
      <c r="D18">
        <v>1</v>
      </c>
      <c r="E18">
        <v>1</v>
      </c>
      <c r="F18" s="2">
        <v>43584.863483796296</v>
      </c>
      <c r="G18" s="3">
        <v>40909</v>
      </c>
      <c r="H18" s="3">
        <v>41274</v>
      </c>
      <c r="I18" s="1" t="s">
        <v>71</v>
      </c>
      <c r="J18">
        <v>4521</v>
      </c>
      <c r="K18">
        <v>0</v>
      </c>
      <c r="L18" s="1" t="s">
        <v>384</v>
      </c>
      <c r="M18" s="1" t="s">
        <v>72</v>
      </c>
      <c r="N18" s="1" t="s">
        <v>134</v>
      </c>
      <c r="O18" s="1" t="s">
        <v>385</v>
      </c>
      <c r="P18" s="1" t="s">
        <v>386</v>
      </c>
      <c r="Q18" s="1" t="s">
        <v>387</v>
      </c>
      <c r="R18">
        <v>103</v>
      </c>
      <c r="S18" s="1" t="s">
        <v>135</v>
      </c>
      <c r="T18" s="1" t="s">
        <v>388</v>
      </c>
      <c r="U18" s="1" t="s">
        <v>135</v>
      </c>
      <c r="V18" s="1" t="s">
        <v>74</v>
      </c>
      <c r="W18" s="1" t="s">
        <v>413</v>
      </c>
      <c r="X18" s="1" t="s">
        <v>519</v>
      </c>
      <c r="Y18" s="1" t="s">
        <v>76</v>
      </c>
      <c r="Z18">
        <v>2</v>
      </c>
      <c r="AA18" s="1" t="s">
        <v>80</v>
      </c>
      <c r="AB18">
        <v>201</v>
      </c>
      <c r="AC18" s="1" t="s">
        <v>603</v>
      </c>
      <c r="AD18" s="1" t="s">
        <v>637</v>
      </c>
      <c r="AE18" s="1" t="s">
        <v>693</v>
      </c>
      <c r="AF18">
        <v>0</v>
      </c>
      <c r="AG18">
        <v>0</v>
      </c>
      <c r="AH18">
        <v>0</v>
      </c>
      <c r="AI18">
        <v>330.87</v>
      </c>
      <c r="AJ18">
        <v>0</v>
      </c>
      <c r="AK18">
        <v>330.87</v>
      </c>
      <c r="AL18">
        <v>0</v>
      </c>
      <c r="AM18">
        <v>330.87</v>
      </c>
      <c r="AN18" s="1"/>
      <c r="AP18" s="1"/>
      <c r="AQ18" s="1"/>
      <c r="AR18" s="1"/>
      <c r="AS18" s="1"/>
      <c r="AT18" s="3"/>
      <c r="AU18" s="3"/>
      <c r="AV18" s="3"/>
      <c r="AW18" s="1"/>
      <c r="AX18" s="1"/>
      <c r="AZ18">
        <v>76</v>
      </c>
      <c r="BA18">
        <v>260953.83</v>
      </c>
      <c r="BB18" s="1"/>
      <c r="BD18" s="1"/>
      <c r="BE18" s="1"/>
      <c r="BG18" s="1"/>
      <c r="BH18" s="1"/>
      <c r="BJ18" s="1"/>
      <c r="BL18" s="1"/>
      <c r="BN18" s="1"/>
      <c r="BO18">
        <v>186</v>
      </c>
      <c r="BP18">
        <v>260953.83</v>
      </c>
      <c r="BQ18">
        <v>260953.83</v>
      </c>
    </row>
    <row r="19" spans="1:69" x14ac:dyDescent="0.35">
      <c r="A19" s="1" t="s">
        <v>68</v>
      </c>
      <c r="B19" s="1" t="s">
        <v>69</v>
      </c>
      <c r="C19" s="1" t="s">
        <v>70</v>
      </c>
      <c r="D19">
        <v>1</v>
      </c>
      <c r="E19">
        <v>1</v>
      </c>
      <c r="F19" s="2">
        <v>43584.863483796296</v>
      </c>
      <c r="G19" s="3">
        <v>40909</v>
      </c>
      <c r="H19" s="3">
        <v>41274</v>
      </c>
      <c r="I19" s="1" t="s">
        <v>71</v>
      </c>
      <c r="J19">
        <v>4521</v>
      </c>
      <c r="K19">
        <v>0</v>
      </c>
      <c r="L19" s="1" t="s">
        <v>384</v>
      </c>
      <c r="M19" s="1" t="s">
        <v>72</v>
      </c>
      <c r="N19" s="1" t="s">
        <v>134</v>
      </c>
      <c r="O19" s="1" t="s">
        <v>385</v>
      </c>
      <c r="P19" s="1" t="s">
        <v>386</v>
      </c>
      <c r="Q19" s="1" t="s">
        <v>387</v>
      </c>
      <c r="R19">
        <v>103</v>
      </c>
      <c r="S19" s="1" t="s">
        <v>135</v>
      </c>
      <c r="T19" s="1" t="s">
        <v>388</v>
      </c>
      <c r="U19" s="1" t="s">
        <v>135</v>
      </c>
      <c r="V19" s="1" t="s">
        <v>74</v>
      </c>
      <c r="W19" s="1" t="s">
        <v>414</v>
      </c>
      <c r="X19" s="1" t="s">
        <v>520</v>
      </c>
      <c r="Y19" s="1" t="s">
        <v>76</v>
      </c>
      <c r="Z19">
        <v>2</v>
      </c>
      <c r="AA19" s="1" t="s">
        <v>80</v>
      </c>
      <c r="AB19">
        <v>201</v>
      </c>
      <c r="AC19" s="1" t="s">
        <v>603</v>
      </c>
      <c r="AD19" s="1" t="s">
        <v>638</v>
      </c>
      <c r="AE19" s="1" t="s">
        <v>694</v>
      </c>
      <c r="AF19">
        <v>0</v>
      </c>
      <c r="AG19">
        <v>0</v>
      </c>
      <c r="AH19">
        <v>1430.5</v>
      </c>
      <c r="AI19">
        <v>0</v>
      </c>
      <c r="AJ19">
        <v>1430.5</v>
      </c>
      <c r="AK19">
        <v>0</v>
      </c>
      <c r="AL19">
        <v>1430.5</v>
      </c>
      <c r="AM19">
        <v>0</v>
      </c>
      <c r="AN19" s="1"/>
      <c r="AP19" s="1"/>
      <c r="AQ19" s="1"/>
      <c r="AR19" s="1"/>
      <c r="AS19" s="1"/>
      <c r="AT19" s="3"/>
      <c r="AU19" s="3"/>
      <c r="AV19" s="3"/>
      <c r="AW19" s="1"/>
      <c r="AX19" s="1"/>
      <c r="AZ19">
        <v>76</v>
      </c>
      <c r="BA19">
        <v>260953.83</v>
      </c>
      <c r="BB19" s="1"/>
      <c r="BD19" s="1"/>
      <c r="BE19" s="1"/>
      <c r="BG19" s="1"/>
      <c r="BH19" s="1"/>
      <c r="BJ19" s="1"/>
      <c r="BL19" s="1"/>
      <c r="BN19" s="1"/>
      <c r="BO19">
        <v>186</v>
      </c>
      <c r="BP19">
        <v>260953.83</v>
      </c>
      <c r="BQ19">
        <v>260953.83</v>
      </c>
    </row>
    <row r="20" spans="1:69" x14ac:dyDescent="0.35">
      <c r="A20" s="1" t="s">
        <v>68</v>
      </c>
      <c r="B20" s="1" t="s">
        <v>69</v>
      </c>
      <c r="C20" s="1" t="s">
        <v>70</v>
      </c>
      <c r="D20">
        <v>1</v>
      </c>
      <c r="E20">
        <v>1</v>
      </c>
      <c r="F20" s="2">
        <v>43584.863483796296</v>
      </c>
      <c r="G20" s="3">
        <v>40909</v>
      </c>
      <c r="H20" s="3">
        <v>41274</v>
      </c>
      <c r="I20" s="1" t="s">
        <v>71</v>
      </c>
      <c r="J20">
        <v>4521</v>
      </c>
      <c r="K20">
        <v>0</v>
      </c>
      <c r="L20" s="1" t="s">
        <v>384</v>
      </c>
      <c r="M20" s="1" t="s">
        <v>72</v>
      </c>
      <c r="N20" s="1" t="s">
        <v>134</v>
      </c>
      <c r="O20" s="1" t="s">
        <v>385</v>
      </c>
      <c r="P20" s="1" t="s">
        <v>386</v>
      </c>
      <c r="Q20" s="1" t="s">
        <v>387</v>
      </c>
      <c r="R20">
        <v>103</v>
      </c>
      <c r="S20" s="1" t="s">
        <v>135</v>
      </c>
      <c r="T20" s="1" t="s">
        <v>388</v>
      </c>
      <c r="U20" s="1" t="s">
        <v>135</v>
      </c>
      <c r="V20" s="1" t="s">
        <v>74</v>
      </c>
      <c r="W20" s="1" t="s">
        <v>416</v>
      </c>
      <c r="X20" s="1" t="s">
        <v>522</v>
      </c>
      <c r="Y20" s="1" t="s">
        <v>76</v>
      </c>
      <c r="Z20">
        <v>2</v>
      </c>
      <c r="AA20" s="1" t="s">
        <v>80</v>
      </c>
      <c r="AB20">
        <v>201</v>
      </c>
      <c r="AC20" s="1" t="s">
        <v>603</v>
      </c>
      <c r="AD20" s="1" t="s">
        <v>640</v>
      </c>
      <c r="AE20" s="1" t="s">
        <v>684</v>
      </c>
      <c r="AF20">
        <v>0</v>
      </c>
      <c r="AG20">
        <v>0</v>
      </c>
      <c r="AH20">
        <v>3972.9</v>
      </c>
      <c r="AI20">
        <v>3972.9</v>
      </c>
      <c r="AJ20">
        <v>3972.9</v>
      </c>
      <c r="AK20">
        <v>3972.9</v>
      </c>
      <c r="AL20">
        <v>0</v>
      </c>
      <c r="AM20">
        <v>0</v>
      </c>
      <c r="AN20" s="1"/>
      <c r="AP20" s="1"/>
      <c r="AQ20" s="1"/>
      <c r="AR20" s="1"/>
      <c r="AS20" s="1"/>
      <c r="AT20" s="3"/>
      <c r="AU20" s="3"/>
      <c r="AV20" s="3"/>
      <c r="AW20" s="1"/>
      <c r="AX20" s="1"/>
      <c r="AZ20">
        <v>76</v>
      </c>
      <c r="BA20">
        <v>260953.83</v>
      </c>
      <c r="BB20" s="1"/>
      <c r="BD20" s="1"/>
      <c r="BE20" s="1"/>
      <c r="BG20" s="1"/>
      <c r="BH20" s="1"/>
      <c r="BJ20" s="1"/>
      <c r="BL20" s="1"/>
      <c r="BN20" s="1"/>
      <c r="BO20">
        <v>186</v>
      </c>
      <c r="BP20">
        <v>260953.83</v>
      </c>
      <c r="BQ20">
        <v>260953.83</v>
      </c>
    </row>
    <row r="21" spans="1:69" x14ac:dyDescent="0.35">
      <c r="A21" s="1" t="s">
        <v>68</v>
      </c>
      <c r="B21" s="1" t="s">
        <v>69</v>
      </c>
      <c r="C21" s="1" t="s">
        <v>70</v>
      </c>
      <c r="D21">
        <v>1</v>
      </c>
      <c r="E21">
        <v>1</v>
      </c>
      <c r="F21" s="2">
        <v>43584.863483796296</v>
      </c>
      <c r="G21" s="3">
        <v>40909</v>
      </c>
      <c r="H21" s="3">
        <v>41274</v>
      </c>
      <c r="I21" s="1" t="s">
        <v>71</v>
      </c>
      <c r="J21">
        <v>4521</v>
      </c>
      <c r="K21">
        <v>0</v>
      </c>
      <c r="L21" s="1" t="s">
        <v>384</v>
      </c>
      <c r="M21" s="1" t="s">
        <v>72</v>
      </c>
      <c r="N21" s="1" t="s">
        <v>134</v>
      </c>
      <c r="O21" s="1" t="s">
        <v>385</v>
      </c>
      <c r="P21" s="1" t="s">
        <v>386</v>
      </c>
      <c r="Q21" s="1" t="s">
        <v>387</v>
      </c>
      <c r="R21">
        <v>103</v>
      </c>
      <c r="S21" s="1" t="s">
        <v>135</v>
      </c>
      <c r="T21" s="1" t="s">
        <v>388</v>
      </c>
      <c r="U21" s="1" t="s">
        <v>135</v>
      </c>
      <c r="V21" s="1" t="s">
        <v>74</v>
      </c>
      <c r="W21" s="1" t="s">
        <v>418</v>
      </c>
      <c r="X21" s="1" t="s">
        <v>523</v>
      </c>
      <c r="Y21" s="1" t="s">
        <v>76</v>
      </c>
      <c r="Z21">
        <v>2</v>
      </c>
      <c r="AA21" s="1" t="s">
        <v>80</v>
      </c>
      <c r="AB21">
        <v>202</v>
      </c>
      <c r="AC21" s="1" t="s">
        <v>604</v>
      </c>
      <c r="AD21" s="1" t="s">
        <v>642</v>
      </c>
      <c r="AE21" s="1" t="s">
        <v>696</v>
      </c>
      <c r="AF21">
        <v>0</v>
      </c>
      <c r="AG21">
        <v>0</v>
      </c>
      <c r="AH21">
        <v>3570</v>
      </c>
      <c r="AI21">
        <v>0</v>
      </c>
      <c r="AJ21">
        <v>3570</v>
      </c>
      <c r="AK21">
        <v>0</v>
      </c>
      <c r="AL21">
        <v>3570</v>
      </c>
      <c r="AM21">
        <v>0</v>
      </c>
      <c r="AN21" s="1"/>
      <c r="AP21" s="1"/>
      <c r="AQ21" s="1"/>
      <c r="AR21" s="1"/>
      <c r="AS21" s="1"/>
      <c r="AT21" s="3"/>
      <c r="AU21" s="3"/>
      <c r="AV21" s="3"/>
      <c r="AW21" s="1"/>
      <c r="AX21" s="1"/>
      <c r="AZ21">
        <v>76</v>
      </c>
      <c r="BA21">
        <v>260953.83</v>
      </c>
      <c r="BB21" s="1"/>
      <c r="BD21" s="1"/>
      <c r="BE21" s="1"/>
      <c r="BG21" s="1"/>
      <c r="BH21" s="1"/>
      <c r="BJ21" s="1"/>
      <c r="BL21" s="1"/>
      <c r="BN21" s="1"/>
      <c r="BO21">
        <v>186</v>
      </c>
      <c r="BP21">
        <v>260953.83</v>
      </c>
      <c r="BQ21">
        <v>260953.83</v>
      </c>
    </row>
    <row r="22" spans="1:69" x14ac:dyDescent="0.35">
      <c r="A22" s="1" t="s">
        <v>68</v>
      </c>
      <c r="B22" s="1" t="s">
        <v>69</v>
      </c>
      <c r="C22" s="1" t="s">
        <v>70</v>
      </c>
      <c r="D22">
        <v>1</v>
      </c>
      <c r="E22">
        <v>1</v>
      </c>
      <c r="F22" s="2">
        <v>43584.863483796296</v>
      </c>
      <c r="G22" s="3">
        <v>40909</v>
      </c>
      <c r="H22" s="3">
        <v>41274</v>
      </c>
      <c r="I22" s="1" t="s">
        <v>71</v>
      </c>
      <c r="J22">
        <v>4521</v>
      </c>
      <c r="K22">
        <v>0</v>
      </c>
      <c r="L22" s="1" t="s">
        <v>384</v>
      </c>
      <c r="M22" s="1" t="s">
        <v>72</v>
      </c>
      <c r="N22" s="1" t="s">
        <v>134</v>
      </c>
      <c r="O22" s="1" t="s">
        <v>385</v>
      </c>
      <c r="P22" s="1" t="s">
        <v>386</v>
      </c>
      <c r="Q22" s="1" t="s">
        <v>387</v>
      </c>
      <c r="R22">
        <v>103</v>
      </c>
      <c r="S22" s="1" t="s">
        <v>135</v>
      </c>
      <c r="T22" s="1" t="s">
        <v>388</v>
      </c>
      <c r="U22" s="1" t="s">
        <v>135</v>
      </c>
      <c r="V22" s="1" t="s">
        <v>74</v>
      </c>
      <c r="W22" s="1" t="s">
        <v>419</v>
      </c>
      <c r="X22" s="1" t="s">
        <v>524</v>
      </c>
      <c r="Y22" s="1" t="s">
        <v>76</v>
      </c>
      <c r="Z22">
        <v>2</v>
      </c>
      <c r="AA22" s="1" t="s">
        <v>80</v>
      </c>
      <c r="AB22">
        <v>202</v>
      </c>
      <c r="AC22" s="1" t="s">
        <v>604</v>
      </c>
      <c r="AD22" s="1" t="s">
        <v>623</v>
      </c>
      <c r="AE22" s="1" t="s">
        <v>682</v>
      </c>
      <c r="AF22">
        <v>0</v>
      </c>
      <c r="AG22">
        <v>0</v>
      </c>
      <c r="AH22">
        <v>660</v>
      </c>
      <c r="AI22">
        <v>0</v>
      </c>
      <c r="AJ22">
        <v>660</v>
      </c>
      <c r="AK22">
        <v>0</v>
      </c>
      <c r="AL22">
        <v>660</v>
      </c>
      <c r="AM22">
        <v>0</v>
      </c>
      <c r="AN22" s="1"/>
      <c r="AP22" s="1"/>
      <c r="AQ22" s="1"/>
      <c r="AR22" s="1"/>
      <c r="AS22" s="1"/>
      <c r="AT22" s="3"/>
      <c r="AU22" s="3"/>
      <c r="AV22" s="3"/>
      <c r="AW22" s="1"/>
      <c r="AX22" s="1"/>
      <c r="AZ22">
        <v>76</v>
      </c>
      <c r="BA22">
        <v>260953.83</v>
      </c>
      <c r="BB22" s="1"/>
      <c r="BD22" s="1"/>
      <c r="BE22" s="1"/>
      <c r="BG22" s="1"/>
      <c r="BH22" s="1"/>
      <c r="BJ22" s="1"/>
      <c r="BL22" s="1"/>
      <c r="BN22" s="1"/>
      <c r="BO22">
        <v>186</v>
      </c>
      <c r="BP22">
        <v>260953.83</v>
      </c>
      <c r="BQ22">
        <v>260953.83</v>
      </c>
    </row>
    <row r="23" spans="1:69" x14ac:dyDescent="0.35">
      <c r="A23" s="1" t="s">
        <v>68</v>
      </c>
      <c r="B23" s="1" t="s">
        <v>69</v>
      </c>
      <c r="C23" s="1" t="s">
        <v>70</v>
      </c>
      <c r="D23">
        <v>1</v>
      </c>
      <c r="E23">
        <v>1</v>
      </c>
      <c r="F23" s="2">
        <v>43584.863483796296</v>
      </c>
      <c r="G23" s="3">
        <v>40909</v>
      </c>
      <c r="H23" s="3">
        <v>41274</v>
      </c>
      <c r="I23" s="1" t="s">
        <v>71</v>
      </c>
      <c r="J23">
        <v>4521</v>
      </c>
      <c r="K23">
        <v>0</v>
      </c>
      <c r="L23" s="1" t="s">
        <v>384</v>
      </c>
      <c r="M23" s="1" t="s">
        <v>72</v>
      </c>
      <c r="N23" s="1" t="s">
        <v>134</v>
      </c>
      <c r="O23" s="1" t="s">
        <v>385</v>
      </c>
      <c r="P23" s="1" t="s">
        <v>386</v>
      </c>
      <c r="Q23" s="1" t="s">
        <v>387</v>
      </c>
      <c r="R23">
        <v>103</v>
      </c>
      <c r="S23" s="1" t="s">
        <v>135</v>
      </c>
      <c r="T23" s="1" t="s">
        <v>388</v>
      </c>
      <c r="U23" s="1" t="s">
        <v>135</v>
      </c>
      <c r="V23" s="1" t="s">
        <v>74</v>
      </c>
      <c r="W23" s="1" t="s">
        <v>420</v>
      </c>
      <c r="X23" s="1" t="s">
        <v>525</v>
      </c>
      <c r="Y23" s="1" t="s">
        <v>76</v>
      </c>
      <c r="Z23">
        <v>2</v>
      </c>
      <c r="AA23" s="1" t="s">
        <v>80</v>
      </c>
      <c r="AB23">
        <v>202</v>
      </c>
      <c r="AC23" s="1" t="s">
        <v>604</v>
      </c>
      <c r="AD23" s="1" t="s">
        <v>643</v>
      </c>
      <c r="AE23" s="1" t="s">
        <v>685</v>
      </c>
      <c r="AF23">
        <v>0</v>
      </c>
      <c r="AG23">
        <v>0</v>
      </c>
      <c r="AH23">
        <v>5890</v>
      </c>
      <c r="AI23">
        <v>0</v>
      </c>
      <c r="AJ23">
        <v>5890</v>
      </c>
      <c r="AK23">
        <v>0</v>
      </c>
      <c r="AL23">
        <v>5890</v>
      </c>
      <c r="AM23">
        <v>0</v>
      </c>
      <c r="AN23" s="1"/>
      <c r="AP23" s="1"/>
      <c r="AQ23" s="1"/>
      <c r="AR23" s="1"/>
      <c r="AS23" s="1"/>
      <c r="AT23" s="3"/>
      <c r="AU23" s="3"/>
      <c r="AV23" s="3"/>
      <c r="AW23" s="1"/>
      <c r="AX23" s="1"/>
      <c r="AZ23">
        <v>76</v>
      </c>
      <c r="BA23">
        <v>260953.83</v>
      </c>
      <c r="BB23" s="1"/>
      <c r="BD23" s="1"/>
      <c r="BE23" s="1"/>
      <c r="BG23" s="1"/>
      <c r="BH23" s="1"/>
      <c r="BJ23" s="1"/>
      <c r="BL23" s="1"/>
      <c r="BN23" s="1"/>
      <c r="BO23">
        <v>186</v>
      </c>
      <c r="BP23">
        <v>260953.83</v>
      </c>
      <c r="BQ23">
        <v>260953.83</v>
      </c>
    </row>
    <row r="24" spans="1:69" x14ac:dyDescent="0.35">
      <c r="A24" s="1" t="s">
        <v>68</v>
      </c>
      <c r="B24" s="1" t="s">
        <v>69</v>
      </c>
      <c r="C24" s="1" t="s">
        <v>70</v>
      </c>
      <c r="D24">
        <v>1</v>
      </c>
      <c r="E24">
        <v>1</v>
      </c>
      <c r="F24" s="2">
        <v>43584.863483796296</v>
      </c>
      <c r="G24" s="3">
        <v>40909</v>
      </c>
      <c r="H24" s="3">
        <v>41274</v>
      </c>
      <c r="I24" s="1" t="s">
        <v>71</v>
      </c>
      <c r="J24">
        <v>4521</v>
      </c>
      <c r="K24">
        <v>0</v>
      </c>
      <c r="L24" s="1" t="s">
        <v>384</v>
      </c>
      <c r="M24" s="1" t="s">
        <v>72</v>
      </c>
      <c r="N24" s="1" t="s">
        <v>134</v>
      </c>
      <c r="O24" s="1" t="s">
        <v>385</v>
      </c>
      <c r="P24" s="1" t="s">
        <v>386</v>
      </c>
      <c r="Q24" s="1" t="s">
        <v>387</v>
      </c>
      <c r="R24">
        <v>103</v>
      </c>
      <c r="S24" s="1" t="s">
        <v>135</v>
      </c>
      <c r="T24" s="1" t="s">
        <v>388</v>
      </c>
      <c r="U24" s="1" t="s">
        <v>135</v>
      </c>
      <c r="V24" s="1" t="s">
        <v>74</v>
      </c>
      <c r="W24" s="1" t="s">
        <v>421</v>
      </c>
      <c r="X24" s="1" t="s">
        <v>526</v>
      </c>
      <c r="Y24" s="1" t="s">
        <v>76</v>
      </c>
      <c r="Z24">
        <v>2</v>
      </c>
      <c r="AA24" s="1" t="s">
        <v>80</v>
      </c>
      <c r="AB24">
        <v>202</v>
      </c>
      <c r="AC24" s="1" t="s">
        <v>604</v>
      </c>
      <c r="AD24" s="1" t="s">
        <v>644</v>
      </c>
      <c r="AE24" s="1" t="s">
        <v>682</v>
      </c>
      <c r="AF24">
        <v>0</v>
      </c>
      <c r="AG24">
        <v>0</v>
      </c>
      <c r="AH24">
        <v>1500</v>
      </c>
      <c r="AI24">
        <v>0</v>
      </c>
      <c r="AJ24">
        <v>1500</v>
      </c>
      <c r="AK24">
        <v>0</v>
      </c>
      <c r="AL24">
        <v>1500</v>
      </c>
      <c r="AM24">
        <v>0</v>
      </c>
      <c r="AN24" s="1"/>
      <c r="AP24" s="1"/>
      <c r="AQ24" s="1"/>
      <c r="AR24" s="1"/>
      <c r="AS24" s="1"/>
      <c r="AT24" s="3"/>
      <c r="AU24" s="3"/>
      <c r="AV24" s="3"/>
      <c r="AW24" s="1"/>
      <c r="AX24" s="1"/>
      <c r="AZ24">
        <v>76</v>
      </c>
      <c r="BA24">
        <v>260953.83</v>
      </c>
      <c r="BB24" s="1"/>
      <c r="BD24" s="1"/>
      <c r="BE24" s="1"/>
      <c r="BG24" s="1"/>
      <c r="BH24" s="1"/>
      <c r="BJ24" s="1"/>
      <c r="BL24" s="1"/>
      <c r="BN24" s="1"/>
      <c r="BO24">
        <v>186</v>
      </c>
      <c r="BP24">
        <v>260953.83</v>
      </c>
      <c r="BQ24">
        <v>260953.83</v>
      </c>
    </row>
    <row r="25" spans="1:69" x14ac:dyDescent="0.35">
      <c r="A25" s="1" t="s">
        <v>68</v>
      </c>
      <c r="B25" s="1" t="s">
        <v>69</v>
      </c>
      <c r="C25" s="1" t="s">
        <v>70</v>
      </c>
      <c r="D25">
        <v>1</v>
      </c>
      <c r="E25">
        <v>1</v>
      </c>
      <c r="F25" s="2">
        <v>43584.863483796296</v>
      </c>
      <c r="G25" s="3">
        <v>40909</v>
      </c>
      <c r="H25" s="3">
        <v>41274</v>
      </c>
      <c r="I25" s="1" t="s">
        <v>71</v>
      </c>
      <c r="J25">
        <v>4521</v>
      </c>
      <c r="K25">
        <v>0</v>
      </c>
      <c r="L25" s="1" t="s">
        <v>384</v>
      </c>
      <c r="M25" s="1" t="s">
        <v>72</v>
      </c>
      <c r="N25" s="1" t="s">
        <v>134</v>
      </c>
      <c r="O25" s="1" t="s">
        <v>385</v>
      </c>
      <c r="P25" s="1" t="s">
        <v>386</v>
      </c>
      <c r="Q25" s="1" t="s">
        <v>387</v>
      </c>
      <c r="R25">
        <v>103</v>
      </c>
      <c r="S25" s="1" t="s">
        <v>135</v>
      </c>
      <c r="T25" s="1" t="s">
        <v>388</v>
      </c>
      <c r="U25" s="1" t="s">
        <v>135</v>
      </c>
      <c r="V25" s="1" t="s">
        <v>74</v>
      </c>
      <c r="W25" s="1" t="s">
        <v>425</v>
      </c>
      <c r="X25" s="1" t="s">
        <v>530</v>
      </c>
      <c r="Y25" s="1" t="s">
        <v>76</v>
      </c>
      <c r="Z25">
        <v>2</v>
      </c>
      <c r="AA25" s="1" t="s">
        <v>80</v>
      </c>
      <c r="AB25">
        <v>202</v>
      </c>
      <c r="AC25" s="1" t="s">
        <v>604</v>
      </c>
      <c r="AD25" s="1" t="s">
        <v>626</v>
      </c>
      <c r="AE25" s="1" t="s">
        <v>681</v>
      </c>
      <c r="AF25">
        <v>0</v>
      </c>
      <c r="AG25">
        <v>0</v>
      </c>
      <c r="AH25">
        <v>0</v>
      </c>
      <c r="AI25">
        <v>1205.4000000000001</v>
      </c>
      <c r="AJ25">
        <v>0</v>
      </c>
      <c r="AK25">
        <v>1205.4000000000001</v>
      </c>
      <c r="AL25">
        <v>0</v>
      </c>
      <c r="AM25">
        <v>1205.4000000000001</v>
      </c>
      <c r="AN25" s="1"/>
      <c r="AP25" s="1"/>
      <c r="AQ25" s="1"/>
      <c r="AR25" s="1"/>
      <c r="AS25" s="1"/>
      <c r="AT25" s="3"/>
      <c r="AU25" s="3"/>
      <c r="AV25" s="3"/>
      <c r="AW25" s="1"/>
      <c r="AX25" s="1"/>
      <c r="AZ25">
        <v>76</v>
      </c>
      <c r="BA25">
        <v>260953.83</v>
      </c>
      <c r="BB25" s="1"/>
      <c r="BD25" s="1"/>
      <c r="BE25" s="1"/>
      <c r="BG25" s="1"/>
      <c r="BH25" s="1"/>
      <c r="BJ25" s="1"/>
      <c r="BL25" s="1"/>
      <c r="BN25" s="1"/>
      <c r="BO25">
        <v>186</v>
      </c>
      <c r="BP25">
        <v>260953.83</v>
      </c>
      <c r="BQ25">
        <v>260953.83</v>
      </c>
    </row>
    <row r="26" spans="1:69" x14ac:dyDescent="0.35">
      <c r="A26" s="1" t="s">
        <v>68</v>
      </c>
      <c r="B26" s="1" t="s">
        <v>69</v>
      </c>
      <c r="C26" s="1" t="s">
        <v>70</v>
      </c>
      <c r="D26">
        <v>1</v>
      </c>
      <c r="E26">
        <v>1</v>
      </c>
      <c r="F26" s="2">
        <v>43584.863483796296</v>
      </c>
      <c r="G26" s="3">
        <v>40909</v>
      </c>
      <c r="H26" s="3">
        <v>41274</v>
      </c>
      <c r="I26" s="1" t="s">
        <v>71</v>
      </c>
      <c r="J26">
        <v>4521</v>
      </c>
      <c r="K26">
        <v>0</v>
      </c>
      <c r="L26" s="1" t="s">
        <v>384</v>
      </c>
      <c r="M26" s="1" t="s">
        <v>72</v>
      </c>
      <c r="N26" s="1" t="s">
        <v>134</v>
      </c>
      <c r="O26" s="1" t="s">
        <v>385</v>
      </c>
      <c r="P26" s="1" t="s">
        <v>386</v>
      </c>
      <c r="Q26" s="1" t="s">
        <v>387</v>
      </c>
      <c r="R26">
        <v>103</v>
      </c>
      <c r="S26" s="1" t="s">
        <v>135</v>
      </c>
      <c r="T26" s="1" t="s">
        <v>388</v>
      </c>
      <c r="U26" s="1" t="s">
        <v>135</v>
      </c>
      <c r="V26" s="1" t="s">
        <v>74</v>
      </c>
      <c r="W26" s="1" t="s">
        <v>428</v>
      </c>
      <c r="X26" s="1" t="s">
        <v>533</v>
      </c>
      <c r="Y26" s="1" t="s">
        <v>76</v>
      </c>
      <c r="Z26">
        <v>2</v>
      </c>
      <c r="AA26" s="1" t="s">
        <v>80</v>
      </c>
      <c r="AB26">
        <v>202</v>
      </c>
      <c r="AC26" s="1" t="s">
        <v>604</v>
      </c>
      <c r="AD26" s="1" t="s">
        <v>630</v>
      </c>
      <c r="AE26" s="1" t="s">
        <v>683</v>
      </c>
      <c r="AF26">
        <v>0</v>
      </c>
      <c r="AG26">
        <v>0</v>
      </c>
      <c r="AH26">
        <v>5700</v>
      </c>
      <c r="AI26">
        <v>0</v>
      </c>
      <c r="AJ26">
        <v>5700</v>
      </c>
      <c r="AK26">
        <v>0</v>
      </c>
      <c r="AL26">
        <v>5700</v>
      </c>
      <c r="AM26">
        <v>0</v>
      </c>
      <c r="AN26" s="1"/>
      <c r="AP26" s="1"/>
      <c r="AQ26" s="1"/>
      <c r="AR26" s="1"/>
      <c r="AS26" s="1"/>
      <c r="AT26" s="3"/>
      <c r="AU26" s="3"/>
      <c r="AV26" s="3"/>
      <c r="AW26" s="1"/>
      <c r="AX26" s="1"/>
      <c r="AZ26">
        <v>76</v>
      </c>
      <c r="BA26">
        <v>260953.83</v>
      </c>
      <c r="BB26" s="1"/>
      <c r="BD26" s="1"/>
      <c r="BE26" s="1"/>
      <c r="BG26" s="1"/>
      <c r="BH26" s="1"/>
      <c r="BJ26" s="1"/>
      <c r="BL26" s="1"/>
      <c r="BN26" s="1"/>
      <c r="BO26">
        <v>186</v>
      </c>
      <c r="BP26">
        <v>260953.83</v>
      </c>
      <c r="BQ26">
        <v>260953.83</v>
      </c>
    </row>
    <row r="27" spans="1:69" x14ac:dyDescent="0.35">
      <c r="A27" s="1" t="s">
        <v>68</v>
      </c>
      <c r="B27" s="1" t="s">
        <v>69</v>
      </c>
      <c r="C27" s="1" t="s">
        <v>70</v>
      </c>
      <c r="D27">
        <v>1</v>
      </c>
      <c r="E27">
        <v>1</v>
      </c>
      <c r="F27" s="2">
        <v>43584.863483796296</v>
      </c>
      <c r="G27" s="3">
        <v>40909</v>
      </c>
      <c r="H27" s="3">
        <v>41274</v>
      </c>
      <c r="I27" s="1" t="s">
        <v>71</v>
      </c>
      <c r="J27">
        <v>4521</v>
      </c>
      <c r="K27">
        <v>0</v>
      </c>
      <c r="L27" s="1" t="s">
        <v>384</v>
      </c>
      <c r="M27" s="1" t="s">
        <v>72</v>
      </c>
      <c r="N27" s="1" t="s">
        <v>134</v>
      </c>
      <c r="O27" s="1" t="s">
        <v>385</v>
      </c>
      <c r="P27" s="1" t="s">
        <v>386</v>
      </c>
      <c r="Q27" s="1" t="s">
        <v>387</v>
      </c>
      <c r="R27">
        <v>103</v>
      </c>
      <c r="S27" s="1" t="s">
        <v>135</v>
      </c>
      <c r="T27" s="1" t="s">
        <v>388</v>
      </c>
      <c r="U27" s="1" t="s">
        <v>135</v>
      </c>
      <c r="V27" s="1" t="s">
        <v>74</v>
      </c>
      <c r="W27" s="1" t="s">
        <v>429</v>
      </c>
      <c r="X27" s="1" t="s">
        <v>534</v>
      </c>
      <c r="Y27" s="1" t="s">
        <v>76</v>
      </c>
      <c r="Z27">
        <v>2</v>
      </c>
      <c r="AA27" s="1" t="s">
        <v>80</v>
      </c>
      <c r="AB27">
        <v>202</v>
      </c>
      <c r="AC27" s="1" t="s">
        <v>604</v>
      </c>
      <c r="AD27" s="1" t="s">
        <v>631</v>
      </c>
      <c r="AE27" s="1" t="s">
        <v>687</v>
      </c>
      <c r="AF27">
        <v>0</v>
      </c>
      <c r="AG27">
        <v>0</v>
      </c>
      <c r="AH27">
        <v>0</v>
      </c>
      <c r="AI27">
        <v>3616.2</v>
      </c>
      <c r="AJ27">
        <v>0</v>
      </c>
      <c r="AK27">
        <v>3616.2</v>
      </c>
      <c r="AL27">
        <v>0</v>
      </c>
      <c r="AM27">
        <v>3616.2</v>
      </c>
      <c r="AN27" s="1"/>
      <c r="AP27" s="1"/>
      <c r="AQ27" s="1"/>
      <c r="AR27" s="1"/>
      <c r="AS27" s="1"/>
      <c r="AT27" s="3"/>
      <c r="AU27" s="3"/>
      <c r="AV27" s="3"/>
      <c r="AW27" s="1"/>
      <c r="AX27" s="1"/>
      <c r="AZ27">
        <v>76</v>
      </c>
      <c r="BA27">
        <v>260953.83</v>
      </c>
      <c r="BB27" s="1"/>
      <c r="BD27" s="1"/>
      <c r="BE27" s="1"/>
      <c r="BG27" s="1"/>
      <c r="BH27" s="1"/>
      <c r="BJ27" s="1"/>
      <c r="BL27" s="1"/>
      <c r="BN27" s="1"/>
      <c r="BO27">
        <v>186</v>
      </c>
      <c r="BP27">
        <v>260953.83</v>
      </c>
      <c r="BQ27">
        <v>260953.83</v>
      </c>
    </row>
    <row r="28" spans="1:69" x14ac:dyDescent="0.35">
      <c r="A28" s="1" t="s">
        <v>68</v>
      </c>
      <c r="B28" s="1" t="s">
        <v>69</v>
      </c>
      <c r="C28" s="1" t="s">
        <v>70</v>
      </c>
      <c r="D28">
        <v>1</v>
      </c>
      <c r="E28">
        <v>1</v>
      </c>
      <c r="F28" s="2">
        <v>43584.863483796296</v>
      </c>
      <c r="G28" s="3">
        <v>40909</v>
      </c>
      <c r="H28" s="3">
        <v>41274</v>
      </c>
      <c r="I28" s="1" t="s">
        <v>71</v>
      </c>
      <c r="J28">
        <v>4521</v>
      </c>
      <c r="K28">
        <v>0</v>
      </c>
      <c r="L28" s="1" t="s">
        <v>384</v>
      </c>
      <c r="M28" s="1" t="s">
        <v>72</v>
      </c>
      <c r="N28" s="1" t="s">
        <v>134</v>
      </c>
      <c r="O28" s="1" t="s">
        <v>385</v>
      </c>
      <c r="P28" s="1" t="s">
        <v>386</v>
      </c>
      <c r="Q28" s="1" t="s">
        <v>387</v>
      </c>
      <c r="R28">
        <v>103</v>
      </c>
      <c r="S28" s="1" t="s">
        <v>135</v>
      </c>
      <c r="T28" s="1" t="s">
        <v>388</v>
      </c>
      <c r="U28" s="1" t="s">
        <v>135</v>
      </c>
      <c r="V28" s="1" t="s">
        <v>74</v>
      </c>
      <c r="W28" s="1" t="s">
        <v>433</v>
      </c>
      <c r="X28" s="1" t="s">
        <v>538</v>
      </c>
      <c r="Y28" s="1" t="s">
        <v>76</v>
      </c>
      <c r="Z28">
        <v>2</v>
      </c>
      <c r="AA28" s="1" t="s">
        <v>80</v>
      </c>
      <c r="AB28">
        <v>202</v>
      </c>
      <c r="AC28" s="1" t="s">
        <v>604</v>
      </c>
      <c r="AD28" s="1" t="s">
        <v>634</v>
      </c>
      <c r="AE28" s="1" t="s">
        <v>690</v>
      </c>
      <c r="AF28">
        <v>0</v>
      </c>
      <c r="AG28">
        <v>0</v>
      </c>
      <c r="AH28">
        <v>0</v>
      </c>
      <c r="AI28">
        <v>10190.549999999999</v>
      </c>
      <c r="AJ28">
        <v>0</v>
      </c>
      <c r="AK28">
        <v>10190.549999999999</v>
      </c>
      <c r="AL28">
        <v>0</v>
      </c>
      <c r="AM28">
        <v>10190.549999999999</v>
      </c>
      <c r="AN28" s="1"/>
      <c r="AP28" s="1"/>
      <c r="AQ28" s="1"/>
      <c r="AR28" s="1"/>
      <c r="AS28" s="1"/>
      <c r="AT28" s="3"/>
      <c r="AU28" s="3"/>
      <c r="AV28" s="3"/>
      <c r="AW28" s="1"/>
      <c r="AX28" s="1"/>
      <c r="AZ28">
        <v>76</v>
      </c>
      <c r="BA28">
        <v>260953.83</v>
      </c>
      <c r="BB28" s="1"/>
      <c r="BD28" s="1"/>
      <c r="BE28" s="1"/>
      <c r="BG28" s="1"/>
      <c r="BH28" s="1"/>
      <c r="BJ28" s="1"/>
      <c r="BL28" s="1"/>
      <c r="BN28" s="1"/>
      <c r="BO28">
        <v>186</v>
      </c>
      <c r="BP28">
        <v>260953.83</v>
      </c>
      <c r="BQ28">
        <v>260953.83</v>
      </c>
    </row>
    <row r="29" spans="1:69" x14ac:dyDescent="0.35">
      <c r="A29" s="1" t="s">
        <v>68</v>
      </c>
      <c r="B29" s="1" t="s">
        <v>69</v>
      </c>
      <c r="C29" s="1" t="s">
        <v>70</v>
      </c>
      <c r="D29">
        <v>1</v>
      </c>
      <c r="E29">
        <v>1</v>
      </c>
      <c r="F29" s="2">
        <v>43584.863483796296</v>
      </c>
      <c r="G29" s="3">
        <v>40909</v>
      </c>
      <c r="H29" s="3">
        <v>41274</v>
      </c>
      <c r="I29" s="1" t="s">
        <v>71</v>
      </c>
      <c r="J29">
        <v>4521</v>
      </c>
      <c r="K29">
        <v>0</v>
      </c>
      <c r="L29" s="1" t="s">
        <v>384</v>
      </c>
      <c r="M29" s="1" t="s">
        <v>72</v>
      </c>
      <c r="N29" s="1" t="s">
        <v>134</v>
      </c>
      <c r="O29" s="1" t="s">
        <v>385</v>
      </c>
      <c r="P29" s="1" t="s">
        <v>386</v>
      </c>
      <c r="Q29" s="1" t="s">
        <v>387</v>
      </c>
      <c r="R29">
        <v>103</v>
      </c>
      <c r="S29" s="1" t="s">
        <v>135</v>
      </c>
      <c r="T29" s="1" t="s">
        <v>388</v>
      </c>
      <c r="U29" s="1" t="s">
        <v>135</v>
      </c>
      <c r="V29" s="1" t="s">
        <v>74</v>
      </c>
      <c r="W29" s="1" t="s">
        <v>434</v>
      </c>
      <c r="X29" s="1" t="s">
        <v>539</v>
      </c>
      <c r="Y29" s="1" t="s">
        <v>76</v>
      </c>
      <c r="Z29">
        <v>2</v>
      </c>
      <c r="AA29" s="1" t="s">
        <v>80</v>
      </c>
      <c r="AB29">
        <v>202</v>
      </c>
      <c r="AC29" s="1" t="s">
        <v>604</v>
      </c>
      <c r="AD29" s="1" t="s">
        <v>649</v>
      </c>
      <c r="AE29" s="1" t="s">
        <v>698</v>
      </c>
      <c r="AF29">
        <v>0</v>
      </c>
      <c r="AG29">
        <v>0</v>
      </c>
      <c r="AH29">
        <v>260</v>
      </c>
      <c r="AI29">
        <v>260</v>
      </c>
      <c r="AJ29">
        <v>260</v>
      </c>
      <c r="AK29">
        <v>260</v>
      </c>
      <c r="AL29">
        <v>0</v>
      </c>
      <c r="AM29">
        <v>0</v>
      </c>
      <c r="AN29" s="1"/>
      <c r="AP29" s="1"/>
      <c r="AQ29" s="1"/>
      <c r="AR29" s="1"/>
      <c r="AS29" s="1"/>
      <c r="AT29" s="3"/>
      <c r="AU29" s="3"/>
      <c r="AV29" s="3"/>
      <c r="AW29" s="1"/>
      <c r="AX29" s="1"/>
      <c r="AZ29">
        <v>76</v>
      </c>
      <c r="BA29">
        <v>260953.83</v>
      </c>
      <c r="BB29" s="1"/>
      <c r="BD29" s="1"/>
      <c r="BE29" s="1"/>
      <c r="BG29" s="1"/>
      <c r="BH29" s="1"/>
      <c r="BJ29" s="1"/>
      <c r="BL29" s="1"/>
      <c r="BN29" s="1"/>
      <c r="BO29">
        <v>186</v>
      </c>
      <c r="BP29">
        <v>260953.83</v>
      </c>
      <c r="BQ29">
        <v>260953.83</v>
      </c>
    </row>
    <row r="30" spans="1:69" x14ac:dyDescent="0.35">
      <c r="A30" s="1" t="s">
        <v>68</v>
      </c>
      <c r="B30" s="1" t="s">
        <v>69</v>
      </c>
      <c r="C30" s="1" t="s">
        <v>70</v>
      </c>
      <c r="D30">
        <v>1</v>
      </c>
      <c r="E30">
        <v>1</v>
      </c>
      <c r="F30" s="2">
        <v>43584.863483796296</v>
      </c>
      <c r="G30" s="3">
        <v>40909</v>
      </c>
      <c r="H30" s="3">
        <v>41274</v>
      </c>
      <c r="I30" s="1" t="s">
        <v>71</v>
      </c>
      <c r="J30">
        <v>4521</v>
      </c>
      <c r="K30">
        <v>0</v>
      </c>
      <c r="L30" s="1" t="s">
        <v>384</v>
      </c>
      <c r="M30" s="1" t="s">
        <v>72</v>
      </c>
      <c r="N30" s="1" t="s">
        <v>134</v>
      </c>
      <c r="O30" s="1" t="s">
        <v>385</v>
      </c>
      <c r="P30" s="1" t="s">
        <v>386</v>
      </c>
      <c r="Q30" s="1" t="s">
        <v>387</v>
      </c>
      <c r="R30">
        <v>103</v>
      </c>
      <c r="S30" s="1" t="s">
        <v>135</v>
      </c>
      <c r="T30" s="1" t="s">
        <v>388</v>
      </c>
      <c r="U30" s="1" t="s">
        <v>135</v>
      </c>
      <c r="V30" s="1" t="s">
        <v>74</v>
      </c>
      <c r="W30" s="1" t="s">
        <v>1301</v>
      </c>
      <c r="X30" s="1" t="s">
        <v>1319</v>
      </c>
      <c r="Y30" s="1" t="s">
        <v>76</v>
      </c>
      <c r="Z30">
        <v>2</v>
      </c>
      <c r="AA30" s="1" t="s">
        <v>80</v>
      </c>
      <c r="AB30">
        <v>202</v>
      </c>
      <c r="AC30" s="1" t="s">
        <v>604</v>
      </c>
      <c r="AD30" s="1" t="s">
        <v>636</v>
      </c>
      <c r="AE30" s="1" t="s">
        <v>692</v>
      </c>
      <c r="AF30">
        <v>0</v>
      </c>
      <c r="AG30">
        <v>0</v>
      </c>
      <c r="AH30">
        <v>0</v>
      </c>
      <c r="AI30">
        <v>162.36000000000001</v>
      </c>
      <c r="AJ30">
        <v>0</v>
      </c>
      <c r="AK30">
        <v>162.36000000000001</v>
      </c>
      <c r="AL30">
        <v>0</v>
      </c>
      <c r="AM30">
        <v>162.36000000000001</v>
      </c>
      <c r="AN30" s="1"/>
      <c r="AP30" s="1"/>
      <c r="AQ30" s="1"/>
      <c r="AR30" s="1"/>
      <c r="AS30" s="1"/>
      <c r="AT30" s="3"/>
      <c r="AU30" s="3"/>
      <c r="AV30" s="3"/>
      <c r="AW30" s="1"/>
      <c r="AX30" s="1"/>
      <c r="AZ30">
        <v>76</v>
      </c>
      <c r="BA30">
        <v>260953.83</v>
      </c>
      <c r="BB30" s="1"/>
      <c r="BD30" s="1"/>
      <c r="BE30" s="1"/>
      <c r="BG30" s="1"/>
      <c r="BH30" s="1"/>
      <c r="BJ30" s="1"/>
      <c r="BL30" s="1"/>
      <c r="BN30" s="1"/>
      <c r="BO30">
        <v>186</v>
      </c>
      <c r="BP30">
        <v>260953.83</v>
      </c>
      <c r="BQ30">
        <v>260953.83</v>
      </c>
    </row>
    <row r="31" spans="1:69" x14ac:dyDescent="0.35">
      <c r="A31" s="1" t="s">
        <v>68</v>
      </c>
      <c r="B31" s="1" t="s">
        <v>69</v>
      </c>
      <c r="C31" s="1" t="s">
        <v>70</v>
      </c>
      <c r="D31">
        <v>1</v>
      </c>
      <c r="E31">
        <v>1</v>
      </c>
      <c r="F31" s="2">
        <v>43584.863483796296</v>
      </c>
      <c r="G31" s="3">
        <v>40909</v>
      </c>
      <c r="H31" s="3">
        <v>41274</v>
      </c>
      <c r="I31" s="1" t="s">
        <v>71</v>
      </c>
      <c r="J31">
        <v>4521</v>
      </c>
      <c r="K31">
        <v>0</v>
      </c>
      <c r="L31" s="1" t="s">
        <v>384</v>
      </c>
      <c r="M31" s="1" t="s">
        <v>72</v>
      </c>
      <c r="N31" s="1" t="s">
        <v>134</v>
      </c>
      <c r="O31" s="1" t="s">
        <v>385</v>
      </c>
      <c r="P31" s="1" t="s">
        <v>386</v>
      </c>
      <c r="Q31" s="1" t="s">
        <v>387</v>
      </c>
      <c r="R31">
        <v>103</v>
      </c>
      <c r="S31" s="1" t="s">
        <v>135</v>
      </c>
      <c r="T31" s="1" t="s">
        <v>388</v>
      </c>
      <c r="U31" s="1" t="s">
        <v>135</v>
      </c>
      <c r="V31" s="1" t="s">
        <v>74</v>
      </c>
      <c r="W31" s="1" t="s">
        <v>435</v>
      </c>
      <c r="X31" s="1" t="s">
        <v>540</v>
      </c>
      <c r="Y31" s="1" t="s">
        <v>76</v>
      </c>
      <c r="Z31">
        <v>2</v>
      </c>
      <c r="AA31" s="1" t="s">
        <v>80</v>
      </c>
      <c r="AB31">
        <v>202</v>
      </c>
      <c r="AC31" s="1" t="s">
        <v>604</v>
      </c>
      <c r="AD31" s="1" t="s">
        <v>650</v>
      </c>
      <c r="AE31" s="1" t="s">
        <v>699</v>
      </c>
      <c r="AF31">
        <v>0</v>
      </c>
      <c r="AG31">
        <v>0</v>
      </c>
      <c r="AH31">
        <v>0</v>
      </c>
      <c r="AI31">
        <v>277.2</v>
      </c>
      <c r="AJ31">
        <v>0</v>
      </c>
      <c r="AK31">
        <v>277.2</v>
      </c>
      <c r="AL31">
        <v>0</v>
      </c>
      <c r="AM31">
        <v>277.2</v>
      </c>
      <c r="AN31" s="1"/>
      <c r="AP31" s="1"/>
      <c r="AQ31" s="1"/>
      <c r="AR31" s="1"/>
      <c r="AS31" s="1"/>
      <c r="AT31" s="3"/>
      <c r="AU31" s="3"/>
      <c r="AV31" s="3"/>
      <c r="AW31" s="1"/>
      <c r="AX31" s="1"/>
      <c r="AZ31">
        <v>76</v>
      </c>
      <c r="BA31">
        <v>260953.83</v>
      </c>
      <c r="BB31" s="1"/>
      <c r="BD31" s="1"/>
      <c r="BE31" s="1"/>
      <c r="BG31" s="1"/>
      <c r="BH31" s="1"/>
      <c r="BJ31" s="1"/>
      <c r="BL31" s="1"/>
      <c r="BN31" s="1"/>
      <c r="BO31">
        <v>186</v>
      </c>
      <c r="BP31">
        <v>260953.83</v>
      </c>
      <c r="BQ31">
        <v>260953.83</v>
      </c>
    </row>
    <row r="32" spans="1:69" x14ac:dyDescent="0.35">
      <c r="A32" s="1" t="s">
        <v>68</v>
      </c>
      <c r="B32" s="1" t="s">
        <v>69</v>
      </c>
      <c r="C32" s="1" t="s">
        <v>70</v>
      </c>
      <c r="D32">
        <v>1</v>
      </c>
      <c r="E32">
        <v>1</v>
      </c>
      <c r="F32" s="2">
        <v>43584.863483796296</v>
      </c>
      <c r="G32" s="3">
        <v>40909</v>
      </c>
      <c r="H32" s="3">
        <v>41274</v>
      </c>
      <c r="I32" s="1" t="s">
        <v>71</v>
      </c>
      <c r="J32">
        <v>4521</v>
      </c>
      <c r="K32">
        <v>0</v>
      </c>
      <c r="L32" s="1" t="s">
        <v>384</v>
      </c>
      <c r="M32" s="1" t="s">
        <v>72</v>
      </c>
      <c r="N32" s="1" t="s">
        <v>134</v>
      </c>
      <c r="O32" s="1" t="s">
        <v>385</v>
      </c>
      <c r="P32" s="1" t="s">
        <v>386</v>
      </c>
      <c r="Q32" s="1" t="s">
        <v>387</v>
      </c>
      <c r="R32">
        <v>103</v>
      </c>
      <c r="S32" s="1" t="s">
        <v>135</v>
      </c>
      <c r="T32" s="1" t="s">
        <v>388</v>
      </c>
      <c r="U32" s="1" t="s">
        <v>135</v>
      </c>
      <c r="V32" s="1" t="s">
        <v>74</v>
      </c>
      <c r="W32" s="1" t="s">
        <v>439</v>
      </c>
      <c r="X32" s="1" t="s">
        <v>544</v>
      </c>
      <c r="Y32" s="1" t="s">
        <v>76</v>
      </c>
      <c r="Z32">
        <v>2</v>
      </c>
      <c r="AA32" s="1" t="s">
        <v>80</v>
      </c>
      <c r="AB32">
        <v>202</v>
      </c>
      <c r="AC32" s="1" t="s">
        <v>604</v>
      </c>
      <c r="AD32" s="1" t="s">
        <v>640</v>
      </c>
      <c r="AE32" s="1" t="s">
        <v>684</v>
      </c>
      <c r="AF32">
        <v>0</v>
      </c>
      <c r="AG32">
        <v>0</v>
      </c>
      <c r="AH32">
        <v>0</v>
      </c>
      <c r="AI32">
        <v>257.25</v>
      </c>
      <c r="AJ32">
        <v>0</v>
      </c>
      <c r="AK32">
        <v>257.25</v>
      </c>
      <c r="AL32">
        <v>0</v>
      </c>
      <c r="AM32">
        <v>257.25</v>
      </c>
      <c r="AN32" s="1"/>
      <c r="AP32" s="1"/>
      <c r="AQ32" s="1"/>
      <c r="AR32" s="1"/>
      <c r="AS32" s="1"/>
      <c r="AT32" s="3"/>
      <c r="AU32" s="3"/>
      <c r="AV32" s="3"/>
      <c r="AW32" s="1"/>
      <c r="AX32" s="1"/>
      <c r="AZ32">
        <v>76</v>
      </c>
      <c r="BA32">
        <v>260953.83</v>
      </c>
      <c r="BB32" s="1"/>
      <c r="BD32" s="1"/>
      <c r="BE32" s="1"/>
      <c r="BG32" s="1"/>
      <c r="BH32" s="1"/>
      <c r="BJ32" s="1"/>
      <c r="BL32" s="1"/>
      <c r="BN32" s="1"/>
      <c r="BO32">
        <v>186</v>
      </c>
      <c r="BP32">
        <v>260953.83</v>
      </c>
      <c r="BQ32">
        <v>260953.83</v>
      </c>
    </row>
    <row r="33" spans="1:69" x14ac:dyDescent="0.35">
      <c r="A33" s="1" t="s">
        <v>68</v>
      </c>
      <c r="B33" s="1" t="s">
        <v>69</v>
      </c>
      <c r="C33" s="1" t="s">
        <v>70</v>
      </c>
      <c r="D33">
        <v>1</v>
      </c>
      <c r="E33">
        <v>1</v>
      </c>
      <c r="F33" s="2">
        <v>43584.863483796296</v>
      </c>
      <c r="G33" s="3">
        <v>40909</v>
      </c>
      <c r="H33" s="3">
        <v>41274</v>
      </c>
      <c r="I33" s="1" t="s">
        <v>71</v>
      </c>
      <c r="J33">
        <v>4521</v>
      </c>
      <c r="K33">
        <v>0</v>
      </c>
      <c r="L33" s="1" t="s">
        <v>384</v>
      </c>
      <c r="M33" s="1" t="s">
        <v>72</v>
      </c>
      <c r="N33" s="1" t="s">
        <v>134</v>
      </c>
      <c r="O33" s="1" t="s">
        <v>385</v>
      </c>
      <c r="P33" s="1" t="s">
        <v>386</v>
      </c>
      <c r="Q33" s="1" t="s">
        <v>387</v>
      </c>
      <c r="R33">
        <v>103</v>
      </c>
      <c r="S33" s="1" t="s">
        <v>135</v>
      </c>
      <c r="T33" s="1" t="s">
        <v>388</v>
      </c>
      <c r="U33" s="1" t="s">
        <v>135</v>
      </c>
      <c r="V33" s="1" t="s">
        <v>74</v>
      </c>
      <c r="W33" s="1" t="s">
        <v>1302</v>
      </c>
      <c r="X33" s="1" t="s">
        <v>1320</v>
      </c>
      <c r="Y33" s="1" t="s">
        <v>76</v>
      </c>
      <c r="Z33">
        <v>2</v>
      </c>
      <c r="AA33" s="1" t="s">
        <v>80</v>
      </c>
      <c r="AB33">
        <v>203</v>
      </c>
      <c r="AC33" s="1" t="s">
        <v>605</v>
      </c>
      <c r="AD33" s="1" t="s">
        <v>659</v>
      </c>
      <c r="AE33" s="1" t="s">
        <v>704</v>
      </c>
      <c r="AF33">
        <v>0</v>
      </c>
      <c r="AG33">
        <v>0</v>
      </c>
      <c r="AH33">
        <v>10500</v>
      </c>
      <c r="AI33">
        <v>0</v>
      </c>
      <c r="AJ33">
        <v>10500</v>
      </c>
      <c r="AK33">
        <v>0</v>
      </c>
      <c r="AL33">
        <v>10500</v>
      </c>
      <c r="AM33">
        <v>0</v>
      </c>
      <c r="AN33" s="1"/>
      <c r="AP33" s="1"/>
      <c r="AQ33" s="1"/>
      <c r="AR33" s="1"/>
      <c r="AS33" s="1"/>
      <c r="AT33" s="3"/>
      <c r="AU33" s="3"/>
      <c r="AV33" s="3"/>
      <c r="AW33" s="1"/>
      <c r="AX33" s="1"/>
      <c r="AZ33">
        <v>76</v>
      </c>
      <c r="BA33">
        <v>260953.83</v>
      </c>
      <c r="BB33" s="1"/>
      <c r="BD33" s="1"/>
      <c r="BE33" s="1"/>
      <c r="BG33" s="1"/>
      <c r="BH33" s="1"/>
      <c r="BJ33" s="1"/>
      <c r="BL33" s="1"/>
      <c r="BN33" s="1"/>
      <c r="BO33">
        <v>186</v>
      </c>
      <c r="BP33">
        <v>260953.83</v>
      </c>
      <c r="BQ33">
        <v>260953.83</v>
      </c>
    </row>
    <row r="34" spans="1:69" x14ac:dyDescent="0.35">
      <c r="A34" s="1" t="s">
        <v>68</v>
      </c>
      <c r="B34" s="1" t="s">
        <v>69</v>
      </c>
      <c r="C34" s="1" t="s">
        <v>70</v>
      </c>
      <c r="D34">
        <v>1</v>
      </c>
      <c r="E34">
        <v>1</v>
      </c>
      <c r="F34" s="2">
        <v>43584.863483796296</v>
      </c>
      <c r="G34" s="3">
        <v>40909</v>
      </c>
      <c r="H34" s="3">
        <v>41274</v>
      </c>
      <c r="I34" s="1" t="s">
        <v>71</v>
      </c>
      <c r="J34">
        <v>4521</v>
      </c>
      <c r="K34">
        <v>0</v>
      </c>
      <c r="L34" s="1" t="s">
        <v>384</v>
      </c>
      <c r="M34" s="1" t="s">
        <v>72</v>
      </c>
      <c r="N34" s="1" t="s">
        <v>134</v>
      </c>
      <c r="O34" s="1" t="s">
        <v>385</v>
      </c>
      <c r="P34" s="1" t="s">
        <v>386</v>
      </c>
      <c r="Q34" s="1" t="s">
        <v>387</v>
      </c>
      <c r="R34">
        <v>103</v>
      </c>
      <c r="S34" s="1" t="s">
        <v>135</v>
      </c>
      <c r="T34" s="1" t="s">
        <v>388</v>
      </c>
      <c r="U34" s="1" t="s">
        <v>135</v>
      </c>
      <c r="V34" s="1" t="s">
        <v>74</v>
      </c>
      <c r="W34" s="1" t="s">
        <v>1303</v>
      </c>
      <c r="X34" s="1" t="s">
        <v>1321</v>
      </c>
      <c r="Y34" s="1" t="s">
        <v>76</v>
      </c>
      <c r="Z34">
        <v>2</v>
      </c>
      <c r="AA34" s="1" t="s">
        <v>80</v>
      </c>
      <c r="AB34">
        <v>203</v>
      </c>
      <c r="AC34" s="1" t="s">
        <v>605</v>
      </c>
      <c r="AD34" s="1" t="s">
        <v>1339</v>
      </c>
      <c r="AE34" s="1" t="s">
        <v>1345</v>
      </c>
      <c r="AF34">
        <v>0</v>
      </c>
      <c r="AG34">
        <v>0</v>
      </c>
      <c r="AH34">
        <v>412.3</v>
      </c>
      <c r="AI34">
        <v>0</v>
      </c>
      <c r="AJ34">
        <v>412.3</v>
      </c>
      <c r="AK34">
        <v>0</v>
      </c>
      <c r="AL34">
        <v>412.3</v>
      </c>
      <c r="AM34">
        <v>0</v>
      </c>
      <c r="AN34" s="1"/>
      <c r="AP34" s="1"/>
      <c r="AQ34" s="1"/>
      <c r="AR34" s="1"/>
      <c r="AS34" s="1"/>
      <c r="AT34" s="3"/>
      <c r="AU34" s="3"/>
      <c r="AV34" s="3"/>
      <c r="AW34" s="1"/>
      <c r="AX34" s="1"/>
      <c r="AZ34">
        <v>76</v>
      </c>
      <c r="BA34">
        <v>260953.83</v>
      </c>
      <c r="BB34" s="1"/>
      <c r="BD34" s="1"/>
      <c r="BE34" s="1"/>
      <c r="BG34" s="1"/>
      <c r="BH34" s="1"/>
      <c r="BJ34" s="1"/>
      <c r="BL34" s="1"/>
      <c r="BN34" s="1"/>
      <c r="BO34">
        <v>186</v>
      </c>
      <c r="BP34">
        <v>260953.83</v>
      </c>
      <c r="BQ34">
        <v>260953.83</v>
      </c>
    </row>
    <row r="35" spans="1:69" x14ac:dyDescent="0.35">
      <c r="A35" s="1" t="s">
        <v>68</v>
      </c>
      <c r="B35" s="1" t="s">
        <v>69</v>
      </c>
      <c r="C35" s="1" t="s">
        <v>70</v>
      </c>
      <c r="D35">
        <v>1</v>
      </c>
      <c r="E35">
        <v>1</v>
      </c>
      <c r="F35" s="2">
        <v>43584.863483796296</v>
      </c>
      <c r="G35" s="3">
        <v>40909</v>
      </c>
      <c r="H35" s="3">
        <v>41274</v>
      </c>
      <c r="I35" s="1" t="s">
        <v>71</v>
      </c>
      <c r="J35">
        <v>4521</v>
      </c>
      <c r="K35">
        <v>0</v>
      </c>
      <c r="L35" s="1" t="s">
        <v>384</v>
      </c>
      <c r="M35" s="1" t="s">
        <v>72</v>
      </c>
      <c r="N35" s="1" t="s">
        <v>134</v>
      </c>
      <c r="O35" s="1" t="s">
        <v>385</v>
      </c>
      <c r="P35" s="1" t="s">
        <v>386</v>
      </c>
      <c r="Q35" s="1" t="s">
        <v>387</v>
      </c>
      <c r="R35">
        <v>103</v>
      </c>
      <c r="S35" s="1" t="s">
        <v>135</v>
      </c>
      <c r="T35" s="1" t="s">
        <v>388</v>
      </c>
      <c r="U35" s="1" t="s">
        <v>135</v>
      </c>
      <c r="V35" s="1" t="s">
        <v>74</v>
      </c>
      <c r="W35" s="1" t="s">
        <v>443</v>
      </c>
      <c r="X35" s="1" t="s">
        <v>548</v>
      </c>
      <c r="Y35" s="1" t="s">
        <v>76</v>
      </c>
      <c r="Z35">
        <v>2</v>
      </c>
      <c r="AA35" s="1" t="s">
        <v>80</v>
      </c>
      <c r="AB35">
        <v>203</v>
      </c>
      <c r="AC35" s="1" t="s">
        <v>605</v>
      </c>
      <c r="AD35" s="1" t="s">
        <v>656</v>
      </c>
      <c r="AE35" s="1" t="s">
        <v>704</v>
      </c>
      <c r="AF35">
        <v>0</v>
      </c>
      <c r="AG35">
        <v>0</v>
      </c>
      <c r="AH35">
        <v>11145.74</v>
      </c>
      <c r="AI35">
        <v>0</v>
      </c>
      <c r="AJ35">
        <v>11145.74</v>
      </c>
      <c r="AK35">
        <v>0</v>
      </c>
      <c r="AL35">
        <v>11145.74</v>
      </c>
      <c r="AM35">
        <v>0</v>
      </c>
      <c r="AN35" s="1"/>
      <c r="AP35" s="1"/>
      <c r="AQ35" s="1"/>
      <c r="AR35" s="1"/>
      <c r="AS35" s="1"/>
      <c r="AT35" s="3"/>
      <c r="AU35" s="3"/>
      <c r="AV35" s="3"/>
      <c r="AW35" s="1"/>
      <c r="AX35" s="1"/>
      <c r="AZ35">
        <v>76</v>
      </c>
      <c r="BA35">
        <v>260953.83</v>
      </c>
      <c r="BB35" s="1"/>
      <c r="BD35" s="1"/>
      <c r="BE35" s="1"/>
      <c r="BG35" s="1"/>
      <c r="BH35" s="1"/>
      <c r="BJ35" s="1"/>
      <c r="BL35" s="1"/>
      <c r="BN35" s="1"/>
      <c r="BO35">
        <v>186</v>
      </c>
      <c r="BP35">
        <v>260953.83</v>
      </c>
      <c r="BQ35">
        <v>260953.83</v>
      </c>
    </row>
    <row r="36" spans="1:69" x14ac:dyDescent="0.35">
      <c r="A36" s="1" t="s">
        <v>68</v>
      </c>
      <c r="B36" s="1" t="s">
        <v>69</v>
      </c>
      <c r="C36" s="1" t="s">
        <v>70</v>
      </c>
      <c r="D36">
        <v>1</v>
      </c>
      <c r="E36">
        <v>1</v>
      </c>
      <c r="F36" s="2">
        <v>43584.863483796296</v>
      </c>
      <c r="G36" s="3">
        <v>40909</v>
      </c>
      <c r="H36" s="3">
        <v>41274</v>
      </c>
      <c r="I36" s="1" t="s">
        <v>71</v>
      </c>
      <c r="J36">
        <v>4521</v>
      </c>
      <c r="K36">
        <v>0</v>
      </c>
      <c r="L36" s="1" t="s">
        <v>384</v>
      </c>
      <c r="M36" s="1" t="s">
        <v>72</v>
      </c>
      <c r="N36" s="1" t="s">
        <v>134</v>
      </c>
      <c r="O36" s="1" t="s">
        <v>385</v>
      </c>
      <c r="P36" s="1" t="s">
        <v>386</v>
      </c>
      <c r="Q36" s="1" t="s">
        <v>387</v>
      </c>
      <c r="R36">
        <v>103</v>
      </c>
      <c r="S36" s="1" t="s">
        <v>135</v>
      </c>
      <c r="T36" s="1" t="s">
        <v>388</v>
      </c>
      <c r="U36" s="1" t="s">
        <v>135</v>
      </c>
      <c r="V36" s="1" t="s">
        <v>74</v>
      </c>
      <c r="W36" s="1" t="s">
        <v>444</v>
      </c>
      <c r="X36" s="1" t="s">
        <v>549</v>
      </c>
      <c r="Y36" s="1" t="s">
        <v>76</v>
      </c>
      <c r="Z36">
        <v>2</v>
      </c>
      <c r="AA36" s="1" t="s">
        <v>80</v>
      </c>
      <c r="AB36">
        <v>203</v>
      </c>
      <c r="AC36" s="1" t="s">
        <v>605</v>
      </c>
      <c r="AD36" s="1" t="s">
        <v>657</v>
      </c>
      <c r="AE36" s="1" t="s">
        <v>705</v>
      </c>
      <c r="AF36">
        <v>0</v>
      </c>
      <c r="AG36">
        <v>0</v>
      </c>
      <c r="AH36">
        <v>3662.24</v>
      </c>
      <c r="AI36">
        <v>0</v>
      </c>
      <c r="AJ36">
        <v>3662.24</v>
      </c>
      <c r="AK36">
        <v>0</v>
      </c>
      <c r="AL36">
        <v>3662.24</v>
      </c>
      <c r="AM36">
        <v>0</v>
      </c>
      <c r="AN36" s="1"/>
      <c r="AP36" s="1"/>
      <c r="AQ36" s="1"/>
      <c r="AR36" s="1"/>
      <c r="AS36" s="1"/>
      <c r="AT36" s="3"/>
      <c r="AU36" s="3"/>
      <c r="AV36" s="3"/>
      <c r="AW36" s="1"/>
      <c r="AX36" s="1"/>
      <c r="AZ36">
        <v>76</v>
      </c>
      <c r="BA36">
        <v>260953.83</v>
      </c>
      <c r="BB36" s="1"/>
      <c r="BD36" s="1"/>
      <c r="BE36" s="1"/>
      <c r="BG36" s="1"/>
      <c r="BH36" s="1"/>
      <c r="BJ36" s="1"/>
      <c r="BL36" s="1"/>
      <c r="BN36" s="1"/>
      <c r="BO36">
        <v>186</v>
      </c>
      <c r="BP36">
        <v>260953.83</v>
      </c>
      <c r="BQ36">
        <v>260953.83</v>
      </c>
    </row>
    <row r="37" spans="1:69" x14ac:dyDescent="0.35">
      <c r="A37" s="1" t="s">
        <v>68</v>
      </c>
      <c r="B37" s="1" t="s">
        <v>69</v>
      </c>
      <c r="C37" s="1" t="s">
        <v>70</v>
      </c>
      <c r="D37">
        <v>1</v>
      </c>
      <c r="E37">
        <v>1</v>
      </c>
      <c r="F37" s="2">
        <v>43584.863483796296</v>
      </c>
      <c r="G37" s="3">
        <v>40909</v>
      </c>
      <c r="H37" s="3">
        <v>41274</v>
      </c>
      <c r="I37" s="1" t="s">
        <v>71</v>
      </c>
      <c r="J37">
        <v>4521</v>
      </c>
      <c r="K37">
        <v>0</v>
      </c>
      <c r="L37" s="1" t="s">
        <v>384</v>
      </c>
      <c r="M37" s="1" t="s">
        <v>72</v>
      </c>
      <c r="N37" s="1" t="s">
        <v>134</v>
      </c>
      <c r="O37" s="1" t="s">
        <v>385</v>
      </c>
      <c r="P37" s="1" t="s">
        <v>386</v>
      </c>
      <c r="Q37" s="1" t="s">
        <v>387</v>
      </c>
      <c r="R37">
        <v>103</v>
      </c>
      <c r="S37" s="1" t="s">
        <v>135</v>
      </c>
      <c r="T37" s="1" t="s">
        <v>388</v>
      </c>
      <c r="U37" s="1" t="s">
        <v>135</v>
      </c>
      <c r="V37" s="1" t="s">
        <v>74</v>
      </c>
      <c r="W37" s="1" t="s">
        <v>445</v>
      </c>
      <c r="X37" s="1" t="s">
        <v>550</v>
      </c>
      <c r="Y37" s="1" t="s">
        <v>76</v>
      </c>
      <c r="Z37">
        <v>2</v>
      </c>
      <c r="AA37" s="1" t="s">
        <v>80</v>
      </c>
      <c r="AB37">
        <v>203</v>
      </c>
      <c r="AC37" s="1" t="s">
        <v>605</v>
      </c>
      <c r="AD37" s="1" t="s">
        <v>658</v>
      </c>
      <c r="AE37" s="1" t="s">
        <v>703</v>
      </c>
      <c r="AF37">
        <v>0</v>
      </c>
      <c r="AG37">
        <v>0</v>
      </c>
      <c r="AH37">
        <v>8192.91</v>
      </c>
      <c r="AI37">
        <v>0</v>
      </c>
      <c r="AJ37">
        <v>8192.91</v>
      </c>
      <c r="AK37">
        <v>0</v>
      </c>
      <c r="AL37">
        <v>8192.91</v>
      </c>
      <c r="AM37">
        <v>0</v>
      </c>
      <c r="AN37" s="1"/>
      <c r="AP37" s="1"/>
      <c r="AQ37" s="1"/>
      <c r="AR37" s="1"/>
      <c r="AS37" s="1"/>
      <c r="AT37" s="3"/>
      <c r="AU37" s="3"/>
      <c r="AV37" s="3"/>
      <c r="AW37" s="1"/>
      <c r="AX37" s="1"/>
      <c r="AZ37">
        <v>76</v>
      </c>
      <c r="BA37">
        <v>260953.83</v>
      </c>
      <c r="BB37" s="1"/>
      <c r="BD37" s="1"/>
      <c r="BE37" s="1"/>
      <c r="BG37" s="1"/>
      <c r="BH37" s="1"/>
      <c r="BJ37" s="1"/>
      <c r="BL37" s="1"/>
      <c r="BN37" s="1"/>
      <c r="BO37">
        <v>186</v>
      </c>
      <c r="BP37">
        <v>260953.83</v>
      </c>
      <c r="BQ37">
        <v>260953.83</v>
      </c>
    </row>
    <row r="38" spans="1:69" x14ac:dyDescent="0.35">
      <c r="A38" s="1" t="s">
        <v>68</v>
      </c>
      <c r="B38" s="1" t="s">
        <v>69</v>
      </c>
      <c r="C38" s="1" t="s">
        <v>70</v>
      </c>
      <c r="D38">
        <v>1</v>
      </c>
      <c r="E38">
        <v>1</v>
      </c>
      <c r="F38" s="2">
        <v>43584.863483796296</v>
      </c>
      <c r="G38" s="3">
        <v>40909</v>
      </c>
      <c r="H38" s="3">
        <v>41274</v>
      </c>
      <c r="I38" s="1" t="s">
        <v>71</v>
      </c>
      <c r="J38">
        <v>4521</v>
      </c>
      <c r="K38">
        <v>0</v>
      </c>
      <c r="L38" s="1" t="s">
        <v>384</v>
      </c>
      <c r="M38" s="1" t="s">
        <v>72</v>
      </c>
      <c r="N38" s="1" t="s">
        <v>134</v>
      </c>
      <c r="O38" s="1" t="s">
        <v>385</v>
      </c>
      <c r="P38" s="1" t="s">
        <v>386</v>
      </c>
      <c r="Q38" s="1" t="s">
        <v>387</v>
      </c>
      <c r="R38">
        <v>103</v>
      </c>
      <c r="S38" s="1" t="s">
        <v>135</v>
      </c>
      <c r="T38" s="1" t="s">
        <v>388</v>
      </c>
      <c r="U38" s="1" t="s">
        <v>135</v>
      </c>
      <c r="V38" s="1" t="s">
        <v>74</v>
      </c>
      <c r="W38" s="1" t="s">
        <v>446</v>
      </c>
      <c r="X38" s="1" t="s">
        <v>551</v>
      </c>
      <c r="Y38" s="1" t="s">
        <v>76</v>
      </c>
      <c r="Z38">
        <v>2</v>
      </c>
      <c r="AA38" s="1" t="s">
        <v>80</v>
      </c>
      <c r="AB38">
        <v>204</v>
      </c>
      <c r="AC38" s="1" t="s">
        <v>606</v>
      </c>
      <c r="AD38" s="1" t="s">
        <v>659</v>
      </c>
      <c r="AE38" s="1" t="s">
        <v>704</v>
      </c>
      <c r="AF38">
        <v>0</v>
      </c>
      <c r="AG38">
        <v>0</v>
      </c>
      <c r="AH38">
        <v>0</v>
      </c>
      <c r="AI38">
        <v>11626.86</v>
      </c>
      <c r="AJ38">
        <v>0</v>
      </c>
      <c r="AK38">
        <v>11626.86</v>
      </c>
      <c r="AL38">
        <v>0</v>
      </c>
      <c r="AM38">
        <v>11626.86</v>
      </c>
      <c r="AN38" s="1"/>
      <c r="AP38" s="1"/>
      <c r="AQ38" s="1"/>
      <c r="AR38" s="1"/>
      <c r="AS38" s="1"/>
      <c r="AT38" s="3"/>
      <c r="AU38" s="3"/>
      <c r="AV38" s="3"/>
      <c r="AW38" s="1"/>
      <c r="AX38" s="1"/>
      <c r="AZ38">
        <v>76</v>
      </c>
      <c r="BA38">
        <v>260953.83</v>
      </c>
      <c r="BB38" s="1"/>
      <c r="BD38" s="1"/>
      <c r="BE38" s="1"/>
      <c r="BG38" s="1"/>
      <c r="BH38" s="1"/>
      <c r="BJ38" s="1"/>
      <c r="BL38" s="1"/>
      <c r="BN38" s="1"/>
      <c r="BO38">
        <v>186</v>
      </c>
      <c r="BP38">
        <v>260953.83</v>
      </c>
      <c r="BQ38">
        <v>260953.83</v>
      </c>
    </row>
    <row r="39" spans="1:69" x14ac:dyDescent="0.35">
      <c r="A39" s="1" t="s">
        <v>68</v>
      </c>
      <c r="B39" s="1" t="s">
        <v>69</v>
      </c>
      <c r="C39" s="1" t="s">
        <v>70</v>
      </c>
      <c r="D39">
        <v>1</v>
      </c>
      <c r="E39">
        <v>1</v>
      </c>
      <c r="F39" s="2">
        <v>43584.863483796296</v>
      </c>
      <c r="G39" s="3">
        <v>40909</v>
      </c>
      <c r="H39" s="3">
        <v>41274</v>
      </c>
      <c r="I39" s="1" t="s">
        <v>71</v>
      </c>
      <c r="J39">
        <v>4521</v>
      </c>
      <c r="K39">
        <v>0</v>
      </c>
      <c r="L39" s="1" t="s">
        <v>384</v>
      </c>
      <c r="M39" s="1" t="s">
        <v>72</v>
      </c>
      <c r="N39" s="1" t="s">
        <v>134</v>
      </c>
      <c r="O39" s="1" t="s">
        <v>385</v>
      </c>
      <c r="P39" s="1" t="s">
        <v>386</v>
      </c>
      <c r="Q39" s="1" t="s">
        <v>387</v>
      </c>
      <c r="R39">
        <v>103</v>
      </c>
      <c r="S39" s="1" t="s">
        <v>135</v>
      </c>
      <c r="T39" s="1" t="s">
        <v>388</v>
      </c>
      <c r="U39" s="1" t="s">
        <v>135</v>
      </c>
      <c r="V39" s="1" t="s">
        <v>74</v>
      </c>
      <c r="W39" s="1" t="s">
        <v>1304</v>
      </c>
      <c r="X39" s="1" t="s">
        <v>555</v>
      </c>
      <c r="Y39" s="1" t="s">
        <v>76</v>
      </c>
      <c r="Z39">
        <v>2</v>
      </c>
      <c r="AA39" s="1" t="s">
        <v>80</v>
      </c>
      <c r="AB39">
        <v>204</v>
      </c>
      <c r="AC39" s="1" t="s">
        <v>606</v>
      </c>
      <c r="AD39" s="1" t="s">
        <v>1340</v>
      </c>
      <c r="AE39" s="1" t="s">
        <v>700</v>
      </c>
      <c r="AF39">
        <v>0</v>
      </c>
      <c r="AG39">
        <v>0</v>
      </c>
      <c r="AH39">
        <v>0</v>
      </c>
      <c r="AI39">
        <v>335.79</v>
      </c>
      <c r="AJ39">
        <v>0</v>
      </c>
      <c r="AK39">
        <v>335.79</v>
      </c>
      <c r="AL39">
        <v>0</v>
      </c>
      <c r="AM39">
        <v>335.79</v>
      </c>
      <c r="AN39" s="1"/>
      <c r="AP39" s="1"/>
      <c r="AQ39" s="1"/>
      <c r="AR39" s="1"/>
      <c r="AS39" s="1"/>
      <c r="AT39" s="3"/>
      <c r="AU39" s="3"/>
      <c r="AV39" s="3"/>
      <c r="AW39" s="1"/>
      <c r="AX39" s="1"/>
      <c r="AZ39">
        <v>76</v>
      </c>
      <c r="BA39">
        <v>260953.83</v>
      </c>
      <c r="BB39" s="1"/>
      <c r="BD39" s="1"/>
      <c r="BE39" s="1"/>
      <c r="BG39" s="1"/>
      <c r="BH39" s="1"/>
      <c r="BJ39" s="1"/>
      <c r="BL39" s="1"/>
      <c r="BN39" s="1"/>
      <c r="BO39">
        <v>186</v>
      </c>
      <c r="BP39">
        <v>260953.83</v>
      </c>
      <c r="BQ39">
        <v>260953.83</v>
      </c>
    </row>
    <row r="40" spans="1:69" x14ac:dyDescent="0.35">
      <c r="A40" s="1" t="s">
        <v>68</v>
      </c>
      <c r="B40" s="1" t="s">
        <v>69</v>
      </c>
      <c r="C40" s="1" t="s">
        <v>70</v>
      </c>
      <c r="D40">
        <v>1</v>
      </c>
      <c r="E40">
        <v>1</v>
      </c>
      <c r="F40" s="2">
        <v>43584.863483796296</v>
      </c>
      <c r="G40" s="3">
        <v>40909</v>
      </c>
      <c r="H40" s="3">
        <v>41274</v>
      </c>
      <c r="I40" s="1" t="s">
        <v>71</v>
      </c>
      <c r="J40">
        <v>4521</v>
      </c>
      <c r="K40">
        <v>0</v>
      </c>
      <c r="L40" s="1" t="s">
        <v>384</v>
      </c>
      <c r="M40" s="1" t="s">
        <v>72</v>
      </c>
      <c r="N40" s="1" t="s">
        <v>134</v>
      </c>
      <c r="O40" s="1" t="s">
        <v>385</v>
      </c>
      <c r="P40" s="1" t="s">
        <v>386</v>
      </c>
      <c r="Q40" s="1" t="s">
        <v>387</v>
      </c>
      <c r="R40">
        <v>103</v>
      </c>
      <c r="S40" s="1" t="s">
        <v>135</v>
      </c>
      <c r="T40" s="1" t="s">
        <v>388</v>
      </c>
      <c r="U40" s="1" t="s">
        <v>135</v>
      </c>
      <c r="V40" s="1" t="s">
        <v>74</v>
      </c>
      <c r="W40" s="1" t="s">
        <v>448</v>
      </c>
      <c r="X40" s="1" t="s">
        <v>553</v>
      </c>
      <c r="Y40" s="1" t="s">
        <v>76</v>
      </c>
      <c r="Z40">
        <v>2</v>
      </c>
      <c r="AA40" s="1" t="s">
        <v>80</v>
      </c>
      <c r="AB40">
        <v>204</v>
      </c>
      <c r="AC40" s="1" t="s">
        <v>606</v>
      </c>
      <c r="AD40" s="1" t="s">
        <v>656</v>
      </c>
      <c r="AE40" s="1" t="s">
        <v>704</v>
      </c>
      <c r="AF40">
        <v>0</v>
      </c>
      <c r="AG40">
        <v>0</v>
      </c>
      <c r="AH40">
        <v>0</v>
      </c>
      <c r="AI40">
        <v>18909.95</v>
      </c>
      <c r="AJ40">
        <v>0</v>
      </c>
      <c r="AK40">
        <v>18909.95</v>
      </c>
      <c r="AL40">
        <v>0</v>
      </c>
      <c r="AM40">
        <v>18909.95</v>
      </c>
      <c r="AN40" s="1"/>
      <c r="AP40" s="1"/>
      <c r="AQ40" s="1"/>
      <c r="AR40" s="1"/>
      <c r="AS40" s="1"/>
      <c r="AT40" s="3"/>
      <c r="AU40" s="3"/>
      <c r="AV40" s="3"/>
      <c r="AW40" s="1"/>
      <c r="AX40" s="1"/>
      <c r="AZ40">
        <v>76</v>
      </c>
      <c r="BA40">
        <v>260953.83</v>
      </c>
      <c r="BB40" s="1"/>
      <c r="BD40" s="1"/>
      <c r="BE40" s="1"/>
      <c r="BG40" s="1"/>
      <c r="BH40" s="1"/>
      <c r="BJ40" s="1"/>
      <c r="BL40" s="1"/>
      <c r="BN40" s="1"/>
      <c r="BO40">
        <v>186</v>
      </c>
      <c r="BP40">
        <v>260953.83</v>
      </c>
      <c r="BQ40">
        <v>260953.83</v>
      </c>
    </row>
    <row r="41" spans="1:69" x14ac:dyDescent="0.35">
      <c r="A41" s="1" t="s">
        <v>68</v>
      </c>
      <c r="B41" s="1" t="s">
        <v>69</v>
      </c>
      <c r="C41" s="1" t="s">
        <v>70</v>
      </c>
      <c r="D41">
        <v>1</v>
      </c>
      <c r="E41">
        <v>1</v>
      </c>
      <c r="F41" s="2">
        <v>43584.863483796296</v>
      </c>
      <c r="G41" s="3">
        <v>40909</v>
      </c>
      <c r="H41" s="3">
        <v>41274</v>
      </c>
      <c r="I41" s="1" t="s">
        <v>71</v>
      </c>
      <c r="J41">
        <v>4521</v>
      </c>
      <c r="K41">
        <v>0</v>
      </c>
      <c r="L41" s="1" t="s">
        <v>384</v>
      </c>
      <c r="M41" s="1" t="s">
        <v>72</v>
      </c>
      <c r="N41" s="1" t="s">
        <v>134</v>
      </c>
      <c r="O41" s="1" t="s">
        <v>385</v>
      </c>
      <c r="P41" s="1" t="s">
        <v>386</v>
      </c>
      <c r="Q41" s="1" t="s">
        <v>387</v>
      </c>
      <c r="R41">
        <v>103</v>
      </c>
      <c r="S41" s="1" t="s">
        <v>135</v>
      </c>
      <c r="T41" s="1" t="s">
        <v>388</v>
      </c>
      <c r="U41" s="1" t="s">
        <v>135</v>
      </c>
      <c r="V41" s="1" t="s">
        <v>74</v>
      </c>
      <c r="W41" s="1" t="s">
        <v>1305</v>
      </c>
      <c r="X41" s="1" t="s">
        <v>1322</v>
      </c>
      <c r="Y41" s="1" t="s">
        <v>76</v>
      </c>
      <c r="Z41">
        <v>2</v>
      </c>
      <c r="AA41" s="1" t="s">
        <v>80</v>
      </c>
      <c r="AB41">
        <v>205</v>
      </c>
      <c r="AC41" s="1" t="s">
        <v>1334</v>
      </c>
      <c r="AD41" s="1" t="s">
        <v>1341</v>
      </c>
      <c r="AE41" s="1" t="s">
        <v>698</v>
      </c>
      <c r="AF41">
        <v>0</v>
      </c>
      <c r="AG41">
        <v>0</v>
      </c>
      <c r="AH41">
        <v>1537.5</v>
      </c>
      <c r="AI41">
        <v>0</v>
      </c>
      <c r="AJ41">
        <v>1537.5</v>
      </c>
      <c r="AK41">
        <v>0</v>
      </c>
      <c r="AL41">
        <v>1537.5</v>
      </c>
      <c r="AM41">
        <v>0</v>
      </c>
      <c r="AN41" s="1"/>
      <c r="AP41" s="1"/>
      <c r="AQ41" s="1"/>
      <c r="AR41" s="1"/>
      <c r="AS41" s="1"/>
      <c r="AT41" s="3"/>
      <c r="AU41" s="3"/>
      <c r="AV41" s="3"/>
      <c r="AW41" s="1"/>
      <c r="AX41" s="1"/>
      <c r="AZ41">
        <v>76</v>
      </c>
      <c r="BA41">
        <v>260953.83</v>
      </c>
      <c r="BB41" s="1"/>
      <c r="BD41" s="1"/>
      <c r="BE41" s="1"/>
      <c r="BG41" s="1"/>
      <c r="BH41" s="1"/>
      <c r="BJ41" s="1"/>
      <c r="BL41" s="1"/>
      <c r="BN41" s="1"/>
      <c r="BO41">
        <v>186</v>
      </c>
      <c r="BP41">
        <v>260953.83</v>
      </c>
      <c r="BQ41">
        <v>260953.83</v>
      </c>
    </row>
    <row r="42" spans="1:69" x14ac:dyDescent="0.35">
      <c r="A42" s="1" t="s">
        <v>68</v>
      </c>
      <c r="B42" s="1" t="s">
        <v>69</v>
      </c>
      <c r="C42" s="1" t="s">
        <v>70</v>
      </c>
      <c r="D42">
        <v>1</v>
      </c>
      <c r="E42">
        <v>1</v>
      </c>
      <c r="F42" s="2">
        <v>43584.863483796296</v>
      </c>
      <c r="G42" s="3">
        <v>40909</v>
      </c>
      <c r="H42" s="3">
        <v>41274</v>
      </c>
      <c r="I42" s="1" t="s">
        <v>71</v>
      </c>
      <c r="J42">
        <v>4521</v>
      </c>
      <c r="K42">
        <v>0</v>
      </c>
      <c r="L42" s="1" t="s">
        <v>384</v>
      </c>
      <c r="M42" s="1" t="s">
        <v>72</v>
      </c>
      <c r="N42" s="1" t="s">
        <v>134</v>
      </c>
      <c r="O42" s="1" t="s">
        <v>385</v>
      </c>
      <c r="P42" s="1" t="s">
        <v>386</v>
      </c>
      <c r="Q42" s="1" t="s">
        <v>387</v>
      </c>
      <c r="R42">
        <v>103</v>
      </c>
      <c r="S42" s="1" t="s">
        <v>135</v>
      </c>
      <c r="T42" s="1" t="s">
        <v>388</v>
      </c>
      <c r="U42" s="1" t="s">
        <v>135</v>
      </c>
      <c r="V42" s="1" t="s">
        <v>74</v>
      </c>
      <c r="W42" s="1" t="s">
        <v>451</v>
      </c>
      <c r="X42" s="1" t="s">
        <v>556</v>
      </c>
      <c r="Y42" s="1" t="s">
        <v>76</v>
      </c>
      <c r="Z42">
        <v>2</v>
      </c>
      <c r="AA42" s="1" t="s">
        <v>80</v>
      </c>
      <c r="AB42">
        <v>221</v>
      </c>
      <c r="AC42" s="1" t="s">
        <v>607</v>
      </c>
      <c r="AD42" s="1" t="s">
        <v>88</v>
      </c>
      <c r="AE42" s="1" t="s">
        <v>707</v>
      </c>
      <c r="AF42">
        <v>0</v>
      </c>
      <c r="AG42">
        <v>0</v>
      </c>
      <c r="AH42">
        <v>0</v>
      </c>
      <c r="AI42">
        <v>23222.06</v>
      </c>
      <c r="AJ42">
        <v>0</v>
      </c>
      <c r="AK42">
        <v>23222.06</v>
      </c>
      <c r="AL42">
        <v>0</v>
      </c>
      <c r="AM42">
        <v>23222.06</v>
      </c>
      <c r="AN42" s="1"/>
      <c r="AP42" s="1"/>
      <c r="AQ42" s="1"/>
      <c r="AR42" s="1"/>
      <c r="AS42" s="1"/>
      <c r="AT42" s="3"/>
      <c r="AU42" s="3"/>
      <c r="AV42" s="3"/>
      <c r="AW42" s="1"/>
      <c r="AX42" s="1"/>
      <c r="AZ42">
        <v>76</v>
      </c>
      <c r="BA42">
        <v>260953.83</v>
      </c>
      <c r="BB42" s="1"/>
      <c r="BD42" s="1"/>
      <c r="BE42" s="1"/>
      <c r="BG42" s="1"/>
      <c r="BH42" s="1"/>
      <c r="BJ42" s="1"/>
      <c r="BL42" s="1"/>
      <c r="BN42" s="1"/>
      <c r="BO42">
        <v>186</v>
      </c>
      <c r="BP42">
        <v>260953.83</v>
      </c>
      <c r="BQ42">
        <v>260953.83</v>
      </c>
    </row>
    <row r="43" spans="1:69" x14ac:dyDescent="0.35">
      <c r="A43" s="1" t="s">
        <v>68</v>
      </c>
      <c r="B43" s="1" t="s">
        <v>69</v>
      </c>
      <c r="C43" s="1" t="s">
        <v>70</v>
      </c>
      <c r="D43">
        <v>1</v>
      </c>
      <c r="E43">
        <v>1</v>
      </c>
      <c r="F43" s="2">
        <v>43584.863483796296</v>
      </c>
      <c r="G43" s="3">
        <v>40909</v>
      </c>
      <c r="H43" s="3">
        <v>41274</v>
      </c>
      <c r="I43" s="1" t="s">
        <v>71</v>
      </c>
      <c r="J43">
        <v>4521</v>
      </c>
      <c r="K43">
        <v>0</v>
      </c>
      <c r="L43" s="1" t="s">
        <v>384</v>
      </c>
      <c r="M43" s="1" t="s">
        <v>72</v>
      </c>
      <c r="N43" s="1" t="s">
        <v>134</v>
      </c>
      <c r="O43" s="1" t="s">
        <v>385</v>
      </c>
      <c r="P43" s="1" t="s">
        <v>386</v>
      </c>
      <c r="Q43" s="1" t="s">
        <v>387</v>
      </c>
      <c r="R43">
        <v>103</v>
      </c>
      <c r="S43" s="1" t="s">
        <v>135</v>
      </c>
      <c r="T43" s="1" t="s">
        <v>388</v>
      </c>
      <c r="U43" s="1" t="s">
        <v>135</v>
      </c>
      <c r="V43" s="1" t="s">
        <v>74</v>
      </c>
      <c r="W43" s="1" t="s">
        <v>452</v>
      </c>
      <c r="X43" s="1" t="s">
        <v>557</v>
      </c>
      <c r="Y43" s="1" t="s">
        <v>76</v>
      </c>
      <c r="Z43">
        <v>2</v>
      </c>
      <c r="AA43" s="1" t="s">
        <v>80</v>
      </c>
      <c r="AB43">
        <v>221</v>
      </c>
      <c r="AC43" s="1" t="s">
        <v>607</v>
      </c>
      <c r="AD43" s="1" t="s">
        <v>89</v>
      </c>
      <c r="AE43" s="1" t="s">
        <v>708</v>
      </c>
      <c r="AF43">
        <v>0</v>
      </c>
      <c r="AG43">
        <v>0</v>
      </c>
      <c r="AH43">
        <v>24607.64</v>
      </c>
      <c r="AI43">
        <v>0</v>
      </c>
      <c r="AJ43">
        <v>24607.64</v>
      </c>
      <c r="AK43">
        <v>0</v>
      </c>
      <c r="AL43">
        <v>24607.64</v>
      </c>
      <c r="AM43">
        <v>0</v>
      </c>
      <c r="AN43" s="1"/>
      <c r="AP43" s="1"/>
      <c r="AQ43" s="1"/>
      <c r="AR43" s="1"/>
      <c r="AS43" s="1"/>
      <c r="AT43" s="3"/>
      <c r="AU43" s="3"/>
      <c r="AV43" s="3"/>
      <c r="AW43" s="1"/>
      <c r="AX43" s="1"/>
      <c r="AZ43">
        <v>76</v>
      </c>
      <c r="BA43">
        <v>260953.83</v>
      </c>
      <c r="BB43" s="1"/>
      <c r="BD43" s="1"/>
      <c r="BE43" s="1"/>
      <c r="BG43" s="1"/>
      <c r="BH43" s="1"/>
      <c r="BJ43" s="1"/>
      <c r="BL43" s="1"/>
      <c r="BN43" s="1"/>
      <c r="BO43">
        <v>186</v>
      </c>
      <c r="BP43">
        <v>260953.83</v>
      </c>
      <c r="BQ43">
        <v>260953.83</v>
      </c>
    </row>
    <row r="44" spans="1:69" x14ac:dyDescent="0.35">
      <c r="A44" s="1" t="s">
        <v>68</v>
      </c>
      <c r="B44" s="1" t="s">
        <v>69</v>
      </c>
      <c r="C44" s="1" t="s">
        <v>70</v>
      </c>
      <c r="D44">
        <v>1</v>
      </c>
      <c r="E44">
        <v>1</v>
      </c>
      <c r="F44" s="2">
        <v>43584.863483796296</v>
      </c>
      <c r="G44" s="3">
        <v>40909</v>
      </c>
      <c r="H44" s="3">
        <v>41274</v>
      </c>
      <c r="I44" s="1" t="s">
        <v>71</v>
      </c>
      <c r="J44">
        <v>4521</v>
      </c>
      <c r="K44">
        <v>0</v>
      </c>
      <c r="L44" s="1" t="s">
        <v>384</v>
      </c>
      <c r="M44" s="1" t="s">
        <v>72</v>
      </c>
      <c r="N44" s="1" t="s">
        <v>134</v>
      </c>
      <c r="O44" s="1" t="s">
        <v>385</v>
      </c>
      <c r="P44" s="1" t="s">
        <v>386</v>
      </c>
      <c r="Q44" s="1" t="s">
        <v>387</v>
      </c>
      <c r="R44">
        <v>103</v>
      </c>
      <c r="S44" s="1" t="s">
        <v>135</v>
      </c>
      <c r="T44" s="1" t="s">
        <v>388</v>
      </c>
      <c r="U44" s="1" t="s">
        <v>135</v>
      </c>
      <c r="V44" s="1" t="s">
        <v>74</v>
      </c>
      <c r="W44" s="1" t="s">
        <v>453</v>
      </c>
      <c r="X44" s="1" t="s">
        <v>558</v>
      </c>
      <c r="Y44" s="1" t="s">
        <v>76</v>
      </c>
      <c r="Z44">
        <v>2</v>
      </c>
      <c r="AA44" s="1" t="s">
        <v>80</v>
      </c>
      <c r="AB44">
        <v>234</v>
      </c>
      <c r="AC44" s="1" t="s">
        <v>608</v>
      </c>
      <c r="AD44" s="1" t="s">
        <v>144</v>
      </c>
      <c r="AE44" s="1" t="s">
        <v>709</v>
      </c>
      <c r="AF44">
        <v>0</v>
      </c>
      <c r="AG44">
        <v>0</v>
      </c>
      <c r="AH44">
        <v>500</v>
      </c>
      <c r="AI44">
        <v>370</v>
      </c>
      <c r="AJ44">
        <v>500</v>
      </c>
      <c r="AK44">
        <v>370</v>
      </c>
      <c r="AL44">
        <v>130</v>
      </c>
      <c r="AM44">
        <v>0</v>
      </c>
      <c r="AN44" s="1"/>
      <c r="AP44" s="1"/>
      <c r="AQ44" s="1"/>
      <c r="AR44" s="1"/>
      <c r="AS44" s="1"/>
      <c r="AT44" s="3"/>
      <c r="AU44" s="3"/>
      <c r="AV44" s="3"/>
      <c r="AW44" s="1"/>
      <c r="AX44" s="1"/>
      <c r="AZ44">
        <v>76</v>
      </c>
      <c r="BA44">
        <v>260953.83</v>
      </c>
      <c r="BB44" s="1"/>
      <c r="BD44" s="1"/>
      <c r="BE44" s="1"/>
      <c r="BG44" s="1"/>
      <c r="BH44" s="1"/>
      <c r="BJ44" s="1"/>
      <c r="BL44" s="1"/>
      <c r="BN44" s="1"/>
      <c r="BO44">
        <v>186</v>
      </c>
      <c r="BP44">
        <v>260953.83</v>
      </c>
      <c r="BQ44">
        <v>260953.83</v>
      </c>
    </row>
    <row r="45" spans="1:69" x14ac:dyDescent="0.35">
      <c r="A45" s="1" t="s">
        <v>68</v>
      </c>
      <c r="B45" s="1" t="s">
        <v>69</v>
      </c>
      <c r="C45" s="1" t="s">
        <v>70</v>
      </c>
      <c r="D45">
        <v>1</v>
      </c>
      <c r="E45">
        <v>1</v>
      </c>
      <c r="F45" s="2">
        <v>43584.863483796296</v>
      </c>
      <c r="G45" s="3">
        <v>40909</v>
      </c>
      <c r="H45" s="3">
        <v>41274</v>
      </c>
      <c r="I45" s="1" t="s">
        <v>71</v>
      </c>
      <c r="J45">
        <v>4521</v>
      </c>
      <c r="K45">
        <v>0</v>
      </c>
      <c r="L45" s="1" t="s">
        <v>384</v>
      </c>
      <c r="M45" s="1" t="s">
        <v>72</v>
      </c>
      <c r="N45" s="1" t="s">
        <v>134</v>
      </c>
      <c r="O45" s="1" t="s">
        <v>385</v>
      </c>
      <c r="P45" s="1" t="s">
        <v>386</v>
      </c>
      <c r="Q45" s="1" t="s">
        <v>387</v>
      </c>
      <c r="R45">
        <v>103</v>
      </c>
      <c r="S45" s="1" t="s">
        <v>135</v>
      </c>
      <c r="T45" s="1" t="s">
        <v>388</v>
      </c>
      <c r="U45" s="1" t="s">
        <v>135</v>
      </c>
      <c r="V45" s="1" t="s">
        <v>74</v>
      </c>
      <c r="W45" s="1" t="s">
        <v>462</v>
      </c>
      <c r="X45" s="1" t="s">
        <v>567</v>
      </c>
      <c r="Y45" s="1" t="s">
        <v>76</v>
      </c>
      <c r="Z45">
        <v>2</v>
      </c>
      <c r="AA45" s="1" t="s">
        <v>80</v>
      </c>
      <c r="AB45">
        <v>234</v>
      </c>
      <c r="AC45" s="1" t="s">
        <v>608</v>
      </c>
      <c r="AD45" s="1" t="s">
        <v>670</v>
      </c>
      <c r="AE45" s="1" t="s">
        <v>711</v>
      </c>
      <c r="AF45">
        <v>0</v>
      </c>
      <c r="AG45">
        <v>0</v>
      </c>
      <c r="AH45">
        <v>0</v>
      </c>
      <c r="AI45">
        <v>1000</v>
      </c>
      <c r="AJ45">
        <v>0</v>
      </c>
      <c r="AK45">
        <v>1000</v>
      </c>
      <c r="AL45">
        <v>0</v>
      </c>
      <c r="AM45">
        <v>1000</v>
      </c>
      <c r="AN45" s="1"/>
      <c r="AP45" s="1"/>
      <c r="AQ45" s="1"/>
      <c r="AR45" s="1"/>
      <c r="AS45" s="1"/>
      <c r="AT45" s="3"/>
      <c r="AU45" s="3"/>
      <c r="AV45" s="3"/>
      <c r="AW45" s="1"/>
      <c r="AX45" s="1"/>
      <c r="AZ45">
        <v>76</v>
      </c>
      <c r="BA45">
        <v>260953.83</v>
      </c>
      <c r="BB45" s="1"/>
      <c r="BD45" s="1"/>
      <c r="BE45" s="1"/>
      <c r="BG45" s="1"/>
      <c r="BH45" s="1"/>
      <c r="BJ45" s="1"/>
      <c r="BL45" s="1"/>
      <c r="BN45" s="1"/>
      <c r="BO45">
        <v>186</v>
      </c>
      <c r="BP45">
        <v>260953.83</v>
      </c>
      <c r="BQ45">
        <v>260953.83</v>
      </c>
    </row>
    <row r="46" spans="1:69" x14ac:dyDescent="0.35">
      <c r="A46" s="1" t="s">
        <v>68</v>
      </c>
      <c r="B46" s="1" t="s">
        <v>69</v>
      </c>
      <c r="C46" s="1" t="s">
        <v>70</v>
      </c>
      <c r="D46">
        <v>1</v>
      </c>
      <c r="E46">
        <v>1</v>
      </c>
      <c r="F46" s="2">
        <v>43584.863483796296</v>
      </c>
      <c r="G46" s="3">
        <v>40909</v>
      </c>
      <c r="H46" s="3">
        <v>41274</v>
      </c>
      <c r="I46" s="1" t="s">
        <v>71</v>
      </c>
      <c r="J46">
        <v>4521</v>
      </c>
      <c r="K46">
        <v>0</v>
      </c>
      <c r="L46" s="1" t="s">
        <v>384</v>
      </c>
      <c r="M46" s="1" t="s">
        <v>72</v>
      </c>
      <c r="N46" s="1" t="s">
        <v>134</v>
      </c>
      <c r="O46" s="1" t="s">
        <v>385</v>
      </c>
      <c r="P46" s="1" t="s">
        <v>386</v>
      </c>
      <c r="Q46" s="1" t="s">
        <v>387</v>
      </c>
      <c r="R46">
        <v>103</v>
      </c>
      <c r="S46" s="1" t="s">
        <v>135</v>
      </c>
      <c r="T46" s="1" t="s">
        <v>388</v>
      </c>
      <c r="U46" s="1" t="s">
        <v>135</v>
      </c>
      <c r="V46" s="1" t="s">
        <v>74</v>
      </c>
      <c r="W46" s="1" t="s">
        <v>465</v>
      </c>
      <c r="X46" s="1" t="s">
        <v>570</v>
      </c>
      <c r="Y46" s="1" t="s">
        <v>76</v>
      </c>
      <c r="Z46">
        <v>3</v>
      </c>
      <c r="AA46" s="1" t="s">
        <v>598</v>
      </c>
      <c r="AB46">
        <v>301</v>
      </c>
      <c r="AC46" s="1" t="s">
        <v>609</v>
      </c>
      <c r="AD46" s="1" t="s">
        <v>90</v>
      </c>
      <c r="AE46" s="1" t="s">
        <v>718</v>
      </c>
      <c r="AF46">
        <v>0</v>
      </c>
      <c r="AG46">
        <v>0</v>
      </c>
      <c r="AH46">
        <v>245</v>
      </c>
      <c r="AI46">
        <v>0</v>
      </c>
      <c r="AJ46">
        <v>245</v>
      </c>
      <c r="AK46">
        <v>0</v>
      </c>
      <c r="AL46">
        <v>245</v>
      </c>
      <c r="AM46">
        <v>0</v>
      </c>
      <c r="AN46" s="1"/>
      <c r="AP46" s="1"/>
      <c r="AQ46" s="1"/>
      <c r="AR46" s="1"/>
      <c r="AS46" s="1"/>
      <c r="AT46" s="3"/>
      <c r="AU46" s="3"/>
      <c r="AV46" s="3"/>
      <c r="AW46" s="1"/>
      <c r="AX46" s="1"/>
      <c r="AZ46">
        <v>76</v>
      </c>
      <c r="BA46">
        <v>260953.83</v>
      </c>
      <c r="BB46" s="1"/>
      <c r="BD46" s="1"/>
      <c r="BE46" s="1"/>
      <c r="BG46" s="1"/>
      <c r="BH46" s="1"/>
      <c r="BJ46" s="1"/>
      <c r="BL46" s="1"/>
      <c r="BN46" s="1"/>
      <c r="BO46">
        <v>186</v>
      </c>
      <c r="BP46">
        <v>260953.83</v>
      </c>
      <c r="BQ46">
        <v>260953.83</v>
      </c>
    </row>
    <row r="47" spans="1:69" x14ac:dyDescent="0.35">
      <c r="A47" s="1" t="s">
        <v>68</v>
      </c>
      <c r="B47" s="1" t="s">
        <v>69</v>
      </c>
      <c r="C47" s="1" t="s">
        <v>70</v>
      </c>
      <c r="D47">
        <v>1</v>
      </c>
      <c r="E47">
        <v>1</v>
      </c>
      <c r="F47" s="2">
        <v>43584.863483796296</v>
      </c>
      <c r="G47" s="3">
        <v>40909</v>
      </c>
      <c r="H47" s="3">
        <v>41274</v>
      </c>
      <c r="I47" s="1" t="s">
        <v>71</v>
      </c>
      <c r="J47">
        <v>4521</v>
      </c>
      <c r="K47">
        <v>0</v>
      </c>
      <c r="L47" s="1" t="s">
        <v>384</v>
      </c>
      <c r="M47" s="1" t="s">
        <v>72</v>
      </c>
      <c r="N47" s="1" t="s">
        <v>134</v>
      </c>
      <c r="O47" s="1" t="s">
        <v>385</v>
      </c>
      <c r="P47" s="1" t="s">
        <v>386</v>
      </c>
      <c r="Q47" s="1" t="s">
        <v>387</v>
      </c>
      <c r="R47">
        <v>103</v>
      </c>
      <c r="S47" s="1" t="s">
        <v>135</v>
      </c>
      <c r="T47" s="1" t="s">
        <v>388</v>
      </c>
      <c r="U47" s="1" t="s">
        <v>135</v>
      </c>
      <c r="V47" s="1" t="s">
        <v>74</v>
      </c>
      <c r="W47" s="1" t="s">
        <v>466</v>
      </c>
      <c r="X47" s="1" t="s">
        <v>571</v>
      </c>
      <c r="Y47" s="1" t="s">
        <v>76</v>
      </c>
      <c r="Z47">
        <v>3</v>
      </c>
      <c r="AA47" s="1" t="s">
        <v>598</v>
      </c>
      <c r="AB47">
        <v>302</v>
      </c>
      <c r="AC47" s="1" t="s">
        <v>610</v>
      </c>
      <c r="AD47" s="1" t="s">
        <v>90</v>
      </c>
      <c r="AE47" s="1" t="s">
        <v>719</v>
      </c>
      <c r="AF47">
        <v>0</v>
      </c>
      <c r="AG47">
        <v>0</v>
      </c>
      <c r="AH47">
        <v>5920.25</v>
      </c>
      <c r="AI47">
        <v>0</v>
      </c>
      <c r="AJ47">
        <v>5920.25</v>
      </c>
      <c r="AK47">
        <v>0</v>
      </c>
      <c r="AL47">
        <v>5920.25</v>
      </c>
      <c r="AM47">
        <v>0</v>
      </c>
      <c r="AN47" s="1"/>
      <c r="AP47" s="1"/>
      <c r="AQ47" s="1"/>
      <c r="AR47" s="1"/>
      <c r="AS47" s="1"/>
      <c r="AT47" s="3"/>
      <c r="AU47" s="3"/>
      <c r="AV47" s="3"/>
      <c r="AW47" s="1"/>
      <c r="AX47" s="1"/>
      <c r="AZ47">
        <v>76</v>
      </c>
      <c r="BA47">
        <v>260953.83</v>
      </c>
      <c r="BB47" s="1"/>
      <c r="BD47" s="1"/>
      <c r="BE47" s="1"/>
      <c r="BG47" s="1"/>
      <c r="BH47" s="1"/>
      <c r="BJ47" s="1"/>
      <c r="BL47" s="1"/>
      <c r="BN47" s="1"/>
      <c r="BO47">
        <v>186</v>
      </c>
      <c r="BP47">
        <v>260953.83</v>
      </c>
      <c r="BQ47">
        <v>260953.83</v>
      </c>
    </row>
    <row r="48" spans="1:69" x14ac:dyDescent="0.35">
      <c r="A48" s="1" t="s">
        <v>68</v>
      </c>
      <c r="B48" s="1" t="s">
        <v>69</v>
      </c>
      <c r="C48" s="1" t="s">
        <v>70</v>
      </c>
      <c r="D48">
        <v>1</v>
      </c>
      <c r="E48">
        <v>1</v>
      </c>
      <c r="F48" s="2">
        <v>43584.863483796296</v>
      </c>
      <c r="G48" s="3">
        <v>40909</v>
      </c>
      <c r="H48" s="3">
        <v>41274</v>
      </c>
      <c r="I48" s="1" t="s">
        <v>71</v>
      </c>
      <c r="J48">
        <v>4521</v>
      </c>
      <c r="K48">
        <v>0</v>
      </c>
      <c r="L48" s="1" t="s">
        <v>384</v>
      </c>
      <c r="M48" s="1" t="s">
        <v>72</v>
      </c>
      <c r="N48" s="1" t="s">
        <v>134</v>
      </c>
      <c r="O48" s="1" t="s">
        <v>385</v>
      </c>
      <c r="P48" s="1" t="s">
        <v>386</v>
      </c>
      <c r="Q48" s="1" t="s">
        <v>387</v>
      </c>
      <c r="R48">
        <v>103</v>
      </c>
      <c r="S48" s="1" t="s">
        <v>135</v>
      </c>
      <c r="T48" s="1" t="s">
        <v>388</v>
      </c>
      <c r="U48" s="1" t="s">
        <v>135</v>
      </c>
      <c r="V48" s="1" t="s">
        <v>74</v>
      </c>
      <c r="W48" s="1" t="s">
        <v>467</v>
      </c>
      <c r="X48" s="1" t="s">
        <v>572</v>
      </c>
      <c r="Y48" s="1" t="s">
        <v>76</v>
      </c>
      <c r="Z48">
        <v>3</v>
      </c>
      <c r="AA48" s="1" t="s">
        <v>598</v>
      </c>
      <c r="AB48">
        <v>302</v>
      </c>
      <c r="AC48" s="1" t="s">
        <v>610</v>
      </c>
      <c r="AD48" s="1" t="s">
        <v>671</v>
      </c>
      <c r="AE48" s="1" t="s">
        <v>720</v>
      </c>
      <c r="AF48">
        <v>0</v>
      </c>
      <c r="AG48">
        <v>0</v>
      </c>
      <c r="AH48">
        <v>9486</v>
      </c>
      <c r="AI48">
        <v>0</v>
      </c>
      <c r="AJ48">
        <v>9486</v>
      </c>
      <c r="AK48">
        <v>0</v>
      </c>
      <c r="AL48">
        <v>9486</v>
      </c>
      <c r="AM48">
        <v>0</v>
      </c>
      <c r="AN48" s="1"/>
      <c r="AP48" s="1"/>
      <c r="AQ48" s="1"/>
      <c r="AR48" s="1"/>
      <c r="AS48" s="1"/>
      <c r="AT48" s="3"/>
      <c r="AU48" s="3"/>
      <c r="AV48" s="3"/>
      <c r="AW48" s="1"/>
      <c r="AX48" s="1"/>
      <c r="AZ48">
        <v>76</v>
      </c>
      <c r="BA48">
        <v>260953.83</v>
      </c>
      <c r="BB48" s="1"/>
      <c r="BD48" s="1"/>
      <c r="BE48" s="1"/>
      <c r="BG48" s="1"/>
      <c r="BH48" s="1"/>
      <c r="BJ48" s="1"/>
      <c r="BL48" s="1"/>
      <c r="BN48" s="1"/>
      <c r="BO48">
        <v>186</v>
      </c>
      <c r="BP48">
        <v>260953.83</v>
      </c>
      <c r="BQ48">
        <v>260953.83</v>
      </c>
    </row>
    <row r="49" spans="1:69" x14ac:dyDescent="0.35">
      <c r="A49" s="1" t="s">
        <v>68</v>
      </c>
      <c r="B49" s="1" t="s">
        <v>69</v>
      </c>
      <c r="C49" s="1" t="s">
        <v>70</v>
      </c>
      <c r="D49">
        <v>1</v>
      </c>
      <c r="E49">
        <v>1</v>
      </c>
      <c r="F49" s="2">
        <v>43584.863483796296</v>
      </c>
      <c r="G49" s="3">
        <v>40909</v>
      </c>
      <c r="H49" s="3">
        <v>41274</v>
      </c>
      <c r="I49" s="1" t="s">
        <v>71</v>
      </c>
      <c r="J49">
        <v>4521</v>
      </c>
      <c r="K49">
        <v>0</v>
      </c>
      <c r="L49" s="1" t="s">
        <v>384</v>
      </c>
      <c r="M49" s="1" t="s">
        <v>72</v>
      </c>
      <c r="N49" s="1" t="s">
        <v>134</v>
      </c>
      <c r="O49" s="1" t="s">
        <v>385</v>
      </c>
      <c r="P49" s="1" t="s">
        <v>386</v>
      </c>
      <c r="Q49" s="1" t="s">
        <v>387</v>
      </c>
      <c r="R49">
        <v>103</v>
      </c>
      <c r="S49" s="1" t="s">
        <v>135</v>
      </c>
      <c r="T49" s="1" t="s">
        <v>388</v>
      </c>
      <c r="U49" s="1" t="s">
        <v>135</v>
      </c>
      <c r="V49" s="1" t="s">
        <v>74</v>
      </c>
      <c r="W49" s="1" t="s">
        <v>469</v>
      </c>
      <c r="X49" s="1" t="s">
        <v>574</v>
      </c>
      <c r="Y49" s="1" t="s">
        <v>76</v>
      </c>
      <c r="Z49">
        <v>3</v>
      </c>
      <c r="AA49" s="1" t="s">
        <v>598</v>
      </c>
      <c r="AB49">
        <v>305</v>
      </c>
      <c r="AC49" s="1" t="s">
        <v>612</v>
      </c>
      <c r="AD49" s="1" t="s">
        <v>671</v>
      </c>
      <c r="AE49" s="1" t="s">
        <v>73</v>
      </c>
      <c r="AF49">
        <v>0</v>
      </c>
      <c r="AG49">
        <v>0</v>
      </c>
      <c r="AH49">
        <v>11838.7</v>
      </c>
      <c r="AI49">
        <v>0</v>
      </c>
      <c r="AJ49">
        <v>11838.7</v>
      </c>
      <c r="AK49">
        <v>0</v>
      </c>
      <c r="AL49">
        <v>11838.7</v>
      </c>
      <c r="AM49">
        <v>0</v>
      </c>
      <c r="AN49" s="1"/>
      <c r="AP49" s="1"/>
      <c r="AQ49" s="1"/>
      <c r="AR49" s="1"/>
      <c r="AS49" s="1"/>
      <c r="AT49" s="3"/>
      <c r="AU49" s="3"/>
      <c r="AV49" s="3"/>
      <c r="AW49" s="1"/>
      <c r="AX49" s="1"/>
      <c r="AZ49">
        <v>76</v>
      </c>
      <c r="BA49">
        <v>260953.83</v>
      </c>
      <c r="BB49" s="1"/>
      <c r="BD49" s="1"/>
      <c r="BE49" s="1"/>
      <c r="BG49" s="1"/>
      <c r="BH49" s="1"/>
      <c r="BJ49" s="1"/>
      <c r="BL49" s="1"/>
      <c r="BN49" s="1"/>
      <c r="BO49">
        <v>186</v>
      </c>
      <c r="BP49">
        <v>260953.83</v>
      </c>
      <c r="BQ49">
        <v>260953.83</v>
      </c>
    </row>
    <row r="50" spans="1:69" x14ac:dyDescent="0.35">
      <c r="A50" s="1" t="s">
        <v>68</v>
      </c>
      <c r="B50" s="1" t="s">
        <v>69</v>
      </c>
      <c r="C50" s="1" t="s">
        <v>70</v>
      </c>
      <c r="D50">
        <v>1</v>
      </c>
      <c r="E50">
        <v>1</v>
      </c>
      <c r="F50" s="2">
        <v>43584.863483796296</v>
      </c>
      <c r="G50" s="3">
        <v>40909</v>
      </c>
      <c r="H50" s="3">
        <v>41274</v>
      </c>
      <c r="I50" s="1" t="s">
        <v>71</v>
      </c>
      <c r="J50">
        <v>4521</v>
      </c>
      <c r="K50">
        <v>0</v>
      </c>
      <c r="L50" s="1" t="s">
        <v>384</v>
      </c>
      <c r="M50" s="1" t="s">
        <v>72</v>
      </c>
      <c r="N50" s="1" t="s">
        <v>134</v>
      </c>
      <c r="O50" s="1" t="s">
        <v>385</v>
      </c>
      <c r="P50" s="1" t="s">
        <v>386</v>
      </c>
      <c r="Q50" s="1" t="s">
        <v>387</v>
      </c>
      <c r="R50">
        <v>103</v>
      </c>
      <c r="S50" s="1" t="s">
        <v>135</v>
      </c>
      <c r="T50" s="1" t="s">
        <v>388</v>
      </c>
      <c r="U50" s="1" t="s">
        <v>135</v>
      </c>
      <c r="V50" s="1" t="s">
        <v>74</v>
      </c>
      <c r="W50" s="1" t="s">
        <v>471</v>
      </c>
      <c r="X50" s="1" t="s">
        <v>576</v>
      </c>
      <c r="Y50" s="1" t="s">
        <v>76</v>
      </c>
      <c r="Z50">
        <v>3</v>
      </c>
      <c r="AA50" s="1" t="s">
        <v>598</v>
      </c>
      <c r="AB50">
        <v>330</v>
      </c>
      <c r="AC50" s="1" t="s">
        <v>198</v>
      </c>
      <c r="AD50" s="1" t="s">
        <v>89</v>
      </c>
      <c r="AE50" s="1" t="s">
        <v>723</v>
      </c>
      <c r="AF50">
        <v>0</v>
      </c>
      <c r="AG50">
        <v>0</v>
      </c>
      <c r="AH50">
        <v>4521</v>
      </c>
      <c r="AI50">
        <v>0</v>
      </c>
      <c r="AJ50">
        <v>4521</v>
      </c>
      <c r="AK50">
        <v>0</v>
      </c>
      <c r="AL50">
        <v>4521</v>
      </c>
      <c r="AM50">
        <v>0</v>
      </c>
      <c r="AN50" s="1"/>
      <c r="AP50" s="1"/>
      <c r="AQ50" s="1"/>
      <c r="AR50" s="1"/>
      <c r="AS50" s="1"/>
      <c r="AT50" s="3"/>
      <c r="AU50" s="3"/>
      <c r="AV50" s="3"/>
      <c r="AW50" s="1"/>
      <c r="AX50" s="1"/>
      <c r="AZ50">
        <v>76</v>
      </c>
      <c r="BA50">
        <v>260953.83</v>
      </c>
      <c r="BB50" s="1"/>
      <c r="BD50" s="1"/>
      <c r="BE50" s="1"/>
      <c r="BG50" s="1"/>
      <c r="BH50" s="1"/>
      <c r="BJ50" s="1"/>
      <c r="BL50" s="1"/>
      <c r="BN50" s="1"/>
      <c r="BO50">
        <v>186</v>
      </c>
      <c r="BP50">
        <v>260953.83</v>
      </c>
      <c r="BQ50">
        <v>260953.83</v>
      </c>
    </row>
    <row r="51" spans="1:69" x14ac:dyDescent="0.35">
      <c r="A51" s="1" t="s">
        <v>68</v>
      </c>
      <c r="B51" s="1" t="s">
        <v>69</v>
      </c>
      <c r="C51" s="1" t="s">
        <v>70</v>
      </c>
      <c r="D51">
        <v>1</v>
      </c>
      <c r="E51">
        <v>1</v>
      </c>
      <c r="F51" s="2">
        <v>43584.863483796296</v>
      </c>
      <c r="G51" s="3">
        <v>40909</v>
      </c>
      <c r="H51" s="3">
        <v>41274</v>
      </c>
      <c r="I51" s="1" t="s">
        <v>71</v>
      </c>
      <c r="J51">
        <v>4521</v>
      </c>
      <c r="K51">
        <v>0</v>
      </c>
      <c r="L51" s="1" t="s">
        <v>384</v>
      </c>
      <c r="M51" s="1" t="s">
        <v>72</v>
      </c>
      <c r="N51" s="1" t="s">
        <v>134</v>
      </c>
      <c r="O51" s="1" t="s">
        <v>385</v>
      </c>
      <c r="P51" s="1" t="s">
        <v>386</v>
      </c>
      <c r="Q51" s="1" t="s">
        <v>387</v>
      </c>
      <c r="R51">
        <v>103</v>
      </c>
      <c r="S51" s="1" t="s">
        <v>135</v>
      </c>
      <c r="T51" s="1" t="s">
        <v>388</v>
      </c>
      <c r="U51" s="1" t="s">
        <v>135</v>
      </c>
      <c r="V51" s="1" t="s">
        <v>74</v>
      </c>
      <c r="W51" s="1" t="s">
        <v>1306</v>
      </c>
      <c r="X51" s="1" t="s">
        <v>1323</v>
      </c>
      <c r="Y51" s="1" t="s">
        <v>77</v>
      </c>
      <c r="Z51">
        <v>4</v>
      </c>
      <c r="AA51" s="1" t="s">
        <v>81</v>
      </c>
      <c r="AB51">
        <v>402</v>
      </c>
      <c r="AC51" s="1" t="s">
        <v>1323</v>
      </c>
      <c r="AD51" s="1"/>
      <c r="AE51" s="1" t="s">
        <v>1323</v>
      </c>
      <c r="AF51">
        <v>0</v>
      </c>
      <c r="AG51">
        <v>0</v>
      </c>
      <c r="AH51">
        <v>4790</v>
      </c>
      <c r="AI51">
        <v>0</v>
      </c>
      <c r="AJ51">
        <v>4790</v>
      </c>
      <c r="AK51">
        <v>0</v>
      </c>
      <c r="AL51">
        <v>4790</v>
      </c>
      <c r="AM51">
        <v>0</v>
      </c>
      <c r="AN51" s="1"/>
      <c r="AP51" s="1"/>
      <c r="AQ51" s="1"/>
      <c r="AR51" s="1"/>
      <c r="AS51" s="1"/>
      <c r="AT51" s="3"/>
      <c r="AU51" s="3"/>
      <c r="AV51" s="3"/>
      <c r="AW51" s="1"/>
      <c r="AX51" s="1"/>
      <c r="AZ51">
        <v>76</v>
      </c>
      <c r="BA51">
        <v>260953.83</v>
      </c>
      <c r="BB51" s="1"/>
      <c r="BD51" s="1"/>
      <c r="BE51" s="1"/>
      <c r="BG51" s="1"/>
      <c r="BH51" s="1"/>
      <c r="BJ51" s="1"/>
      <c r="BL51" s="1"/>
      <c r="BN51" s="1"/>
      <c r="BO51">
        <v>186</v>
      </c>
      <c r="BP51">
        <v>260953.83</v>
      </c>
      <c r="BQ51">
        <v>260953.83</v>
      </c>
    </row>
    <row r="52" spans="1:69" x14ac:dyDescent="0.35">
      <c r="A52" s="1" t="s">
        <v>68</v>
      </c>
      <c r="B52" s="1" t="s">
        <v>69</v>
      </c>
      <c r="C52" s="1" t="s">
        <v>70</v>
      </c>
      <c r="D52">
        <v>1</v>
      </c>
      <c r="E52">
        <v>1</v>
      </c>
      <c r="F52" s="2">
        <v>43584.863483796296</v>
      </c>
      <c r="G52" s="3">
        <v>40909</v>
      </c>
      <c r="H52" s="3">
        <v>41274</v>
      </c>
      <c r="I52" s="1" t="s">
        <v>71</v>
      </c>
      <c r="J52">
        <v>4521</v>
      </c>
      <c r="K52">
        <v>0</v>
      </c>
      <c r="L52" s="1" t="s">
        <v>384</v>
      </c>
      <c r="M52" s="1" t="s">
        <v>72</v>
      </c>
      <c r="N52" s="1" t="s">
        <v>134</v>
      </c>
      <c r="O52" s="1" t="s">
        <v>385</v>
      </c>
      <c r="P52" s="1" t="s">
        <v>386</v>
      </c>
      <c r="Q52" s="1" t="s">
        <v>387</v>
      </c>
      <c r="R52">
        <v>103</v>
      </c>
      <c r="S52" s="1" t="s">
        <v>135</v>
      </c>
      <c r="T52" s="1" t="s">
        <v>388</v>
      </c>
      <c r="U52" s="1" t="s">
        <v>135</v>
      </c>
      <c r="V52" s="1" t="s">
        <v>74</v>
      </c>
      <c r="W52" s="1" t="s">
        <v>473</v>
      </c>
      <c r="X52" s="1" t="s">
        <v>141</v>
      </c>
      <c r="Y52" s="1" t="s">
        <v>77</v>
      </c>
      <c r="Z52">
        <v>4</v>
      </c>
      <c r="AA52" s="1" t="s">
        <v>81</v>
      </c>
      <c r="AB52">
        <v>403</v>
      </c>
      <c r="AC52" s="1" t="s">
        <v>141</v>
      </c>
      <c r="AD52" s="1"/>
      <c r="AE52" s="1" t="s">
        <v>141</v>
      </c>
      <c r="AF52">
        <v>0</v>
      </c>
      <c r="AG52">
        <v>0</v>
      </c>
      <c r="AH52">
        <v>14856.86</v>
      </c>
      <c r="AI52">
        <v>0</v>
      </c>
      <c r="AJ52">
        <v>14856.86</v>
      </c>
      <c r="AK52">
        <v>0</v>
      </c>
      <c r="AL52">
        <v>14856.86</v>
      </c>
      <c r="AM52">
        <v>0</v>
      </c>
      <c r="AN52" s="1"/>
      <c r="AP52" s="1"/>
      <c r="AQ52" s="1"/>
      <c r="AR52" s="1"/>
      <c r="AS52" s="1"/>
      <c r="AT52" s="3"/>
      <c r="AU52" s="3"/>
      <c r="AV52" s="3"/>
      <c r="AW52" s="1"/>
      <c r="AX52" s="1"/>
      <c r="AZ52">
        <v>76</v>
      </c>
      <c r="BA52">
        <v>260953.83</v>
      </c>
      <c r="BB52" s="1"/>
      <c r="BD52" s="1"/>
      <c r="BE52" s="1"/>
      <c r="BG52" s="1"/>
      <c r="BH52" s="1"/>
      <c r="BJ52" s="1"/>
      <c r="BL52" s="1"/>
      <c r="BN52" s="1"/>
      <c r="BO52">
        <v>186</v>
      </c>
      <c r="BP52">
        <v>260953.83</v>
      </c>
      <c r="BQ52">
        <v>260953.83</v>
      </c>
    </row>
    <row r="53" spans="1:69" x14ac:dyDescent="0.35">
      <c r="A53" s="1" t="s">
        <v>68</v>
      </c>
      <c r="B53" s="1" t="s">
        <v>69</v>
      </c>
      <c r="C53" s="1" t="s">
        <v>70</v>
      </c>
      <c r="D53">
        <v>1</v>
      </c>
      <c r="E53">
        <v>1</v>
      </c>
      <c r="F53" s="2">
        <v>43584.863483796296</v>
      </c>
      <c r="G53" s="3">
        <v>40909</v>
      </c>
      <c r="H53" s="3">
        <v>41274</v>
      </c>
      <c r="I53" s="1" t="s">
        <v>71</v>
      </c>
      <c r="J53">
        <v>4521</v>
      </c>
      <c r="K53">
        <v>0</v>
      </c>
      <c r="L53" s="1" t="s">
        <v>384</v>
      </c>
      <c r="M53" s="1" t="s">
        <v>72</v>
      </c>
      <c r="N53" s="1" t="s">
        <v>134</v>
      </c>
      <c r="O53" s="1" t="s">
        <v>385</v>
      </c>
      <c r="P53" s="1" t="s">
        <v>386</v>
      </c>
      <c r="Q53" s="1" t="s">
        <v>387</v>
      </c>
      <c r="R53">
        <v>103</v>
      </c>
      <c r="S53" s="1" t="s">
        <v>135</v>
      </c>
      <c r="T53" s="1" t="s">
        <v>388</v>
      </c>
      <c r="U53" s="1" t="s">
        <v>135</v>
      </c>
      <c r="V53" s="1" t="s">
        <v>74</v>
      </c>
      <c r="W53" s="1" t="s">
        <v>474</v>
      </c>
      <c r="X53" s="1" t="s">
        <v>578</v>
      </c>
      <c r="Y53" s="1" t="s">
        <v>77</v>
      </c>
      <c r="Z53">
        <v>4</v>
      </c>
      <c r="AA53" s="1" t="s">
        <v>81</v>
      </c>
      <c r="AB53">
        <v>404</v>
      </c>
      <c r="AC53" s="1" t="s">
        <v>142</v>
      </c>
      <c r="AD53" s="1" t="s">
        <v>93</v>
      </c>
      <c r="AE53" s="1" t="s">
        <v>725</v>
      </c>
      <c r="AF53">
        <v>0</v>
      </c>
      <c r="AG53">
        <v>0</v>
      </c>
      <c r="AH53">
        <v>50</v>
      </c>
      <c r="AI53">
        <v>0</v>
      </c>
      <c r="AJ53">
        <v>50</v>
      </c>
      <c r="AK53">
        <v>0</v>
      </c>
      <c r="AL53">
        <v>50</v>
      </c>
      <c r="AM53">
        <v>0</v>
      </c>
      <c r="AN53" s="1"/>
      <c r="AP53" s="1"/>
      <c r="AQ53" s="1"/>
      <c r="AR53" s="1"/>
      <c r="AS53" s="1"/>
      <c r="AT53" s="3"/>
      <c r="AU53" s="3"/>
      <c r="AV53" s="3"/>
      <c r="AW53" s="1"/>
      <c r="AX53" s="1"/>
      <c r="AZ53">
        <v>76</v>
      </c>
      <c r="BA53">
        <v>260953.83</v>
      </c>
      <c r="BB53" s="1"/>
      <c r="BD53" s="1"/>
      <c r="BE53" s="1"/>
      <c r="BG53" s="1"/>
      <c r="BH53" s="1"/>
      <c r="BJ53" s="1"/>
      <c r="BL53" s="1"/>
      <c r="BN53" s="1"/>
      <c r="BO53">
        <v>186</v>
      </c>
      <c r="BP53">
        <v>260953.83</v>
      </c>
      <c r="BQ53">
        <v>260953.83</v>
      </c>
    </row>
    <row r="54" spans="1:69" x14ac:dyDescent="0.35">
      <c r="A54" s="1" t="s">
        <v>68</v>
      </c>
      <c r="B54" s="1" t="s">
        <v>69</v>
      </c>
      <c r="C54" s="1" t="s">
        <v>70</v>
      </c>
      <c r="D54">
        <v>1</v>
      </c>
      <c r="E54">
        <v>1</v>
      </c>
      <c r="F54" s="2">
        <v>43584.863483796296</v>
      </c>
      <c r="G54" s="3">
        <v>40909</v>
      </c>
      <c r="H54" s="3">
        <v>41274</v>
      </c>
      <c r="I54" s="1" t="s">
        <v>71</v>
      </c>
      <c r="J54">
        <v>4521</v>
      </c>
      <c r="K54">
        <v>0</v>
      </c>
      <c r="L54" s="1" t="s">
        <v>384</v>
      </c>
      <c r="M54" s="1" t="s">
        <v>72</v>
      </c>
      <c r="N54" s="1" t="s">
        <v>134</v>
      </c>
      <c r="O54" s="1" t="s">
        <v>385</v>
      </c>
      <c r="P54" s="1" t="s">
        <v>386</v>
      </c>
      <c r="Q54" s="1" t="s">
        <v>387</v>
      </c>
      <c r="R54">
        <v>103</v>
      </c>
      <c r="S54" s="1" t="s">
        <v>135</v>
      </c>
      <c r="T54" s="1" t="s">
        <v>388</v>
      </c>
      <c r="U54" s="1" t="s">
        <v>135</v>
      </c>
      <c r="V54" s="1" t="s">
        <v>74</v>
      </c>
      <c r="W54" s="1" t="s">
        <v>475</v>
      </c>
      <c r="X54" s="1" t="s">
        <v>579</v>
      </c>
      <c r="Y54" s="1" t="s">
        <v>77</v>
      </c>
      <c r="Z54">
        <v>4</v>
      </c>
      <c r="AA54" s="1" t="s">
        <v>81</v>
      </c>
      <c r="AB54">
        <v>407</v>
      </c>
      <c r="AC54" s="1" t="s">
        <v>143</v>
      </c>
      <c r="AD54" s="1" t="s">
        <v>88</v>
      </c>
      <c r="AE54" s="1" t="s">
        <v>726</v>
      </c>
      <c r="AF54">
        <v>0</v>
      </c>
      <c r="AG54">
        <v>0</v>
      </c>
      <c r="AH54">
        <v>150</v>
      </c>
      <c r="AI54">
        <v>0</v>
      </c>
      <c r="AJ54">
        <v>150</v>
      </c>
      <c r="AK54">
        <v>0</v>
      </c>
      <c r="AL54">
        <v>150</v>
      </c>
      <c r="AM54">
        <v>0</v>
      </c>
      <c r="AN54" s="1"/>
      <c r="AP54" s="1"/>
      <c r="AQ54" s="1"/>
      <c r="AR54" s="1"/>
      <c r="AS54" s="1"/>
      <c r="AT54" s="3"/>
      <c r="AU54" s="3"/>
      <c r="AV54" s="3"/>
      <c r="AW54" s="1"/>
      <c r="AX54" s="1"/>
      <c r="AZ54">
        <v>76</v>
      </c>
      <c r="BA54">
        <v>260953.83</v>
      </c>
      <c r="BB54" s="1"/>
      <c r="BD54" s="1"/>
      <c r="BE54" s="1"/>
      <c r="BG54" s="1"/>
      <c r="BH54" s="1"/>
      <c r="BJ54" s="1"/>
      <c r="BL54" s="1"/>
      <c r="BN54" s="1"/>
      <c r="BO54">
        <v>186</v>
      </c>
      <c r="BP54">
        <v>260953.83</v>
      </c>
      <c r="BQ54">
        <v>260953.83</v>
      </c>
    </row>
    <row r="55" spans="1:69" x14ac:dyDescent="0.35">
      <c r="A55" s="1" t="s">
        <v>68</v>
      </c>
      <c r="B55" s="1" t="s">
        <v>69</v>
      </c>
      <c r="C55" s="1" t="s">
        <v>70</v>
      </c>
      <c r="D55">
        <v>1</v>
      </c>
      <c r="E55">
        <v>1</v>
      </c>
      <c r="F55" s="2">
        <v>43584.863483796296</v>
      </c>
      <c r="G55" s="3">
        <v>40909</v>
      </c>
      <c r="H55" s="3">
        <v>41274</v>
      </c>
      <c r="I55" s="1" t="s">
        <v>71</v>
      </c>
      <c r="J55">
        <v>4521</v>
      </c>
      <c r="K55">
        <v>0</v>
      </c>
      <c r="L55" s="1" t="s">
        <v>384</v>
      </c>
      <c r="M55" s="1" t="s">
        <v>72</v>
      </c>
      <c r="N55" s="1" t="s">
        <v>134</v>
      </c>
      <c r="O55" s="1" t="s">
        <v>385</v>
      </c>
      <c r="P55" s="1" t="s">
        <v>386</v>
      </c>
      <c r="Q55" s="1" t="s">
        <v>387</v>
      </c>
      <c r="R55">
        <v>103</v>
      </c>
      <c r="S55" s="1" t="s">
        <v>135</v>
      </c>
      <c r="T55" s="1" t="s">
        <v>388</v>
      </c>
      <c r="U55" s="1" t="s">
        <v>135</v>
      </c>
      <c r="V55" s="1" t="s">
        <v>74</v>
      </c>
      <c r="W55" s="1" t="s">
        <v>477</v>
      </c>
      <c r="X55" s="1" t="s">
        <v>581</v>
      </c>
      <c r="Y55" s="1" t="s">
        <v>77</v>
      </c>
      <c r="Z55">
        <v>4</v>
      </c>
      <c r="AA55" s="1" t="s">
        <v>81</v>
      </c>
      <c r="AB55">
        <v>407</v>
      </c>
      <c r="AC55" s="1" t="s">
        <v>143</v>
      </c>
      <c r="AD55" s="1" t="s">
        <v>91</v>
      </c>
      <c r="AE55" s="1" t="s">
        <v>728</v>
      </c>
      <c r="AF55">
        <v>0</v>
      </c>
      <c r="AG55">
        <v>0</v>
      </c>
      <c r="AH55">
        <v>800</v>
      </c>
      <c r="AI55">
        <v>0</v>
      </c>
      <c r="AJ55">
        <v>800</v>
      </c>
      <c r="AK55">
        <v>0</v>
      </c>
      <c r="AL55">
        <v>800</v>
      </c>
      <c r="AM55">
        <v>0</v>
      </c>
      <c r="AN55" s="1"/>
      <c r="AP55" s="1"/>
      <c r="AQ55" s="1"/>
      <c r="AR55" s="1"/>
      <c r="AS55" s="1"/>
      <c r="AT55" s="3"/>
      <c r="AU55" s="3"/>
      <c r="AV55" s="3"/>
      <c r="AW55" s="1"/>
      <c r="AX55" s="1"/>
      <c r="AZ55">
        <v>76</v>
      </c>
      <c r="BA55">
        <v>260953.83</v>
      </c>
      <c r="BB55" s="1"/>
      <c r="BD55" s="1"/>
      <c r="BE55" s="1"/>
      <c r="BG55" s="1"/>
      <c r="BH55" s="1"/>
      <c r="BJ55" s="1"/>
      <c r="BL55" s="1"/>
      <c r="BN55" s="1"/>
      <c r="BO55">
        <v>186</v>
      </c>
      <c r="BP55">
        <v>260953.83</v>
      </c>
      <c r="BQ55">
        <v>260953.83</v>
      </c>
    </row>
    <row r="56" spans="1:69" x14ac:dyDescent="0.35">
      <c r="A56" s="1" t="s">
        <v>68</v>
      </c>
      <c r="B56" s="1" t="s">
        <v>69</v>
      </c>
      <c r="C56" s="1" t="s">
        <v>70</v>
      </c>
      <c r="D56">
        <v>1</v>
      </c>
      <c r="E56">
        <v>1</v>
      </c>
      <c r="F56" s="2">
        <v>43584.863483796296</v>
      </c>
      <c r="G56" s="3">
        <v>40909</v>
      </c>
      <c r="H56" s="3">
        <v>41274</v>
      </c>
      <c r="I56" s="1" t="s">
        <v>71</v>
      </c>
      <c r="J56">
        <v>4521</v>
      </c>
      <c r="K56">
        <v>0</v>
      </c>
      <c r="L56" s="1" t="s">
        <v>384</v>
      </c>
      <c r="M56" s="1" t="s">
        <v>72</v>
      </c>
      <c r="N56" s="1" t="s">
        <v>134</v>
      </c>
      <c r="O56" s="1" t="s">
        <v>385</v>
      </c>
      <c r="P56" s="1" t="s">
        <v>386</v>
      </c>
      <c r="Q56" s="1" t="s">
        <v>387</v>
      </c>
      <c r="R56">
        <v>103</v>
      </c>
      <c r="S56" s="1" t="s">
        <v>135</v>
      </c>
      <c r="T56" s="1" t="s">
        <v>388</v>
      </c>
      <c r="U56" s="1" t="s">
        <v>135</v>
      </c>
      <c r="V56" s="1" t="s">
        <v>74</v>
      </c>
      <c r="W56" s="1" t="s">
        <v>136</v>
      </c>
      <c r="X56" s="1" t="s">
        <v>582</v>
      </c>
      <c r="Y56" s="1" t="s">
        <v>77</v>
      </c>
      <c r="Z56">
        <v>4</v>
      </c>
      <c r="AA56" s="1" t="s">
        <v>81</v>
      </c>
      <c r="AB56">
        <v>490</v>
      </c>
      <c r="AC56" s="1" t="s">
        <v>582</v>
      </c>
      <c r="AD56" s="1"/>
      <c r="AE56" s="1" t="s">
        <v>582</v>
      </c>
      <c r="AF56">
        <v>0</v>
      </c>
      <c r="AG56">
        <v>0</v>
      </c>
      <c r="AH56">
        <v>0</v>
      </c>
      <c r="AI56">
        <v>20646.86</v>
      </c>
      <c r="AJ56">
        <v>0</v>
      </c>
      <c r="AK56">
        <v>20646.86</v>
      </c>
      <c r="AL56">
        <v>0</v>
      </c>
      <c r="AM56">
        <v>20646.86</v>
      </c>
      <c r="AN56" s="1"/>
      <c r="AP56" s="1"/>
      <c r="AQ56" s="1"/>
      <c r="AR56" s="1"/>
      <c r="AS56" s="1"/>
      <c r="AT56" s="3"/>
      <c r="AU56" s="3"/>
      <c r="AV56" s="3"/>
      <c r="AW56" s="1"/>
      <c r="AX56" s="1"/>
      <c r="AZ56">
        <v>76</v>
      </c>
      <c r="BA56">
        <v>260953.83</v>
      </c>
      <c r="BB56" s="1"/>
      <c r="BD56" s="1"/>
      <c r="BE56" s="1"/>
      <c r="BG56" s="1"/>
      <c r="BH56" s="1"/>
      <c r="BJ56" s="1"/>
      <c r="BL56" s="1"/>
      <c r="BN56" s="1"/>
      <c r="BO56">
        <v>186</v>
      </c>
      <c r="BP56">
        <v>260953.83</v>
      </c>
      <c r="BQ56">
        <v>260953.83</v>
      </c>
    </row>
    <row r="57" spans="1:69" x14ac:dyDescent="0.35">
      <c r="A57" s="1" t="s">
        <v>68</v>
      </c>
      <c r="B57" s="1" t="s">
        <v>69</v>
      </c>
      <c r="C57" s="1" t="s">
        <v>70</v>
      </c>
      <c r="D57">
        <v>1</v>
      </c>
      <c r="E57">
        <v>1</v>
      </c>
      <c r="F57" s="2">
        <v>43584.863483796296</v>
      </c>
      <c r="G57" s="3">
        <v>40909</v>
      </c>
      <c r="H57" s="3">
        <v>41274</v>
      </c>
      <c r="I57" s="1" t="s">
        <v>71</v>
      </c>
      <c r="J57">
        <v>4521</v>
      </c>
      <c r="K57">
        <v>0</v>
      </c>
      <c r="L57" s="1" t="s">
        <v>384</v>
      </c>
      <c r="M57" s="1" t="s">
        <v>72</v>
      </c>
      <c r="N57" s="1" t="s">
        <v>134</v>
      </c>
      <c r="O57" s="1" t="s">
        <v>385</v>
      </c>
      <c r="P57" s="1" t="s">
        <v>386</v>
      </c>
      <c r="Q57" s="1" t="s">
        <v>387</v>
      </c>
      <c r="R57">
        <v>103</v>
      </c>
      <c r="S57" s="1" t="s">
        <v>135</v>
      </c>
      <c r="T57" s="1" t="s">
        <v>388</v>
      </c>
      <c r="U57" s="1" t="s">
        <v>135</v>
      </c>
      <c r="V57" s="1" t="s">
        <v>74</v>
      </c>
      <c r="W57" s="1" t="s">
        <v>478</v>
      </c>
      <c r="X57" s="1" t="s">
        <v>583</v>
      </c>
      <c r="Y57" s="1" t="s">
        <v>77</v>
      </c>
      <c r="Z57">
        <v>5</v>
      </c>
      <c r="AA57" s="1" t="s">
        <v>138</v>
      </c>
      <c r="AB57">
        <v>501</v>
      </c>
      <c r="AC57" s="1" t="s">
        <v>613</v>
      </c>
      <c r="AD57" s="1" t="s">
        <v>88</v>
      </c>
      <c r="AE57" s="1" t="s">
        <v>729</v>
      </c>
      <c r="AF57">
        <v>0</v>
      </c>
      <c r="AG57">
        <v>0</v>
      </c>
      <c r="AH57">
        <v>950</v>
      </c>
      <c r="AI57">
        <v>0</v>
      </c>
      <c r="AJ57">
        <v>950</v>
      </c>
      <c r="AK57">
        <v>0</v>
      </c>
      <c r="AL57">
        <v>950</v>
      </c>
      <c r="AM57">
        <v>0</v>
      </c>
      <c r="AN57" s="1"/>
      <c r="AP57" s="1"/>
      <c r="AQ57" s="1"/>
      <c r="AR57" s="1"/>
      <c r="AS57" s="1"/>
      <c r="AT57" s="3"/>
      <c r="AU57" s="3"/>
      <c r="AV57" s="3"/>
      <c r="AW57" s="1"/>
      <c r="AX57" s="1"/>
      <c r="AZ57">
        <v>76</v>
      </c>
      <c r="BA57">
        <v>260953.83</v>
      </c>
      <c r="BB57" s="1"/>
      <c r="BD57" s="1"/>
      <c r="BE57" s="1"/>
      <c r="BG57" s="1"/>
      <c r="BH57" s="1"/>
      <c r="BJ57" s="1"/>
      <c r="BL57" s="1"/>
      <c r="BN57" s="1"/>
      <c r="BO57">
        <v>186</v>
      </c>
      <c r="BP57">
        <v>260953.83</v>
      </c>
      <c r="BQ57">
        <v>260953.83</v>
      </c>
    </row>
    <row r="58" spans="1:69" x14ac:dyDescent="0.35">
      <c r="A58" s="1" t="s">
        <v>68</v>
      </c>
      <c r="B58" s="1" t="s">
        <v>69</v>
      </c>
      <c r="C58" s="1" t="s">
        <v>70</v>
      </c>
      <c r="D58">
        <v>1</v>
      </c>
      <c r="E58">
        <v>1</v>
      </c>
      <c r="F58" s="2">
        <v>43584.863483796296</v>
      </c>
      <c r="G58" s="3">
        <v>40909</v>
      </c>
      <c r="H58" s="3">
        <v>41274</v>
      </c>
      <c r="I58" s="1" t="s">
        <v>71</v>
      </c>
      <c r="J58">
        <v>4521</v>
      </c>
      <c r="K58">
        <v>0</v>
      </c>
      <c r="L58" s="1" t="s">
        <v>384</v>
      </c>
      <c r="M58" s="1" t="s">
        <v>72</v>
      </c>
      <c r="N58" s="1" t="s">
        <v>134</v>
      </c>
      <c r="O58" s="1" t="s">
        <v>385</v>
      </c>
      <c r="P58" s="1" t="s">
        <v>386</v>
      </c>
      <c r="Q58" s="1" t="s">
        <v>387</v>
      </c>
      <c r="R58">
        <v>103</v>
      </c>
      <c r="S58" s="1" t="s">
        <v>135</v>
      </c>
      <c r="T58" s="1" t="s">
        <v>388</v>
      </c>
      <c r="U58" s="1" t="s">
        <v>135</v>
      </c>
      <c r="V58" s="1" t="s">
        <v>74</v>
      </c>
      <c r="W58" s="1" t="s">
        <v>480</v>
      </c>
      <c r="X58" s="1" t="s">
        <v>585</v>
      </c>
      <c r="Y58" s="1" t="s">
        <v>77</v>
      </c>
      <c r="Z58">
        <v>5</v>
      </c>
      <c r="AA58" s="1" t="s">
        <v>138</v>
      </c>
      <c r="AB58">
        <v>510</v>
      </c>
      <c r="AC58" s="1" t="s">
        <v>585</v>
      </c>
      <c r="AD58" s="1"/>
      <c r="AE58" s="1" t="s">
        <v>585</v>
      </c>
      <c r="AF58">
        <v>0</v>
      </c>
      <c r="AG58">
        <v>0</v>
      </c>
      <c r="AH58">
        <v>16147.86</v>
      </c>
      <c r="AI58">
        <v>0</v>
      </c>
      <c r="AJ58">
        <v>16147.86</v>
      </c>
      <c r="AK58">
        <v>0</v>
      </c>
      <c r="AL58">
        <v>16147.86</v>
      </c>
      <c r="AM58">
        <v>0</v>
      </c>
      <c r="AN58" s="1"/>
      <c r="AP58" s="1"/>
      <c r="AQ58" s="1"/>
      <c r="AR58" s="1"/>
      <c r="AS58" s="1"/>
      <c r="AT58" s="3"/>
      <c r="AU58" s="3"/>
      <c r="AV58" s="3"/>
      <c r="AW58" s="1"/>
      <c r="AX58" s="1"/>
      <c r="AZ58">
        <v>76</v>
      </c>
      <c r="BA58">
        <v>260953.83</v>
      </c>
      <c r="BB58" s="1"/>
      <c r="BD58" s="1"/>
      <c r="BE58" s="1"/>
      <c r="BG58" s="1"/>
      <c r="BH58" s="1"/>
      <c r="BJ58" s="1"/>
      <c r="BL58" s="1"/>
      <c r="BN58" s="1"/>
      <c r="BO58">
        <v>186</v>
      </c>
      <c r="BP58">
        <v>260953.83</v>
      </c>
      <c r="BQ58">
        <v>260953.83</v>
      </c>
    </row>
    <row r="59" spans="1:69" x14ac:dyDescent="0.35">
      <c r="A59" s="1" t="s">
        <v>68</v>
      </c>
      <c r="B59" s="1" t="s">
        <v>69</v>
      </c>
      <c r="C59" s="1" t="s">
        <v>70</v>
      </c>
      <c r="D59">
        <v>1</v>
      </c>
      <c r="E59">
        <v>1</v>
      </c>
      <c r="F59" s="2">
        <v>43584.863483796296</v>
      </c>
      <c r="G59" s="3">
        <v>40909</v>
      </c>
      <c r="H59" s="3">
        <v>41274</v>
      </c>
      <c r="I59" s="1" t="s">
        <v>71</v>
      </c>
      <c r="J59">
        <v>4521</v>
      </c>
      <c r="K59">
        <v>0</v>
      </c>
      <c r="L59" s="1" t="s">
        <v>384</v>
      </c>
      <c r="M59" s="1" t="s">
        <v>72</v>
      </c>
      <c r="N59" s="1" t="s">
        <v>134</v>
      </c>
      <c r="O59" s="1" t="s">
        <v>385</v>
      </c>
      <c r="P59" s="1" t="s">
        <v>386</v>
      </c>
      <c r="Q59" s="1" t="s">
        <v>387</v>
      </c>
      <c r="R59">
        <v>103</v>
      </c>
      <c r="S59" s="1" t="s">
        <v>135</v>
      </c>
      <c r="T59" s="1" t="s">
        <v>388</v>
      </c>
      <c r="U59" s="1" t="s">
        <v>135</v>
      </c>
      <c r="V59" s="1" t="s">
        <v>74</v>
      </c>
      <c r="W59" s="1" t="s">
        <v>1307</v>
      </c>
      <c r="X59" s="1" t="s">
        <v>1324</v>
      </c>
      <c r="Y59" s="1" t="s">
        <v>77</v>
      </c>
      <c r="Z59">
        <v>5</v>
      </c>
      <c r="AA59" s="1" t="s">
        <v>138</v>
      </c>
      <c r="AB59">
        <v>530</v>
      </c>
      <c r="AC59" s="1" t="s">
        <v>1324</v>
      </c>
      <c r="AD59" s="1"/>
      <c r="AE59" s="1" t="s">
        <v>1324</v>
      </c>
      <c r="AF59">
        <v>0</v>
      </c>
      <c r="AG59">
        <v>0</v>
      </c>
      <c r="AH59">
        <v>3499</v>
      </c>
      <c r="AI59">
        <v>0</v>
      </c>
      <c r="AJ59">
        <v>3499</v>
      </c>
      <c r="AK59">
        <v>0</v>
      </c>
      <c r="AL59">
        <v>3499</v>
      </c>
      <c r="AM59">
        <v>0</v>
      </c>
      <c r="AN59" s="1"/>
      <c r="AP59" s="1"/>
      <c r="AQ59" s="1"/>
      <c r="AR59" s="1"/>
      <c r="AS59" s="1"/>
      <c r="AT59" s="3"/>
      <c r="AU59" s="3"/>
      <c r="AV59" s="3"/>
      <c r="AW59" s="1"/>
      <c r="AX59" s="1"/>
      <c r="AZ59">
        <v>76</v>
      </c>
      <c r="BA59">
        <v>260953.83</v>
      </c>
      <c r="BB59" s="1"/>
      <c r="BD59" s="1"/>
      <c r="BE59" s="1"/>
      <c r="BG59" s="1"/>
      <c r="BH59" s="1"/>
      <c r="BJ59" s="1"/>
      <c r="BL59" s="1"/>
      <c r="BN59" s="1"/>
      <c r="BO59">
        <v>186</v>
      </c>
      <c r="BP59">
        <v>260953.83</v>
      </c>
      <c r="BQ59">
        <v>260953.83</v>
      </c>
    </row>
    <row r="60" spans="1:69" x14ac:dyDescent="0.35">
      <c r="A60" s="1" t="s">
        <v>68</v>
      </c>
      <c r="B60" s="1" t="s">
        <v>69</v>
      </c>
      <c r="C60" s="1" t="s">
        <v>70</v>
      </c>
      <c r="D60">
        <v>1</v>
      </c>
      <c r="E60">
        <v>1</v>
      </c>
      <c r="F60" s="2">
        <v>43584.863483796296</v>
      </c>
      <c r="G60" s="3">
        <v>40909</v>
      </c>
      <c r="H60" s="3">
        <v>41274</v>
      </c>
      <c r="I60" s="1" t="s">
        <v>71</v>
      </c>
      <c r="J60">
        <v>4521</v>
      </c>
      <c r="K60">
        <v>0</v>
      </c>
      <c r="L60" s="1" t="s">
        <v>384</v>
      </c>
      <c r="M60" s="1" t="s">
        <v>72</v>
      </c>
      <c r="N60" s="1" t="s">
        <v>134</v>
      </c>
      <c r="O60" s="1" t="s">
        <v>385</v>
      </c>
      <c r="P60" s="1" t="s">
        <v>386</v>
      </c>
      <c r="Q60" s="1" t="s">
        <v>387</v>
      </c>
      <c r="R60">
        <v>103</v>
      </c>
      <c r="S60" s="1" t="s">
        <v>135</v>
      </c>
      <c r="T60" s="1" t="s">
        <v>388</v>
      </c>
      <c r="U60" s="1" t="s">
        <v>135</v>
      </c>
      <c r="V60" s="1" t="s">
        <v>74</v>
      </c>
      <c r="W60" s="1" t="s">
        <v>482</v>
      </c>
      <c r="X60" s="1" t="s">
        <v>587</v>
      </c>
      <c r="Y60" s="1" t="s">
        <v>77</v>
      </c>
      <c r="Z60">
        <v>5</v>
      </c>
      <c r="AA60" s="1" t="s">
        <v>138</v>
      </c>
      <c r="AB60">
        <v>550</v>
      </c>
      <c r="AC60" s="1" t="s">
        <v>615</v>
      </c>
      <c r="AD60" s="1" t="s">
        <v>88</v>
      </c>
      <c r="AE60" s="1" t="s">
        <v>729</v>
      </c>
      <c r="AF60">
        <v>0</v>
      </c>
      <c r="AG60">
        <v>0</v>
      </c>
      <c r="AH60">
        <v>50</v>
      </c>
      <c r="AI60">
        <v>0</v>
      </c>
      <c r="AJ60">
        <v>50</v>
      </c>
      <c r="AK60">
        <v>0</v>
      </c>
      <c r="AL60">
        <v>50</v>
      </c>
      <c r="AM60">
        <v>0</v>
      </c>
      <c r="AN60" s="1"/>
      <c r="AP60" s="1"/>
      <c r="AQ60" s="1"/>
      <c r="AR60" s="1"/>
      <c r="AS60" s="1"/>
      <c r="AT60" s="3"/>
      <c r="AU60" s="3"/>
      <c r="AV60" s="3"/>
      <c r="AW60" s="1"/>
      <c r="AX60" s="1"/>
      <c r="AZ60">
        <v>76</v>
      </c>
      <c r="BA60">
        <v>260953.83</v>
      </c>
      <c r="BB60" s="1"/>
      <c r="BD60" s="1"/>
      <c r="BE60" s="1"/>
      <c r="BG60" s="1"/>
      <c r="BH60" s="1"/>
      <c r="BJ60" s="1"/>
      <c r="BL60" s="1"/>
      <c r="BN60" s="1"/>
      <c r="BO60">
        <v>186</v>
      </c>
      <c r="BP60">
        <v>260953.83</v>
      </c>
      <c r="BQ60">
        <v>260953.83</v>
      </c>
    </row>
    <row r="61" spans="1:69" x14ac:dyDescent="0.35">
      <c r="A61" s="1" t="s">
        <v>68</v>
      </c>
      <c r="B61" s="1" t="s">
        <v>69</v>
      </c>
      <c r="C61" s="1" t="s">
        <v>70</v>
      </c>
      <c r="D61">
        <v>1</v>
      </c>
      <c r="E61">
        <v>1</v>
      </c>
      <c r="F61" s="2">
        <v>43584.863483796296</v>
      </c>
      <c r="G61" s="3">
        <v>40909</v>
      </c>
      <c r="H61" s="3">
        <v>41274</v>
      </c>
      <c r="I61" s="1" t="s">
        <v>71</v>
      </c>
      <c r="J61">
        <v>4521</v>
      </c>
      <c r="K61">
        <v>0</v>
      </c>
      <c r="L61" s="1" t="s">
        <v>384</v>
      </c>
      <c r="M61" s="1" t="s">
        <v>72</v>
      </c>
      <c r="N61" s="1" t="s">
        <v>134</v>
      </c>
      <c r="O61" s="1" t="s">
        <v>385</v>
      </c>
      <c r="P61" s="1" t="s">
        <v>386</v>
      </c>
      <c r="Q61" s="1" t="s">
        <v>387</v>
      </c>
      <c r="R61">
        <v>103</v>
      </c>
      <c r="S61" s="1" t="s">
        <v>135</v>
      </c>
      <c r="T61" s="1" t="s">
        <v>388</v>
      </c>
      <c r="U61" s="1" t="s">
        <v>135</v>
      </c>
      <c r="V61" s="1" t="s">
        <v>74</v>
      </c>
      <c r="W61" s="1" t="s">
        <v>484</v>
      </c>
      <c r="X61" s="1" t="s">
        <v>589</v>
      </c>
      <c r="Y61" s="1" t="s">
        <v>76</v>
      </c>
      <c r="Z61">
        <v>6</v>
      </c>
      <c r="AA61" s="1" t="s">
        <v>82</v>
      </c>
      <c r="AB61">
        <v>641</v>
      </c>
      <c r="AC61" s="1" t="s">
        <v>616</v>
      </c>
      <c r="AD61" s="1" t="s">
        <v>89</v>
      </c>
      <c r="AE61" s="1" t="s">
        <v>730</v>
      </c>
      <c r="AF61">
        <v>0</v>
      </c>
      <c r="AG61">
        <v>0</v>
      </c>
      <c r="AH61">
        <v>264</v>
      </c>
      <c r="AI61">
        <v>0</v>
      </c>
      <c r="AJ61">
        <v>264</v>
      </c>
      <c r="AK61">
        <v>0</v>
      </c>
      <c r="AL61">
        <v>264</v>
      </c>
      <c r="AM61">
        <v>0</v>
      </c>
      <c r="AN61" s="1"/>
      <c r="AP61" s="1"/>
      <c r="AQ61" s="1"/>
      <c r="AR61" s="1"/>
      <c r="AS61" s="1"/>
      <c r="AT61" s="3"/>
      <c r="AU61" s="3"/>
      <c r="AV61" s="3"/>
      <c r="AW61" s="1"/>
      <c r="AX61" s="1"/>
      <c r="AZ61">
        <v>76</v>
      </c>
      <c r="BA61">
        <v>260953.83</v>
      </c>
      <c r="BB61" s="1"/>
      <c r="BD61" s="1"/>
      <c r="BE61" s="1"/>
      <c r="BG61" s="1"/>
      <c r="BH61" s="1"/>
      <c r="BJ61" s="1"/>
      <c r="BL61" s="1"/>
      <c r="BN61" s="1"/>
      <c r="BO61">
        <v>186</v>
      </c>
      <c r="BP61">
        <v>260953.83</v>
      </c>
      <c r="BQ61">
        <v>260953.83</v>
      </c>
    </row>
    <row r="62" spans="1:69" x14ac:dyDescent="0.35">
      <c r="A62" s="1" t="s">
        <v>68</v>
      </c>
      <c r="B62" s="1" t="s">
        <v>69</v>
      </c>
      <c r="C62" s="1" t="s">
        <v>70</v>
      </c>
      <c r="D62">
        <v>1</v>
      </c>
      <c r="E62">
        <v>1</v>
      </c>
      <c r="F62" s="2">
        <v>43584.863483796296</v>
      </c>
      <c r="G62" s="3">
        <v>40909</v>
      </c>
      <c r="H62" s="3">
        <v>41274</v>
      </c>
      <c r="I62" s="1" t="s">
        <v>71</v>
      </c>
      <c r="J62">
        <v>4521</v>
      </c>
      <c r="K62">
        <v>0</v>
      </c>
      <c r="L62" s="1" t="s">
        <v>384</v>
      </c>
      <c r="M62" s="1" t="s">
        <v>72</v>
      </c>
      <c r="N62" s="1" t="s">
        <v>134</v>
      </c>
      <c r="O62" s="1" t="s">
        <v>385</v>
      </c>
      <c r="P62" s="1" t="s">
        <v>386</v>
      </c>
      <c r="Q62" s="1" t="s">
        <v>387</v>
      </c>
      <c r="R62">
        <v>103</v>
      </c>
      <c r="S62" s="1" t="s">
        <v>135</v>
      </c>
      <c r="T62" s="1" t="s">
        <v>388</v>
      </c>
      <c r="U62" s="1" t="s">
        <v>135</v>
      </c>
      <c r="V62" s="1" t="s">
        <v>74</v>
      </c>
      <c r="W62" s="1" t="s">
        <v>1308</v>
      </c>
      <c r="X62" s="1" t="s">
        <v>1325</v>
      </c>
      <c r="Y62" s="1" t="s">
        <v>77</v>
      </c>
      <c r="Z62">
        <v>7</v>
      </c>
      <c r="AA62" s="1" t="s">
        <v>83</v>
      </c>
      <c r="AB62">
        <v>702</v>
      </c>
      <c r="AC62" s="1" t="s">
        <v>618</v>
      </c>
      <c r="AD62" s="1" t="s">
        <v>673</v>
      </c>
      <c r="AE62" s="1" t="s">
        <v>732</v>
      </c>
      <c r="AF62">
        <v>0</v>
      </c>
      <c r="AG62">
        <v>0</v>
      </c>
      <c r="AH62">
        <v>0</v>
      </c>
      <c r="AI62">
        <v>500</v>
      </c>
      <c r="AJ62">
        <v>0</v>
      </c>
      <c r="AK62">
        <v>500</v>
      </c>
      <c r="AL62">
        <v>0</v>
      </c>
      <c r="AM62">
        <v>500</v>
      </c>
      <c r="AN62" s="1"/>
      <c r="AP62" s="1"/>
      <c r="AQ62" s="1"/>
      <c r="AR62" s="1"/>
      <c r="AS62" s="1"/>
      <c r="AT62" s="3"/>
      <c r="AU62" s="3"/>
      <c r="AV62" s="3"/>
      <c r="AW62" s="1"/>
      <c r="AX62" s="1"/>
      <c r="AZ62">
        <v>76</v>
      </c>
      <c r="BA62">
        <v>260953.83</v>
      </c>
      <c r="BB62" s="1"/>
      <c r="BD62" s="1"/>
      <c r="BE62" s="1"/>
      <c r="BG62" s="1"/>
      <c r="BH62" s="1"/>
      <c r="BJ62" s="1"/>
      <c r="BL62" s="1"/>
      <c r="BN62" s="1"/>
      <c r="BO62">
        <v>186</v>
      </c>
      <c r="BP62">
        <v>260953.83</v>
      </c>
      <c r="BQ62">
        <v>260953.83</v>
      </c>
    </row>
    <row r="63" spans="1:69" x14ac:dyDescent="0.35">
      <c r="A63" s="1" t="s">
        <v>68</v>
      </c>
      <c r="B63" s="1" t="s">
        <v>69</v>
      </c>
      <c r="C63" s="1" t="s">
        <v>70</v>
      </c>
      <c r="D63">
        <v>1</v>
      </c>
      <c r="E63">
        <v>1</v>
      </c>
      <c r="F63" s="2">
        <v>43584.863483796296</v>
      </c>
      <c r="G63" s="3">
        <v>40909</v>
      </c>
      <c r="H63" s="3">
        <v>41274</v>
      </c>
      <c r="I63" s="1" t="s">
        <v>71</v>
      </c>
      <c r="J63">
        <v>4521</v>
      </c>
      <c r="K63">
        <v>0</v>
      </c>
      <c r="L63" s="1" t="s">
        <v>384</v>
      </c>
      <c r="M63" s="1" t="s">
        <v>72</v>
      </c>
      <c r="N63" s="1" t="s">
        <v>134</v>
      </c>
      <c r="O63" s="1" t="s">
        <v>385</v>
      </c>
      <c r="P63" s="1" t="s">
        <v>386</v>
      </c>
      <c r="Q63" s="1" t="s">
        <v>387</v>
      </c>
      <c r="R63">
        <v>103</v>
      </c>
      <c r="S63" s="1" t="s">
        <v>135</v>
      </c>
      <c r="T63" s="1" t="s">
        <v>388</v>
      </c>
      <c r="U63" s="1" t="s">
        <v>135</v>
      </c>
      <c r="V63" s="1" t="s">
        <v>74</v>
      </c>
      <c r="W63" s="1" t="s">
        <v>1309</v>
      </c>
      <c r="X63" s="1" t="s">
        <v>1326</v>
      </c>
      <c r="Y63" s="1" t="s">
        <v>77</v>
      </c>
      <c r="Z63">
        <v>7</v>
      </c>
      <c r="AA63" s="1" t="s">
        <v>83</v>
      </c>
      <c r="AB63">
        <v>702</v>
      </c>
      <c r="AC63" s="1" t="s">
        <v>618</v>
      </c>
      <c r="AD63" s="1" t="s">
        <v>1342</v>
      </c>
      <c r="AE63" s="1" t="s">
        <v>732</v>
      </c>
      <c r="AF63">
        <v>0</v>
      </c>
      <c r="AG63">
        <v>0</v>
      </c>
      <c r="AH63">
        <v>0</v>
      </c>
      <c r="AI63">
        <v>1350</v>
      </c>
      <c r="AJ63">
        <v>0</v>
      </c>
      <c r="AK63">
        <v>1350</v>
      </c>
      <c r="AL63">
        <v>0</v>
      </c>
      <c r="AM63">
        <v>1350</v>
      </c>
      <c r="AN63" s="1"/>
      <c r="AP63" s="1"/>
      <c r="AQ63" s="1"/>
      <c r="AR63" s="1"/>
      <c r="AS63" s="1"/>
      <c r="AT63" s="3"/>
      <c r="AU63" s="3"/>
      <c r="AV63" s="3"/>
      <c r="AW63" s="1"/>
      <c r="AX63" s="1"/>
      <c r="AZ63">
        <v>76</v>
      </c>
      <c r="BA63">
        <v>260953.83</v>
      </c>
      <c r="BB63" s="1"/>
      <c r="BD63" s="1"/>
      <c r="BE63" s="1"/>
      <c r="BG63" s="1"/>
      <c r="BH63" s="1"/>
      <c r="BJ63" s="1"/>
      <c r="BL63" s="1"/>
      <c r="BN63" s="1"/>
      <c r="BO63">
        <v>186</v>
      </c>
      <c r="BP63">
        <v>260953.83</v>
      </c>
      <c r="BQ63">
        <v>260953.83</v>
      </c>
    </row>
    <row r="64" spans="1:69" x14ac:dyDescent="0.35">
      <c r="A64" s="1" t="s">
        <v>68</v>
      </c>
      <c r="B64" s="1" t="s">
        <v>69</v>
      </c>
      <c r="C64" s="1" t="s">
        <v>70</v>
      </c>
      <c r="D64">
        <v>1</v>
      </c>
      <c r="E64">
        <v>1</v>
      </c>
      <c r="F64" s="2">
        <v>43584.863483796296</v>
      </c>
      <c r="G64" s="3">
        <v>40909</v>
      </c>
      <c r="H64" s="3">
        <v>41274</v>
      </c>
      <c r="I64" s="1" t="s">
        <v>71</v>
      </c>
      <c r="J64">
        <v>4521</v>
      </c>
      <c r="K64">
        <v>0</v>
      </c>
      <c r="L64" s="1" t="s">
        <v>384</v>
      </c>
      <c r="M64" s="1" t="s">
        <v>72</v>
      </c>
      <c r="N64" s="1" t="s">
        <v>134</v>
      </c>
      <c r="O64" s="1" t="s">
        <v>385</v>
      </c>
      <c r="P64" s="1" t="s">
        <v>386</v>
      </c>
      <c r="Q64" s="1" t="s">
        <v>387</v>
      </c>
      <c r="R64">
        <v>103</v>
      </c>
      <c r="S64" s="1" t="s">
        <v>135</v>
      </c>
      <c r="T64" s="1" t="s">
        <v>388</v>
      </c>
      <c r="U64" s="1" t="s">
        <v>135</v>
      </c>
      <c r="V64" s="1" t="s">
        <v>74</v>
      </c>
      <c r="W64" s="1" t="s">
        <v>1310</v>
      </c>
      <c r="X64" s="1" t="s">
        <v>1327</v>
      </c>
      <c r="Y64" s="1" t="s">
        <v>77</v>
      </c>
      <c r="Z64">
        <v>7</v>
      </c>
      <c r="AA64" s="1" t="s">
        <v>83</v>
      </c>
      <c r="AB64">
        <v>731</v>
      </c>
      <c r="AC64" s="1" t="s">
        <v>619</v>
      </c>
      <c r="AD64" s="1" t="s">
        <v>88</v>
      </c>
      <c r="AE64" s="1" t="s">
        <v>1346</v>
      </c>
      <c r="AF64">
        <v>0</v>
      </c>
      <c r="AG64">
        <v>0</v>
      </c>
      <c r="AH64">
        <v>0</v>
      </c>
      <c r="AI64">
        <v>12403.24</v>
      </c>
      <c r="AJ64">
        <v>0</v>
      </c>
      <c r="AK64">
        <v>12403.24</v>
      </c>
      <c r="AL64">
        <v>0</v>
      </c>
      <c r="AM64">
        <v>12403.24</v>
      </c>
      <c r="AN64" s="1"/>
      <c r="AP64" s="1"/>
      <c r="AQ64" s="1"/>
      <c r="AR64" s="1"/>
      <c r="AS64" s="1"/>
      <c r="AT64" s="3"/>
      <c r="AU64" s="3"/>
      <c r="AV64" s="3"/>
      <c r="AW64" s="1"/>
      <c r="AX64" s="1"/>
      <c r="AZ64">
        <v>76</v>
      </c>
      <c r="BA64">
        <v>260953.83</v>
      </c>
      <c r="BB64" s="1"/>
      <c r="BD64" s="1"/>
      <c r="BE64" s="1"/>
      <c r="BG64" s="1"/>
      <c r="BH64" s="1"/>
      <c r="BJ64" s="1"/>
      <c r="BL64" s="1"/>
      <c r="BN64" s="1"/>
      <c r="BO64">
        <v>186</v>
      </c>
      <c r="BP64">
        <v>260953.83</v>
      </c>
      <c r="BQ64">
        <v>260953.83</v>
      </c>
    </row>
    <row r="65" spans="1:69" x14ac:dyDescent="0.35">
      <c r="A65" s="1" t="s">
        <v>68</v>
      </c>
      <c r="B65" s="1" t="s">
        <v>69</v>
      </c>
      <c r="C65" s="1" t="s">
        <v>70</v>
      </c>
      <c r="D65">
        <v>1</v>
      </c>
      <c r="E65">
        <v>1</v>
      </c>
      <c r="F65" s="2">
        <v>43584.863483796296</v>
      </c>
      <c r="G65" s="3">
        <v>40909</v>
      </c>
      <c r="H65" s="3">
        <v>41274</v>
      </c>
      <c r="I65" s="1" t="s">
        <v>71</v>
      </c>
      <c r="J65">
        <v>4521</v>
      </c>
      <c r="K65">
        <v>0</v>
      </c>
      <c r="L65" s="1" t="s">
        <v>384</v>
      </c>
      <c r="M65" s="1" t="s">
        <v>72</v>
      </c>
      <c r="N65" s="1" t="s">
        <v>134</v>
      </c>
      <c r="O65" s="1" t="s">
        <v>385</v>
      </c>
      <c r="P65" s="1" t="s">
        <v>386</v>
      </c>
      <c r="Q65" s="1" t="s">
        <v>387</v>
      </c>
      <c r="R65">
        <v>103</v>
      </c>
      <c r="S65" s="1" t="s">
        <v>135</v>
      </c>
      <c r="T65" s="1" t="s">
        <v>388</v>
      </c>
      <c r="U65" s="1" t="s">
        <v>135</v>
      </c>
      <c r="V65" s="1" t="s">
        <v>74</v>
      </c>
      <c r="W65" s="1" t="s">
        <v>489</v>
      </c>
      <c r="X65" s="1" t="s">
        <v>593</v>
      </c>
      <c r="Y65" s="1" t="s">
        <v>77</v>
      </c>
      <c r="Z65">
        <v>7</v>
      </c>
      <c r="AA65" s="1" t="s">
        <v>83</v>
      </c>
      <c r="AB65">
        <v>731</v>
      </c>
      <c r="AC65" s="1" t="s">
        <v>619</v>
      </c>
      <c r="AD65" s="1" t="s">
        <v>89</v>
      </c>
      <c r="AE65" s="1" t="s">
        <v>734</v>
      </c>
      <c r="AF65">
        <v>0</v>
      </c>
      <c r="AG65">
        <v>0</v>
      </c>
      <c r="AH65">
        <v>0</v>
      </c>
      <c r="AI65">
        <v>24604.560000000001</v>
      </c>
      <c r="AJ65">
        <v>0</v>
      </c>
      <c r="AK65">
        <v>24604.560000000001</v>
      </c>
      <c r="AL65">
        <v>0</v>
      </c>
      <c r="AM65">
        <v>24604.560000000001</v>
      </c>
      <c r="AN65" s="1"/>
      <c r="AP65" s="1"/>
      <c r="AQ65" s="1"/>
      <c r="AR65" s="1"/>
      <c r="AS65" s="1"/>
      <c r="AT65" s="3"/>
      <c r="AU65" s="3"/>
      <c r="AV65" s="3"/>
      <c r="AW65" s="1"/>
      <c r="AX65" s="1"/>
      <c r="AZ65">
        <v>76</v>
      </c>
      <c r="BA65">
        <v>260953.83</v>
      </c>
      <c r="BB65" s="1"/>
      <c r="BD65" s="1"/>
      <c r="BE65" s="1"/>
      <c r="BG65" s="1"/>
      <c r="BH65" s="1"/>
      <c r="BJ65" s="1"/>
      <c r="BL65" s="1"/>
      <c r="BN65" s="1"/>
      <c r="BO65">
        <v>186</v>
      </c>
      <c r="BP65">
        <v>260953.83</v>
      </c>
      <c r="BQ65">
        <v>260953.83</v>
      </c>
    </row>
    <row r="66" spans="1:69" x14ac:dyDescent="0.35">
      <c r="A66" s="1" t="s">
        <v>68</v>
      </c>
      <c r="B66" s="1" t="s">
        <v>69</v>
      </c>
      <c r="C66" s="1" t="s">
        <v>70</v>
      </c>
      <c r="D66">
        <v>1</v>
      </c>
      <c r="E66">
        <v>1</v>
      </c>
      <c r="F66" s="2">
        <v>43584.863483796296</v>
      </c>
      <c r="G66" s="3">
        <v>40909</v>
      </c>
      <c r="H66" s="3">
        <v>41274</v>
      </c>
      <c r="I66" s="1" t="s">
        <v>71</v>
      </c>
      <c r="J66">
        <v>4521</v>
      </c>
      <c r="K66">
        <v>0</v>
      </c>
      <c r="L66" s="1" t="s">
        <v>384</v>
      </c>
      <c r="M66" s="1" t="s">
        <v>72</v>
      </c>
      <c r="N66" s="1" t="s">
        <v>134</v>
      </c>
      <c r="O66" s="1" t="s">
        <v>385</v>
      </c>
      <c r="P66" s="1" t="s">
        <v>386</v>
      </c>
      <c r="Q66" s="1" t="s">
        <v>387</v>
      </c>
      <c r="R66">
        <v>103</v>
      </c>
      <c r="S66" s="1" t="s">
        <v>135</v>
      </c>
      <c r="T66" s="1" t="s">
        <v>388</v>
      </c>
      <c r="U66" s="1" t="s">
        <v>135</v>
      </c>
      <c r="V66" s="1" t="s">
        <v>74</v>
      </c>
      <c r="W66" s="1" t="s">
        <v>1311</v>
      </c>
      <c r="X66" s="1" t="s">
        <v>1328</v>
      </c>
      <c r="Y66" s="1" t="s">
        <v>77</v>
      </c>
      <c r="Z66">
        <v>7</v>
      </c>
      <c r="AA66" s="1" t="s">
        <v>83</v>
      </c>
      <c r="AB66">
        <v>752</v>
      </c>
      <c r="AC66" s="1" t="s">
        <v>1335</v>
      </c>
      <c r="AD66" s="1" t="s">
        <v>89</v>
      </c>
      <c r="AE66" s="1" t="s">
        <v>1347</v>
      </c>
      <c r="AF66">
        <v>0</v>
      </c>
      <c r="AG66">
        <v>0</v>
      </c>
      <c r="AH66">
        <v>0</v>
      </c>
      <c r="AI66">
        <v>8480.33</v>
      </c>
      <c r="AJ66">
        <v>0</v>
      </c>
      <c r="AK66">
        <v>8480.33</v>
      </c>
      <c r="AL66">
        <v>0</v>
      </c>
      <c r="AM66">
        <v>8480.33</v>
      </c>
      <c r="AN66" s="1"/>
      <c r="AP66" s="1"/>
      <c r="AQ66" s="1"/>
      <c r="AR66" s="1"/>
      <c r="AS66" s="1"/>
      <c r="AT66" s="3"/>
      <c r="AU66" s="3"/>
      <c r="AV66" s="3"/>
      <c r="AW66" s="1"/>
      <c r="AX66" s="1"/>
      <c r="AZ66">
        <v>76</v>
      </c>
      <c r="BA66">
        <v>260953.83</v>
      </c>
      <c r="BB66" s="1"/>
      <c r="BD66" s="1"/>
      <c r="BE66" s="1"/>
      <c r="BG66" s="1"/>
      <c r="BH66" s="1"/>
      <c r="BJ66" s="1"/>
      <c r="BL66" s="1"/>
      <c r="BN66" s="1"/>
      <c r="BO66">
        <v>186</v>
      </c>
      <c r="BP66">
        <v>260953.83</v>
      </c>
      <c r="BQ66">
        <v>260953.83</v>
      </c>
    </row>
    <row r="67" spans="1:69" x14ac:dyDescent="0.35">
      <c r="A67" s="1" t="s">
        <v>68</v>
      </c>
      <c r="B67" s="1" t="s">
        <v>69</v>
      </c>
      <c r="C67" s="1" t="s">
        <v>70</v>
      </c>
      <c r="D67">
        <v>1</v>
      </c>
      <c r="E67">
        <v>1</v>
      </c>
      <c r="F67" s="2">
        <v>43584.863483796296</v>
      </c>
      <c r="G67" s="3">
        <v>40909</v>
      </c>
      <c r="H67" s="3">
        <v>41274</v>
      </c>
      <c r="I67" s="1" t="s">
        <v>71</v>
      </c>
      <c r="J67">
        <v>4521</v>
      </c>
      <c r="K67">
        <v>0</v>
      </c>
      <c r="L67" s="1" t="s">
        <v>384</v>
      </c>
      <c r="M67" s="1" t="s">
        <v>72</v>
      </c>
      <c r="N67" s="1" t="s">
        <v>134</v>
      </c>
      <c r="O67" s="1" t="s">
        <v>385</v>
      </c>
      <c r="P67" s="1" t="s">
        <v>386</v>
      </c>
      <c r="Q67" s="1" t="s">
        <v>387</v>
      </c>
      <c r="R67">
        <v>103</v>
      </c>
      <c r="S67" s="1" t="s">
        <v>135</v>
      </c>
      <c r="T67" s="1" t="s">
        <v>388</v>
      </c>
      <c r="U67" s="1" t="s">
        <v>135</v>
      </c>
      <c r="V67" s="1" t="s">
        <v>74</v>
      </c>
      <c r="W67" s="1" t="s">
        <v>491</v>
      </c>
      <c r="X67" s="1" t="s">
        <v>85</v>
      </c>
      <c r="Y67" s="1" t="s">
        <v>77</v>
      </c>
      <c r="Z67">
        <v>7</v>
      </c>
      <c r="AA67" s="1" t="s">
        <v>83</v>
      </c>
      <c r="AB67">
        <v>755</v>
      </c>
      <c r="AC67" s="1" t="s">
        <v>85</v>
      </c>
      <c r="AD67" s="1"/>
      <c r="AE67" s="1" t="s">
        <v>85</v>
      </c>
      <c r="AF67">
        <v>0</v>
      </c>
      <c r="AG67">
        <v>0</v>
      </c>
      <c r="AH67">
        <v>0</v>
      </c>
      <c r="AI67">
        <v>25</v>
      </c>
      <c r="AJ67">
        <v>0</v>
      </c>
      <c r="AK67">
        <v>25</v>
      </c>
      <c r="AL67">
        <v>0</v>
      </c>
      <c r="AM67">
        <v>25</v>
      </c>
      <c r="AN67" s="1"/>
      <c r="AP67" s="1"/>
      <c r="AQ67" s="1"/>
      <c r="AR67" s="1"/>
      <c r="AS67" s="1"/>
      <c r="AT67" s="3"/>
      <c r="AU67" s="3"/>
      <c r="AV67" s="3"/>
      <c r="AW67" s="1"/>
      <c r="AX67" s="1"/>
      <c r="AZ67">
        <v>76</v>
      </c>
      <c r="BA67">
        <v>260953.83</v>
      </c>
      <c r="BB67" s="1"/>
      <c r="BD67" s="1"/>
      <c r="BE67" s="1"/>
      <c r="BG67" s="1"/>
      <c r="BH67" s="1"/>
      <c r="BJ67" s="1"/>
      <c r="BL67" s="1"/>
      <c r="BN67" s="1"/>
      <c r="BO67">
        <v>186</v>
      </c>
      <c r="BP67">
        <v>260953.83</v>
      </c>
      <c r="BQ67">
        <v>260953.83</v>
      </c>
    </row>
    <row r="68" spans="1:69" x14ac:dyDescent="0.35">
      <c r="A68" s="1" t="s">
        <v>68</v>
      </c>
      <c r="B68" s="1" t="s">
        <v>69</v>
      </c>
      <c r="C68" s="1" t="s">
        <v>70</v>
      </c>
      <c r="D68">
        <v>1</v>
      </c>
      <c r="E68">
        <v>1</v>
      </c>
      <c r="F68" s="2">
        <v>43584.863483796296</v>
      </c>
      <c r="G68" s="3">
        <v>40909</v>
      </c>
      <c r="H68" s="3">
        <v>41274</v>
      </c>
      <c r="I68" s="1" t="s">
        <v>71</v>
      </c>
      <c r="J68">
        <v>4521</v>
      </c>
      <c r="K68">
        <v>0</v>
      </c>
      <c r="L68" s="1" t="s">
        <v>384</v>
      </c>
      <c r="M68" s="1" t="s">
        <v>72</v>
      </c>
      <c r="N68" s="1" t="s">
        <v>134</v>
      </c>
      <c r="O68" s="1" t="s">
        <v>385</v>
      </c>
      <c r="P68" s="1" t="s">
        <v>386</v>
      </c>
      <c r="Q68" s="1" t="s">
        <v>387</v>
      </c>
      <c r="R68">
        <v>103</v>
      </c>
      <c r="S68" s="1" t="s">
        <v>135</v>
      </c>
      <c r="T68" s="1" t="s">
        <v>388</v>
      </c>
      <c r="U68" s="1" t="s">
        <v>135</v>
      </c>
      <c r="V68" s="1" t="s">
        <v>74</v>
      </c>
      <c r="W68" s="1" t="s">
        <v>492</v>
      </c>
      <c r="X68" s="1" t="s">
        <v>595</v>
      </c>
      <c r="Y68" s="1" t="s">
        <v>77</v>
      </c>
      <c r="Z68">
        <v>7</v>
      </c>
      <c r="AA68" s="1" t="s">
        <v>83</v>
      </c>
      <c r="AB68">
        <v>756</v>
      </c>
      <c r="AC68" s="1" t="s">
        <v>595</v>
      </c>
      <c r="AD68" s="1"/>
      <c r="AE68" s="1" t="s">
        <v>595</v>
      </c>
      <c r="AF68">
        <v>0</v>
      </c>
      <c r="AG68">
        <v>0</v>
      </c>
      <c r="AH68">
        <v>0</v>
      </c>
      <c r="AI68">
        <v>1.95</v>
      </c>
      <c r="AJ68">
        <v>0</v>
      </c>
      <c r="AK68">
        <v>1.95</v>
      </c>
      <c r="AL68">
        <v>0</v>
      </c>
      <c r="AM68">
        <v>1.95</v>
      </c>
      <c r="AN68" s="1"/>
      <c r="AP68" s="1"/>
      <c r="AQ68" s="1"/>
      <c r="AR68" s="1"/>
      <c r="AS68" s="1"/>
      <c r="AT68" s="3"/>
      <c r="AU68" s="3"/>
      <c r="AV68" s="3"/>
      <c r="AW68" s="1"/>
      <c r="AX68" s="1"/>
      <c r="AZ68">
        <v>76</v>
      </c>
      <c r="BA68">
        <v>260953.83</v>
      </c>
      <c r="BB68" s="1"/>
      <c r="BD68" s="1"/>
      <c r="BE68" s="1"/>
      <c r="BG68" s="1"/>
      <c r="BH68" s="1"/>
      <c r="BJ68" s="1"/>
      <c r="BL68" s="1"/>
      <c r="BN68" s="1"/>
      <c r="BO68">
        <v>186</v>
      </c>
      <c r="BP68">
        <v>260953.83</v>
      </c>
      <c r="BQ68">
        <v>260953.83</v>
      </c>
    </row>
    <row r="69" spans="1:69" x14ac:dyDescent="0.35">
      <c r="A69" s="1" t="s">
        <v>68</v>
      </c>
      <c r="B69" s="1" t="s">
        <v>69</v>
      </c>
      <c r="C69" s="1" t="s">
        <v>70</v>
      </c>
      <c r="D69">
        <v>1</v>
      </c>
      <c r="E69">
        <v>1</v>
      </c>
      <c r="F69" s="2">
        <v>43584.863483796296</v>
      </c>
      <c r="G69" s="3">
        <v>40909</v>
      </c>
      <c r="H69" s="3">
        <v>41274</v>
      </c>
      <c r="I69" s="1" t="s">
        <v>71</v>
      </c>
      <c r="J69">
        <v>4521</v>
      </c>
      <c r="K69">
        <v>0</v>
      </c>
      <c r="L69" s="1" t="s">
        <v>384</v>
      </c>
      <c r="M69" s="1" t="s">
        <v>72</v>
      </c>
      <c r="N69" s="1" t="s">
        <v>134</v>
      </c>
      <c r="O69" s="1" t="s">
        <v>385</v>
      </c>
      <c r="P69" s="1" t="s">
        <v>386</v>
      </c>
      <c r="Q69" s="1" t="s">
        <v>387</v>
      </c>
      <c r="R69">
        <v>103</v>
      </c>
      <c r="S69" s="1" t="s">
        <v>135</v>
      </c>
      <c r="T69" s="1" t="s">
        <v>388</v>
      </c>
      <c r="U69" s="1" t="s">
        <v>135</v>
      </c>
      <c r="V69" s="1" t="s">
        <v>74</v>
      </c>
      <c r="W69" s="1" t="s">
        <v>1312</v>
      </c>
      <c r="X69" s="1" t="s">
        <v>1329</v>
      </c>
      <c r="Y69" s="1" t="s">
        <v>77</v>
      </c>
      <c r="Z69">
        <v>7</v>
      </c>
      <c r="AA69" s="1" t="s">
        <v>83</v>
      </c>
      <c r="AB69">
        <v>759</v>
      </c>
      <c r="AC69" s="1" t="s">
        <v>1329</v>
      </c>
      <c r="AD69" s="1"/>
      <c r="AE69" s="1" t="s">
        <v>1329</v>
      </c>
      <c r="AF69">
        <v>0</v>
      </c>
      <c r="AG69">
        <v>0</v>
      </c>
      <c r="AH69">
        <v>0</v>
      </c>
      <c r="AI69">
        <v>0.74</v>
      </c>
      <c r="AJ69">
        <v>0</v>
      </c>
      <c r="AK69">
        <v>0.74</v>
      </c>
      <c r="AL69">
        <v>0</v>
      </c>
      <c r="AM69">
        <v>0.74</v>
      </c>
      <c r="AN69" s="1"/>
      <c r="AP69" s="1"/>
      <c r="AQ69" s="1"/>
      <c r="AR69" s="1"/>
      <c r="AS69" s="1"/>
      <c r="AT69" s="3"/>
      <c r="AU69" s="3"/>
      <c r="AV69" s="3"/>
      <c r="AW69" s="1"/>
      <c r="AX69" s="1"/>
      <c r="AZ69">
        <v>76</v>
      </c>
      <c r="BA69">
        <v>260953.83</v>
      </c>
      <c r="BB69" s="1"/>
      <c r="BD69" s="1"/>
      <c r="BE69" s="1"/>
      <c r="BG69" s="1"/>
      <c r="BH69" s="1"/>
      <c r="BJ69" s="1"/>
      <c r="BL69" s="1"/>
      <c r="BN69" s="1"/>
      <c r="BO69">
        <v>186</v>
      </c>
      <c r="BP69">
        <v>260953.83</v>
      </c>
      <c r="BQ69">
        <v>260953.83</v>
      </c>
    </row>
    <row r="70" spans="1:69" x14ac:dyDescent="0.35">
      <c r="A70" s="1" t="s">
        <v>68</v>
      </c>
      <c r="B70" s="1" t="s">
        <v>69</v>
      </c>
      <c r="C70" s="1" t="s">
        <v>70</v>
      </c>
      <c r="D70">
        <v>1</v>
      </c>
      <c r="E70">
        <v>1</v>
      </c>
      <c r="F70" s="2">
        <v>43584.863483796296</v>
      </c>
      <c r="G70" s="3">
        <v>40909</v>
      </c>
      <c r="H70" s="3">
        <v>41274</v>
      </c>
      <c r="I70" s="1" t="s">
        <v>71</v>
      </c>
      <c r="J70">
        <v>4521</v>
      </c>
      <c r="K70">
        <v>0</v>
      </c>
      <c r="L70" s="1" t="s">
        <v>384</v>
      </c>
      <c r="M70" s="1" t="s">
        <v>72</v>
      </c>
      <c r="N70" s="1" t="s">
        <v>134</v>
      </c>
      <c r="O70" s="1" t="s">
        <v>385</v>
      </c>
      <c r="P70" s="1" t="s">
        <v>386</v>
      </c>
      <c r="Q70" s="1" t="s">
        <v>387</v>
      </c>
      <c r="R70">
        <v>103</v>
      </c>
      <c r="S70" s="1" t="s">
        <v>135</v>
      </c>
      <c r="T70" s="1" t="s">
        <v>388</v>
      </c>
      <c r="U70" s="1" t="s">
        <v>135</v>
      </c>
      <c r="V70" s="1" t="s">
        <v>74</v>
      </c>
      <c r="W70" s="1" t="s">
        <v>1313</v>
      </c>
      <c r="X70" s="1" t="s">
        <v>1330</v>
      </c>
      <c r="Y70" s="1" t="s">
        <v>77</v>
      </c>
      <c r="Z70">
        <v>7</v>
      </c>
      <c r="AA70" s="1" t="s">
        <v>83</v>
      </c>
      <c r="AB70">
        <v>763</v>
      </c>
      <c r="AC70" s="1" t="s">
        <v>1330</v>
      </c>
      <c r="AD70" s="1"/>
      <c r="AE70" s="1" t="s">
        <v>1330</v>
      </c>
      <c r="AF70">
        <v>0</v>
      </c>
      <c r="AG70">
        <v>0</v>
      </c>
      <c r="AH70">
        <v>0</v>
      </c>
      <c r="AI70">
        <v>-470</v>
      </c>
      <c r="AJ70">
        <v>0</v>
      </c>
      <c r="AK70">
        <v>-470</v>
      </c>
      <c r="AL70">
        <v>470</v>
      </c>
      <c r="AM70">
        <v>0</v>
      </c>
      <c r="AN70" s="1"/>
      <c r="AP70" s="1"/>
      <c r="AQ70" s="1"/>
      <c r="AR70" s="1"/>
      <c r="AS70" s="1"/>
      <c r="AT70" s="3"/>
      <c r="AU70" s="3"/>
      <c r="AV70" s="3"/>
      <c r="AW70" s="1"/>
      <c r="AX70" s="1"/>
      <c r="AZ70">
        <v>76</v>
      </c>
      <c r="BA70">
        <v>260953.83</v>
      </c>
      <c r="BB70" s="1"/>
      <c r="BD70" s="1"/>
      <c r="BE70" s="1"/>
      <c r="BG70" s="1"/>
      <c r="BH70" s="1"/>
      <c r="BJ70" s="1"/>
      <c r="BL70" s="1"/>
      <c r="BN70" s="1"/>
      <c r="BO70">
        <v>186</v>
      </c>
      <c r="BP70">
        <v>260953.83</v>
      </c>
      <c r="BQ70">
        <v>260953.83</v>
      </c>
    </row>
    <row r="71" spans="1:69" x14ac:dyDescent="0.35">
      <c r="A71" s="1" t="s">
        <v>68</v>
      </c>
      <c r="B71" s="1" t="s">
        <v>69</v>
      </c>
      <c r="C71" s="1" t="s">
        <v>70</v>
      </c>
      <c r="D71">
        <v>1</v>
      </c>
      <c r="E71">
        <v>1</v>
      </c>
      <c r="F71" s="2">
        <v>43584.863483796296</v>
      </c>
      <c r="G71" s="3">
        <v>40909</v>
      </c>
      <c r="H71" s="3">
        <v>41274</v>
      </c>
      <c r="I71" s="1" t="s">
        <v>71</v>
      </c>
      <c r="J71">
        <v>4521</v>
      </c>
      <c r="K71">
        <v>0</v>
      </c>
      <c r="L71" s="1" t="s">
        <v>384</v>
      </c>
      <c r="M71" s="1" t="s">
        <v>72</v>
      </c>
      <c r="N71" s="1" t="s">
        <v>134</v>
      </c>
      <c r="O71" s="1" t="s">
        <v>385</v>
      </c>
      <c r="P71" s="1" t="s">
        <v>386</v>
      </c>
      <c r="Q71" s="1" t="s">
        <v>387</v>
      </c>
      <c r="R71">
        <v>103</v>
      </c>
      <c r="S71" s="1" t="s">
        <v>135</v>
      </c>
      <c r="T71" s="1" t="s">
        <v>388</v>
      </c>
      <c r="U71" s="1" t="s">
        <v>135</v>
      </c>
      <c r="V71" s="1" t="s">
        <v>74</v>
      </c>
      <c r="W71" s="1" t="s">
        <v>493</v>
      </c>
      <c r="X71" s="1" t="s">
        <v>596</v>
      </c>
      <c r="Y71" s="1" t="s">
        <v>76</v>
      </c>
      <c r="Z71">
        <v>8</v>
      </c>
      <c r="AA71" s="1" t="s">
        <v>84</v>
      </c>
      <c r="AB71">
        <v>844</v>
      </c>
      <c r="AC71" s="1" t="s">
        <v>621</v>
      </c>
      <c r="AD71" s="1" t="s">
        <v>89</v>
      </c>
      <c r="AE71" s="1" t="s">
        <v>730</v>
      </c>
      <c r="AF71">
        <v>0</v>
      </c>
      <c r="AG71">
        <v>0</v>
      </c>
      <c r="AH71">
        <v>0</v>
      </c>
      <c r="AI71">
        <v>1250</v>
      </c>
      <c r="AJ71">
        <v>0</v>
      </c>
      <c r="AK71">
        <v>1250</v>
      </c>
      <c r="AL71">
        <v>0</v>
      </c>
      <c r="AM71">
        <v>1250</v>
      </c>
      <c r="AN71" s="1"/>
      <c r="AP71" s="1"/>
      <c r="AQ71" s="1"/>
      <c r="AR71" s="1"/>
      <c r="AS71" s="1"/>
      <c r="AT71" s="3"/>
      <c r="AU71" s="3"/>
      <c r="AV71" s="3"/>
      <c r="AW71" s="1"/>
      <c r="AX71" s="1"/>
      <c r="AZ71">
        <v>76</v>
      </c>
      <c r="BA71">
        <v>260953.83</v>
      </c>
      <c r="BB71" s="1"/>
      <c r="BD71" s="1"/>
      <c r="BE71" s="1"/>
      <c r="BG71" s="1"/>
      <c r="BH71" s="1"/>
      <c r="BJ71" s="1"/>
      <c r="BL71" s="1"/>
      <c r="BN71" s="1"/>
      <c r="BO71">
        <v>186</v>
      </c>
      <c r="BP71">
        <v>260953.83</v>
      </c>
      <c r="BQ71">
        <v>260953.83</v>
      </c>
    </row>
    <row r="72" spans="1:69" x14ac:dyDescent="0.35">
      <c r="A72" s="1" t="s">
        <v>68</v>
      </c>
      <c r="B72" s="1" t="s">
        <v>69</v>
      </c>
      <c r="C72" s="1" t="s">
        <v>70</v>
      </c>
      <c r="D72">
        <v>1</v>
      </c>
      <c r="E72">
        <v>1</v>
      </c>
      <c r="F72" s="2">
        <v>43584.863483796296</v>
      </c>
      <c r="G72" s="3">
        <v>40909</v>
      </c>
      <c r="H72" s="3">
        <v>41274</v>
      </c>
      <c r="I72" s="1" t="s">
        <v>71</v>
      </c>
      <c r="J72">
        <v>4521</v>
      </c>
      <c r="K72">
        <v>0</v>
      </c>
      <c r="L72" s="1" t="s">
        <v>384</v>
      </c>
      <c r="M72" s="1" t="s">
        <v>72</v>
      </c>
      <c r="N72" s="1" t="s">
        <v>134</v>
      </c>
      <c r="O72" s="1" t="s">
        <v>385</v>
      </c>
      <c r="P72" s="1" t="s">
        <v>386</v>
      </c>
      <c r="Q72" s="1" t="s">
        <v>387</v>
      </c>
      <c r="R72">
        <v>103</v>
      </c>
      <c r="S72" s="1" t="s">
        <v>135</v>
      </c>
      <c r="T72" s="1" t="s">
        <v>388</v>
      </c>
      <c r="U72" s="1" t="s">
        <v>135</v>
      </c>
      <c r="V72" s="1" t="s">
        <v>74</v>
      </c>
      <c r="W72" s="1" t="s">
        <v>1314</v>
      </c>
      <c r="X72" s="1" t="s">
        <v>1331</v>
      </c>
      <c r="Y72" s="1" t="s">
        <v>76</v>
      </c>
      <c r="Z72">
        <v>9</v>
      </c>
      <c r="AA72" s="1" t="s">
        <v>1332</v>
      </c>
      <c r="AB72">
        <v>901</v>
      </c>
      <c r="AC72" s="1" t="s">
        <v>1331</v>
      </c>
      <c r="AD72" s="1"/>
      <c r="AE72" s="1" t="s">
        <v>1331</v>
      </c>
      <c r="AF72">
        <v>0</v>
      </c>
      <c r="AG72">
        <v>0</v>
      </c>
      <c r="AH72">
        <v>-297.5</v>
      </c>
      <c r="AI72">
        <v>0</v>
      </c>
      <c r="AJ72">
        <v>-297.5</v>
      </c>
      <c r="AK72">
        <v>0</v>
      </c>
      <c r="AL72">
        <v>0</v>
      </c>
      <c r="AM72">
        <v>297.5</v>
      </c>
      <c r="AN72" s="1"/>
      <c r="AP72" s="1"/>
      <c r="AQ72" s="1"/>
      <c r="AR72" s="1"/>
      <c r="AS72" s="1"/>
      <c r="AT72" s="3"/>
      <c r="AU72" s="3"/>
      <c r="AV72" s="3"/>
      <c r="AW72" s="1"/>
      <c r="AX72" s="1"/>
      <c r="AZ72">
        <v>76</v>
      </c>
      <c r="BA72">
        <v>260953.83</v>
      </c>
      <c r="BB72" s="1"/>
      <c r="BD72" s="1"/>
      <c r="BE72" s="1"/>
      <c r="BG72" s="1"/>
      <c r="BH72" s="1"/>
      <c r="BJ72" s="1"/>
      <c r="BL72" s="1"/>
      <c r="BN72" s="1"/>
      <c r="BO72">
        <v>186</v>
      </c>
      <c r="BP72">
        <v>260953.83</v>
      </c>
      <c r="BQ72">
        <v>260953.83</v>
      </c>
    </row>
    <row r="73" spans="1:69" x14ac:dyDescent="0.35">
      <c r="A73" s="1" t="s">
        <v>68</v>
      </c>
      <c r="B73" s="1" t="s">
        <v>69</v>
      </c>
      <c r="C73" s="1" t="s">
        <v>70</v>
      </c>
      <c r="D73">
        <v>1</v>
      </c>
      <c r="E73">
        <v>1</v>
      </c>
      <c r="F73" s="2">
        <v>43584.863483796296</v>
      </c>
      <c r="G73" s="3">
        <v>40909</v>
      </c>
      <c r="H73" s="3">
        <v>41274</v>
      </c>
      <c r="I73" s="1" t="s">
        <v>71</v>
      </c>
      <c r="J73">
        <v>4521</v>
      </c>
      <c r="K73">
        <v>0</v>
      </c>
      <c r="L73" s="1" t="s">
        <v>384</v>
      </c>
      <c r="M73" s="1" t="s">
        <v>72</v>
      </c>
      <c r="N73" s="1" t="s">
        <v>134</v>
      </c>
      <c r="O73" s="1" t="s">
        <v>385</v>
      </c>
      <c r="P73" s="1" t="s">
        <v>386</v>
      </c>
      <c r="Q73" s="1" t="s">
        <v>387</v>
      </c>
      <c r="R73">
        <v>103</v>
      </c>
      <c r="S73" s="1" t="s">
        <v>135</v>
      </c>
      <c r="T73" s="1" t="s">
        <v>388</v>
      </c>
      <c r="U73" s="1" t="s">
        <v>135</v>
      </c>
      <c r="V73" s="1"/>
      <c r="W73" s="1"/>
      <c r="X73" s="1"/>
      <c r="Y73" s="1"/>
      <c r="AA73" s="1"/>
      <c r="AC73" s="1"/>
      <c r="AD73" s="1"/>
      <c r="AE73" s="1"/>
      <c r="AN73" s="1" t="s">
        <v>74</v>
      </c>
      <c r="AO73">
        <v>1</v>
      </c>
      <c r="AP73" s="1" t="s">
        <v>1348</v>
      </c>
      <c r="AQ73" s="1" t="s">
        <v>1418</v>
      </c>
      <c r="AR73" s="1" t="s">
        <v>1459</v>
      </c>
      <c r="AS73" s="1" t="s">
        <v>98</v>
      </c>
      <c r="AT73" s="3">
        <v>41018</v>
      </c>
      <c r="AU73" s="3">
        <v>41028</v>
      </c>
      <c r="AV73" s="3">
        <v>41213</v>
      </c>
      <c r="AW73" s="1" t="s">
        <v>1221</v>
      </c>
      <c r="AX73" s="1" t="s">
        <v>1515</v>
      </c>
      <c r="AY73">
        <v>1943.4</v>
      </c>
      <c r="AZ73">
        <v>76</v>
      </c>
      <c r="BA73">
        <v>260953.83</v>
      </c>
      <c r="BB73" s="1"/>
      <c r="BD73" s="1"/>
      <c r="BE73" s="1"/>
      <c r="BG73" s="1"/>
      <c r="BH73" s="1"/>
      <c r="BJ73" s="1"/>
      <c r="BL73" s="1"/>
      <c r="BN73" s="1"/>
      <c r="BO73">
        <v>186</v>
      </c>
      <c r="BP73">
        <v>260953.83</v>
      </c>
      <c r="BQ73">
        <v>260953.83</v>
      </c>
    </row>
    <row r="74" spans="1:69" x14ac:dyDescent="0.35">
      <c r="A74" s="1" t="s">
        <v>68</v>
      </c>
      <c r="B74" s="1" t="s">
        <v>69</v>
      </c>
      <c r="C74" s="1" t="s">
        <v>70</v>
      </c>
      <c r="D74">
        <v>1</v>
      </c>
      <c r="E74">
        <v>1</v>
      </c>
      <c r="F74" s="2">
        <v>43584.863483796296</v>
      </c>
      <c r="G74" s="3">
        <v>40909</v>
      </c>
      <c r="H74" s="3">
        <v>41274</v>
      </c>
      <c r="I74" s="1" t="s">
        <v>71</v>
      </c>
      <c r="J74">
        <v>4521</v>
      </c>
      <c r="K74">
        <v>0</v>
      </c>
      <c r="L74" s="1" t="s">
        <v>384</v>
      </c>
      <c r="M74" s="1" t="s">
        <v>72</v>
      </c>
      <c r="N74" s="1" t="s">
        <v>134</v>
      </c>
      <c r="O74" s="1" t="s">
        <v>385</v>
      </c>
      <c r="P74" s="1" t="s">
        <v>386</v>
      </c>
      <c r="Q74" s="1" t="s">
        <v>387</v>
      </c>
      <c r="R74">
        <v>103</v>
      </c>
      <c r="S74" s="1" t="s">
        <v>135</v>
      </c>
      <c r="T74" s="1" t="s">
        <v>388</v>
      </c>
      <c r="U74" s="1" t="s">
        <v>135</v>
      </c>
      <c r="V74" s="1"/>
      <c r="W74" s="1"/>
      <c r="X74" s="1"/>
      <c r="Y74" s="1"/>
      <c r="AA74" s="1"/>
      <c r="AC74" s="1"/>
      <c r="AD74" s="1"/>
      <c r="AE74" s="1"/>
      <c r="AN74" s="1" t="s">
        <v>74</v>
      </c>
      <c r="AO74">
        <v>2</v>
      </c>
      <c r="AP74" s="1" t="s">
        <v>1349</v>
      </c>
      <c r="AQ74" s="1" t="s">
        <v>1418</v>
      </c>
      <c r="AR74" s="1" t="s">
        <v>1459</v>
      </c>
      <c r="AS74" s="1" t="s">
        <v>98</v>
      </c>
      <c r="AT74" s="3">
        <v>41018</v>
      </c>
      <c r="AU74" s="3">
        <v>41028</v>
      </c>
      <c r="AV74" s="3">
        <v>41213</v>
      </c>
      <c r="AW74" s="1" t="s">
        <v>1221</v>
      </c>
      <c r="AX74" s="1" t="s">
        <v>1515</v>
      </c>
      <c r="AY74">
        <v>1580</v>
      </c>
      <c r="AZ74">
        <v>76</v>
      </c>
      <c r="BA74">
        <v>260953.83</v>
      </c>
      <c r="BB74" s="1"/>
      <c r="BD74" s="1"/>
      <c r="BE74" s="1"/>
      <c r="BG74" s="1"/>
      <c r="BH74" s="1"/>
      <c r="BJ74" s="1"/>
      <c r="BL74" s="1"/>
      <c r="BN74" s="1"/>
      <c r="BO74">
        <v>186</v>
      </c>
      <c r="BP74">
        <v>260953.83</v>
      </c>
      <c r="BQ74">
        <v>260953.83</v>
      </c>
    </row>
    <row r="75" spans="1:69" x14ac:dyDescent="0.35">
      <c r="A75" s="1" t="s">
        <v>68</v>
      </c>
      <c r="B75" s="1" t="s">
        <v>69</v>
      </c>
      <c r="C75" s="1" t="s">
        <v>70</v>
      </c>
      <c r="D75">
        <v>1</v>
      </c>
      <c r="E75">
        <v>1</v>
      </c>
      <c r="F75" s="2">
        <v>43584.863483796296</v>
      </c>
      <c r="G75" s="3">
        <v>40909</v>
      </c>
      <c r="H75" s="3">
        <v>41274</v>
      </c>
      <c r="I75" s="1" t="s">
        <v>71</v>
      </c>
      <c r="J75">
        <v>4521</v>
      </c>
      <c r="K75">
        <v>0</v>
      </c>
      <c r="L75" s="1" t="s">
        <v>384</v>
      </c>
      <c r="M75" s="1" t="s">
        <v>72</v>
      </c>
      <c r="N75" s="1" t="s">
        <v>134</v>
      </c>
      <c r="O75" s="1" t="s">
        <v>385</v>
      </c>
      <c r="P75" s="1" t="s">
        <v>386</v>
      </c>
      <c r="Q75" s="1" t="s">
        <v>387</v>
      </c>
      <c r="R75">
        <v>103</v>
      </c>
      <c r="S75" s="1" t="s">
        <v>135</v>
      </c>
      <c r="T75" s="1" t="s">
        <v>388</v>
      </c>
      <c r="U75" s="1" t="s">
        <v>135</v>
      </c>
      <c r="V75" s="1"/>
      <c r="W75" s="1"/>
      <c r="X75" s="1"/>
      <c r="Y75" s="1"/>
      <c r="AA75" s="1"/>
      <c r="AC75" s="1"/>
      <c r="AD75" s="1"/>
      <c r="AE75" s="1"/>
      <c r="AN75" s="1" t="s">
        <v>74</v>
      </c>
      <c r="AO75">
        <v>3</v>
      </c>
      <c r="AP75" s="1" t="s">
        <v>1350</v>
      </c>
      <c r="AQ75" s="1" t="s">
        <v>1419</v>
      </c>
      <c r="AR75" s="1" t="s">
        <v>1460</v>
      </c>
      <c r="AS75" s="1" t="s">
        <v>98</v>
      </c>
      <c r="AT75" s="3">
        <v>41166</v>
      </c>
      <c r="AU75" s="3">
        <v>41166</v>
      </c>
      <c r="AV75" s="3">
        <v>41213</v>
      </c>
      <c r="AW75" s="1" t="s">
        <v>1221</v>
      </c>
      <c r="AX75" s="1" t="s">
        <v>1419</v>
      </c>
      <c r="AY75">
        <v>330.87</v>
      </c>
      <c r="AZ75">
        <v>76</v>
      </c>
      <c r="BA75">
        <v>260953.83</v>
      </c>
      <c r="BB75" s="1"/>
      <c r="BD75" s="1"/>
      <c r="BE75" s="1"/>
      <c r="BG75" s="1"/>
      <c r="BH75" s="1"/>
      <c r="BJ75" s="1"/>
      <c r="BL75" s="1"/>
      <c r="BN75" s="1"/>
      <c r="BO75">
        <v>186</v>
      </c>
      <c r="BP75">
        <v>260953.83</v>
      </c>
      <c r="BQ75">
        <v>260953.83</v>
      </c>
    </row>
    <row r="76" spans="1:69" x14ac:dyDescent="0.35">
      <c r="A76" s="1" t="s">
        <v>68</v>
      </c>
      <c r="B76" s="1" t="s">
        <v>69</v>
      </c>
      <c r="C76" s="1" t="s">
        <v>70</v>
      </c>
      <c r="D76">
        <v>1</v>
      </c>
      <c r="E76">
        <v>1</v>
      </c>
      <c r="F76" s="2">
        <v>43584.863483796296</v>
      </c>
      <c r="G76" s="3">
        <v>40909</v>
      </c>
      <c r="H76" s="3">
        <v>41274</v>
      </c>
      <c r="I76" s="1" t="s">
        <v>71</v>
      </c>
      <c r="J76">
        <v>4521</v>
      </c>
      <c r="K76">
        <v>0</v>
      </c>
      <c r="L76" s="1" t="s">
        <v>384</v>
      </c>
      <c r="M76" s="1" t="s">
        <v>72</v>
      </c>
      <c r="N76" s="1" t="s">
        <v>134</v>
      </c>
      <c r="O76" s="1" t="s">
        <v>385</v>
      </c>
      <c r="P76" s="1" t="s">
        <v>386</v>
      </c>
      <c r="Q76" s="1" t="s">
        <v>387</v>
      </c>
      <c r="R76">
        <v>103</v>
      </c>
      <c r="S76" s="1" t="s">
        <v>135</v>
      </c>
      <c r="T76" s="1" t="s">
        <v>388</v>
      </c>
      <c r="U76" s="1" t="s">
        <v>135</v>
      </c>
      <c r="V76" s="1"/>
      <c r="W76" s="1"/>
      <c r="X76" s="1"/>
      <c r="Y76" s="1"/>
      <c r="AA76" s="1"/>
      <c r="AC76" s="1"/>
      <c r="AD76" s="1"/>
      <c r="AE76" s="1"/>
      <c r="AN76" s="1" t="s">
        <v>74</v>
      </c>
      <c r="AO76">
        <v>4</v>
      </c>
      <c r="AP76" s="1" t="s">
        <v>1351</v>
      </c>
      <c r="AQ76" s="1" t="s">
        <v>1419</v>
      </c>
      <c r="AR76" s="1" t="s">
        <v>1460</v>
      </c>
      <c r="AS76" s="1" t="s">
        <v>98</v>
      </c>
      <c r="AT76" s="3">
        <v>41166</v>
      </c>
      <c r="AU76" s="3">
        <v>41166</v>
      </c>
      <c r="AV76" s="3">
        <v>41213</v>
      </c>
      <c r="AW76" s="1" t="s">
        <v>1221</v>
      </c>
      <c r="AX76" s="1" t="s">
        <v>1419</v>
      </c>
      <c r="AY76">
        <v>269</v>
      </c>
      <c r="AZ76">
        <v>76</v>
      </c>
      <c r="BA76">
        <v>260953.83</v>
      </c>
      <c r="BB76" s="1"/>
      <c r="BD76" s="1"/>
      <c r="BE76" s="1"/>
      <c r="BG76" s="1"/>
      <c r="BH76" s="1"/>
      <c r="BJ76" s="1"/>
      <c r="BL76" s="1"/>
      <c r="BN76" s="1"/>
      <c r="BO76">
        <v>186</v>
      </c>
      <c r="BP76">
        <v>260953.83</v>
      </c>
      <c r="BQ76">
        <v>260953.83</v>
      </c>
    </row>
    <row r="77" spans="1:69" x14ac:dyDescent="0.35">
      <c r="A77" s="1" t="s">
        <v>68</v>
      </c>
      <c r="B77" s="1" t="s">
        <v>69</v>
      </c>
      <c r="C77" s="1" t="s">
        <v>70</v>
      </c>
      <c r="D77">
        <v>1</v>
      </c>
      <c r="E77">
        <v>1</v>
      </c>
      <c r="F77" s="2">
        <v>43584.863483796296</v>
      </c>
      <c r="G77" s="3">
        <v>40909</v>
      </c>
      <c r="H77" s="3">
        <v>41274</v>
      </c>
      <c r="I77" s="1" t="s">
        <v>71</v>
      </c>
      <c r="J77">
        <v>4521</v>
      </c>
      <c r="K77">
        <v>0</v>
      </c>
      <c r="L77" s="1" t="s">
        <v>384</v>
      </c>
      <c r="M77" s="1" t="s">
        <v>72</v>
      </c>
      <c r="N77" s="1" t="s">
        <v>134</v>
      </c>
      <c r="O77" s="1" t="s">
        <v>385</v>
      </c>
      <c r="P77" s="1" t="s">
        <v>386</v>
      </c>
      <c r="Q77" s="1" t="s">
        <v>387</v>
      </c>
      <c r="R77">
        <v>103</v>
      </c>
      <c r="S77" s="1" t="s">
        <v>135</v>
      </c>
      <c r="T77" s="1" t="s">
        <v>388</v>
      </c>
      <c r="U77" s="1" t="s">
        <v>135</v>
      </c>
      <c r="V77" s="1"/>
      <c r="W77" s="1"/>
      <c r="X77" s="1"/>
      <c r="Y77" s="1"/>
      <c r="AA77" s="1"/>
      <c r="AC77" s="1"/>
      <c r="AD77" s="1"/>
      <c r="AE77" s="1"/>
      <c r="AN77" s="1" t="s">
        <v>74</v>
      </c>
      <c r="AO77">
        <v>5</v>
      </c>
      <c r="AP77" s="1" t="s">
        <v>1352</v>
      </c>
      <c r="AQ77" s="1" t="s">
        <v>1420</v>
      </c>
      <c r="AR77" s="1" t="s">
        <v>1461</v>
      </c>
      <c r="AS77" s="1" t="s">
        <v>98</v>
      </c>
      <c r="AT77" s="3">
        <v>41048</v>
      </c>
      <c r="AU77" s="3">
        <v>41049</v>
      </c>
      <c r="AV77" s="3">
        <v>41213</v>
      </c>
      <c r="AW77" s="1" t="s">
        <v>1221</v>
      </c>
      <c r="AX77" s="1" t="s">
        <v>1515</v>
      </c>
      <c r="AY77">
        <v>2029.5</v>
      </c>
      <c r="AZ77">
        <v>76</v>
      </c>
      <c r="BA77">
        <v>260953.83</v>
      </c>
      <c r="BB77" s="1"/>
      <c r="BD77" s="1"/>
      <c r="BE77" s="1"/>
      <c r="BG77" s="1"/>
      <c r="BH77" s="1"/>
      <c r="BJ77" s="1"/>
      <c r="BL77" s="1"/>
      <c r="BN77" s="1"/>
      <c r="BO77">
        <v>186</v>
      </c>
      <c r="BP77">
        <v>260953.83</v>
      </c>
      <c r="BQ77">
        <v>260953.83</v>
      </c>
    </row>
    <row r="78" spans="1:69" x14ac:dyDescent="0.35">
      <c r="A78" s="1" t="s">
        <v>68</v>
      </c>
      <c r="B78" s="1" t="s">
        <v>69</v>
      </c>
      <c r="C78" s="1" t="s">
        <v>70</v>
      </c>
      <c r="D78">
        <v>1</v>
      </c>
      <c r="E78">
        <v>1</v>
      </c>
      <c r="F78" s="2">
        <v>43584.863483796296</v>
      </c>
      <c r="G78" s="3">
        <v>40909</v>
      </c>
      <c r="H78" s="3">
        <v>41274</v>
      </c>
      <c r="I78" s="1" t="s">
        <v>71</v>
      </c>
      <c r="J78">
        <v>4521</v>
      </c>
      <c r="K78">
        <v>0</v>
      </c>
      <c r="L78" s="1" t="s">
        <v>384</v>
      </c>
      <c r="M78" s="1" t="s">
        <v>72</v>
      </c>
      <c r="N78" s="1" t="s">
        <v>134</v>
      </c>
      <c r="O78" s="1" t="s">
        <v>385</v>
      </c>
      <c r="P78" s="1" t="s">
        <v>386</v>
      </c>
      <c r="Q78" s="1" t="s">
        <v>387</v>
      </c>
      <c r="R78">
        <v>103</v>
      </c>
      <c r="S78" s="1" t="s">
        <v>135</v>
      </c>
      <c r="T78" s="1" t="s">
        <v>388</v>
      </c>
      <c r="U78" s="1" t="s">
        <v>135</v>
      </c>
      <c r="V78" s="1"/>
      <c r="W78" s="1"/>
      <c r="X78" s="1"/>
      <c r="Y78" s="1"/>
      <c r="AA78" s="1"/>
      <c r="AC78" s="1"/>
      <c r="AD78" s="1"/>
      <c r="AE78" s="1"/>
      <c r="AN78" s="1" t="s">
        <v>74</v>
      </c>
      <c r="AO78">
        <v>6</v>
      </c>
      <c r="AP78" s="1" t="s">
        <v>1353</v>
      </c>
      <c r="AQ78" s="1" t="s">
        <v>1420</v>
      </c>
      <c r="AR78" s="1" t="s">
        <v>1461</v>
      </c>
      <c r="AS78" s="1" t="s">
        <v>98</v>
      </c>
      <c r="AT78" s="3">
        <v>41048</v>
      </c>
      <c r="AU78" s="3">
        <v>41049</v>
      </c>
      <c r="AV78" s="3">
        <v>41213</v>
      </c>
      <c r="AW78" s="1" t="s">
        <v>1221</v>
      </c>
      <c r="AX78" s="1" t="s">
        <v>1515</v>
      </c>
      <c r="AY78">
        <v>1650</v>
      </c>
      <c r="AZ78">
        <v>76</v>
      </c>
      <c r="BA78">
        <v>260953.83</v>
      </c>
      <c r="BB78" s="1"/>
      <c r="BD78" s="1"/>
      <c r="BE78" s="1"/>
      <c r="BG78" s="1"/>
      <c r="BH78" s="1"/>
      <c r="BJ78" s="1"/>
      <c r="BL78" s="1"/>
      <c r="BN78" s="1"/>
      <c r="BO78">
        <v>186</v>
      </c>
      <c r="BP78">
        <v>260953.83</v>
      </c>
      <c r="BQ78">
        <v>260953.83</v>
      </c>
    </row>
    <row r="79" spans="1:69" x14ac:dyDescent="0.35">
      <c r="A79" s="1" t="s">
        <v>68</v>
      </c>
      <c r="B79" s="1" t="s">
        <v>69</v>
      </c>
      <c r="C79" s="1" t="s">
        <v>70</v>
      </c>
      <c r="D79">
        <v>1</v>
      </c>
      <c r="E79">
        <v>1</v>
      </c>
      <c r="F79" s="2">
        <v>43584.863483796296</v>
      </c>
      <c r="G79" s="3">
        <v>40909</v>
      </c>
      <c r="H79" s="3">
        <v>41274</v>
      </c>
      <c r="I79" s="1" t="s">
        <v>71</v>
      </c>
      <c r="J79">
        <v>4521</v>
      </c>
      <c r="K79">
        <v>0</v>
      </c>
      <c r="L79" s="1" t="s">
        <v>384</v>
      </c>
      <c r="M79" s="1" t="s">
        <v>72</v>
      </c>
      <c r="N79" s="1" t="s">
        <v>134</v>
      </c>
      <c r="O79" s="1" t="s">
        <v>385</v>
      </c>
      <c r="P79" s="1" t="s">
        <v>386</v>
      </c>
      <c r="Q79" s="1" t="s">
        <v>387</v>
      </c>
      <c r="R79">
        <v>103</v>
      </c>
      <c r="S79" s="1" t="s">
        <v>135</v>
      </c>
      <c r="T79" s="1" t="s">
        <v>388</v>
      </c>
      <c r="U79" s="1" t="s">
        <v>135</v>
      </c>
      <c r="V79" s="1"/>
      <c r="W79" s="1"/>
      <c r="X79" s="1"/>
      <c r="Y79" s="1"/>
      <c r="AA79" s="1"/>
      <c r="AC79" s="1"/>
      <c r="AD79" s="1"/>
      <c r="AE79" s="1"/>
      <c r="AN79" s="1" t="s">
        <v>74</v>
      </c>
      <c r="AO79">
        <v>7</v>
      </c>
      <c r="AP79" s="1" t="s">
        <v>1354</v>
      </c>
      <c r="AQ79" s="1" t="s">
        <v>982</v>
      </c>
      <c r="AR79" s="1" t="s">
        <v>1462</v>
      </c>
      <c r="AS79" s="1" t="s">
        <v>98</v>
      </c>
      <c r="AT79" s="3">
        <v>41184</v>
      </c>
      <c r="AU79" s="3">
        <v>41184</v>
      </c>
      <c r="AV79" s="3">
        <v>41213</v>
      </c>
      <c r="AW79" s="1" t="s">
        <v>1221</v>
      </c>
      <c r="AX79" s="1" t="s">
        <v>1516</v>
      </c>
      <c r="AY79">
        <v>1205.4000000000001</v>
      </c>
      <c r="AZ79">
        <v>76</v>
      </c>
      <c r="BA79">
        <v>260953.83</v>
      </c>
      <c r="BB79" s="1"/>
      <c r="BD79" s="1"/>
      <c r="BE79" s="1"/>
      <c r="BG79" s="1"/>
      <c r="BH79" s="1"/>
      <c r="BJ79" s="1"/>
      <c r="BL79" s="1"/>
      <c r="BN79" s="1"/>
      <c r="BO79">
        <v>186</v>
      </c>
      <c r="BP79">
        <v>260953.83</v>
      </c>
      <c r="BQ79">
        <v>260953.83</v>
      </c>
    </row>
    <row r="80" spans="1:69" x14ac:dyDescent="0.35">
      <c r="A80" s="1" t="s">
        <v>68</v>
      </c>
      <c r="B80" s="1" t="s">
        <v>69</v>
      </c>
      <c r="C80" s="1" t="s">
        <v>70</v>
      </c>
      <c r="D80">
        <v>1</v>
      </c>
      <c r="E80">
        <v>1</v>
      </c>
      <c r="F80" s="2">
        <v>43584.863483796296</v>
      </c>
      <c r="G80" s="3">
        <v>40909</v>
      </c>
      <c r="H80" s="3">
        <v>41274</v>
      </c>
      <c r="I80" s="1" t="s">
        <v>71</v>
      </c>
      <c r="J80">
        <v>4521</v>
      </c>
      <c r="K80">
        <v>0</v>
      </c>
      <c r="L80" s="1" t="s">
        <v>384</v>
      </c>
      <c r="M80" s="1" t="s">
        <v>72</v>
      </c>
      <c r="N80" s="1" t="s">
        <v>134</v>
      </c>
      <c r="O80" s="1" t="s">
        <v>385</v>
      </c>
      <c r="P80" s="1" t="s">
        <v>386</v>
      </c>
      <c r="Q80" s="1" t="s">
        <v>387</v>
      </c>
      <c r="R80">
        <v>103</v>
      </c>
      <c r="S80" s="1" t="s">
        <v>135</v>
      </c>
      <c r="T80" s="1" t="s">
        <v>388</v>
      </c>
      <c r="U80" s="1" t="s">
        <v>135</v>
      </c>
      <c r="V80" s="1"/>
      <c r="W80" s="1"/>
      <c r="X80" s="1"/>
      <c r="Y80" s="1"/>
      <c r="AA80" s="1"/>
      <c r="AC80" s="1"/>
      <c r="AD80" s="1"/>
      <c r="AE80" s="1"/>
      <c r="AN80" s="1" t="s">
        <v>74</v>
      </c>
      <c r="AO80">
        <v>8</v>
      </c>
      <c r="AP80" s="1" t="s">
        <v>1355</v>
      </c>
      <c r="AQ80" s="1" t="s">
        <v>1421</v>
      </c>
      <c r="AR80" s="1" t="s">
        <v>1463</v>
      </c>
      <c r="AS80" s="1" t="s">
        <v>98</v>
      </c>
      <c r="AT80" s="3">
        <v>41192</v>
      </c>
      <c r="AU80" s="3">
        <v>41192</v>
      </c>
      <c r="AV80" s="3">
        <v>41213</v>
      </c>
      <c r="AW80" s="1" t="s">
        <v>1221</v>
      </c>
      <c r="AX80" s="1" t="s">
        <v>1421</v>
      </c>
      <c r="AY80">
        <v>5560.83</v>
      </c>
      <c r="AZ80">
        <v>76</v>
      </c>
      <c r="BA80">
        <v>260953.83</v>
      </c>
      <c r="BB80" s="1"/>
      <c r="BD80" s="1"/>
      <c r="BE80" s="1"/>
      <c r="BG80" s="1"/>
      <c r="BH80" s="1"/>
      <c r="BJ80" s="1"/>
      <c r="BL80" s="1"/>
      <c r="BN80" s="1"/>
      <c r="BO80">
        <v>186</v>
      </c>
      <c r="BP80">
        <v>260953.83</v>
      </c>
      <c r="BQ80">
        <v>260953.83</v>
      </c>
    </row>
    <row r="81" spans="1:69" x14ac:dyDescent="0.35">
      <c r="A81" s="1" t="s">
        <v>68</v>
      </c>
      <c r="B81" s="1" t="s">
        <v>69</v>
      </c>
      <c r="C81" s="1" t="s">
        <v>70</v>
      </c>
      <c r="D81">
        <v>1</v>
      </c>
      <c r="E81">
        <v>1</v>
      </c>
      <c r="F81" s="2">
        <v>43584.863483796296</v>
      </c>
      <c r="G81" s="3">
        <v>40909</v>
      </c>
      <c r="H81" s="3">
        <v>41274</v>
      </c>
      <c r="I81" s="1" t="s">
        <v>71</v>
      </c>
      <c r="J81">
        <v>4521</v>
      </c>
      <c r="K81">
        <v>0</v>
      </c>
      <c r="L81" s="1" t="s">
        <v>384</v>
      </c>
      <c r="M81" s="1" t="s">
        <v>72</v>
      </c>
      <c r="N81" s="1" t="s">
        <v>134</v>
      </c>
      <c r="O81" s="1" t="s">
        <v>385</v>
      </c>
      <c r="P81" s="1" t="s">
        <v>386</v>
      </c>
      <c r="Q81" s="1" t="s">
        <v>387</v>
      </c>
      <c r="R81">
        <v>103</v>
      </c>
      <c r="S81" s="1" t="s">
        <v>135</v>
      </c>
      <c r="T81" s="1" t="s">
        <v>388</v>
      </c>
      <c r="U81" s="1" t="s">
        <v>135</v>
      </c>
      <c r="V81" s="1"/>
      <c r="W81" s="1"/>
      <c r="X81" s="1"/>
      <c r="Y81" s="1"/>
      <c r="AA81" s="1"/>
      <c r="AC81" s="1"/>
      <c r="AD81" s="1"/>
      <c r="AE81" s="1"/>
      <c r="AN81" s="1" t="s">
        <v>74</v>
      </c>
      <c r="AO81">
        <v>9</v>
      </c>
      <c r="AP81" s="1" t="s">
        <v>1356</v>
      </c>
      <c r="AQ81" s="1" t="s">
        <v>1421</v>
      </c>
      <c r="AR81" s="1" t="s">
        <v>1463</v>
      </c>
      <c r="AS81" s="1" t="s">
        <v>98</v>
      </c>
      <c r="AT81" s="3">
        <v>41192</v>
      </c>
      <c r="AU81" s="3">
        <v>41192</v>
      </c>
      <c r="AV81" s="3">
        <v>41213</v>
      </c>
      <c r="AW81" s="1" t="s">
        <v>1221</v>
      </c>
      <c r="AX81" s="1" t="s">
        <v>1421</v>
      </c>
      <c r="AY81">
        <v>4521</v>
      </c>
      <c r="AZ81">
        <v>76</v>
      </c>
      <c r="BA81">
        <v>260953.83</v>
      </c>
      <c r="BB81" s="1"/>
      <c r="BD81" s="1"/>
      <c r="BE81" s="1"/>
      <c r="BG81" s="1"/>
      <c r="BH81" s="1"/>
      <c r="BJ81" s="1"/>
      <c r="BL81" s="1"/>
      <c r="BN81" s="1"/>
      <c r="BO81">
        <v>186</v>
      </c>
      <c r="BP81">
        <v>260953.83</v>
      </c>
      <c r="BQ81">
        <v>260953.83</v>
      </c>
    </row>
    <row r="82" spans="1:69" x14ac:dyDescent="0.35">
      <c r="A82" s="1" t="s">
        <v>68</v>
      </c>
      <c r="B82" s="1" t="s">
        <v>69</v>
      </c>
      <c r="C82" s="1" t="s">
        <v>70</v>
      </c>
      <c r="D82">
        <v>1</v>
      </c>
      <c r="E82">
        <v>1</v>
      </c>
      <c r="F82" s="2">
        <v>43584.863483796296</v>
      </c>
      <c r="G82" s="3">
        <v>40909</v>
      </c>
      <c r="H82" s="3">
        <v>41274</v>
      </c>
      <c r="I82" s="1" t="s">
        <v>71</v>
      </c>
      <c r="J82">
        <v>4521</v>
      </c>
      <c r="K82">
        <v>0</v>
      </c>
      <c r="L82" s="1" t="s">
        <v>384</v>
      </c>
      <c r="M82" s="1" t="s">
        <v>72</v>
      </c>
      <c r="N82" s="1" t="s">
        <v>134</v>
      </c>
      <c r="O82" s="1" t="s">
        <v>385</v>
      </c>
      <c r="P82" s="1" t="s">
        <v>386</v>
      </c>
      <c r="Q82" s="1" t="s">
        <v>387</v>
      </c>
      <c r="R82">
        <v>103</v>
      </c>
      <c r="S82" s="1" t="s">
        <v>135</v>
      </c>
      <c r="T82" s="1" t="s">
        <v>388</v>
      </c>
      <c r="U82" s="1" t="s">
        <v>135</v>
      </c>
      <c r="V82" s="1"/>
      <c r="W82" s="1"/>
      <c r="X82" s="1"/>
      <c r="Y82" s="1"/>
      <c r="AA82" s="1"/>
      <c r="AC82" s="1"/>
      <c r="AD82" s="1"/>
      <c r="AE82" s="1"/>
      <c r="AN82" s="1" t="s">
        <v>74</v>
      </c>
      <c r="AO82">
        <v>10</v>
      </c>
      <c r="AP82" s="1" t="s">
        <v>1357</v>
      </c>
      <c r="AQ82" s="1" t="s">
        <v>1422</v>
      </c>
      <c r="AR82" s="1" t="s">
        <v>1464</v>
      </c>
      <c r="AS82" s="1" t="s">
        <v>1510</v>
      </c>
      <c r="AT82" s="3">
        <v>41212</v>
      </c>
      <c r="AU82" s="3">
        <v>41212</v>
      </c>
      <c r="AV82" s="3">
        <v>41213</v>
      </c>
      <c r="AW82" s="1" t="s">
        <v>1221</v>
      </c>
      <c r="AX82" s="1" t="s">
        <v>1517</v>
      </c>
      <c r="AY82">
        <v>6278.6</v>
      </c>
      <c r="AZ82">
        <v>76</v>
      </c>
      <c r="BA82">
        <v>260953.83</v>
      </c>
      <c r="BB82" s="1"/>
      <c r="BD82" s="1"/>
      <c r="BE82" s="1"/>
      <c r="BG82" s="1"/>
      <c r="BH82" s="1"/>
      <c r="BJ82" s="1"/>
      <c r="BL82" s="1"/>
      <c r="BN82" s="1"/>
      <c r="BO82">
        <v>186</v>
      </c>
      <c r="BP82">
        <v>260953.83</v>
      </c>
      <c r="BQ82">
        <v>260953.83</v>
      </c>
    </row>
    <row r="83" spans="1:69" x14ac:dyDescent="0.35">
      <c r="A83" s="1" t="s">
        <v>68</v>
      </c>
      <c r="B83" s="1" t="s">
        <v>69</v>
      </c>
      <c r="C83" s="1" t="s">
        <v>70</v>
      </c>
      <c r="D83">
        <v>1</v>
      </c>
      <c r="E83">
        <v>1</v>
      </c>
      <c r="F83" s="2">
        <v>43584.863483796296</v>
      </c>
      <c r="G83" s="3">
        <v>40909</v>
      </c>
      <c r="H83" s="3">
        <v>41274</v>
      </c>
      <c r="I83" s="1" t="s">
        <v>71</v>
      </c>
      <c r="J83">
        <v>4521</v>
      </c>
      <c r="K83">
        <v>0</v>
      </c>
      <c r="L83" s="1" t="s">
        <v>384</v>
      </c>
      <c r="M83" s="1" t="s">
        <v>72</v>
      </c>
      <c r="N83" s="1" t="s">
        <v>134</v>
      </c>
      <c r="O83" s="1" t="s">
        <v>385</v>
      </c>
      <c r="P83" s="1" t="s">
        <v>386</v>
      </c>
      <c r="Q83" s="1" t="s">
        <v>387</v>
      </c>
      <c r="R83">
        <v>103</v>
      </c>
      <c r="S83" s="1" t="s">
        <v>135</v>
      </c>
      <c r="T83" s="1" t="s">
        <v>388</v>
      </c>
      <c r="U83" s="1" t="s">
        <v>135</v>
      </c>
      <c r="V83" s="1"/>
      <c r="W83" s="1"/>
      <c r="X83" s="1"/>
      <c r="Y83" s="1"/>
      <c r="AA83" s="1"/>
      <c r="AC83" s="1"/>
      <c r="AD83" s="1"/>
      <c r="AE83" s="1"/>
      <c r="AN83" s="1" t="s">
        <v>74</v>
      </c>
      <c r="AO83">
        <v>11</v>
      </c>
      <c r="AP83" s="1" t="s">
        <v>1358</v>
      </c>
      <c r="AQ83" s="1" t="s">
        <v>1423</v>
      </c>
      <c r="AR83" s="1" t="s">
        <v>1465</v>
      </c>
      <c r="AS83" s="1" t="s">
        <v>1215</v>
      </c>
      <c r="AT83" s="3">
        <v>41213</v>
      </c>
      <c r="AU83" s="3">
        <v>41213</v>
      </c>
      <c r="AV83" s="3">
        <v>41213</v>
      </c>
      <c r="AW83" s="1" t="s">
        <v>1221</v>
      </c>
      <c r="AX83" s="1" t="s">
        <v>1423</v>
      </c>
      <c r="AY83">
        <v>362.3</v>
      </c>
      <c r="AZ83">
        <v>76</v>
      </c>
      <c r="BA83">
        <v>260953.83</v>
      </c>
      <c r="BB83" s="1"/>
      <c r="BD83" s="1"/>
      <c r="BE83" s="1"/>
      <c r="BG83" s="1"/>
      <c r="BH83" s="1"/>
      <c r="BJ83" s="1"/>
      <c r="BL83" s="1"/>
      <c r="BN83" s="1"/>
      <c r="BO83">
        <v>186</v>
      </c>
      <c r="BP83">
        <v>260953.83</v>
      </c>
      <c r="BQ83">
        <v>260953.83</v>
      </c>
    </row>
    <row r="84" spans="1:69" x14ac:dyDescent="0.35">
      <c r="A84" s="1" t="s">
        <v>68</v>
      </c>
      <c r="B84" s="1" t="s">
        <v>69</v>
      </c>
      <c r="C84" s="1" t="s">
        <v>70</v>
      </c>
      <c r="D84">
        <v>1</v>
      </c>
      <c r="E84">
        <v>1</v>
      </c>
      <c r="F84" s="2">
        <v>43584.863483796296</v>
      </c>
      <c r="G84" s="3">
        <v>40909</v>
      </c>
      <c r="H84" s="3">
        <v>41274</v>
      </c>
      <c r="I84" s="1" t="s">
        <v>71</v>
      </c>
      <c r="J84">
        <v>4521</v>
      </c>
      <c r="K84">
        <v>0</v>
      </c>
      <c r="L84" s="1" t="s">
        <v>384</v>
      </c>
      <c r="M84" s="1" t="s">
        <v>72</v>
      </c>
      <c r="N84" s="1" t="s">
        <v>134</v>
      </c>
      <c r="O84" s="1" t="s">
        <v>385</v>
      </c>
      <c r="P84" s="1" t="s">
        <v>386</v>
      </c>
      <c r="Q84" s="1" t="s">
        <v>387</v>
      </c>
      <c r="R84">
        <v>103</v>
      </c>
      <c r="S84" s="1" t="s">
        <v>135</v>
      </c>
      <c r="T84" s="1" t="s">
        <v>388</v>
      </c>
      <c r="U84" s="1" t="s">
        <v>135</v>
      </c>
      <c r="V84" s="1"/>
      <c r="W84" s="1"/>
      <c r="X84" s="1"/>
      <c r="Y84" s="1"/>
      <c r="AA84" s="1"/>
      <c r="AC84" s="1"/>
      <c r="AD84" s="1"/>
      <c r="AE84" s="1"/>
      <c r="AN84" s="1" t="s">
        <v>74</v>
      </c>
      <c r="AO84">
        <v>12</v>
      </c>
      <c r="AP84" s="1" t="s">
        <v>1359</v>
      </c>
      <c r="AQ84" s="1" t="s">
        <v>1424</v>
      </c>
      <c r="AR84" s="1" t="s">
        <v>1466</v>
      </c>
      <c r="AS84" s="1" t="s">
        <v>1216</v>
      </c>
      <c r="AT84" s="3">
        <v>41215</v>
      </c>
      <c r="AU84" s="3">
        <v>41213</v>
      </c>
      <c r="AV84" s="3">
        <v>41243</v>
      </c>
      <c r="AW84" s="1" t="s">
        <v>1221</v>
      </c>
      <c r="AX84" s="1" t="s">
        <v>1424</v>
      </c>
      <c r="AY84">
        <v>335.79</v>
      </c>
      <c r="AZ84">
        <v>76</v>
      </c>
      <c r="BA84">
        <v>260953.83</v>
      </c>
      <c r="BB84" s="1"/>
      <c r="BD84" s="1"/>
      <c r="BE84" s="1"/>
      <c r="BG84" s="1"/>
      <c r="BH84" s="1"/>
      <c r="BJ84" s="1"/>
      <c r="BL84" s="1"/>
      <c r="BN84" s="1"/>
      <c r="BO84">
        <v>186</v>
      </c>
      <c r="BP84">
        <v>260953.83</v>
      </c>
      <c r="BQ84">
        <v>260953.83</v>
      </c>
    </row>
    <row r="85" spans="1:69" x14ac:dyDescent="0.35">
      <c r="A85" s="1" t="s">
        <v>68</v>
      </c>
      <c r="B85" s="1" t="s">
        <v>69</v>
      </c>
      <c r="C85" s="1" t="s">
        <v>70</v>
      </c>
      <c r="D85">
        <v>1</v>
      </c>
      <c r="E85">
        <v>1</v>
      </c>
      <c r="F85" s="2">
        <v>43584.863483796296</v>
      </c>
      <c r="G85" s="3">
        <v>40909</v>
      </c>
      <c r="H85" s="3">
        <v>41274</v>
      </c>
      <c r="I85" s="1" t="s">
        <v>71</v>
      </c>
      <c r="J85">
        <v>4521</v>
      </c>
      <c r="K85">
        <v>0</v>
      </c>
      <c r="L85" s="1" t="s">
        <v>384</v>
      </c>
      <c r="M85" s="1" t="s">
        <v>72</v>
      </c>
      <c r="N85" s="1" t="s">
        <v>134</v>
      </c>
      <c r="O85" s="1" t="s">
        <v>385</v>
      </c>
      <c r="P85" s="1" t="s">
        <v>386</v>
      </c>
      <c r="Q85" s="1" t="s">
        <v>387</v>
      </c>
      <c r="R85">
        <v>103</v>
      </c>
      <c r="S85" s="1" t="s">
        <v>135</v>
      </c>
      <c r="T85" s="1" t="s">
        <v>388</v>
      </c>
      <c r="U85" s="1" t="s">
        <v>135</v>
      </c>
      <c r="V85" s="1"/>
      <c r="W85" s="1"/>
      <c r="X85" s="1"/>
      <c r="Y85" s="1"/>
      <c r="AA85" s="1"/>
      <c r="AC85" s="1"/>
      <c r="AD85" s="1"/>
      <c r="AE85" s="1"/>
      <c r="AN85" s="1" t="s">
        <v>74</v>
      </c>
      <c r="AO85">
        <v>13</v>
      </c>
      <c r="AP85" s="1" t="s">
        <v>1360</v>
      </c>
      <c r="AQ85" s="1" t="s">
        <v>1425</v>
      </c>
      <c r="AR85" s="1" t="s">
        <v>1467</v>
      </c>
      <c r="AS85" s="1" t="s">
        <v>98</v>
      </c>
      <c r="AT85" s="3">
        <v>40647</v>
      </c>
      <c r="AU85" s="3">
        <v>40647</v>
      </c>
      <c r="AV85" s="3">
        <v>41243</v>
      </c>
      <c r="AW85" s="1" t="s">
        <v>1221</v>
      </c>
      <c r="AX85" s="1" t="s">
        <v>1425</v>
      </c>
      <c r="AY85">
        <v>1205.4000000000001</v>
      </c>
      <c r="AZ85">
        <v>76</v>
      </c>
      <c r="BA85">
        <v>260953.83</v>
      </c>
      <c r="BB85" s="1"/>
      <c r="BD85" s="1"/>
      <c r="BE85" s="1"/>
      <c r="BG85" s="1"/>
      <c r="BH85" s="1"/>
      <c r="BJ85" s="1"/>
      <c r="BL85" s="1"/>
      <c r="BN85" s="1"/>
      <c r="BO85">
        <v>186</v>
      </c>
      <c r="BP85">
        <v>260953.83</v>
      </c>
      <c r="BQ85">
        <v>260953.83</v>
      </c>
    </row>
    <row r="86" spans="1:69" x14ac:dyDescent="0.35">
      <c r="A86" s="1" t="s">
        <v>68</v>
      </c>
      <c r="B86" s="1" t="s">
        <v>69</v>
      </c>
      <c r="C86" s="1" t="s">
        <v>70</v>
      </c>
      <c r="D86">
        <v>1</v>
      </c>
      <c r="E86">
        <v>1</v>
      </c>
      <c r="F86" s="2">
        <v>43584.863483796296</v>
      </c>
      <c r="G86" s="3">
        <v>40909</v>
      </c>
      <c r="H86" s="3">
        <v>41274</v>
      </c>
      <c r="I86" s="1" t="s">
        <v>71</v>
      </c>
      <c r="J86">
        <v>4521</v>
      </c>
      <c r="K86">
        <v>0</v>
      </c>
      <c r="L86" s="1" t="s">
        <v>384</v>
      </c>
      <c r="M86" s="1" t="s">
        <v>72</v>
      </c>
      <c r="N86" s="1" t="s">
        <v>134</v>
      </c>
      <c r="O86" s="1" t="s">
        <v>385</v>
      </c>
      <c r="P86" s="1" t="s">
        <v>386</v>
      </c>
      <c r="Q86" s="1" t="s">
        <v>387</v>
      </c>
      <c r="R86">
        <v>103</v>
      </c>
      <c r="S86" s="1" t="s">
        <v>135</v>
      </c>
      <c r="T86" s="1" t="s">
        <v>388</v>
      </c>
      <c r="U86" s="1" t="s">
        <v>135</v>
      </c>
      <c r="V86" s="1"/>
      <c r="W86" s="1"/>
      <c r="X86" s="1"/>
      <c r="Y86" s="1"/>
      <c r="AA86" s="1"/>
      <c r="AC86" s="1"/>
      <c r="AD86" s="1"/>
      <c r="AE86" s="1"/>
      <c r="AN86" s="1" t="s">
        <v>74</v>
      </c>
      <c r="AO86">
        <v>14</v>
      </c>
      <c r="AP86" s="1" t="s">
        <v>1361</v>
      </c>
      <c r="AQ86" s="1" t="s">
        <v>1426</v>
      </c>
      <c r="AR86" s="1" t="s">
        <v>1468</v>
      </c>
      <c r="AS86" s="1" t="s">
        <v>1215</v>
      </c>
      <c r="AT86" s="3">
        <v>41215</v>
      </c>
      <c r="AU86" s="3">
        <v>41215</v>
      </c>
      <c r="AV86" s="3">
        <v>41233</v>
      </c>
      <c r="AW86" s="1" t="s">
        <v>1221</v>
      </c>
      <c r="AX86" s="1" t="s">
        <v>1426</v>
      </c>
      <c r="AY86">
        <v>3299.94</v>
      </c>
      <c r="AZ86">
        <v>76</v>
      </c>
      <c r="BA86">
        <v>260953.83</v>
      </c>
      <c r="BB86" s="1"/>
      <c r="BD86" s="1"/>
      <c r="BE86" s="1"/>
      <c r="BG86" s="1"/>
      <c r="BH86" s="1"/>
      <c r="BJ86" s="1"/>
      <c r="BL86" s="1"/>
      <c r="BN86" s="1"/>
      <c r="BO86">
        <v>186</v>
      </c>
      <c r="BP86">
        <v>260953.83</v>
      </c>
      <c r="BQ86">
        <v>260953.83</v>
      </c>
    </row>
    <row r="87" spans="1:69" x14ac:dyDescent="0.35">
      <c r="A87" s="1" t="s">
        <v>68</v>
      </c>
      <c r="B87" s="1" t="s">
        <v>69</v>
      </c>
      <c r="C87" s="1" t="s">
        <v>70</v>
      </c>
      <c r="D87">
        <v>1</v>
      </c>
      <c r="E87">
        <v>1</v>
      </c>
      <c r="F87" s="2">
        <v>43584.863483796296</v>
      </c>
      <c r="G87" s="3">
        <v>40909</v>
      </c>
      <c r="H87" s="3">
        <v>41274</v>
      </c>
      <c r="I87" s="1" t="s">
        <v>71</v>
      </c>
      <c r="J87">
        <v>4521</v>
      </c>
      <c r="K87">
        <v>0</v>
      </c>
      <c r="L87" s="1" t="s">
        <v>384</v>
      </c>
      <c r="M87" s="1" t="s">
        <v>72</v>
      </c>
      <c r="N87" s="1" t="s">
        <v>134</v>
      </c>
      <c r="O87" s="1" t="s">
        <v>385</v>
      </c>
      <c r="P87" s="1" t="s">
        <v>386</v>
      </c>
      <c r="Q87" s="1" t="s">
        <v>387</v>
      </c>
      <c r="R87">
        <v>103</v>
      </c>
      <c r="S87" s="1" t="s">
        <v>135</v>
      </c>
      <c r="T87" s="1" t="s">
        <v>388</v>
      </c>
      <c r="U87" s="1" t="s">
        <v>135</v>
      </c>
      <c r="V87" s="1"/>
      <c r="W87" s="1"/>
      <c r="X87" s="1"/>
      <c r="Y87" s="1"/>
      <c r="AA87" s="1"/>
      <c r="AC87" s="1"/>
      <c r="AD87" s="1"/>
      <c r="AE87" s="1"/>
      <c r="AN87" s="1" t="s">
        <v>74</v>
      </c>
      <c r="AO87">
        <v>15</v>
      </c>
      <c r="AP87" s="1" t="s">
        <v>1362</v>
      </c>
      <c r="AQ87" s="1" t="s">
        <v>1427</v>
      </c>
      <c r="AR87" s="1" t="s">
        <v>1469</v>
      </c>
      <c r="AS87" s="1" t="s">
        <v>1212</v>
      </c>
      <c r="AT87" s="3">
        <v>41215</v>
      </c>
      <c r="AU87" s="3">
        <v>41215</v>
      </c>
      <c r="AV87" s="3">
        <v>41243</v>
      </c>
      <c r="AW87" s="1" t="s">
        <v>1221</v>
      </c>
      <c r="AX87" s="1" t="s">
        <v>1427</v>
      </c>
      <c r="AY87">
        <v>11813.7</v>
      </c>
      <c r="AZ87">
        <v>76</v>
      </c>
      <c r="BA87">
        <v>260953.83</v>
      </c>
      <c r="BB87" s="1"/>
      <c r="BD87" s="1"/>
      <c r="BE87" s="1"/>
      <c r="BG87" s="1"/>
      <c r="BH87" s="1"/>
      <c r="BJ87" s="1"/>
      <c r="BL87" s="1"/>
      <c r="BN87" s="1"/>
      <c r="BO87">
        <v>186</v>
      </c>
      <c r="BP87">
        <v>260953.83</v>
      </c>
      <c r="BQ87">
        <v>260953.83</v>
      </c>
    </row>
    <row r="88" spans="1:69" x14ac:dyDescent="0.35">
      <c r="A88" s="1" t="s">
        <v>68</v>
      </c>
      <c r="B88" s="1" t="s">
        <v>69</v>
      </c>
      <c r="C88" s="1" t="s">
        <v>70</v>
      </c>
      <c r="D88">
        <v>1</v>
      </c>
      <c r="E88">
        <v>1</v>
      </c>
      <c r="F88" s="2">
        <v>43584.863483796296</v>
      </c>
      <c r="G88" s="3">
        <v>40909</v>
      </c>
      <c r="H88" s="3">
        <v>41274</v>
      </c>
      <c r="I88" s="1" t="s">
        <v>71</v>
      </c>
      <c r="J88">
        <v>4521</v>
      </c>
      <c r="K88">
        <v>0</v>
      </c>
      <c r="L88" s="1" t="s">
        <v>384</v>
      </c>
      <c r="M88" s="1" t="s">
        <v>72</v>
      </c>
      <c r="N88" s="1" t="s">
        <v>134</v>
      </c>
      <c r="O88" s="1" t="s">
        <v>385</v>
      </c>
      <c r="P88" s="1" t="s">
        <v>386</v>
      </c>
      <c r="Q88" s="1" t="s">
        <v>387</v>
      </c>
      <c r="R88">
        <v>103</v>
      </c>
      <c r="S88" s="1" t="s">
        <v>135</v>
      </c>
      <c r="T88" s="1" t="s">
        <v>388</v>
      </c>
      <c r="U88" s="1" t="s">
        <v>135</v>
      </c>
      <c r="V88" s="1"/>
      <c r="W88" s="1"/>
      <c r="X88" s="1"/>
      <c r="Y88" s="1"/>
      <c r="AA88" s="1"/>
      <c r="AC88" s="1"/>
      <c r="AD88" s="1"/>
      <c r="AE88" s="1"/>
      <c r="AN88" s="1" t="s">
        <v>74</v>
      </c>
      <c r="AO88">
        <v>16</v>
      </c>
      <c r="AP88" s="1" t="s">
        <v>1363</v>
      </c>
      <c r="AQ88" s="1" t="s">
        <v>1428</v>
      </c>
      <c r="AR88" s="1" t="s">
        <v>1470</v>
      </c>
      <c r="AS88" s="1" t="s">
        <v>98</v>
      </c>
      <c r="AT88" s="3">
        <v>41213</v>
      </c>
      <c r="AU88" s="3">
        <v>41215</v>
      </c>
      <c r="AV88" s="3">
        <v>41243</v>
      </c>
      <c r="AW88" s="1" t="s">
        <v>1221</v>
      </c>
      <c r="AX88" s="1" t="s">
        <v>1428</v>
      </c>
      <c r="AY88">
        <v>1205.4000000000001</v>
      </c>
      <c r="AZ88">
        <v>76</v>
      </c>
      <c r="BA88">
        <v>260953.83</v>
      </c>
      <c r="BB88" s="1"/>
      <c r="BD88" s="1"/>
      <c r="BE88" s="1"/>
      <c r="BG88" s="1"/>
      <c r="BH88" s="1"/>
      <c r="BJ88" s="1"/>
      <c r="BL88" s="1"/>
      <c r="BN88" s="1"/>
      <c r="BO88">
        <v>186</v>
      </c>
      <c r="BP88">
        <v>260953.83</v>
      </c>
      <c r="BQ88">
        <v>260953.83</v>
      </c>
    </row>
    <row r="89" spans="1:69" x14ac:dyDescent="0.35">
      <c r="A89" s="1" t="s">
        <v>68</v>
      </c>
      <c r="B89" s="1" t="s">
        <v>69</v>
      </c>
      <c r="C89" s="1" t="s">
        <v>70</v>
      </c>
      <c r="D89">
        <v>1</v>
      </c>
      <c r="E89">
        <v>1</v>
      </c>
      <c r="F89" s="2">
        <v>43584.863483796296</v>
      </c>
      <c r="G89" s="3">
        <v>40909</v>
      </c>
      <c r="H89" s="3">
        <v>41274</v>
      </c>
      <c r="I89" s="1" t="s">
        <v>71</v>
      </c>
      <c r="J89">
        <v>4521</v>
      </c>
      <c r="K89">
        <v>0</v>
      </c>
      <c r="L89" s="1" t="s">
        <v>384</v>
      </c>
      <c r="M89" s="1" t="s">
        <v>72</v>
      </c>
      <c r="N89" s="1" t="s">
        <v>134</v>
      </c>
      <c r="O89" s="1" t="s">
        <v>385</v>
      </c>
      <c r="P89" s="1" t="s">
        <v>386</v>
      </c>
      <c r="Q89" s="1" t="s">
        <v>387</v>
      </c>
      <c r="R89">
        <v>103</v>
      </c>
      <c r="S89" s="1" t="s">
        <v>135</v>
      </c>
      <c r="T89" s="1" t="s">
        <v>388</v>
      </c>
      <c r="U89" s="1" t="s">
        <v>135</v>
      </c>
      <c r="V89" s="1"/>
      <c r="W89" s="1"/>
      <c r="X89" s="1"/>
      <c r="Y89" s="1"/>
      <c r="AA89" s="1"/>
      <c r="AC89" s="1"/>
      <c r="AD89" s="1"/>
      <c r="AE89" s="1"/>
      <c r="AN89" s="1" t="s">
        <v>74</v>
      </c>
      <c r="AO89">
        <v>17</v>
      </c>
      <c r="AP89" s="1" t="s">
        <v>1364</v>
      </c>
      <c r="AQ89" s="1" t="s">
        <v>1429</v>
      </c>
      <c r="AR89" s="1" t="s">
        <v>1471</v>
      </c>
      <c r="AS89" s="1" t="s">
        <v>1510</v>
      </c>
      <c r="AT89" s="3">
        <v>41213</v>
      </c>
      <c r="AU89" s="3">
        <v>41215</v>
      </c>
      <c r="AV89" s="3">
        <v>41243</v>
      </c>
      <c r="AW89" s="1" t="s">
        <v>1221</v>
      </c>
      <c r="AX89" s="1" t="s">
        <v>1518</v>
      </c>
      <c r="AY89">
        <v>2390.1799999999998</v>
      </c>
      <c r="AZ89">
        <v>76</v>
      </c>
      <c r="BA89">
        <v>260953.83</v>
      </c>
      <c r="BB89" s="1"/>
      <c r="BD89" s="1"/>
      <c r="BE89" s="1"/>
      <c r="BG89" s="1"/>
      <c r="BH89" s="1"/>
      <c r="BJ89" s="1"/>
      <c r="BL89" s="1"/>
      <c r="BN89" s="1"/>
      <c r="BO89">
        <v>186</v>
      </c>
      <c r="BP89">
        <v>260953.83</v>
      </c>
      <c r="BQ89">
        <v>260953.83</v>
      </c>
    </row>
    <row r="90" spans="1:69" x14ac:dyDescent="0.35">
      <c r="A90" s="1" t="s">
        <v>68</v>
      </c>
      <c r="B90" s="1" t="s">
        <v>69</v>
      </c>
      <c r="C90" s="1" t="s">
        <v>70</v>
      </c>
      <c r="D90">
        <v>1</v>
      </c>
      <c r="E90">
        <v>1</v>
      </c>
      <c r="F90" s="2">
        <v>43584.863483796296</v>
      </c>
      <c r="G90" s="3">
        <v>40909</v>
      </c>
      <c r="H90" s="3">
        <v>41274</v>
      </c>
      <c r="I90" s="1" t="s">
        <v>71</v>
      </c>
      <c r="J90">
        <v>4521</v>
      </c>
      <c r="K90">
        <v>0</v>
      </c>
      <c r="L90" s="1" t="s">
        <v>384</v>
      </c>
      <c r="M90" s="1" t="s">
        <v>72</v>
      </c>
      <c r="N90" s="1" t="s">
        <v>134</v>
      </c>
      <c r="O90" s="1" t="s">
        <v>385</v>
      </c>
      <c r="P90" s="1" t="s">
        <v>386</v>
      </c>
      <c r="Q90" s="1" t="s">
        <v>387</v>
      </c>
      <c r="R90">
        <v>103</v>
      </c>
      <c r="S90" s="1" t="s">
        <v>135</v>
      </c>
      <c r="T90" s="1" t="s">
        <v>388</v>
      </c>
      <c r="U90" s="1" t="s">
        <v>135</v>
      </c>
      <c r="V90" s="1"/>
      <c r="W90" s="1"/>
      <c r="X90" s="1"/>
      <c r="Y90" s="1"/>
      <c r="AA90" s="1"/>
      <c r="AC90" s="1"/>
      <c r="AD90" s="1"/>
      <c r="AE90" s="1"/>
      <c r="AN90" s="1" t="s">
        <v>74</v>
      </c>
      <c r="AO90">
        <v>18</v>
      </c>
      <c r="AP90" s="1" t="s">
        <v>1365</v>
      </c>
      <c r="AQ90" s="1" t="s">
        <v>989</v>
      </c>
      <c r="AR90" s="1" t="s">
        <v>1472</v>
      </c>
      <c r="AS90" s="1" t="s">
        <v>1205</v>
      </c>
      <c r="AT90" s="3">
        <v>41218</v>
      </c>
      <c r="AU90" s="3">
        <v>41218</v>
      </c>
      <c r="AV90" s="3">
        <v>41233</v>
      </c>
      <c r="AW90" s="1" t="s">
        <v>1221</v>
      </c>
      <c r="AX90" s="1" t="s">
        <v>989</v>
      </c>
      <c r="AY90">
        <v>12</v>
      </c>
      <c r="AZ90">
        <v>76</v>
      </c>
      <c r="BA90">
        <v>260953.83</v>
      </c>
      <c r="BB90" s="1"/>
      <c r="BD90" s="1"/>
      <c r="BE90" s="1"/>
      <c r="BG90" s="1"/>
      <c r="BH90" s="1"/>
      <c r="BJ90" s="1"/>
      <c r="BL90" s="1"/>
      <c r="BN90" s="1"/>
      <c r="BO90">
        <v>186</v>
      </c>
      <c r="BP90">
        <v>260953.83</v>
      </c>
      <c r="BQ90">
        <v>260953.83</v>
      </c>
    </row>
    <row r="91" spans="1:69" x14ac:dyDescent="0.35">
      <c r="A91" s="1" t="s">
        <v>68</v>
      </c>
      <c r="B91" s="1" t="s">
        <v>69</v>
      </c>
      <c r="C91" s="1" t="s">
        <v>70</v>
      </c>
      <c r="D91">
        <v>1</v>
      </c>
      <c r="E91">
        <v>1</v>
      </c>
      <c r="F91" s="2">
        <v>43584.863483796296</v>
      </c>
      <c r="G91" s="3">
        <v>40909</v>
      </c>
      <c r="H91" s="3">
        <v>41274</v>
      </c>
      <c r="I91" s="1" t="s">
        <v>71</v>
      </c>
      <c r="J91">
        <v>4521</v>
      </c>
      <c r="K91">
        <v>0</v>
      </c>
      <c r="L91" s="1" t="s">
        <v>384</v>
      </c>
      <c r="M91" s="1" t="s">
        <v>72</v>
      </c>
      <c r="N91" s="1" t="s">
        <v>134</v>
      </c>
      <c r="O91" s="1" t="s">
        <v>385</v>
      </c>
      <c r="P91" s="1" t="s">
        <v>386</v>
      </c>
      <c r="Q91" s="1" t="s">
        <v>387</v>
      </c>
      <c r="R91">
        <v>103</v>
      </c>
      <c r="S91" s="1" t="s">
        <v>135</v>
      </c>
      <c r="T91" s="1" t="s">
        <v>388</v>
      </c>
      <c r="U91" s="1" t="s">
        <v>135</v>
      </c>
      <c r="V91" s="1"/>
      <c r="W91" s="1"/>
      <c r="X91" s="1"/>
      <c r="Y91" s="1"/>
      <c r="AA91" s="1"/>
      <c r="AC91" s="1"/>
      <c r="AD91" s="1"/>
      <c r="AE91" s="1"/>
      <c r="AN91" s="1" t="s">
        <v>74</v>
      </c>
      <c r="AO91">
        <v>19</v>
      </c>
      <c r="AP91" s="1" t="s">
        <v>1366</v>
      </c>
      <c r="AQ91" s="1" t="s">
        <v>1422</v>
      </c>
      <c r="AR91" s="1" t="s">
        <v>1473</v>
      </c>
      <c r="AS91" s="1" t="s">
        <v>1510</v>
      </c>
      <c r="AT91" s="3">
        <v>41215</v>
      </c>
      <c r="AU91" s="3">
        <v>41218</v>
      </c>
      <c r="AV91" s="3">
        <v>41233</v>
      </c>
      <c r="AW91" s="1" t="s">
        <v>1221</v>
      </c>
      <c r="AX91" s="1" t="s">
        <v>1517</v>
      </c>
      <c r="AY91">
        <v>3708.24</v>
      </c>
      <c r="AZ91">
        <v>76</v>
      </c>
      <c r="BA91">
        <v>260953.83</v>
      </c>
      <c r="BB91" s="1"/>
      <c r="BD91" s="1"/>
      <c r="BE91" s="1"/>
      <c r="BG91" s="1"/>
      <c r="BH91" s="1"/>
      <c r="BJ91" s="1"/>
      <c r="BL91" s="1"/>
      <c r="BN91" s="1"/>
      <c r="BO91">
        <v>186</v>
      </c>
      <c r="BP91">
        <v>260953.83</v>
      </c>
      <c r="BQ91">
        <v>260953.83</v>
      </c>
    </row>
    <row r="92" spans="1:69" x14ac:dyDescent="0.35">
      <c r="A92" s="1" t="s">
        <v>68</v>
      </c>
      <c r="B92" s="1" t="s">
        <v>69</v>
      </c>
      <c r="C92" s="1" t="s">
        <v>70</v>
      </c>
      <c r="D92">
        <v>1</v>
      </c>
      <c r="E92">
        <v>1</v>
      </c>
      <c r="F92" s="2">
        <v>43584.863483796296</v>
      </c>
      <c r="G92" s="3">
        <v>40909</v>
      </c>
      <c r="H92" s="3">
        <v>41274</v>
      </c>
      <c r="I92" s="1" t="s">
        <v>71</v>
      </c>
      <c r="J92">
        <v>4521</v>
      </c>
      <c r="K92">
        <v>0</v>
      </c>
      <c r="L92" s="1" t="s">
        <v>384</v>
      </c>
      <c r="M92" s="1" t="s">
        <v>72</v>
      </c>
      <c r="N92" s="1" t="s">
        <v>134</v>
      </c>
      <c r="O92" s="1" t="s">
        <v>385</v>
      </c>
      <c r="P92" s="1" t="s">
        <v>386</v>
      </c>
      <c r="Q92" s="1" t="s">
        <v>387</v>
      </c>
      <c r="R92">
        <v>103</v>
      </c>
      <c r="S92" s="1" t="s">
        <v>135</v>
      </c>
      <c r="T92" s="1" t="s">
        <v>388</v>
      </c>
      <c r="U92" s="1" t="s">
        <v>135</v>
      </c>
      <c r="V92" s="1"/>
      <c r="W92" s="1"/>
      <c r="X92" s="1"/>
      <c r="Y92" s="1"/>
      <c r="AA92" s="1"/>
      <c r="AC92" s="1"/>
      <c r="AD92" s="1"/>
      <c r="AE92" s="1"/>
      <c r="AN92" s="1" t="s">
        <v>74</v>
      </c>
      <c r="AO92">
        <v>20</v>
      </c>
      <c r="AP92" s="1" t="s">
        <v>1367</v>
      </c>
      <c r="AQ92" s="1" t="s">
        <v>1430</v>
      </c>
      <c r="AR92" s="1" t="s">
        <v>1474</v>
      </c>
      <c r="AS92" s="1" t="s">
        <v>98</v>
      </c>
      <c r="AT92" s="3">
        <v>41218</v>
      </c>
      <c r="AU92" s="3">
        <v>41218</v>
      </c>
      <c r="AV92" s="3">
        <v>41243</v>
      </c>
      <c r="AW92" s="1" t="s">
        <v>1221</v>
      </c>
      <c r="AX92" s="1" t="s">
        <v>1519</v>
      </c>
      <c r="AY92">
        <v>7779.75</v>
      </c>
      <c r="AZ92">
        <v>76</v>
      </c>
      <c r="BA92">
        <v>260953.83</v>
      </c>
      <c r="BB92" s="1"/>
      <c r="BD92" s="1"/>
      <c r="BE92" s="1"/>
      <c r="BG92" s="1"/>
      <c r="BH92" s="1"/>
      <c r="BJ92" s="1"/>
      <c r="BL92" s="1"/>
      <c r="BN92" s="1"/>
      <c r="BO92">
        <v>186</v>
      </c>
      <c r="BP92">
        <v>260953.83</v>
      </c>
      <c r="BQ92">
        <v>260953.83</v>
      </c>
    </row>
    <row r="93" spans="1:69" x14ac:dyDescent="0.35">
      <c r="A93" s="1" t="s">
        <v>68</v>
      </c>
      <c r="B93" s="1" t="s">
        <v>69</v>
      </c>
      <c r="C93" s="1" t="s">
        <v>70</v>
      </c>
      <c r="D93">
        <v>1</v>
      </c>
      <c r="E93">
        <v>1</v>
      </c>
      <c r="F93" s="2">
        <v>43584.863483796296</v>
      </c>
      <c r="G93" s="3">
        <v>40909</v>
      </c>
      <c r="H93" s="3">
        <v>41274</v>
      </c>
      <c r="I93" s="1" t="s">
        <v>71</v>
      </c>
      <c r="J93">
        <v>4521</v>
      </c>
      <c r="K93">
        <v>0</v>
      </c>
      <c r="L93" s="1" t="s">
        <v>384</v>
      </c>
      <c r="M93" s="1" t="s">
        <v>72</v>
      </c>
      <c r="N93" s="1" t="s">
        <v>134</v>
      </c>
      <c r="O93" s="1" t="s">
        <v>385</v>
      </c>
      <c r="P93" s="1" t="s">
        <v>386</v>
      </c>
      <c r="Q93" s="1" t="s">
        <v>387</v>
      </c>
      <c r="R93">
        <v>103</v>
      </c>
      <c r="S93" s="1" t="s">
        <v>135</v>
      </c>
      <c r="T93" s="1" t="s">
        <v>388</v>
      </c>
      <c r="U93" s="1" t="s">
        <v>135</v>
      </c>
      <c r="V93" s="1"/>
      <c r="W93" s="1"/>
      <c r="X93" s="1"/>
      <c r="Y93" s="1"/>
      <c r="AA93" s="1"/>
      <c r="AC93" s="1"/>
      <c r="AD93" s="1"/>
      <c r="AE93" s="1"/>
      <c r="AN93" s="1" t="s">
        <v>74</v>
      </c>
      <c r="AO93">
        <v>21</v>
      </c>
      <c r="AP93" s="1" t="s">
        <v>1368</v>
      </c>
      <c r="AQ93" s="1" t="s">
        <v>1431</v>
      </c>
      <c r="AR93" s="1" t="s">
        <v>1475</v>
      </c>
      <c r="AS93" s="1" t="s">
        <v>95</v>
      </c>
      <c r="AT93" s="3">
        <v>41218</v>
      </c>
      <c r="AU93" s="3">
        <v>41218</v>
      </c>
      <c r="AV93" s="3">
        <v>41243</v>
      </c>
      <c r="AW93" s="1" t="s">
        <v>1221</v>
      </c>
      <c r="AX93" s="1" t="s">
        <v>1431</v>
      </c>
      <c r="AY93">
        <v>2462.46</v>
      </c>
      <c r="AZ93">
        <v>76</v>
      </c>
      <c r="BA93">
        <v>260953.83</v>
      </c>
      <c r="BB93" s="1"/>
      <c r="BD93" s="1"/>
      <c r="BE93" s="1"/>
      <c r="BG93" s="1"/>
      <c r="BH93" s="1"/>
      <c r="BJ93" s="1"/>
      <c r="BL93" s="1"/>
      <c r="BN93" s="1"/>
      <c r="BO93">
        <v>186</v>
      </c>
      <c r="BP93">
        <v>260953.83</v>
      </c>
      <c r="BQ93">
        <v>260953.83</v>
      </c>
    </row>
    <row r="94" spans="1:69" x14ac:dyDescent="0.35">
      <c r="A94" s="1" t="s">
        <v>68</v>
      </c>
      <c r="B94" s="1" t="s">
        <v>69</v>
      </c>
      <c r="C94" s="1" t="s">
        <v>70</v>
      </c>
      <c r="D94">
        <v>1</v>
      </c>
      <c r="E94">
        <v>1</v>
      </c>
      <c r="F94" s="2">
        <v>43584.863483796296</v>
      </c>
      <c r="G94" s="3">
        <v>40909</v>
      </c>
      <c r="H94" s="3">
        <v>41274</v>
      </c>
      <c r="I94" s="1" t="s">
        <v>71</v>
      </c>
      <c r="J94">
        <v>4521</v>
      </c>
      <c r="K94">
        <v>0</v>
      </c>
      <c r="L94" s="1" t="s">
        <v>384</v>
      </c>
      <c r="M94" s="1" t="s">
        <v>72</v>
      </c>
      <c r="N94" s="1" t="s">
        <v>134</v>
      </c>
      <c r="O94" s="1" t="s">
        <v>385</v>
      </c>
      <c r="P94" s="1" t="s">
        <v>386</v>
      </c>
      <c r="Q94" s="1" t="s">
        <v>387</v>
      </c>
      <c r="R94">
        <v>103</v>
      </c>
      <c r="S94" s="1" t="s">
        <v>135</v>
      </c>
      <c r="T94" s="1" t="s">
        <v>388</v>
      </c>
      <c r="U94" s="1" t="s">
        <v>135</v>
      </c>
      <c r="V94" s="1"/>
      <c r="W94" s="1"/>
      <c r="X94" s="1"/>
      <c r="Y94" s="1"/>
      <c r="AA94" s="1"/>
      <c r="AC94" s="1"/>
      <c r="AD94" s="1"/>
      <c r="AE94" s="1"/>
      <c r="AN94" s="1" t="s">
        <v>74</v>
      </c>
      <c r="AO94">
        <v>22</v>
      </c>
      <c r="AP94" s="1" t="s">
        <v>1369</v>
      </c>
      <c r="AQ94" s="1" t="s">
        <v>982</v>
      </c>
      <c r="AR94" s="1" t="s">
        <v>1476</v>
      </c>
      <c r="AS94" s="1" t="s">
        <v>98</v>
      </c>
      <c r="AT94" s="3">
        <v>41218</v>
      </c>
      <c r="AU94" s="3">
        <v>41218</v>
      </c>
      <c r="AV94" s="3">
        <v>41243</v>
      </c>
      <c r="AW94" s="1" t="s">
        <v>1221</v>
      </c>
      <c r="AX94" s="1" t="s">
        <v>1516</v>
      </c>
      <c r="AY94">
        <v>1205.4000000000001</v>
      </c>
      <c r="AZ94">
        <v>76</v>
      </c>
      <c r="BA94">
        <v>260953.83</v>
      </c>
      <c r="BB94" s="1"/>
      <c r="BD94" s="1"/>
      <c r="BE94" s="1"/>
      <c r="BG94" s="1"/>
      <c r="BH94" s="1"/>
      <c r="BJ94" s="1"/>
      <c r="BL94" s="1"/>
      <c r="BN94" s="1"/>
      <c r="BO94">
        <v>186</v>
      </c>
      <c r="BP94">
        <v>260953.83</v>
      </c>
      <c r="BQ94">
        <v>260953.83</v>
      </c>
    </row>
    <row r="95" spans="1:69" x14ac:dyDescent="0.35">
      <c r="A95" s="1" t="s">
        <v>68</v>
      </c>
      <c r="B95" s="1" t="s">
        <v>69</v>
      </c>
      <c r="C95" s="1" t="s">
        <v>70</v>
      </c>
      <c r="D95">
        <v>1</v>
      </c>
      <c r="E95">
        <v>1</v>
      </c>
      <c r="F95" s="2">
        <v>43584.863483796296</v>
      </c>
      <c r="G95" s="3">
        <v>40909</v>
      </c>
      <c r="H95" s="3">
        <v>41274</v>
      </c>
      <c r="I95" s="1" t="s">
        <v>71</v>
      </c>
      <c r="J95">
        <v>4521</v>
      </c>
      <c r="K95">
        <v>0</v>
      </c>
      <c r="L95" s="1" t="s">
        <v>384</v>
      </c>
      <c r="M95" s="1" t="s">
        <v>72</v>
      </c>
      <c r="N95" s="1" t="s">
        <v>134</v>
      </c>
      <c r="O95" s="1" t="s">
        <v>385</v>
      </c>
      <c r="P95" s="1" t="s">
        <v>386</v>
      </c>
      <c r="Q95" s="1" t="s">
        <v>387</v>
      </c>
      <c r="R95">
        <v>103</v>
      </c>
      <c r="S95" s="1" t="s">
        <v>135</v>
      </c>
      <c r="T95" s="1" t="s">
        <v>388</v>
      </c>
      <c r="U95" s="1" t="s">
        <v>135</v>
      </c>
      <c r="V95" s="1"/>
      <c r="W95" s="1"/>
      <c r="X95" s="1"/>
      <c r="Y95" s="1"/>
      <c r="AA95" s="1"/>
      <c r="AC95" s="1"/>
      <c r="AD95" s="1"/>
      <c r="AE95" s="1"/>
      <c r="AN95" s="1" t="s">
        <v>74</v>
      </c>
      <c r="AO95">
        <v>23</v>
      </c>
      <c r="AP95" s="1" t="s">
        <v>1370</v>
      </c>
      <c r="AQ95" s="1" t="s">
        <v>1432</v>
      </c>
      <c r="AR95" s="1" t="s">
        <v>1477</v>
      </c>
      <c r="AS95" s="1" t="s">
        <v>1206</v>
      </c>
      <c r="AT95" s="3">
        <v>41218</v>
      </c>
      <c r="AU95" s="3">
        <v>41219</v>
      </c>
      <c r="AV95" s="3">
        <v>41233</v>
      </c>
      <c r="AW95" s="1" t="s">
        <v>1221</v>
      </c>
      <c r="AX95" s="1" t="s">
        <v>1432</v>
      </c>
      <c r="AY95">
        <v>5836.91</v>
      </c>
      <c r="AZ95">
        <v>76</v>
      </c>
      <c r="BA95">
        <v>260953.83</v>
      </c>
      <c r="BB95" s="1"/>
      <c r="BD95" s="1"/>
      <c r="BE95" s="1"/>
      <c r="BG95" s="1"/>
      <c r="BH95" s="1"/>
      <c r="BJ95" s="1"/>
      <c r="BL95" s="1"/>
      <c r="BN95" s="1"/>
      <c r="BO95">
        <v>186</v>
      </c>
      <c r="BP95">
        <v>260953.83</v>
      </c>
      <c r="BQ95">
        <v>260953.83</v>
      </c>
    </row>
    <row r="96" spans="1:69" x14ac:dyDescent="0.35">
      <c r="A96" s="1" t="s">
        <v>68</v>
      </c>
      <c r="B96" s="1" t="s">
        <v>69</v>
      </c>
      <c r="C96" s="1" t="s">
        <v>70</v>
      </c>
      <c r="D96">
        <v>1</v>
      </c>
      <c r="E96">
        <v>1</v>
      </c>
      <c r="F96" s="2">
        <v>43584.863483796296</v>
      </c>
      <c r="G96" s="3">
        <v>40909</v>
      </c>
      <c r="H96" s="3">
        <v>41274</v>
      </c>
      <c r="I96" s="1" t="s">
        <v>71</v>
      </c>
      <c r="J96">
        <v>4521</v>
      </c>
      <c r="K96">
        <v>0</v>
      </c>
      <c r="L96" s="1" t="s">
        <v>384</v>
      </c>
      <c r="M96" s="1" t="s">
        <v>72</v>
      </c>
      <c r="N96" s="1" t="s">
        <v>134</v>
      </c>
      <c r="O96" s="1" t="s">
        <v>385</v>
      </c>
      <c r="P96" s="1" t="s">
        <v>386</v>
      </c>
      <c r="Q96" s="1" t="s">
        <v>387</v>
      </c>
      <c r="R96">
        <v>103</v>
      </c>
      <c r="S96" s="1" t="s">
        <v>135</v>
      </c>
      <c r="T96" s="1" t="s">
        <v>388</v>
      </c>
      <c r="U96" s="1" t="s">
        <v>135</v>
      </c>
      <c r="V96" s="1"/>
      <c r="W96" s="1"/>
      <c r="X96" s="1"/>
      <c r="Y96" s="1"/>
      <c r="AA96" s="1"/>
      <c r="AC96" s="1"/>
      <c r="AD96" s="1"/>
      <c r="AE96" s="1"/>
      <c r="AN96" s="1" t="s">
        <v>74</v>
      </c>
      <c r="AO96">
        <v>24</v>
      </c>
      <c r="AP96" s="1" t="s">
        <v>1371</v>
      </c>
      <c r="AQ96" s="1" t="s">
        <v>1433</v>
      </c>
      <c r="AR96" s="1" t="s">
        <v>1478</v>
      </c>
      <c r="AS96" s="1" t="s">
        <v>98</v>
      </c>
      <c r="AT96" s="3">
        <v>41219</v>
      </c>
      <c r="AU96" s="3">
        <v>41219</v>
      </c>
      <c r="AV96" s="3">
        <v>41233</v>
      </c>
      <c r="AW96" s="1" t="s">
        <v>1221</v>
      </c>
      <c r="AX96" s="1" t="s">
        <v>1433</v>
      </c>
      <c r="AY96">
        <v>277.2</v>
      </c>
      <c r="AZ96">
        <v>76</v>
      </c>
      <c r="BA96">
        <v>260953.83</v>
      </c>
      <c r="BB96" s="1"/>
      <c r="BD96" s="1"/>
      <c r="BE96" s="1"/>
      <c r="BG96" s="1"/>
      <c r="BH96" s="1"/>
      <c r="BJ96" s="1"/>
      <c r="BL96" s="1"/>
      <c r="BN96" s="1"/>
      <c r="BO96">
        <v>186</v>
      </c>
      <c r="BP96">
        <v>260953.83</v>
      </c>
      <c r="BQ96">
        <v>260953.83</v>
      </c>
    </row>
    <row r="97" spans="1:69" x14ac:dyDescent="0.35">
      <c r="A97" s="1" t="s">
        <v>68</v>
      </c>
      <c r="B97" s="1" t="s">
        <v>69</v>
      </c>
      <c r="C97" s="1" t="s">
        <v>70</v>
      </c>
      <c r="D97">
        <v>1</v>
      </c>
      <c r="E97">
        <v>1</v>
      </c>
      <c r="F97" s="2">
        <v>43584.863483796296</v>
      </c>
      <c r="G97" s="3">
        <v>40909</v>
      </c>
      <c r="H97" s="3">
        <v>41274</v>
      </c>
      <c r="I97" s="1" t="s">
        <v>71</v>
      </c>
      <c r="J97">
        <v>4521</v>
      </c>
      <c r="K97">
        <v>0</v>
      </c>
      <c r="L97" s="1" t="s">
        <v>384</v>
      </c>
      <c r="M97" s="1" t="s">
        <v>72</v>
      </c>
      <c r="N97" s="1" t="s">
        <v>134</v>
      </c>
      <c r="O97" s="1" t="s">
        <v>385</v>
      </c>
      <c r="P97" s="1" t="s">
        <v>386</v>
      </c>
      <c r="Q97" s="1" t="s">
        <v>387</v>
      </c>
      <c r="R97">
        <v>103</v>
      </c>
      <c r="S97" s="1" t="s">
        <v>135</v>
      </c>
      <c r="T97" s="1" t="s">
        <v>388</v>
      </c>
      <c r="U97" s="1" t="s">
        <v>135</v>
      </c>
      <c r="V97" s="1"/>
      <c r="W97" s="1"/>
      <c r="X97" s="1"/>
      <c r="Y97" s="1"/>
      <c r="AA97" s="1"/>
      <c r="AC97" s="1"/>
      <c r="AD97" s="1"/>
      <c r="AE97" s="1"/>
      <c r="AN97" s="1" t="s">
        <v>74</v>
      </c>
      <c r="AO97">
        <v>25</v>
      </c>
      <c r="AP97" s="1" t="s">
        <v>1372</v>
      </c>
      <c r="AQ97" s="1" t="s">
        <v>1432</v>
      </c>
      <c r="AR97" s="1" t="s">
        <v>1479</v>
      </c>
      <c r="AS97" s="1" t="s">
        <v>1206</v>
      </c>
      <c r="AT97" s="3">
        <v>41218</v>
      </c>
      <c r="AU97" s="3">
        <v>41219</v>
      </c>
      <c r="AV97" s="3">
        <v>41243</v>
      </c>
      <c r="AW97" s="1" t="s">
        <v>1221</v>
      </c>
      <c r="AX97" s="1" t="s">
        <v>1432</v>
      </c>
      <c r="AY97">
        <v>2356</v>
      </c>
      <c r="AZ97">
        <v>76</v>
      </c>
      <c r="BA97">
        <v>260953.83</v>
      </c>
      <c r="BB97" s="1"/>
      <c r="BD97" s="1"/>
      <c r="BE97" s="1"/>
      <c r="BG97" s="1"/>
      <c r="BH97" s="1"/>
      <c r="BJ97" s="1"/>
      <c r="BL97" s="1"/>
      <c r="BN97" s="1"/>
      <c r="BO97">
        <v>186</v>
      </c>
      <c r="BP97">
        <v>260953.83</v>
      </c>
      <c r="BQ97">
        <v>260953.83</v>
      </c>
    </row>
    <row r="98" spans="1:69" x14ac:dyDescent="0.35">
      <c r="A98" s="1" t="s">
        <v>68</v>
      </c>
      <c r="B98" s="1" t="s">
        <v>69</v>
      </c>
      <c r="C98" s="1" t="s">
        <v>70</v>
      </c>
      <c r="D98">
        <v>1</v>
      </c>
      <c r="E98">
        <v>1</v>
      </c>
      <c r="F98" s="2">
        <v>43584.863483796296</v>
      </c>
      <c r="G98" s="3">
        <v>40909</v>
      </c>
      <c r="H98" s="3">
        <v>41274</v>
      </c>
      <c r="I98" s="1" t="s">
        <v>71</v>
      </c>
      <c r="J98">
        <v>4521</v>
      </c>
      <c r="K98">
        <v>0</v>
      </c>
      <c r="L98" s="1" t="s">
        <v>384</v>
      </c>
      <c r="M98" s="1" t="s">
        <v>72</v>
      </c>
      <c r="N98" s="1" t="s">
        <v>134</v>
      </c>
      <c r="O98" s="1" t="s">
        <v>385</v>
      </c>
      <c r="P98" s="1" t="s">
        <v>386</v>
      </c>
      <c r="Q98" s="1" t="s">
        <v>387</v>
      </c>
      <c r="R98">
        <v>103</v>
      </c>
      <c r="S98" s="1" t="s">
        <v>135</v>
      </c>
      <c r="T98" s="1" t="s">
        <v>388</v>
      </c>
      <c r="U98" s="1" t="s">
        <v>135</v>
      </c>
      <c r="V98" s="1"/>
      <c r="W98" s="1"/>
      <c r="X98" s="1"/>
      <c r="Y98" s="1"/>
      <c r="AA98" s="1"/>
      <c r="AC98" s="1"/>
      <c r="AD98" s="1"/>
      <c r="AE98" s="1"/>
      <c r="AN98" s="1" t="s">
        <v>74</v>
      </c>
      <c r="AO98">
        <v>26</v>
      </c>
      <c r="AP98" s="1" t="s">
        <v>1373</v>
      </c>
      <c r="AQ98" s="1" t="s">
        <v>1434</v>
      </c>
      <c r="AR98" s="1" t="s">
        <v>1480</v>
      </c>
      <c r="AS98" s="1" t="s">
        <v>96</v>
      </c>
      <c r="AT98" s="3">
        <v>41220</v>
      </c>
      <c r="AU98" s="3">
        <v>41220</v>
      </c>
      <c r="AV98" s="3">
        <v>41243</v>
      </c>
      <c r="AW98" s="1" t="s">
        <v>1221</v>
      </c>
      <c r="AX98" s="1" t="s">
        <v>1434</v>
      </c>
      <c r="AY98">
        <v>74125</v>
      </c>
      <c r="AZ98">
        <v>76</v>
      </c>
      <c r="BA98">
        <v>260953.83</v>
      </c>
      <c r="BB98" s="1"/>
      <c r="BD98" s="1"/>
      <c r="BE98" s="1"/>
      <c r="BG98" s="1"/>
      <c r="BH98" s="1"/>
      <c r="BJ98" s="1"/>
      <c r="BL98" s="1"/>
      <c r="BN98" s="1"/>
      <c r="BO98">
        <v>186</v>
      </c>
      <c r="BP98">
        <v>260953.83</v>
      </c>
      <c r="BQ98">
        <v>260953.83</v>
      </c>
    </row>
    <row r="99" spans="1:69" x14ac:dyDescent="0.35">
      <c r="A99" s="1" t="s">
        <v>68</v>
      </c>
      <c r="B99" s="1" t="s">
        <v>69</v>
      </c>
      <c r="C99" s="1" t="s">
        <v>70</v>
      </c>
      <c r="D99">
        <v>1</v>
      </c>
      <c r="E99">
        <v>1</v>
      </c>
      <c r="F99" s="2">
        <v>43584.863483796296</v>
      </c>
      <c r="G99" s="3">
        <v>40909</v>
      </c>
      <c r="H99" s="3">
        <v>41274</v>
      </c>
      <c r="I99" s="1" t="s">
        <v>71</v>
      </c>
      <c r="J99">
        <v>4521</v>
      </c>
      <c r="K99">
        <v>0</v>
      </c>
      <c r="L99" s="1" t="s">
        <v>384</v>
      </c>
      <c r="M99" s="1" t="s">
        <v>72</v>
      </c>
      <c r="N99" s="1" t="s">
        <v>134</v>
      </c>
      <c r="O99" s="1" t="s">
        <v>385</v>
      </c>
      <c r="P99" s="1" t="s">
        <v>386</v>
      </c>
      <c r="Q99" s="1" t="s">
        <v>387</v>
      </c>
      <c r="R99">
        <v>103</v>
      </c>
      <c r="S99" s="1" t="s">
        <v>135</v>
      </c>
      <c r="T99" s="1" t="s">
        <v>388</v>
      </c>
      <c r="U99" s="1" t="s">
        <v>135</v>
      </c>
      <c r="V99" s="1"/>
      <c r="W99" s="1"/>
      <c r="X99" s="1"/>
      <c r="Y99" s="1"/>
      <c r="AA99" s="1"/>
      <c r="AC99" s="1"/>
      <c r="AD99" s="1"/>
      <c r="AE99" s="1"/>
      <c r="AN99" s="1" t="s">
        <v>74</v>
      </c>
      <c r="AO99">
        <v>27</v>
      </c>
      <c r="AP99" s="1" t="s">
        <v>1374</v>
      </c>
      <c r="AQ99" s="1" t="s">
        <v>1002</v>
      </c>
      <c r="AR99" s="1" t="s">
        <v>1481</v>
      </c>
      <c r="AS99" s="1" t="s">
        <v>1002</v>
      </c>
      <c r="AT99" s="3">
        <v>41222</v>
      </c>
      <c r="AU99" s="3">
        <v>41222</v>
      </c>
      <c r="AV99" s="3">
        <v>41243</v>
      </c>
      <c r="AW99" s="1" t="s">
        <v>1221</v>
      </c>
      <c r="AX99" s="1" t="s">
        <v>1231</v>
      </c>
      <c r="AY99">
        <v>370</v>
      </c>
      <c r="AZ99">
        <v>76</v>
      </c>
      <c r="BA99">
        <v>260953.83</v>
      </c>
      <c r="BB99" s="1"/>
      <c r="BD99" s="1"/>
      <c r="BE99" s="1"/>
      <c r="BG99" s="1"/>
      <c r="BH99" s="1"/>
      <c r="BJ99" s="1"/>
      <c r="BL99" s="1"/>
      <c r="BN99" s="1"/>
      <c r="BO99">
        <v>186</v>
      </c>
      <c r="BP99">
        <v>260953.83</v>
      </c>
      <c r="BQ99">
        <v>260953.83</v>
      </c>
    </row>
    <row r="100" spans="1:69" x14ac:dyDescent="0.35">
      <c r="A100" s="1" t="s">
        <v>68</v>
      </c>
      <c r="B100" s="1" t="s">
        <v>69</v>
      </c>
      <c r="C100" s="1" t="s">
        <v>70</v>
      </c>
      <c r="D100">
        <v>1</v>
      </c>
      <c r="E100">
        <v>1</v>
      </c>
      <c r="F100" s="2">
        <v>43584.863483796296</v>
      </c>
      <c r="G100" s="3">
        <v>40909</v>
      </c>
      <c r="H100" s="3">
        <v>41274</v>
      </c>
      <c r="I100" s="1" t="s">
        <v>71</v>
      </c>
      <c r="J100">
        <v>4521</v>
      </c>
      <c r="K100">
        <v>0</v>
      </c>
      <c r="L100" s="1" t="s">
        <v>384</v>
      </c>
      <c r="M100" s="1" t="s">
        <v>72</v>
      </c>
      <c r="N100" s="1" t="s">
        <v>134</v>
      </c>
      <c r="O100" s="1" t="s">
        <v>385</v>
      </c>
      <c r="P100" s="1" t="s">
        <v>386</v>
      </c>
      <c r="Q100" s="1" t="s">
        <v>387</v>
      </c>
      <c r="R100">
        <v>103</v>
      </c>
      <c r="S100" s="1" t="s">
        <v>135</v>
      </c>
      <c r="T100" s="1" t="s">
        <v>388</v>
      </c>
      <c r="U100" s="1" t="s">
        <v>135</v>
      </c>
      <c r="V100" s="1"/>
      <c r="W100" s="1"/>
      <c r="X100" s="1"/>
      <c r="Y100" s="1"/>
      <c r="AA100" s="1"/>
      <c r="AC100" s="1"/>
      <c r="AD100" s="1"/>
      <c r="AE100" s="1"/>
      <c r="AN100" s="1" t="s">
        <v>74</v>
      </c>
      <c r="AO100">
        <v>28</v>
      </c>
      <c r="AP100" s="1" t="s">
        <v>1375</v>
      </c>
      <c r="AQ100" s="1" t="s">
        <v>1002</v>
      </c>
      <c r="AR100" s="1" t="s">
        <v>1481</v>
      </c>
      <c r="AS100" s="1" t="s">
        <v>1002</v>
      </c>
      <c r="AT100" s="3">
        <v>41222</v>
      </c>
      <c r="AU100" s="3">
        <v>41222</v>
      </c>
      <c r="AV100" s="3">
        <v>41243</v>
      </c>
      <c r="AW100" s="1" t="s">
        <v>1221</v>
      </c>
      <c r="AX100" s="1" t="s">
        <v>1232</v>
      </c>
      <c r="AY100">
        <v>150</v>
      </c>
      <c r="AZ100">
        <v>76</v>
      </c>
      <c r="BA100">
        <v>260953.83</v>
      </c>
      <c r="BB100" s="1"/>
      <c r="BD100" s="1"/>
      <c r="BE100" s="1"/>
      <c r="BG100" s="1"/>
      <c r="BH100" s="1"/>
      <c r="BJ100" s="1"/>
      <c r="BL100" s="1"/>
      <c r="BN100" s="1"/>
      <c r="BO100">
        <v>186</v>
      </c>
      <c r="BP100">
        <v>260953.83</v>
      </c>
      <c r="BQ100">
        <v>260953.83</v>
      </c>
    </row>
    <row r="101" spans="1:69" x14ac:dyDescent="0.35">
      <c r="A101" s="1" t="s">
        <v>68</v>
      </c>
      <c r="B101" s="1" t="s">
        <v>69</v>
      </c>
      <c r="C101" s="1" t="s">
        <v>70</v>
      </c>
      <c r="D101">
        <v>1</v>
      </c>
      <c r="E101">
        <v>1</v>
      </c>
      <c r="F101" s="2">
        <v>43584.863483796296</v>
      </c>
      <c r="G101" s="3">
        <v>40909</v>
      </c>
      <c r="H101" s="3">
        <v>41274</v>
      </c>
      <c r="I101" s="1" t="s">
        <v>71</v>
      </c>
      <c r="J101">
        <v>4521</v>
      </c>
      <c r="K101">
        <v>0</v>
      </c>
      <c r="L101" s="1" t="s">
        <v>384</v>
      </c>
      <c r="M101" s="1" t="s">
        <v>72</v>
      </c>
      <c r="N101" s="1" t="s">
        <v>134</v>
      </c>
      <c r="O101" s="1" t="s">
        <v>385</v>
      </c>
      <c r="P101" s="1" t="s">
        <v>386</v>
      </c>
      <c r="Q101" s="1" t="s">
        <v>387</v>
      </c>
      <c r="R101">
        <v>103</v>
      </c>
      <c r="S101" s="1" t="s">
        <v>135</v>
      </c>
      <c r="T101" s="1" t="s">
        <v>388</v>
      </c>
      <c r="U101" s="1" t="s">
        <v>135</v>
      </c>
      <c r="V101" s="1"/>
      <c r="W101" s="1"/>
      <c r="X101" s="1"/>
      <c r="Y101" s="1"/>
      <c r="AA101" s="1"/>
      <c r="AC101" s="1"/>
      <c r="AD101" s="1"/>
      <c r="AE101" s="1"/>
      <c r="AN101" s="1" t="s">
        <v>74</v>
      </c>
      <c r="AO101">
        <v>29</v>
      </c>
      <c r="AP101" s="1" t="s">
        <v>1376</v>
      </c>
      <c r="AQ101" s="1" t="s">
        <v>1435</v>
      </c>
      <c r="AR101" s="1" t="s">
        <v>1482</v>
      </c>
      <c r="AS101" s="1" t="s">
        <v>1213</v>
      </c>
      <c r="AT101" s="3">
        <v>41222</v>
      </c>
      <c r="AU101" s="3">
        <v>41222</v>
      </c>
      <c r="AV101" s="3">
        <v>41243</v>
      </c>
      <c r="AW101" s="1" t="s">
        <v>1221</v>
      </c>
      <c r="AX101" s="1" t="s">
        <v>1520</v>
      </c>
      <c r="AY101">
        <v>1600</v>
      </c>
      <c r="AZ101">
        <v>76</v>
      </c>
      <c r="BA101">
        <v>260953.83</v>
      </c>
      <c r="BB101" s="1"/>
      <c r="BD101" s="1"/>
      <c r="BE101" s="1"/>
      <c r="BG101" s="1"/>
      <c r="BH101" s="1"/>
      <c r="BJ101" s="1"/>
      <c r="BL101" s="1"/>
      <c r="BN101" s="1"/>
      <c r="BO101">
        <v>186</v>
      </c>
      <c r="BP101">
        <v>260953.83</v>
      </c>
      <c r="BQ101">
        <v>260953.83</v>
      </c>
    </row>
    <row r="102" spans="1:69" x14ac:dyDescent="0.35">
      <c r="A102" s="1" t="s">
        <v>68</v>
      </c>
      <c r="B102" s="1" t="s">
        <v>69</v>
      </c>
      <c r="C102" s="1" t="s">
        <v>70</v>
      </c>
      <c r="D102">
        <v>1</v>
      </c>
      <c r="E102">
        <v>1</v>
      </c>
      <c r="F102" s="2">
        <v>43584.863483796296</v>
      </c>
      <c r="G102" s="3">
        <v>40909</v>
      </c>
      <c r="H102" s="3">
        <v>41274</v>
      </c>
      <c r="I102" s="1" t="s">
        <v>71</v>
      </c>
      <c r="J102">
        <v>4521</v>
      </c>
      <c r="K102">
        <v>0</v>
      </c>
      <c r="L102" s="1" t="s">
        <v>384</v>
      </c>
      <c r="M102" s="1" t="s">
        <v>72</v>
      </c>
      <c r="N102" s="1" t="s">
        <v>134</v>
      </c>
      <c r="O102" s="1" t="s">
        <v>385</v>
      </c>
      <c r="P102" s="1" t="s">
        <v>386</v>
      </c>
      <c r="Q102" s="1" t="s">
        <v>387</v>
      </c>
      <c r="R102">
        <v>103</v>
      </c>
      <c r="S102" s="1" t="s">
        <v>135</v>
      </c>
      <c r="T102" s="1" t="s">
        <v>388</v>
      </c>
      <c r="U102" s="1" t="s">
        <v>135</v>
      </c>
      <c r="V102" s="1"/>
      <c r="W102" s="1"/>
      <c r="X102" s="1"/>
      <c r="Y102" s="1"/>
      <c r="AA102" s="1"/>
      <c r="AC102" s="1"/>
      <c r="AD102" s="1"/>
      <c r="AE102" s="1"/>
      <c r="AN102" s="1" t="s">
        <v>74</v>
      </c>
      <c r="AO102">
        <v>30</v>
      </c>
      <c r="AP102" s="1" t="s">
        <v>1377</v>
      </c>
      <c r="AQ102" s="1" t="s">
        <v>1435</v>
      </c>
      <c r="AR102" s="1" t="s">
        <v>1482</v>
      </c>
      <c r="AS102" s="1" t="s">
        <v>1213</v>
      </c>
      <c r="AT102" s="3">
        <v>41222</v>
      </c>
      <c r="AU102" s="3">
        <v>41222</v>
      </c>
      <c r="AV102" s="3">
        <v>41243</v>
      </c>
      <c r="AW102" s="1" t="s">
        <v>1221</v>
      </c>
      <c r="AX102" s="1" t="s">
        <v>1521</v>
      </c>
      <c r="AY102">
        <v>500</v>
      </c>
      <c r="AZ102">
        <v>76</v>
      </c>
      <c r="BA102">
        <v>260953.83</v>
      </c>
      <c r="BB102" s="1"/>
      <c r="BD102" s="1"/>
      <c r="BE102" s="1"/>
      <c r="BG102" s="1"/>
      <c r="BH102" s="1"/>
      <c r="BJ102" s="1"/>
      <c r="BL102" s="1"/>
      <c r="BN102" s="1"/>
      <c r="BO102">
        <v>186</v>
      </c>
      <c r="BP102">
        <v>260953.83</v>
      </c>
      <c r="BQ102">
        <v>260953.83</v>
      </c>
    </row>
    <row r="103" spans="1:69" x14ac:dyDescent="0.35">
      <c r="A103" s="1" t="s">
        <v>68</v>
      </c>
      <c r="B103" s="1" t="s">
        <v>69</v>
      </c>
      <c r="C103" s="1" t="s">
        <v>70</v>
      </c>
      <c r="D103">
        <v>1</v>
      </c>
      <c r="E103">
        <v>1</v>
      </c>
      <c r="F103" s="2">
        <v>43584.863483796296</v>
      </c>
      <c r="G103" s="3">
        <v>40909</v>
      </c>
      <c r="H103" s="3">
        <v>41274</v>
      </c>
      <c r="I103" s="1" t="s">
        <v>71</v>
      </c>
      <c r="J103">
        <v>4521</v>
      </c>
      <c r="K103">
        <v>0</v>
      </c>
      <c r="L103" s="1" t="s">
        <v>384</v>
      </c>
      <c r="M103" s="1" t="s">
        <v>72</v>
      </c>
      <c r="N103" s="1" t="s">
        <v>134</v>
      </c>
      <c r="O103" s="1" t="s">
        <v>385</v>
      </c>
      <c r="P103" s="1" t="s">
        <v>386</v>
      </c>
      <c r="Q103" s="1" t="s">
        <v>387</v>
      </c>
      <c r="R103">
        <v>103</v>
      </c>
      <c r="S103" s="1" t="s">
        <v>135</v>
      </c>
      <c r="T103" s="1" t="s">
        <v>388</v>
      </c>
      <c r="U103" s="1" t="s">
        <v>135</v>
      </c>
      <c r="V103" s="1"/>
      <c r="W103" s="1"/>
      <c r="X103" s="1"/>
      <c r="Y103" s="1"/>
      <c r="AA103" s="1"/>
      <c r="AC103" s="1"/>
      <c r="AD103" s="1"/>
      <c r="AE103" s="1"/>
      <c r="AN103" s="1" t="s">
        <v>74</v>
      </c>
      <c r="AO103">
        <v>31</v>
      </c>
      <c r="AP103" s="1" t="s">
        <v>1378</v>
      </c>
      <c r="AQ103" s="1" t="s">
        <v>1435</v>
      </c>
      <c r="AR103" s="1" t="s">
        <v>1482</v>
      </c>
      <c r="AS103" s="1" t="s">
        <v>1213</v>
      </c>
      <c r="AT103" s="3">
        <v>41222</v>
      </c>
      <c r="AU103" s="3">
        <v>41222</v>
      </c>
      <c r="AV103" s="3">
        <v>41243</v>
      </c>
      <c r="AW103" s="1" t="s">
        <v>1221</v>
      </c>
      <c r="AX103" s="1" t="s">
        <v>1522</v>
      </c>
      <c r="AY103">
        <v>4270</v>
      </c>
      <c r="AZ103">
        <v>76</v>
      </c>
      <c r="BA103">
        <v>260953.83</v>
      </c>
      <c r="BB103" s="1"/>
      <c r="BD103" s="1"/>
      <c r="BE103" s="1"/>
      <c r="BG103" s="1"/>
      <c r="BH103" s="1"/>
      <c r="BJ103" s="1"/>
      <c r="BL103" s="1"/>
      <c r="BN103" s="1"/>
      <c r="BO103">
        <v>186</v>
      </c>
      <c r="BP103">
        <v>260953.83</v>
      </c>
      <c r="BQ103">
        <v>260953.83</v>
      </c>
    </row>
    <row r="104" spans="1:69" x14ac:dyDescent="0.35">
      <c r="A104" s="1" t="s">
        <v>68</v>
      </c>
      <c r="B104" s="1" t="s">
        <v>69</v>
      </c>
      <c r="C104" s="1" t="s">
        <v>70</v>
      </c>
      <c r="D104">
        <v>1</v>
      </c>
      <c r="E104">
        <v>1</v>
      </c>
      <c r="F104" s="2">
        <v>43584.863483796296</v>
      </c>
      <c r="G104" s="3">
        <v>40909</v>
      </c>
      <c r="H104" s="3">
        <v>41274</v>
      </c>
      <c r="I104" s="1" t="s">
        <v>71</v>
      </c>
      <c r="J104">
        <v>4521</v>
      </c>
      <c r="K104">
        <v>0</v>
      </c>
      <c r="L104" s="1" t="s">
        <v>384</v>
      </c>
      <c r="M104" s="1" t="s">
        <v>72</v>
      </c>
      <c r="N104" s="1" t="s">
        <v>134</v>
      </c>
      <c r="O104" s="1" t="s">
        <v>385</v>
      </c>
      <c r="P104" s="1" t="s">
        <v>386</v>
      </c>
      <c r="Q104" s="1" t="s">
        <v>387</v>
      </c>
      <c r="R104">
        <v>103</v>
      </c>
      <c r="S104" s="1" t="s">
        <v>135</v>
      </c>
      <c r="T104" s="1" t="s">
        <v>388</v>
      </c>
      <c r="U104" s="1" t="s">
        <v>135</v>
      </c>
      <c r="V104" s="1"/>
      <c r="W104" s="1"/>
      <c r="X104" s="1"/>
      <c r="Y104" s="1"/>
      <c r="AA104" s="1"/>
      <c r="AC104" s="1"/>
      <c r="AD104" s="1"/>
      <c r="AE104" s="1"/>
      <c r="AN104" s="1" t="s">
        <v>74</v>
      </c>
      <c r="AO104">
        <v>32</v>
      </c>
      <c r="AP104" s="1" t="s">
        <v>1379</v>
      </c>
      <c r="AQ104" s="1" t="s">
        <v>1435</v>
      </c>
      <c r="AR104" s="1" t="s">
        <v>1482</v>
      </c>
      <c r="AS104" s="1" t="s">
        <v>1213</v>
      </c>
      <c r="AT104" s="3">
        <v>41222</v>
      </c>
      <c r="AU104" s="3">
        <v>41222</v>
      </c>
      <c r="AV104" s="3">
        <v>41243</v>
      </c>
      <c r="AW104" s="1" t="s">
        <v>1221</v>
      </c>
      <c r="AX104" s="1" t="s">
        <v>1523</v>
      </c>
      <c r="AY104">
        <v>1500</v>
      </c>
      <c r="AZ104">
        <v>76</v>
      </c>
      <c r="BA104">
        <v>260953.83</v>
      </c>
      <c r="BB104" s="1"/>
      <c r="BD104" s="1"/>
      <c r="BE104" s="1"/>
      <c r="BG104" s="1"/>
      <c r="BH104" s="1"/>
      <c r="BJ104" s="1"/>
      <c r="BL104" s="1"/>
      <c r="BN104" s="1"/>
      <c r="BO104">
        <v>186</v>
      </c>
      <c r="BP104">
        <v>260953.83</v>
      </c>
      <c r="BQ104">
        <v>260953.83</v>
      </c>
    </row>
    <row r="105" spans="1:69" x14ac:dyDescent="0.35">
      <c r="A105" s="1" t="s">
        <v>68</v>
      </c>
      <c r="B105" s="1" t="s">
        <v>69</v>
      </c>
      <c r="C105" s="1" t="s">
        <v>70</v>
      </c>
      <c r="D105">
        <v>1</v>
      </c>
      <c r="E105">
        <v>1</v>
      </c>
      <c r="F105" s="2">
        <v>43584.863483796296</v>
      </c>
      <c r="G105" s="3">
        <v>40909</v>
      </c>
      <c r="H105" s="3">
        <v>41274</v>
      </c>
      <c r="I105" s="1" t="s">
        <v>71</v>
      </c>
      <c r="J105">
        <v>4521</v>
      </c>
      <c r="K105">
        <v>0</v>
      </c>
      <c r="L105" s="1" t="s">
        <v>384</v>
      </c>
      <c r="M105" s="1" t="s">
        <v>72</v>
      </c>
      <c r="N105" s="1" t="s">
        <v>134</v>
      </c>
      <c r="O105" s="1" t="s">
        <v>385</v>
      </c>
      <c r="P105" s="1" t="s">
        <v>386</v>
      </c>
      <c r="Q105" s="1" t="s">
        <v>387</v>
      </c>
      <c r="R105">
        <v>103</v>
      </c>
      <c r="S105" s="1" t="s">
        <v>135</v>
      </c>
      <c r="T105" s="1" t="s">
        <v>388</v>
      </c>
      <c r="U105" s="1" t="s">
        <v>135</v>
      </c>
      <c r="V105" s="1"/>
      <c r="W105" s="1"/>
      <c r="X105" s="1"/>
      <c r="Y105" s="1"/>
      <c r="AA105" s="1"/>
      <c r="AC105" s="1"/>
      <c r="AD105" s="1"/>
      <c r="AE105" s="1"/>
      <c r="AN105" s="1" t="s">
        <v>74</v>
      </c>
      <c r="AO105">
        <v>33</v>
      </c>
      <c r="AP105" s="1" t="s">
        <v>1380</v>
      </c>
      <c r="AQ105" s="1" t="s">
        <v>1435</v>
      </c>
      <c r="AR105" s="1" t="s">
        <v>1482</v>
      </c>
      <c r="AS105" s="1" t="s">
        <v>1213</v>
      </c>
      <c r="AT105" s="3">
        <v>41222</v>
      </c>
      <c r="AU105" s="3">
        <v>41222</v>
      </c>
      <c r="AV105" s="3">
        <v>41243</v>
      </c>
      <c r="AW105" s="1" t="s">
        <v>1221</v>
      </c>
      <c r="AX105" s="1" t="s">
        <v>1524</v>
      </c>
      <c r="AY105">
        <v>1000</v>
      </c>
      <c r="AZ105">
        <v>76</v>
      </c>
      <c r="BA105">
        <v>260953.83</v>
      </c>
      <c r="BB105" s="1"/>
      <c r="BD105" s="1"/>
      <c r="BE105" s="1"/>
      <c r="BG105" s="1"/>
      <c r="BH105" s="1"/>
      <c r="BJ105" s="1"/>
      <c r="BL105" s="1"/>
      <c r="BN105" s="1"/>
      <c r="BO105">
        <v>186</v>
      </c>
      <c r="BP105">
        <v>260953.83</v>
      </c>
      <c r="BQ105">
        <v>260953.83</v>
      </c>
    </row>
    <row r="106" spans="1:69" x14ac:dyDescent="0.35">
      <c r="A106" s="1" t="s">
        <v>68</v>
      </c>
      <c r="B106" s="1" t="s">
        <v>69</v>
      </c>
      <c r="C106" s="1" t="s">
        <v>70</v>
      </c>
      <c r="D106">
        <v>1</v>
      </c>
      <c r="E106">
        <v>1</v>
      </c>
      <c r="F106" s="2">
        <v>43584.863483796296</v>
      </c>
      <c r="G106" s="3">
        <v>40909</v>
      </c>
      <c r="H106" s="3">
        <v>41274</v>
      </c>
      <c r="I106" s="1" t="s">
        <v>71</v>
      </c>
      <c r="J106">
        <v>4521</v>
      </c>
      <c r="K106">
        <v>0</v>
      </c>
      <c r="L106" s="1" t="s">
        <v>384</v>
      </c>
      <c r="M106" s="1" t="s">
        <v>72</v>
      </c>
      <c r="N106" s="1" t="s">
        <v>134</v>
      </c>
      <c r="O106" s="1" t="s">
        <v>385</v>
      </c>
      <c r="P106" s="1" t="s">
        <v>386</v>
      </c>
      <c r="Q106" s="1" t="s">
        <v>387</v>
      </c>
      <c r="R106">
        <v>103</v>
      </c>
      <c r="S106" s="1" t="s">
        <v>135</v>
      </c>
      <c r="T106" s="1" t="s">
        <v>388</v>
      </c>
      <c r="U106" s="1" t="s">
        <v>135</v>
      </c>
      <c r="V106" s="1"/>
      <c r="W106" s="1"/>
      <c r="X106" s="1"/>
      <c r="Y106" s="1"/>
      <c r="AA106" s="1"/>
      <c r="AC106" s="1"/>
      <c r="AD106" s="1"/>
      <c r="AE106" s="1"/>
      <c r="AN106" s="1" t="s">
        <v>74</v>
      </c>
      <c r="AO106">
        <v>34</v>
      </c>
      <c r="AP106" s="1" t="s">
        <v>1381</v>
      </c>
      <c r="AQ106" s="1" t="s">
        <v>1435</v>
      </c>
      <c r="AR106" s="1" t="s">
        <v>1482</v>
      </c>
      <c r="AS106" s="1" t="s">
        <v>1213</v>
      </c>
      <c r="AT106" s="3">
        <v>41222</v>
      </c>
      <c r="AU106" s="3">
        <v>41222</v>
      </c>
      <c r="AV106" s="3">
        <v>41243</v>
      </c>
      <c r="AW106" s="1" t="s">
        <v>1221</v>
      </c>
      <c r="AX106" s="1" t="s">
        <v>1525</v>
      </c>
      <c r="AY106">
        <v>800</v>
      </c>
      <c r="AZ106">
        <v>76</v>
      </c>
      <c r="BA106">
        <v>260953.83</v>
      </c>
      <c r="BB106" s="1"/>
      <c r="BD106" s="1"/>
      <c r="BE106" s="1"/>
      <c r="BG106" s="1"/>
      <c r="BH106" s="1"/>
      <c r="BJ106" s="1"/>
      <c r="BL106" s="1"/>
      <c r="BN106" s="1"/>
      <c r="BO106">
        <v>186</v>
      </c>
      <c r="BP106">
        <v>260953.83</v>
      </c>
      <c r="BQ106">
        <v>260953.83</v>
      </c>
    </row>
    <row r="107" spans="1:69" x14ac:dyDescent="0.35">
      <c r="A107" s="1" t="s">
        <v>68</v>
      </c>
      <c r="B107" s="1" t="s">
        <v>69</v>
      </c>
      <c r="C107" s="1" t="s">
        <v>70</v>
      </c>
      <c r="D107">
        <v>1</v>
      </c>
      <c r="E107">
        <v>1</v>
      </c>
      <c r="F107" s="2">
        <v>43584.863483796296</v>
      </c>
      <c r="G107" s="3">
        <v>40909</v>
      </c>
      <c r="H107" s="3">
        <v>41274</v>
      </c>
      <c r="I107" s="1" t="s">
        <v>71</v>
      </c>
      <c r="J107">
        <v>4521</v>
      </c>
      <c r="K107">
        <v>0</v>
      </c>
      <c r="L107" s="1" t="s">
        <v>384</v>
      </c>
      <c r="M107" s="1" t="s">
        <v>72</v>
      </c>
      <c r="N107" s="1" t="s">
        <v>134</v>
      </c>
      <c r="O107" s="1" t="s">
        <v>385</v>
      </c>
      <c r="P107" s="1" t="s">
        <v>386</v>
      </c>
      <c r="Q107" s="1" t="s">
        <v>387</v>
      </c>
      <c r="R107">
        <v>103</v>
      </c>
      <c r="S107" s="1" t="s">
        <v>135</v>
      </c>
      <c r="T107" s="1" t="s">
        <v>388</v>
      </c>
      <c r="U107" s="1" t="s">
        <v>135</v>
      </c>
      <c r="V107" s="1"/>
      <c r="W107" s="1"/>
      <c r="X107" s="1"/>
      <c r="Y107" s="1"/>
      <c r="AA107" s="1"/>
      <c r="AC107" s="1"/>
      <c r="AD107" s="1"/>
      <c r="AE107" s="1"/>
      <c r="AN107" s="1" t="s">
        <v>74</v>
      </c>
      <c r="AO107">
        <v>35</v>
      </c>
      <c r="AP107" s="1" t="s">
        <v>1382</v>
      </c>
      <c r="AQ107" s="1" t="s">
        <v>1435</v>
      </c>
      <c r="AR107" s="1" t="s">
        <v>1482</v>
      </c>
      <c r="AS107" s="1" t="s">
        <v>1213</v>
      </c>
      <c r="AT107" s="3">
        <v>41222</v>
      </c>
      <c r="AU107" s="3">
        <v>41222</v>
      </c>
      <c r="AV107" s="3">
        <v>41243</v>
      </c>
      <c r="AW107" s="1" t="s">
        <v>1221</v>
      </c>
      <c r="AX107" s="1" t="s">
        <v>1525</v>
      </c>
      <c r="AY107">
        <v>800</v>
      </c>
      <c r="AZ107">
        <v>76</v>
      </c>
      <c r="BA107">
        <v>260953.83</v>
      </c>
      <c r="BB107" s="1"/>
      <c r="BD107" s="1"/>
      <c r="BE107" s="1"/>
      <c r="BG107" s="1"/>
      <c r="BH107" s="1"/>
      <c r="BJ107" s="1"/>
      <c r="BL107" s="1"/>
      <c r="BN107" s="1"/>
      <c r="BO107">
        <v>186</v>
      </c>
      <c r="BP107">
        <v>260953.83</v>
      </c>
      <c r="BQ107">
        <v>260953.83</v>
      </c>
    </row>
    <row r="108" spans="1:69" x14ac:dyDescent="0.35">
      <c r="A108" s="1" t="s">
        <v>68</v>
      </c>
      <c r="B108" s="1" t="s">
        <v>69</v>
      </c>
      <c r="C108" s="1" t="s">
        <v>70</v>
      </c>
      <c r="D108">
        <v>1</v>
      </c>
      <c r="E108">
        <v>1</v>
      </c>
      <c r="F108" s="2">
        <v>43584.863483796296</v>
      </c>
      <c r="G108" s="3">
        <v>40909</v>
      </c>
      <c r="H108" s="3">
        <v>41274</v>
      </c>
      <c r="I108" s="1" t="s">
        <v>71</v>
      </c>
      <c r="J108">
        <v>4521</v>
      </c>
      <c r="K108">
        <v>0</v>
      </c>
      <c r="L108" s="1" t="s">
        <v>384</v>
      </c>
      <c r="M108" s="1" t="s">
        <v>72</v>
      </c>
      <c r="N108" s="1" t="s">
        <v>134</v>
      </c>
      <c r="O108" s="1" t="s">
        <v>385</v>
      </c>
      <c r="P108" s="1" t="s">
        <v>386</v>
      </c>
      <c r="Q108" s="1" t="s">
        <v>387</v>
      </c>
      <c r="R108">
        <v>103</v>
      </c>
      <c r="S108" s="1" t="s">
        <v>135</v>
      </c>
      <c r="T108" s="1" t="s">
        <v>388</v>
      </c>
      <c r="U108" s="1" t="s">
        <v>135</v>
      </c>
      <c r="V108" s="1"/>
      <c r="W108" s="1"/>
      <c r="X108" s="1"/>
      <c r="Y108" s="1"/>
      <c r="AA108" s="1"/>
      <c r="AC108" s="1"/>
      <c r="AD108" s="1"/>
      <c r="AE108" s="1"/>
      <c r="AN108" s="1" t="s">
        <v>74</v>
      </c>
      <c r="AO108">
        <v>36</v>
      </c>
      <c r="AP108" s="1" t="s">
        <v>1383</v>
      </c>
      <c r="AQ108" s="1" t="s">
        <v>1436</v>
      </c>
      <c r="AR108" s="1" t="s">
        <v>1483</v>
      </c>
      <c r="AS108" s="1" t="s">
        <v>96</v>
      </c>
      <c r="AT108" s="3">
        <v>41222</v>
      </c>
      <c r="AU108" s="3">
        <v>41222</v>
      </c>
      <c r="AV108" s="3">
        <v>41243</v>
      </c>
      <c r="AW108" s="1" t="s">
        <v>1221</v>
      </c>
      <c r="AX108" s="1" t="s">
        <v>1526</v>
      </c>
      <c r="AY108">
        <v>3570</v>
      </c>
      <c r="AZ108">
        <v>76</v>
      </c>
      <c r="BA108">
        <v>260953.83</v>
      </c>
      <c r="BB108" s="1"/>
      <c r="BD108" s="1"/>
      <c r="BE108" s="1"/>
      <c r="BG108" s="1"/>
      <c r="BH108" s="1"/>
      <c r="BJ108" s="1"/>
      <c r="BL108" s="1"/>
      <c r="BN108" s="1"/>
      <c r="BO108">
        <v>186</v>
      </c>
      <c r="BP108">
        <v>260953.83</v>
      </c>
      <c r="BQ108">
        <v>260953.83</v>
      </c>
    </row>
    <row r="109" spans="1:69" x14ac:dyDescent="0.35">
      <c r="A109" s="1" t="s">
        <v>68</v>
      </c>
      <c r="B109" s="1" t="s">
        <v>69</v>
      </c>
      <c r="C109" s="1" t="s">
        <v>70</v>
      </c>
      <c r="D109">
        <v>1</v>
      </c>
      <c r="E109">
        <v>1</v>
      </c>
      <c r="F109" s="2">
        <v>43584.863483796296</v>
      </c>
      <c r="G109" s="3">
        <v>40909</v>
      </c>
      <c r="H109" s="3">
        <v>41274</v>
      </c>
      <c r="I109" s="1" t="s">
        <v>71</v>
      </c>
      <c r="J109">
        <v>4521</v>
      </c>
      <c r="K109">
        <v>0</v>
      </c>
      <c r="L109" s="1" t="s">
        <v>384</v>
      </c>
      <c r="M109" s="1" t="s">
        <v>72</v>
      </c>
      <c r="N109" s="1" t="s">
        <v>134</v>
      </c>
      <c r="O109" s="1" t="s">
        <v>385</v>
      </c>
      <c r="P109" s="1" t="s">
        <v>386</v>
      </c>
      <c r="Q109" s="1" t="s">
        <v>387</v>
      </c>
      <c r="R109">
        <v>103</v>
      </c>
      <c r="S109" s="1" t="s">
        <v>135</v>
      </c>
      <c r="T109" s="1" t="s">
        <v>388</v>
      </c>
      <c r="U109" s="1" t="s">
        <v>135</v>
      </c>
      <c r="V109" s="1"/>
      <c r="W109" s="1"/>
      <c r="X109" s="1"/>
      <c r="Y109" s="1"/>
      <c r="AA109" s="1"/>
      <c r="AC109" s="1"/>
      <c r="AD109" s="1"/>
      <c r="AE109" s="1"/>
      <c r="AN109" s="1" t="s">
        <v>74</v>
      </c>
      <c r="AO109">
        <v>37</v>
      </c>
      <c r="AP109" s="1" t="s">
        <v>1384</v>
      </c>
      <c r="AQ109" s="1" t="s">
        <v>1436</v>
      </c>
      <c r="AR109" s="1" t="s">
        <v>1483</v>
      </c>
      <c r="AS109" s="1" t="s">
        <v>96</v>
      </c>
      <c r="AT109" s="3">
        <v>41222</v>
      </c>
      <c r="AU109" s="3">
        <v>41222</v>
      </c>
      <c r="AV109" s="3">
        <v>41243</v>
      </c>
      <c r="AW109" s="1" t="s">
        <v>1221</v>
      </c>
      <c r="AX109" s="1" t="s">
        <v>1527</v>
      </c>
      <c r="AY109">
        <v>5700</v>
      </c>
      <c r="AZ109">
        <v>76</v>
      </c>
      <c r="BA109">
        <v>260953.83</v>
      </c>
      <c r="BB109" s="1"/>
      <c r="BD109" s="1"/>
      <c r="BE109" s="1"/>
      <c r="BG109" s="1"/>
      <c r="BH109" s="1"/>
      <c r="BJ109" s="1"/>
      <c r="BL109" s="1"/>
      <c r="BN109" s="1"/>
      <c r="BO109">
        <v>186</v>
      </c>
      <c r="BP109">
        <v>260953.83</v>
      </c>
      <c r="BQ109">
        <v>260953.83</v>
      </c>
    </row>
    <row r="110" spans="1:69" x14ac:dyDescent="0.35">
      <c r="A110" s="1" t="s">
        <v>68</v>
      </c>
      <c r="B110" s="1" t="s">
        <v>69</v>
      </c>
      <c r="C110" s="1" t="s">
        <v>70</v>
      </c>
      <c r="D110">
        <v>1</v>
      </c>
      <c r="E110">
        <v>1</v>
      </c>
      <c r="F110" s="2">
        <v>43584.863483796296</v>
      </c>
      <c r="G110" s="3">
        <v>40909</v>
      </c>
      <c r="H110" s="3">
        <v>41274</v>
      </c>
      <c r="I110" s="1" t="s">
        <v>71</v>
      </c>
      <c r="J110">
        <v>4521</v>
      </c>
      <c r="K110">
        <v>0</v>
      </c>
      <c r="L110" s="1" t="s">
        <v>384</v>
      </c>
      <c r="M110" s="1" t="s">
        <v>72</v>
      </c>
      <c r="N110" s="1" t="s">
        <v>134</v>
      </c>
      <c r="O110" s="1" t="s">
        <v>385</v>
      </c>
      <c r="P110" s="1" t="s">
        <v>386</v>
      </c>
      <c r="Q110" s="1" t="s">
        <v>387</v>
      </c>
      <c r="R110">
        <v>103</v>
      </c>
      <c r="S110" s="1" t="s">
        <v>135</v>
      </c>
      <c r="T110" s="1" t="s">
        <v>388</v>
      </c>
      <c r="U110" s="1" t="s">
        <v>135</v>
      </c>
      <c r="V110" s="1"/>
      <c r="W110" s="1"/>
      <c r="X110" s="1"/>
      <c r="Y110" s="1"/>
      <c r="AA110" s="1"/>
      <c r="AC110" s="1"/>
      <c r="AD110" s="1"/>
      <c r="AE110" s="1"/>
      <c r="AN110" s="1" t="s">
        <v>74</v>
      </c>
      <c r="AO110">
        <v>38</v>
      </c>
      <c r="AP110" s="1" t="s">
        <v>1385</v>
      </c>
      <c r="AQ110" s="1" t="s">
        <v>1436</v>
      </c>
      <c r="AR110" s="1" t="s">
        <v>1483</v>
      </c>
      <c r="AS110" s="1" t="s">
        <v>96</v>
      </c>
      <c r="AT110" s="3">
        <v>41222</v>
      </c>
      <c r="AU110" s="3">
        <v>41222</v>
      </c>
      <c r="AV110" s="3">
        <v>41243</v>
      </c>
      <c r="AW110" s="1" t="s">
        <v>1221</v>
      </c>
      <c r="AX110" s="1" t="s">
        <v>1528</v>
      </c>
      <c r="AY110">
        <v>660</v>
      </c>
      <c r="AZ110">
        <v>76</v>
      </c>
      <c r="BA110">
        <v>260953.83</v>
      </c>
      <c r="BB110" s="1"/>
      <c r="BD110" s="1"/>
      <c r="BE110" s="1"/>
      <c r="BG110" s="1"/>
      <c r="BH110" s="1"/>
      <c r="BJ110" s="1"/>
      <c r="BL110" s="1"/>
      <c r="BN110" s="1"/>
      <c r="BO110">
        <v>186</v>
      </c>
      <c r="BP110">
        <v>260953.83</v>
      </c>
      <c r="BQ110">
        <v>260953.83</v>
      </c>
    </row>
    <row r="111" spans="1:69" x14ac:dyDescent="0.35">
      <c r="A111" s="1" t="s">
        <v>68</v>
      </c>
      <c r="B111" s="1" t="s">
        <v>69</v>
      </c>
      <c r="C111" s="1" t="s">
        <v>70</v>
      </c>
      <c r="D111">
        <v>1</v>
      </c>
      <c r="E111">
        <v>1</v>
      </c>
      <c r="F111" s="2">
        <v>43584.863483796296</v>
      </c>
      <c r="G111" s="3">
        <v>40909</v>
      </c>
      <c r="H111" s="3">
        <v>41274</v>
      </c>
      <c r="I111" s="1" t="s">
        <v>71</v>
      </c>
      <c r="J111">
        <v>4521</v>
      </c>
      <c r="K111">
        <v>0</v>
      </c>
      <c r="L111" s="1" t="s">
        <v>384</v>
      </c>
      <c r="M111" s="1" t="s">
        <v>72</v>
      </c>
      <c r="N111" s="1" t="s">
        <v>134</v>
      </c>
      <c r="O111" s="1" t="s">
        <v>385</v>
      </c>
      <c r="P111" s="1" t="s">
        <v>386</v>
      </c>
      <c r="Q111" s="1" t="s">
        <v>387</v>
      </c>
      <c r="R111">
        <v>103</v>
      </c>
      <c r="S111" s="1" t="s">
        <v>135</v>
      </c>
      <c r="T111" s="1" t="s">
        <v>388</v>
      </c>
      <c r="U111" s="1" t="s">
        <v>135</v>
      </c>
      <c r="V111" s="1"/>
      <c r="W111" s="1"/>
      <c r="X111" s="1"/>
      <c r="Y111" s="1"/>
      <c r="AA111" s="1"/>
      <c r="AC111" s="1"/>
      <c r="AD111" s="1"/>
      <c r="AE111" s="1"/>
      <c r="AN111" s="1" t="s">
        <v>74</v>
      </c>
      <c r="AO111">
        <v>39</v>
      </c>
      <c r="AP111" s="1" t="s">
        <v>1386</v>
      </c>
      <c r="AQ111" s="1" t="s">
        <v>1436</v>
      </c>
      <c r="AR111" s="1" t="s">
        <v>1483</v>
      </c>
      <c r="AS111" s="1" t="s">
        <v>96</v>
      </c>
      <c r="AT111" s="3">
        <v>41222</v>
      </c>
      <c r="AU111" s="3">
        <v>41222</v>
      </c>
      <c r="AV111" s="3">
        <v>41243</v>
      </c>
      <c r="AW111" s="1" t="s">
        <v>1221</v>
      </c>
      <c r="AX111" s="1" t="s">
        <v>1529</v>
      </c>
      <c r="AY111">
        <v>5890</v>
      </c>
      <c r="AZ111">
        <v>76</v>
      </c>
      <c r="BA111">
        <v>260953.83</v>
      </c>
      <c r="BB111" s="1"/>
      <c r="BD111" s="1"/>
      <c r="BE111" s="1"/>
      <c r="BG111" s="1"/>
      <c r="BH111" s="1"/>
      <c r="BJ111" s="1"/>
      <c r="BL111" s="1"/>
      <c r="BN111" s="1"/>
      <c r="BO111">
        <v>186</v>
      </c>
      <c r="BP111">
        <v>260953.83</v>
      </c>
      <c r="BQ111">
        <v>260953.83</v>
      </c>
    </row>
    <row r="112" spans="1:69" x14ac:dyDescent="0.35">
      <c r="A112" s="1" t="s">
        <v>68</v>
      </c>
      <c r="B112" s="1" t="s">
        <v>69</v>
      </c>
      <c r="C112" s="1" t="s">
        <v>70</v>
      </c>
      <c r="D112">
        <v>1</v>
      </c>
      <c r="E112">
        <v>1</v>
      </c>
      <c r="F112" s="2">
        <v>43584.863483796296</v>
      </c>
      <c r="G112" s="3">
        <v>40909</v>
      </c>
      <c r="H112" s="3">
        <v>41274</v>
      </c>
      <c r="I112" s="1" t="s">
        <v>71</v>
      </c>
      <c r="J112">
        <v>4521</v>
      </c>
      <c r="K112">
        <v>0</v>
      </c>
      <c r="L112" s="1" t="s">
        <v>384</v>
      </c>
      <c r="M112" s="1" t="s">
        <v>72</v>
      </c>
      <c r="N112" s="1" t="s">
        <v>134</v>
      </c>
      <c r="O112" s="1" t="s">
        <v>385</v>
      </c>
      <c r="P112" s="1" t="s">
        <v>386</v>
      </c>
      <c r="Q112" s="1" t="s">
        <v>387</v>
      </c>
      <c r="R112">
        <v>103</v>
      </c>
      <c r="S112" s="1" t="s">
        <v>135</v>
      </c>
      <c r="T112" s="1" t="s">
        <v>388</v>
      </c>
      <c r="U112" s="1" t="s">
        <v>135</v>
      </c>
      <c r="V112" s="1"/>
      <c r="W112" s="1"/>
      <c r="X112" s="1"/>
      <c r="Y112" s="1"/>
      <c r="AA112" s="1"/>
      <c r="AC112" s="1"/>
      <c r="AD112" s="1"/>
      <c r="AE112" s="1"/>
      <c r="AN112" s="1" t="s">
        <v>74</v>
      </c>
      <c r="AO112">
        <v>40</v>
      </c>
      <c r="AP112" s="1" t="s">
        <v>1387</v>
      </c>
      <c r="AQ112" s="1" t="s">
        <v>1436</v>
      </c>
      <c r="AR112" s="1" t="s">
        <v>1483</v>
      </c>
      <c r="AS112" s="1" t="s">
        <v>96</v>
      </c>
      <c r="AT112" s="3">
        <v>41222</v>
      </c>
      <c r="AU112" s="3">
        <v>41222</v>
      </c>
      <c r="AV112" s="3">
        <v>41243</v>
      </c>
      <c r="AW112" s="1" t="s">
        <v>1221</v>
      </c>
      <c r="AX112" s="1" t="s">
        <v>1530</v>
      </c>
      <c r="AY112">
        <v>50</v>
      </c>
      <c r="AZ112">
        <v>76</v>
      </c>
      <c r="BA112">
        <v>260953.83</v>
      </c>
      <c r="BB112" s="1"/>
      <c r="BD112" s="1"/>
      <c r="BE112" s="1"/>
      <c r="BG112" s="1"/>
      <c r="BH112" s="1"/>
      <c r="BJ112" s="1"/>
      <c r="BL112" s="1"/>
      <c r="BN112" s="1"/>
      <c r="BO112">
        <v>186</v>
      </c>
      <c r="BP112">
        <v>260953.83</v>
      </c>
      <c r="BQ112">
        <v>260953.83</v>
      </c>
    </row>
    <row r="113" spans="1:69" x14ac:dyDescent="0.35">
      <c r="A113" s="1" t="s">
        <v>68</v>
      </c>
      <c r="B113" s="1" t="s">
        <v>69</v>
      </c>
      <c r="C113" s="1" t="s">
        <v>70</v>
      </c>
      <c r="D113">
        <v>1</v>
      </c>
      <c r="E113">
        <v>1</v>
      </c>
      <c r="F113" s="2">
        <v>43584.863483796296</v>
      </c>
      <c r="G113" s="3">
        <v>40909</v>
      </c>
      <c r="H113" s="3">
        <v>41274</v>
      </c>
      <c r="I113" s="1" t="s">
        <v>71</v>
      </c>
      <c r="J113">
        <v>4521</v>
      </c>
      <c r="K113">
        <v>0</v>
      </c>
      <c r="L113" s="1" t="s">
        <v>384</v>
      </c>
      <c r="M113" s="1" t="s">
        <v>72</v>
      </c>
      <c r="N113" s="1" t="s">
        <v>134</v>
      </c>
      <c r="O113" s="1" t="s">
        <v>385</v>
      </c>
      <c r="P113" s="1" t="s">
        <v>386</v>
      </c>
      <c r="Q113" s="1" t="s">
        <v>387</v>
      </c>
      <c r="R113">
        <v>103</v>
      </c>
      <c r="S113" s="1" t="s">
        <v>135</v>
      </c>
      <c r="T113" s="1" t="s">
        <v>388</v>
      </c>
      <c r="U113" s="1" t="s">
        <v>135</v>
      </c>
      <c r="V113" s="1"/>
      <c r="W113" s="1"/>
      <c r="X113" s="1"/>
      <c r="Y113" s="1"/>
      <c r="AA113" s="1"/>
      <c r="AC113" s="1"/>
      <c r="AD113" s="1"/>
      <c r="AE113" s="1"/>
      <c r="AN113" s="1" t="s">
        <v>74</v>
      </c>
      <c r="AO113">
        <v>41</v>
      </c>
      <c r="AP113" s="1" t="s">
        <v>1388</v>
      </c>
      <c r="AQ113" s="1" t="s">
        <v>1436</v>
      </c>
      <c r="AR113" s="1" t="s">
        <v>1483</v>
      </c>
      <c r="AS113" s="1" t="s">
        <v>96</v>
      </c>
      <c r="AT113" s="3">
        <v>41222</v>
      </c>
      <c r="AU113" s="3">
        <v>41222</v>
      </c>
      <c r="AV113" s="3">
        <v>41243</v>
      </c>
      <c r="AW113" s="1" t="s">
        <v>1221</v>
      </c>
      <c r="AX113" s="1" t="s">
        <v>1530</v>
      </c>
      <c r="AY113">
        <v>50</v>
      </c>
      <c r="AZ113">
        <v>76</v>
      </c>
      <c r="BA113">
        <v>260953.83</v>
      </c>
      <c r="BB113" s="1"/>
      <c r="BD113" s="1"/>
      <c r="BE113" s="1"/>
      <c r="BG113" s="1"/>
      <c r="BH113" s="1"/>
      <c r="BJ113" s="1"/>
      <c r="BL113" s="1"/>
      <c r="BN113" s="1"/>
      <c r="BO113">
        <v>186</v>
      </c>
      <c r="BP113">
        <v>260953.83</v>
      </c>
      <c r="BQ113">
        <v>260953.83</v>
      </c>
    </row>
    <row r="114" spans="1:69" x14ac:dyDescent="0.35">
      <c r="A114" s="1" t="s">
        <v>68</v>
      </c>
      <c r="B114" s="1" t="s">
        <v>69</v>
      </c>
      <c r="C114" s="1" t="s">
        <v>70</v>
      </c>
      <c r="D114">
        <v>1</v>
      </c>
      <c r="E114">
        <v>1</v>
      </c>
      <c r="F114" s="2">
        <v>43584.863483796296</v>
      </c>
      <c r="G114" s="3">
        <v>40909</v>
      </c>
      <c r="H114" s="3">
        <v>41274</v>
      </c>
      <c r="I114" s="1" t="s">
        <v>71</v>
      </c>
      <c r="J114">
        <v>4521</v>
      </c>
      <c r="K114">
        <v>0</v>
      </c>
      <c r="L114" s="1" t="s">
        <v>384</v>
      </c>
      <c r="M114" s="1" t="s">
        <v>72</v>
      </c>
      <c r="N114" s="1" t="s">
        <v>134</v>
      </c>
      <c r="O114" s="1" t="s">
        <v>385</v>
      </c>
      <c r="P114" s="1" t="s">
        <v>386</v>
      </c>
      <c r="Q114" s="1" t="s">
        <v>387</v>
      </c>
      <c r="R114">
        <v>103</v>
      </c>
      <c r="S114" s="1" t="s">
        <v>135</v>
      </c>
      <c r="T114" s="1" t="s">
        <v>388</v>
      </c>
      <c r="U114" s="1" t="s">
        <v>135</v>
      </c>
      <c r="V114" s="1"/>
      <c r="W114" s="1"/>
      <c r="X114" s="1"/>
      <c r="Y114" s="1"/>
      <c r="AA114" s="1"/>
      <c r="AC114" s="1"/>
      <c r="AD114" s="1"/>
      <c r="AE114" s="1"/>
      <c r="AN114" s="1" t="s">
        <v>74</v>
      </c>
      <c r="AO114">
        <v>42</v>
      </c>
      <c r="AP114" s="1" t="s">
        <v>1389</v>
      </c>
      <c r="AQ114" s="1" t="s">
        <v>1010</v>
      </c>
      <c r="AR114" s="1" t="s">
        <v>1484</v>
      </c>
      <c r="AS114" s="1" t="s">
        <v>97</v>
      </c>
      <c r="AT114" s="3">
        <v>41225</v>
      </c>
      <c r="AU114" s="3">
        <v>41225</v>
      </c>
      <c r="AV114" s="3">
        <v>41243</v>
      </c>
      <c r="AW114" s="1" t="s">
        <v>1221</v>
      </c>
      <c r="AX114" s="1" t="s">
        <v>619</v>
      </c>
      <c r="AY114">
        <v>292.5</v>
      </c>
      <c r="AZ114">
        <v>76</v>
      </c>
      <c r="BA114">
        <v>260953.83</v>
      </c>
      <c r="BB114" s="1"/>
      <c r="BD114" s="1"/>
      <c r="BE114" s="1"/>
      <c r="BG114" s="1"/>
      <c r="BH114" s="1"/>
      <c r="BJ114" s="1"/>
      <c r="BL114" s="1"/>
      <c r="BN114" s="1"/>
      <c r="BO114">
        <v>186</v>
      </c>
      <c r="BP114">
        <v>260953.83</v>
      </c>
      <c r="BQ114">
        <v>260953.83</v>
      </c>
    </row>
    <row r="115" spans="1:69" x14ac:dyDescent="0.35">
      <c r="A115" s="1" t="s">
        <v>68</v>
      </c>
      <c r="B115" s="1" t="s">
        <v>69</v>
      </c>
      <c r="C115" s="1" t="s">
        <v>70</v>
      </c>
      <c r="D115">
        <v>1</v>
      </c>
      <c r="E115">
        <v>1</v>
      </c>
      <c r="F115" s="2">
        <v>43584.863483796296</v>
      </c>
      <c r="G115" s="3">
        <v>40909</v>
      </c>
      <c r="H115" s="3">
        <v>41274</v>
      </c>
      <c r="I115" s="1" t="s">
        <v>71</v>
      </c>
      <c r="J115">
        <v>4521</v>
      </c>
      <c r="K115">
        <v>0</v>
      </c>
      <c r="L115" s="1" t="s">
        <v>384</v>
      </c>
      <c r="M115" s="1" t="s">
        <v>72</v>
      </c>
      <c r="N115" s="1" t="s">
        <v>134</v>
      </c>
      <c r="O115" s="1" t="s">
        <v>385</v>
      </c>
      <c r="P115" s="1" t="s">
        <v>386</v>
      </c>
      <c r="Q115" s="1" t="s">
        <v>387</v>
      </c>
      <c r="R115">
        <v>103</v>
      </c>
      <c r="S115" s="1" t="s">
        <v>135</v>
      </c>
      <c r="T115" s="1" t="s">
        <v>388</v>
      </c>
      <c r="U115" s="1" t="s">
        <v>135</v>
      </c>
      <c r="V115" s="1"/>
      <c r="W115" s="1"/>
      <c r="X115" s="1"/>
      <c r="Y115" s="1"/>
      <c r="AA115" s="1"/>
      <c r="AC115" s="1"/>
      <c r="AD115" s="1"/>
      <c r="AE115" s="1"/>
      <c r="AN115" s="1" t="s">
        <v>74</v>
      </c>
      <c r="AO115">
        <v>43</v>
      </c>
      <c r="AP115" s="1" t="s">
        <v>1390</v>
      </c>
      <c r="AQ115" s="1" t="s">
        <v>1437</v>
      </c>
      <c r="AR115" s="1" t="s">
        <v>1485</v>
      </c>
      <c r="AS115" s="1" t="s">
        <v>95</v>
      </c>
      <c r="AT115" s="3">
        <v>41226</v>
      </c>
      <c r="AU115" s="3">
        <v>41226</v>
      </c>
      <c r="AV115" s="3">
        <v>41243</v>
      </c>
      <c r="AW115" s="1" t="s">
        <v>1221</v>
      </c>
      <c r="AX115" s="1" t="s">
        <v>1437</v>
      </c>
      <c r="AY115">
        <v>8480.33</v>
      </c>
      <c r="AZ115">
        <v>76</v>
      </c>
      <c r="BA115">
        <v>260953.83</v>
      </c>
      <c r="BB115" s="1"/>
      <c r="BD115" s="1"/>
      <c r="BE115" s="1"/>
      <c r="BG115" s="1"/>
      <c r="BH115" s="1"/>
      <c r="BJ115" s="1"/>
      <c r="BL115" s="1"/>
      <c r="BN115" s="1"/>
      <c r="BO115">
        <v>186</v>
      </c>
      <c r="BP115">
        <v>260953.83</v>
      </c>
      <c r="BQ115">
        <v>260953.83</v>
      </c>
    </row>
    <row r="116" spans="1:69" x14ac:dyDescent="0.35">
      <c r="A116" s="1" t="s">
        <v>68</v>
      </c>
      <c r="B116" s="1" t="s">
        <v>69</v>
      </c>
      <c r="C116" s="1" t="s">
        <v>70</v>
      </c>
      <c r="D116">
        <v>1</v>
      </c>
      <c r="E116">
        <v>1</v>
      </c>
      <c r="F116" s="2">
        <v>43584.863483796296</v>
      </c>
      <c r="G116" s="3">
        <v>40909</v>
      </c>
      <c r="H116" s="3">
        <v>41274</v>
      </c>
      <c r="I116" s="1" t="s">
        <v>71</v>
      </c>
      <c r="J116">
        <v>4521</v>
      </c>
      <c r="K116">
        <v>0</v>
      </c>
      <c r="L116" s="1" t="s">
        <v>384</v>
      </c>
      <c r="M116" s="1" t="s">
        <v>72</v>
      </c>
      <c r="N116" s="1" t="s">
        <v>134</v>
      </c>
      <c r="O116" s="1" t="s">
        <v>385</v>
      </c>
      <c r="P116" s="1" t="s">
        <v>386</v>
      </c>
      <c r="Q116" s="1" t="s">
        <v>387</v>
      </c>
      <c r="R116">
        <v>103</v>
      </c>
      <c r="S116" s="1" t="s">
        <v>135</v>
      </c>
      <c r="T116" s="1" t="s">
        <v>388</v>
      </c>
      <c r="U116" s="1" t="s">
        <v>135</v>
      </c>
      <c r="V116" s="1"/>
      <c r="W116" s="1"/>
      <c r="X116" s="1"/>
      <c r="Y116" s="1"/>
      <c r="AA116" s="1"/>
      <c r="AC116" s="1"/>
      <c r="AD116" s="1"/>
      <c r="AE116" s="1"/>
      <c r="AN116" s="1" t="s">
        <v>74</v>
      </c>
      <c r="AO116">
        <v>44</v>
      </c>
      <c r="AP116" s="1" t="s">
        <v>1391</v>
      </c>
      <c r="AQ116" s="1" t="s">
        <v>1438</v>
      </c>
      <c r="AR116" s="1" t="s">
        <v>1486</v>
      </c>
      <c r="AS116" s="1" t="s">
        <v>1214</v>
      </c>
      <c r="AT116" s="3">
        <v>41227</v>
      </c>
      <c r="AU116" s="3">
        <v>41228</v>
      </c>
      <c r="AV116" s="3">
        <v>41243</v>
      </c>
      <c r="AW116" s="1" t="s">
        <v>1221</v>
      </c>
      <c r="AX116" s="1" t="s">
        <v>1531</v>
      </c>
      <c r="AY116">
        <v>2578.29</v>
      </c>
      <c r="AZ116">
        <v>76</v>
      </c>
      <c r="BA116">
        <v>260953.83</v>
      </c>
      <c r="BB116" s="1"/>
      <c r="BD116" s="1"/>
      <c r="BE116" s="1"/>
      <c r="BG116" s="1"/>
      <c r="BH116" s="1"/>
      <c r="BJ116" s="1"/>
      <c r="BL116" s="1"/>
      <c r="BN116" s="1"/>
      <c r="BO116">
        <v>186</v>
      </c>
      <c r="BP116">
        <v>260953.83</v>
      </c>
      <c r="BQ116">
        <v>260953.83</v>
      </c>
    </row>
    <row r="117" spans="1:69" x14ac:dyDescent="0.35">
      <c r="A117" s="1" t="s">
        <v>68</v>
      </c>
      <c r="B117" s="1" t="s">
        <v>69</v>
      </c>
      <c r="C117" s="1" t="s">
        <v>70</v>
      </c>
      <c r="D117">
        <v>1</v>
      </c>
      <c r="E117">
        <v>1</v>
      </c>
      <c r="F117" s="2">
        <v>43584.863483796296</v>
      </c>
      <c r="G117" s="3">
        <v>40909</v>
      </c>
      <c r="H117" s="3">
        <v>41274</v>
      </c>
      <c r="I117" s="1" t="s">
        <v>71</v>
      </c>
      <c r="J117">
        <v>4521</v>
      </c>
      <c r="K117">
        <v>0</v>
      </c>
      <c r="L117" s="1" t="s">
        <v>384</v>
      </c>
      <c r="M117" s="1" t="s">
        <v>72</v>
      </c>
      <c r="N117" s="1" t="s">
        <v>134</v>
      </c>
      <c r="O117" s="1" t="s">
        <v>385</v>
      </c>
      <c r="P117" s="1" t="s">
        <v>386</v>
      </c>
      <c r="Q117" s="1" t="s">
        <v>387</v>
      </c>
      <c r="R117">
        <v>103</v>
      </c>
      <c r="S117" s="1" t="s">
        <v>135</v>
      </c>
      <c r="T117" s="1" t="s">
        <v>388</v>
      </c>
      <c r="U117" s="1" t="s">
        <v>135</v>
      </c>
      <c r="V117" s="1"/>
      <c r="W117" s="1"/>
      <c r="X117" s="1"/>
      <c r="Y117" s="1"/>
      <c r="AA117" s="1"/>
      <c r="AC117" s="1"/>
      <c r="AD117" s="1"/>
      <c r="AE117" s="1"/>
      <c r="AN117" s="1" t="s">
        <v>74</v>
      </c>
      <c r="AO117">
        <v>45</v>
      </c>
      <c r="AP117" s="1" t="s">
        <v>1392</v>
      </c>
      <c r="AQ117" s="1" t="s">
        <v>997</v>
      </c>
      <c r="AR117" s="1" t="s">
        <v>1487</v>
      </c>
      <c r="AS117" s="1" t="s">
        <v>1208</v>
      </c>
      <c r="AT117" s="3">
        <v>41229</v>
      </c>
      <c r="AU117" s="3">
        <v>41229</v>
      </c>
      <c r="AV117" s="3">
        <v>41243</v>
      </c>
      <c r="AW117" s="1" t="s">
        <v>1221</v>
      </c>
      <c r="AX117" s="1" t="s">
        <v>997</v>
      </c>
      <c r="AY117">
        <v>4521</v>
      </c>
      <c r="AZ117">
        <v>76</v>
      </c>
      <c r="BA117">
        <v>260953.83</v>
      </c>
      <c r="BB117" s="1"/>
      <c r="BD117" s="1"/>
      <c r="BE117" s="1"/>
      <c r="BG117" s="1"/>
      <c r="BH117" s="1"/>
      <c r="BJ117" s="1"/>
      <c r="BL117" s="1"/>
      <c r="BN117" s="1"/>
      <c r="BO117">
        <v>186</v>
      </c>
      <c r="BP117">
        <v>260953.83</v>
      </c>
      <c r="BQ117">
        <v>260953.83</v>
      </c>
    </row>
    <row r="118" spans="1:69" x14ac:dyDescent="0.35">
      <c r="A118" s="1" t="s">
        <v>68</v>
      </c>
      <c r="B118" s="1" t="s">
        <v>69</v>
      </c>
      <c r="C118" s="1" t="s">
        <v>70</v>
      </c>
      <c r="D118">
        <v>1</v>
      </c>
      <c r="E118">
        <v>1</v>
      </c>
      <c r="F118" s="2">
        <v>43584.863483796296</v>
      </c>
      <c r="G118" s="3">
        <v>40909</v>
      </c>
      <c r="H118" s="3">
        <v>41274</v>
      </c>
      <c r="I118" s="1" t="s">
        <v>71</v>
      </c>
      <c r="J118">
        <v>4521</v>
      </c>
      <c r="K118">
        <v>0</v>
      </c>
      <c r="L118" s="1" t="s">
        <v>384</v>
      </c>
      <c r="M118" s="1" t="s">
        <v>72</v>
      </c>
      <c r="N118" s="1" t="s">
        <v>134</v>
      </c>
      <c r="O118" s="1" t="s">
        <v>385</v>
      </c>
      <c r="P118" s="1" t="s">
        <v>386</v>
      </c>
      <c r="Q118" s="1" t="s">
        <v>387</v>
      </c>
      <c r="R118">
        <v>103</v>
      </c>
      <c r="S118" s="1" t="s">
        <v>135</v>
      </c>
      <c r="T118" s="1" t="s">
        <v>388</v>
      </c>
      <c r="U118" s="1" t="s">
        <v>135</v>
      </c>
      <c r="V118" s="1"/>
      <c r="W118" s="1"/>
      <c r="X118" s="1"/>
      <c r="Y118" s="1"/>
      <c r="AA118" s="1"/>
      <c r="AC118" s="1"/>
      <c r="AD118" s="1"/>
      <c r="AE118" s="1"/>
      <c r="AN118" s="1" t="s">
        <v>74</v>
      </c>
      <c r="AO118">
        <v>46</v>
      </c>
      <c r="AP118" s="1" t="s">
        <v>1393</v>
      </c>
      <c r="AQ118" s="1" t="s">
        <v>1439</v>
      </c>
      <c r="AR118" s="1" t="s">
        <v>1488</v>
      </c>
      <c r="AS118" s="1" t="s">
        <v>85</v>
      </c>
      <c r="AT118" s="3">
        <v>41232</v>
      </c>
      <c r="AU118" s="3">
        <v>41232</v>
      </c>
      <c r="AV118" s="3">
        <v>41243</v>
      </c>
      <c r="AW118" s="1" t="s">
        <v>1221</v>
      </c>
      <c r="AX118" s="1" t="s">
        <v>1439</v>
      </c>
      <c r="AY118">
        <v>25</v>
      </c>
      <c r="AZ118">
        <v>76</v>
      </c>
      <c r="BA118">
        <v>260953.83</v>
      </c>
      <c r="BB118" s="1"/>
      <c r="BD118" s="1"/>
      <c r="BE118" s="1"/>
      <c r="BG118" s="1"/>
      <c r="BH118" s="1"/>
      <c r="BJ118" s="1"/>
      <c r="BL118" s="1"/>
      <c r="BN118" s="1"/>
      <c r="BO118">
        <v>186</v>
      </c>
      <c r="BP118">
        <v>260953.83</v>
      </c>
      <c r="BQ118">
        <v>260953.83</v>
      </c>
    </row>
    <row r="119" spans="1:69" x14ac:dyDescent="0.35">
      <c r="A119" s="1" t="s">
        <v>68</v>
      </c>
      <c r="B119" s="1" t="s">
        <v>69</v>
      </c>
      <c r="C119" s="1" t="s">
        <v>70</v>
      </c>
      <c r="D119">
        <v>1</v>
      </c>
      <c r="E119">
        <v>1</v>
      </c>
      <c r="F119" s="2">
        <v>43584.863483796296</v>
      </c>
      <c r="G119" s="3">
        <v>40909</v>
      </c>
      <c r="H119" s="3">
        <v>41274</v>
      </c>
      <c r="I119" s="1" t="s">
        <v>71</v>
      </c>
      <c r="J119">
        <v>4521</v>
      </c>
      <c r="K119">
        <v>0</v>
      </c>
      <c r="L119" s="1" t="s">
        <v>384</v>
      </c>
      <c r="M119" s="1" t="s">
        <v>72</v>
      </c>
      <c r="N119" s="1" t="s">
        <v>134</v>
      </c>
      <c r="O119" s="1" t="s">
        <v>385</v>
      </c>
      <c r="P119" s="1" t="s">
        <v>386</v>
      </c>
      <c r="Q119" s="1" t="s">
        <v>387</v>
      </c>
      <c r="R119">
        <v>103</v>
      </c>
      <c r="S119" s="1" t="s">
        <v>135</v>
      </c>
      <c r="T119" s="1" t="s">
        <v>388</v>
      </c>
      <c r="U119" s="1" t="s">
        <v>135</v>
      </c>
      <c r="V119" s="1"/>
      <c r="W119" s="1"/>
      <c r="X119" s="1"/>
      <c r="Y119" s="1"/>
      <c r="AA119" s="1"/>
      <c r="AC119" s="1"/>
      <c r="AD119" s="1"/>
      <c r="AE119" s="1"/>
      <c r="AN119" s="1" t="s">
        <v>74</v>
      </c>
      <c r="AO119">
        <v>47</v>
      </c>
      <c r="AP119" s="1" t="s">
        <v>1394</v>
      </c>
      <c r="AQ119" s="1" t="s">
        <v>1440</v>
      </c>
      <c r="AR119" s="1" t="s">
        <v>1120</v>
      </c>
      <c r="AS119" s="1" t="s">
        <v>1206</v>
      </c>
      <c r="AT119" s="3">
        <v>40521</v>
      </c>
      <c r="AU119" s="3">
        <v>40521</v>
      </c>
      <c r="AV119" s="3">
        <v>41274</v>
      </c>
      <c r="AW119" s="1" t="s">
        <v>1221</v>
      </c>
      <c r="AX119" s="1" t="s">
        <v>1440</v>
      </c>
      <c r="AY119">
        <v>1158.9000000000001</v>
      </c>
      <c r="AZ119">
        <v>76</v>
      </c>
      <c r="BA119">
        <v>260953.83</v>
      </c>
      <c r="BB119" s="1"/>
      <c r="BD119" s="1"/>
      <c r="BE119" s="1"/>
      <c r="BG119" s="1"/>
      <c r="BH119" s="1"/>
      <c r="BJ119" s="1"/>
      <c r="BL119" s="1"/>
      <c r="BN119" s="1"/>
      <c r="BO119">
        <v>186</v>
      </c>
      <c r="BP119">
        <v>260953.83</v>
      </c>
      <c r="BQ119">
        <v>260953.83</v>
      </c>
    </row>
    <row r="120" spans="1:69" x14ac:dyDescent="0.35">
      <c r="A120" s="1" t="s">
        <v>68</v>
      </c>
      <c r="B120" s="1" t="s">
        <v>69</v>
      </c>
      <c r="C120" s="1" t="s">
        <v>70</v>
      </c>
      <c r="D120">
        <v>1</v>
      </c>
      <c r="E120">
        <v>1</v>
      </c>
      <c r="F120" s="2">
        <v>43584.863483796296</v>
      </c>
      <c r="G120" s="3">
        <v>40909</v>
      </c>
      <c r="H120" s="3">
        <v>41274</v>
      </c>
      <c r="I120" s="1" t="s">
        <v>71</v>
      </c>
      <c r="J120">
        <v>4521</v>
      </c>
      <c r="K120">
        <v>0</v>
      </c>
      <c r="L120" s="1" t="s">
        <v>384</v>
      </c>
      <c r="M120" s="1" t="s">
        <v>72</v>
      </c>
      <c r="N120" s="1" t="s">
        <v>134</v>
      </c>
      <c r="O120" s="1" t="s">
        <v>385</v>
      </c>
      <c r="P120" s="1" t="s">
        <v>386</v>
      </c>
      <c r="Q120" s="1" t="s">
        <v>387</v>
      </c>
      <c r="R120">
        <v>103</v>
      </c>
      <c r="S120" s="1" t="s">
        <v>135</v>
      </c>
      <c r="T120" s="1" t="s">
        <v>388</v>
      </c>
      <c r="U120" s="1" t="s">
        <v>135</v>
      </c>
      <c r="V120" s="1"/>
      <c r="W120" s="1"/>
      <c r="X120" s="1"/>
      <c r="Y120" s="1"/>
      <c r="AA120" s="1"/>
      <c r="AC120" s="1"/>
      <c r="AD120" s="1"/>
      <c r="AE120" s="1"/>
      <c r="AN120" s="1" t="s">
        <v>74</v>
      </c>
      <c r="AO120">
        <v>48</v>
      </c>
      <c r="AP120" s="1" t="s">
        <v>1395</v>
      </c>
      <c r="AQ120" s="1" t="s">
        <v>1441</v>
      </c>
      <c r="AR120" s="1" t="s">
        <v>1489</v>
      </c>
      <c r="AS120" s="1" t="s">
        <v>1206</v>
      </c>
      <c r="AT120" s="3">
        <v>41260</v>
      </c>
      <c r="AU120" s="3">
        <v>41260</v>
      </c>
      <c r="AV120" s="3">
        <v>41274</v>
      </c>
      <c r="AW120" s="1" t="s">
        <v>1221</v>
      </c>
      <c r="AX120" s="1" t="s">
        <v>1441</v>
      </c>
      <c r="AY120">
        <v>10500</v>
      </c>
      <c r="AZ120">
        <v>76</v>
      </c>
      <c r="BA120">
        <v>260953.83</v>
      </c>
      <c r="BB120" s="1"/>
      <c r="BD120" s="1"/>
      <c r="BE120" s="1"/>
      <c r="BG120" s="1"/>
      <c r="BH120" s="1"/>
      <c r="BJ120" s="1"/>
      <c r="BL120" s="1"/>
      <c r="BN120" s="1"/>
      <c r="BO120">
        <v>186</v>
      </c>
      <c r="BP120">
        <v>260953.83</v>
      </c>
      <c r="BQ120">
        <v>260953.83</v>
      </c>
    </row>
    <row r="121" spans="1:69" x14ac:dyDescent="0.35">
      <c r="A121" s="1" t="s">
        <v>68</v>
      </c>
      <c r="B121" s="1" t="s">
        <v>69</v>
      </c>
      <c r="C121" s="1" t="s">
        <v>70</v>
      </c>
      <c r="D121">
        <v>1</v>
      </c>
      <c r="E121">
        <v>1</v>
      </c>
      <c r="F121" s="2">
        <v>43584.863483796296</v>
      </c>
      <c r="G121" s="3">
        <v>40909</v>
      </c>
      <c r="H121" s="3">
        <v>41274</v>
      </c>
      <c r="I121" s="1" t="s">
        <v>71</v>
      </c>
      <c r="J121">
        <v>4521</v>
      </c>
      <c r="K121">
        <v>0</v>
      </c>
      <c r="L121" s="1" t="s">
        <v>384</v>
      </c>
      <c r="M121" s="1" t="s">
        <v>72</v>
      </c>
      <c r="N121" s="1" t="s">
        <v>134</v>
      </c>
      <c r="O121" s="1" t="s">
        <v>385</v>
      </c>
      <c r="P121" s="1" t="s">
        <v>386</v>
      </c>
      <c r="Q121" s="1" t="s">
        <v>387</v>
      </c>
      <c r="R121">
        <v>103</v>
      </c>
      <c r="S121" s="1" t="s">
        <v>135</v>
      </c>
      <c r="T121" s="1" t="s">
        <v>388</v>
      </c>
      <c r="U121" s="1" t="s">
        <v>135</v>
      </c>
      <c r="V121" s="1"/>
      <c r="W121" s="1"/>
      <c r="X121" s="1"/>
      <c r="Y121" s="1"/>
      <c r="AA121" s="1"/>
      <c r="AC121" s="1"/>
      <c r="AD121" s="1"/>
      <c r="AE121" s="1"/>
      <c r="AN121" s="1" t="s">
        <v>74</v>
      </c>
      <c r="AO121">
        <v>49</v>
      </c>
      <c r="AP121" s="1" t="s">
        <v>1396</v>
      </c>
      <c r="AQ121" s="1" t="s">
        <v>1442</v>
      </c>
      <c r="AR121" s="1" t="s">
        <v>1490</v>
      </c>
      <c r="AS121" s="1" t="s">
        <v>1209</v>
      </c>
      <c r="AT121" s="3">
        <v>41260</v>
      </c>
      <c r="AU121" s="3">
        <v>41260</v>
      </c>
      <c r="AV121" s="3">
        <v>41274</v>
      </c>
      <c r="AW121" s="1" t="s">
        <v>1221</v>
      </c>
      <c r="AX121" s="1" t="s">
        <v>1442</v>
      </c>
      <c r="AY121">
        <v>11626.86</v>
      </c>
      <c r="AZ121">
        <v>76</v>
      </c>
      <c r="BA121">
        <v>260953.83</v>
      </c>
      <c r="BB121" s="1"/>
      <c r="BD121" s="1"/>
      <c r="BE121" s="1"/>
      <c r="BG121" s="1"/>
      <c r="BH121" s="1"/>
      <c r="BJ121" s="1"/>
      <c r="BL121" s="1"/>
      <c r="BN121" s="1"/>
      <c r="BO121">
        <v>186</v>
      </c>
      <c r="BP121">
        <v>260953.83</v>
      </c>
      <c r="BQ121">
        <v>260953.83</v>
      </c>
    </row>
    <row r="122" spans="1:69" x14ac:dyDescent="0.35">
      <c r="A122" s="1" t="s">
        <v>68</v>
      </c>
      <c r="B122" s="1" t="s">
        <v>69</v>
      </c>
      <c r="C122" s="1" t="s">
        <v>70</v>
      </c>
      <c r="D122">
        <v>1</v>
      </c>
      <c r="E122">
        <v>1</v>
      </c>
      <c r="F122" s="2">
        <v>43584.863483796296</v>
      </c>
      <c r="G122" s="3">
        <v>40909</v>
      </c>
      <c r="H122" s="3">
        <v>41274</v>
      </c>
      <c r="I122" s="1" t="s">
        <v>71</v>
      </c>
      <c r="J122">
        <v>4521</v>
      </c>
      <c r="K122">
        <v>0</v>
      </c>
      <c r="L122" s="1" t="s">
        <v>384</v>
      </c>
      <c r="M122" s="1" t="s">
        <v>72</v>
      </c>
      <c r="N122" s="1" t="s">
        <v>134</v>
      </c>
      <c r="O122" s="1" t="s">
        <v>385</v>
      </c>
      <c r="P122" s="1" t="s">
        <v>386</v>
      </c>
      <c r="Q122" s="1" t="s">
        <v>387</v>
      </c>
      <c r="R122">
        <v>103</v>
      </c>
      <c r="S122" s="1" t="s">
        <v>135</v>
      </c>
      <c r="T122" s="1" t="s">
        <v>388</v>
      </c>
      <c r="U122" s="1" t="s">
        <v>135</v>
      </c>
      <c r="V122" s="1"/>
      <c r="W122" s="1"/>
      <c r="X122" s="1"/>
      <c r="Y122" s="1"/>
      <c r="AA122" s="1"/>
      <c r="AC122" s="1"/>
      <c r="AD122" s="1"/>
      <c r="AE122" s="1"/>
      <c r="AN122" s="1" t="s">
        <v>74</v>
      </c>
      <c r="AO122">
        <v>50</v>
      </c>
      <c r="AP122" s="1" t="s">
        <v>1397</v>
      </c>
      <c r="AQ122" s="1" t="s">
        <v>1442</v>
      </c>
      <c r="AR122" s="1" t="s">
        <v>1490</v>
      </c>
      <c r="AS122" s="1" t="s">
        <v>1209</v>
      </c>
      <c r="AT122" s="3">
        <v>41260</v>
      </c>
      <c r="AU122" s="3">
        <v>41260</v>
      </c>
      <c r="AV122" s="3">
        <v>41274</v>
      </c>
      <c r="AW122" s="1" t="s">
        <v>1221</v>
      </c>
      <c r="AX122" s="1" t="s">
        <v>1442</v>
      </c>
      <c r="AY122">
        <v>11626.86</v>
      </c>
      <c r="AZ122">
        <v>76</v>
      </c>
      <c r="BA122">
        <v>260953.83</v>
      </c>
      <c r="BB122" s="1"/>
      <c r="BD122" s="1"/>
      <c r="BE122" s="1"/>
      <c r="BG122" s="1"/>
      <c r="BH122" s="1"/>
      <c r="BJ122" s="1"/>
      <c r="BL122" s="1"/>
      <c r="BN122" s="1"/>
      <c r="BO122">
        <v>186</v>
      </c>
      <c r="BP122">
        <v>260953.83</v>
      </c>
      <c r="BQ122">
        <v>260953.83</v>
      </c>
    </row>
    <row r="123" spans="1:69" x14ac:dyDescent="0.35">
      <c r="A123" s="1" t="s">
        <v>68</v>
      </c>
      <c r="B123" s="1" t="s">
        <v>69</v>
      </c>
      <c r="C123" s="1" t="s">
        <v>70</v>
      </c>
      <c r="D123">
        <v>1</v>
      </c>
      <c r="E123">
        <v>1</v>
      </c>
      <c r="F123" s="2">
        <v>43584.863483796296</v>
      </c>
      <c r="G123" s="3">
        <v>40909</v>
      </c>
      <c r="H123" s="3">
        <v>41274</v>
      </c>
      <c r="I123" s="1" t="s">
        <v>71</v>
      </c>
      <c r="J123">
        <v>4521</v>
      </c>
      <c r="K123">
        <v>0</v>
      </c>
      <c r="L123" s="1" t="s">
        <v>384</v>
      </c>
      <c r="M123" s="1" t="s">
        <v>72</v>
      </c>
      <c r="N123" s="1" t="s">
        <v>134</v>
      </c>
      <c r="O123" s="1" t="s">
        <v>385</v>
      </c>
      <c r="P123" s="1" t="s">
        <v>386</v>
      </c>
      <c r="Q123" s="1" t="s">
        <v>387</v>
      </c>
      <c r="R123">
        <v>103</v>
      </c>
      <c r="S123" s="1" t="s">
        <v>135</v>
      </c>
      <c r="T123" s="1" t="s">
        <v>388</v>
      </c>
      <c r="U123" s="1" t="s">
        <v>135</v>
      </c>
      <c r="V123" s="1"/>
      <c r="W123" s="1"/>
      <c r="X123" s="1"/>
      <c r="Y123" s="1"/>
      <c r="AA123" s="1"/>
      <c r="AC123" s="1"/>
      <c r="AD123" s="1"/>
      <c r="AE123" s="1"/>
      <c r="AN123" s="1" t="s">
        <v>74</v>
      </c>
      <c r="AO123">
        <v>51</v>
      </c>
      <c r="AP123" s="1" t="s">
        <v>1398</v>
      </c>
      <c r="AQ123" s="1" t="s">
        <v>999</v>
      </c>
      <c r="AR123" s="1" t="s">
        <v>1491</v>
      </c>
      <c r="AS123" s="1" t="s">
        <v>1210</v>
      </c>
      <c r="AT123" s="3">
        <v>41260</v>
      </c>
      <c r="AU123" s="3">
        <v>41260</v>
      </c>
      <c r="AV123" s="3">
        <v>41274</v>
      </c>
      <c r="AW123" s="1" t="s">
        <v>1221</v>
      </c>
      <c r="AX123" s="1" t="s">
        <v>999</v>
      </c>
      <c r="AY123">
        <v>13000</v>
      </c>
      <c r="AZ123">
        <v>76</v>
      </c>
      <c r="BA123">
        <v>260953.83</v>
      </c>
      <c r="BB123" s="1"/>
      <c r="BD123" s="1"/>
      <c r="BE123" s="1"/>
      <c r="BG123" s="1"/>
      <c r="BH123" s="1"/>
      <c r="BJ123" s="1"/>
      <c r="BL123" s="1"/>
      <c r="BN123" s="1"/>
      <c r="BO123">
        <v>186</v>
      </c>
      <c r="BP123">
        <v>260953.83</v>
      </c>
      <c r="BQ123">
        <v>260953.83</v>
      </c>
    </row>
    <row r="124" spans="1:69" x14ac:dyDescent="0.35">
      <c r="A124" s="1" t="s">
        <v>68</v>
      </c>
      <c r="B124" s="1" t="s">
        <v>69</v>
      </c>
      <c r="C124" s="1" t="s">
        <v>70</v>
      </c>
      <c r="D124">
        <v>1</v>
      </c>
      <c r="E124">
        <v>1</v>
      </c>
      <c r="F124" s="2">
        <v>43584.863483796296</v>
      </c>
      <c r="G124" s="3">
        <v>40909</v>
      </c>
      <c r="H124" s="3">
        <v>41274</v>
      </c>
      <c r="I124" s="1" t="s">
        <v>71</v>
      </c>
      <c r="J124">
        <v>4521</v>
      </c>
      <c r="K124">
        <v>0</v>
      </c>
      <c r="L124" s="1" t="s">
        <v>384</v>
      </c>
      <c r="M124" s="1" t="s">
        <v>72</v>
      </c>
      <c r="N124" s="1" t="s">
        <v>134</v>
      </c>
      <c r="O124" s="1" t="s">
        <v>385</v>
      </c>
      <c r="P124" s="1" t="s">
        <v>386</v>
      </c>
      <c r="Q124" s="1" t="s">
        <v>387</v>
      </c>
      <c r="R124">
        <v>103</v>
      </c>
      <c r="S124" s="1" t="s">
        <v>135</v>
      </c>
      <c r="T124" s="1" t="s">
        <v>388</v>
      </c>
      <c r="U124" s="1" t="s">
        <v>135</v>
      </c>
      <c r="V124" s="1"/>
      <c r="W124" s="1"/>
      <c r="X124" s="1"/>
      <c r="Y124" s="1"/>
      <c r="AA124" s="1"/>
      <c r="AC124" s="1"/>
      <c r="AD124" s="1"/>
      <c r="AE124" s="1"/>
      <c r="AN124" s="1" t="s">
        <v>74</v>
      </c>
      <c r="AO124">
        <v>52</v>
      </c>
      <c r="AP124" s="1" t="s">
        <v>1399</v>
      </c>
      <c r="AQ124" s="1" t="s">
        <v>1443</v>
      </c>
      <c r="AR124" s="1" t="s">
        <v>1492</v>
      </c>
      <c r="AS124" s="1" t="s">
        <v>1207</v>
      </c>
      <c r="AT124" s="3">
        <v>41260</v>
      </c>
      <c r="AU124" s="3">
        <v>41260</v>
      </c>
      <c r="AV124" s="3">
        <v>41274</v>
      </c>
      <c r="AW124" s="1" t="s">
        <v>1221</v>
      </c>
      <c r="AX124" s="1" t="s">
        <v>1443</v>
      </c>
      <c r="AY124">
        <v>2575.25</v>
      </c>
      <c r="AZ124">
        <v>76</v>
      </c>
      <c r="BA124">
        <v>260953.83</v>
      </c>
      <c r="BB124" s="1"/>
      <c r="BD124" s="1"/>
      <c r="BE124" s="1"/>
      <c r="BG124" s="1"/>
      <c r="BH124" s="1"/>
      <c r="BJ124" s="1"/>
      <c r="BL124" s="1"/>
      <c r="BN124" s="1"/>
      <c r="BO124">
        <v>186</v>
      </c>
      <c r="BP124">
        <v>260953.83</v>
      </c>
      <c r="BQ124">
        <v>260953.83</v>
      </c>
    </row>
    <row r="125" spans="1:69" x14ac:dyDescent="0.35">
      <c r="A125" s="1" t="s">
        <v>68</v>
      </c>
      <c r="B125" s="1" t="s">
        <v>69</v>
      </c>
      <c r="C125" s="1" t="s">
        <v>70</v>
      </c>
      <c r="D125">
        <v>1</v>
      </c>
      <c r="E125">
        <v>1</v>
      </c>
      <c r="F125" s="2">
        <v>43584.863483796296</v>
      </c>
      <c r="G125" s="3">
        <v>40909</v>
      </c>
      <c r="H125" s="3">
        <v>41274</v>
      </c>
      <c r="I125" s="1" t="s">
        <v>71</v>
      </c>
      <c r="J125">
        <v>4521</v>
      </c>
      <c r="K125">
        <v>0</v>
      </c>
      <c r="L125" s="1" t="s">
        <v>384</v>
      </c>
      <c r="M125" s="1" t="s">
        <v>72</v>
      </c>
      <c r="N125" s="1" t="s">
        <v>134</v>
      </c>
      <c r="O125" s="1" t="s">
        <v>385</v>
      </c>
      <c r="P125" s="1" t="s">
        <v>386</v>
      </c>
      <c r="Q125" s="1" t="s">
        <v>387</v>
      </c>
      <c r="R125">
        <v>103</v>
      </c>
      <c r="S125" s="1" t="s">
        <v>135</v>
      </c>
      <c r="T125" s="1" t="s">
        <v>388</v>
      </c>
      <c r="U125" s="1" t="s">
        <v>135</v>
      </c>
      <c r="V125" s="1"/>
      <c r="W125" s="1"/>
      <c r="X125" s="1"/>
      <c r="Y125" s="1"/>
      <c r="AA125" s="1"/>
      <c r="AC125" s="1"/>
      <c r="AD125" s="1"/>
      <c r="AE125" s="1"/>
      <c r="AN125" s="1" t="s">
        <v>74</v>
      </c>
      <c r="AO125">
        <v>53</v>
      </c>
      <c r="AP125" s="1" t="s">
        <v>1400</v>
      </c>
      <c r="AQ125" s="1" t="s">
        <v>1444</v>
      </c>
      <c r="AR125" s="1" t="s">
        <v>1493</v>
      </c>
      <c r="AS125" s="1" t="s">
        <v>1511</v>
      </c>
      <c r="AT125" s="3">
        <v>41260</v>
      </c>
      <c r="AU125" s="3">
        <v>41260</v>
      </c>
      <c r="AV125" s="3">
        <v>41274</v>
      </c>
      <c r="AW125" s="1" t="s">
        <v>1221</v>
      </c>
      <c r="AX125" s="1" t="s">
        <v>1444</v>
      </c>
      <c r="AY125">
        <v>4000</v>
      </c>
      <c r="AZ125">
        <v>76</v>
      </c>
      <c r="BA125">
        <v>260953.83</v>
      </c>
      <c r="BB125" s="1"/>
      <c r="BD125" s="1"/>
      <c r="BE125" s="1"/>
      <c r="BG125" s="1"/>
      <c r="BH125" s="1"/>
      <c r="BJ125" s="1"/>
      <c r="BL125" s="1"/>
      <c r="BN125" s="1"/>
      <c r="BO125">
        <v>186</v>
      </c>
      <c r="BP125">
        <v>260953.83</v>
      </c>
      <c r="BQ125">
        <v>260953.83</v>
      </c>
    </row>
    <row r="126" spans="1:69" x14ac:dyDescent="0.35">
      <c r="A126" s="1" t="s">
        <v>68</v>
      </c>
      <c r="B126" s="1" t="s">
        <v>69</v>
      </c>
      <c r="C126" s="1" t="s">
        <v>70</v>
      </c>
      <c r="D126">
        <v>1</v>
      </c>
      <c r="E126">
        <v>1</v>
      </c>
      <c r="F126" s="2">
        <v>43584.863483796296</v>
      </c>
      <c r="G126" s="3">
        <v>40909</v>
      </c>
      <c r="H126" s="3">
        <v>41274</v>
      </c>
      <c r="I126" s="1" t="s">
        <v>71</v>
      </c>
      <c r="J126">
        <v>4521</v>
      </c>
      <c r="K126">
        <v>0</v>
      </c>
      <c r="L126" s="1" t="s">
        <v>384</v>
      </c>
      <c r="M126" s="1" t="s">
        <v>72</v>
      </c>
      <c r="N126" s="1" t="s">
        <v>134</v>
      </c>
      <c r="O126" s="1" t="s">
        <v>385</v>
      </c>
      <c r="P126" s="1" t="s">
        <v>386</v>
      </c>
      <c r="Q126" s="1" t="s">
        <v>387</v>
      </c>
      <c r="R126">
        <v>103</v>
      </c>
      <c r="S126" s="1" t="s">
        <v>135</v>
      </c>
      <c r="T126" s="1" t="s">
        <v>388</v>
      </c>
      <c r="U126" s="1" t="s">
        <v>135</v>
      </c>
      <c r="V126" s="1"/>
      <c r="W126" s="1"/>
      <c r="X126" s="1"/>
      <c r="Y126" s="1"/>
      <c r="AA126" s="1"/>
      <c r="AC126" s="1"/>
      <c r="AD126" s="1"/>
      <c r="AE126" s="1"/>
      <c r="AN126" s="1" t="s">
        <v>74</v>
      </c>
      <c r="AO126">
        <v>54</v>
      </c>
      <c r="AP126" s="1" t="s">
        <v>1401</v>
      </c>
      <c r="AQ126" s="1" t="s">
        <v>1445</v>
      </c>
      <c r="AR126" s="1" t="s">
        <v>1494</v>
      </c>
      <c r="AS126" s="1" t="s">
        <v>97</v>
      </c>
      <c r="AT126" s="3">
        <v>41260</v>
      </c>
      <c r="AU126" s="3">
        <v>41260</v>
      </c>
      <c r="AV126" s="3">
        <v>41274</v>
      </c>
      <c r="AW126" s="1" t="s">
        <v>1221</v>
      </c>
      <c r="AX126" s="1" t="s">
        <v>1445</v>
      </c>
      <c r="AY126">
        <v>1430.5</v>
      </c>
      <c r="AZ126">
        <v>76</v>
      </c>
      <c r="BA126">
        <v>260953.83</v>
      </c>
      <c r="BB126" s="1"/>
      <c r="BD126" s="1"/>
      <c r="BE126" s="1"/>
      <c r="BG126" s="1"/>
      <c r="BH126" s="1"/>
      <c r="BJ126" s="1"/>
      <c r="BL126" s="1"/>
      <c r="BN126" s="1"/>
      <c r="BO126">
        <v>186</v>
      </c>
      <c r="BP126">
        <v>260953.83</v>
      </c>
      <c r="BQ126">
        <v>260953.83</v>
      </c>
    </row>
    <row r="127" spans="1:69" x14ac:dyDescent="0.35">
      <c r="A127" s="1" t="s">
        <v>68</v>
      </c>
      <c r="B127" s="1" t="s">
        <v>69</v>
      </c>
      <c r="C127" s="1" t="s">
        <v>70</v>
      </c>
      <c r="D127">
        <v>1</v>
      </c>
      <c r="E127">
        <v>1</v>
      </c>
      <c r="F127" s="2">
        <v>43584.863483796296</v>
      </c>
      <c r="G127" s="3">
        <v>40909</v>
      </c>
      <c r="H127" s="3">
        <v>41274</v>
      </c>
      <c r="I127" s="1" t="s">
        <v>71</v>
      </c>
      <c r="J127">
        <v>4521</v>
      </c>
      <c r="K127">
        <v>0</v>
      </c>
      <c r="L127" s="1" t="s">
        <v>384</v>
      </c>
      <c r="M127" s="1" t="s">
        <v>72</v>
      </c>
      <c r="N127" s="1" t="s">
        <v>134</v>
      </c>
      <c r="O127" s="1" t="s">
        <v>385</v>
      </c>
      <c r="P127" s="1" t="s">
        <v>386</v>
      </c>
      <c r="Q127" s="1" t="s">
        <v>387</v>
      </c>
      <c r="R127">
        <v>103</v>
      </c>
      <c r="S127" s="1" t="s">
        <v>135</v>
      </c>
      <c r="T127" s="1" t="s">
        <v>388</v>
      </c>
      <c r="U127" s="1" t="s">
        <v>135</v>
      </c>
      <c r="V127" s="1"/>
      <c r="W127" s="1"/>
      <c r="X127" s="1"/>
      <c r="Y127" s="1"/>
      <c r="AA127" s="1"/>
      <c r="AC127" s="1"/>
      <c r="AD127" s="1"/>
      <c r="AE127" s="1"/>
      <c r="AN127" s="1" t="s">
        <v>74</v>
      </c>
      <c r="AO127">
        <v>55</v>
      </c>
      <c r="AP127" s="1" t="s">
        <v>1402</v>
      </c>
      <c r="AQ127" s="1" t="s">
        <v>1446</v>
      </c>
      <c r="AR127" s="1" t="s">
        <v>1495</v>
      </c>
      <c r="AS127" s="1" t="s">
        <v>97</v>
      </c>
      <c r="AT127" s="3">
        <v>41260</v>
      </c>
      <c r="AU127" s="3">
        <v>41260</v>
      </c>
      <c r="AV127" s="3">
        <v>41274</v>
      </c>
      <c r="AW127" s="1" t="s">
        <v>1221</v>
      </c>
      <c r="AX127" s="1" t="s">
        <v>1532</v>
      </c>
      <c r="AY127">
        <v>1537.5</v>
      </c>
      <c r="AZ127">
        <v>76</v>
      </c>
      <c r="BA127">
        <v>260953.83</v>
      </c>
      <c r="BB127" s="1"/>
      <c r="BD127" s="1"/>
      <c r="BE127" s="1"/>
      <c r="BG127" s="1"/>
      <c r="BH127" s="1"/>
      <c r="BJ127" s="1"/>
      <c r="BL127" s="1"/>
      <c r="BN127" s="1"/>
      <c r="BO127">
        <v>186</v>
      </c>
      <c r="BP127">
        <v>260953.83</v>
      </c>
      <c r="BQ127">
        <v>260953.83</v>
      </c>
    </row>
    <row r="128" spans="1:69" x14ac:dyDescent="0.35">
      <c r="A128" s="1" t="s">
        <v>68</v>
      </c>
      <c r="B128" s="1" t="s">
        <v>69</v>
      </c>
      <c r="C128" s="1" t="s">
        <v>70</v>
      </c>
      <c r="D128">
        <v>1</v>
      </c>
      <c r="E128">
        <v>1</v>
      </c>
      <c r="F128" s="2">
        <v>43584.863483796296</v>
      </c>
      <c r="G128" s="3">
        <v>40909</v>
      </c>
      <c r="H128" s="3">
        <v>41274</v>
      </c>
      <c r="I128" s="1" t="s">
        <v>71</v>
      </c>
      <c r="J128">
        <v>4521</v>
      </c>
      <c r="K128">
        <v>0</v>
      </c>
      <c r="L128" s="1" t="s">
        <v>384</v>
      </c>
      <c r="M128" s="1" t="s">
        <v>72</v>
      </c>
      <c r="N128" s="1" t="s">
        <v>134</v>
      </c>
      <c r="O128" s="1" t="s">
        <v>385</v>
      </c>
      <c r="P128" s="1" t="s">
        <v>386</v>
      </c>
      <c r="Q128" s="1" t="s">
        <v>387</v>
      </c>
      <c r="R128">
        <v>103</v>
      </c>
      <c r="S128" s="1" t="s">
        <v>135</v>
      </c>
      <c r="T128" s="1" t="s">
        <v>388</v>
      </c>
      <c r="U128" s="1" t="s">
        <v>135</v>
      </c>
      <c r="V128" s="1"/>
      <c r="W128" s="1"/>
      <c r="X128" s="1"/>
      <c r="Y128" s="1"/>
      <c r="AA128" s="1"/>
      <c r="AC128" s="1"/>
      <c r="AD128" s="1"/>
      <c r="AE128" s="1"/>
      <c r="AN128" s="1" t="s">
        <v>74</v>
      </c>
      <c r="AO128">
        <v>56</v>
      </c>
      <c r="AP128" s="1" t="s">
        <v>1403</v>
      </c>
      <c r="AQ128" s="1" t="s">
        <v>987</v>
      </c>
      <c r="AR128" s="1" t="s">
        <v>1496</v>
      </c>
      <c r="AS128" s="1" t="s">
        <v>1203</v>
      </c>
      <c r="AT128" s="3">
        <v>41260</v>
      </c>
      <c r="AU128" s="3">
        <v>41260</v>
      </c>
      <c r="AV128" s="3">
        <v>41274</v>
      </c>
      <c r="AW128" s="1" t="s">
        <v>1221</v>
      </c>
      <c r="AX128" s="1" t="s">
        <v>987</v>
      </c>
      <c r="AY128">
        <v>257.25</v>
      </c>
      <c r="AZ128">
        <v>76</v>
      </c>
      <c r="BA128">
        <v>260953.83</v>
      </c>
      <c r="BB128" s="1"/>
      <c r="BD128" s="1"/>
      <c r="BE128" s="1"/>
      <c r="BG128" s="1"/>
      <c r="BH128" s="1"/>
      <c r="BJ128" s="1"/>
      <c r="BL128" s="1"/>
      <c r="BN128" s="1"/>
      <c r="BO128">
        <v>186</v>
      </c>
      <c r="BP128">
        <v>260953.83</v>
      </c>
      <c r="BQ128">
        <v>260953.83</v>
      </c>
    </row>
    <row r="129" spans="1:69" x14ac:dyDescent="0.35">
      <c r="A129" s="1" t="s">
        <v>68</v>
      </c>
      <c r="B129" s="1" t="s">
        <v>69</v>
      </c>
      <c r="C129" s="1" t="s">
        <v>70</v>
      </c>
      <c r="D129">
        <v>1</v>
      </c>
      <c r="E129">
        <v>1</v>
      </c>
      <c r="F129" s="2">
        <v>43584.863483796296</v>
      </c>
      <c r="G129" s="3">
        <v>40909</v>
      </c>
      <c r="H129" s="3">
        <v>41274</v>
      </c>
      <c r="I129" s="1" t="s">
        <v>71</v>
      </c>
      <c r="J129">
        <v>4521</v>
      </c>
      <c r="K129">
        <v>0</v>
      </c>
      <c r="L129" s="1" t="s">
        <v>384</v>
      </c>
      <c r="M129" s="1" t="s">
        <v>72</v>
      </c>
      <c r="N129" s="1" t="s">
        <v>134</v>
      </c>
      <c r="O129" s="1" t="s">
        <v>385</v>
      </c>
      <c r="P129" s="1" t="s">
        <v>386</v>
      </c>
      <c r="Q129" s="1" t="s">
        <v>387</v>
      </c>
      <c r="R129">
        <v>103</v>
      </c>
      <c r="S129" s="1" t="s">
        <v>135</v>
      </c>
      <c r="T129" s="1" t="s">
        <v>388</v>
      </c>
      <c r="U129" s="1" t="s">
        <v>135</v>
      </c>
      <c r="V129" s="1"/>
      <c r="W129" s="1"/>
      <c r="X129" s="1"/>
      <c r="Y129" s="1"/>
      <c r="AA129" s="1"/>
      <c r="AC129" s="1"/>
      <c r="AD129" s="1"/>
      <c r="AE129" s="1"/>
      <c r="AN129" s="1" t="s">
        <v>74</v>
      </c>
      <c r="AO129">
        <v>57</v>
      </c>
      <c r="AP129" s="1" t="s">
        <v>1404</v>
      </c>
      <c r="AQ129" s="1" t="s">
        <v>1447</v>
      </c>
      <c r="AR129" s="1" t="s">
        <v>1497</v>
      </c>
      <c r="AS129" s="1" t="s">
        <v>1512</v>
      </c>
      <c r="AT129" s="3">
        <v>41260</v>
      </c>
      <c r="AU129" s="3">
        <v>41260</v>
      </c>
      <c r="AV129" s="3">
        <v>41274</v>
      </c>
      <c r="AW129" s="1" t="s">
        <v>1221</v>
      </c>
      <c r="AX129" s="1" t="s">
        <v>1533</v>
      </c>
      <c r="AY129">
        <v>922.5</v>
      </c>
      <c r="AZ129">
        <v>76</v>
      </c>
      <c r="BA129">
        <v>260953.83</v>
      </c>
      <c r="BB129" s="1"/>
      <c r="BD129" s="1"/>
      <c r="BE129" s="1"/>
      <c r="BG129" s="1"/>
      <c r="BH129" s="1"/>
      <c r="BJ129" s="1"/>
      <c r="BL129" s="1"/>
      <c r="BN129" s="1"/>
      <c r="BO129">
        <v>186</v>
      </c>
      <c r="BP129">
        <v>260953.83</v>
      </c>
      <c r="BQ129">
        <v>260953.83</v>
      </c>
    </row>
    <row r="130" spans="1:69" x14ac:dyDescent="0.35">
      <c r="A130" s="1" t="s">
        <v>68</v>
      </c>
      <c r="B130" s="1" t="s">
        <v>69</v>
      </c>
      <c r="C130" s="1" t="s">
        <v>70</v>
      </c>
      <c r="D130">
        <v>1</v>
      </c>
      <c r="E130">
        <v>1</v>
      </c>
      <c r="F130" s="2">
        <v>43584.863483796296</v>
      </c>
      <c r="G130" s="3">
        <v>40909</v>
      </c>
      <c r="H130" s="3">
        <v>41274</v>
      </c>
      <c r="I130" s="1" t="s">
        <v>71</v>
      </c>
      <c r="J130">
        <v>4521</v>
      </c>
      <c r="K130">
        <v>0</v>
      </c>
      <c r="L130" s="1" t="s">
        <v>384</v>
      </c>
      <c r="M130" s="1" t="s">
        <v>72</v>
      </c>
      <c r="N130" s="1" t="s">
        <v>134</v>
      </c>
      <c r="O130" s="1" t="s">
        <v>385</v>
      </c>
      <c r="P130" s="1" t="s">
        <v>386</v>
      </c>
      <c r="Q130" s="1" t="s">
        <v>387</v>
      </c>
      <c r="R130">
        <v>103</v>
      </c>
      <c r="S130" s="1" t="s">
        <v>135</v>
      </c>
      <c r="T130" s="1" t="s">
        <v>388</v>
      </c>
      <c r="U130" s="1" t="s">
        <v>135</v>
      </c>
      <c r="V130" s="1"/>
      <c r="W130" s="1"/>
      <c r="X130" s="1"/>
      <c r="Y130" s="1"/>
      <c r="AA130" s="1"/>
      <c r="AC130" s="1"/>
      <c r="AD130" s="1"/>
      <c r="AE130" s="1"/>
      <c r="AN130" s="1" t="s">
        <v>74</v>
      </c>
      <c r="AO130">
        <v>58</v>
      </c>
      <c r="AP130" s="1" t="s">
        <v>1405</v>
      </c>
      <c r="AQ130" s="1" t="s">
        <v>1447</v>
      </c>
      <c r="AR130" s="1" t="s">
        <v>1497</v>
      </c>
      <c r="AS130" s="1" t="s">
        <v>1512</v>
      </c>
      <c r="AT130" s="3">
        <v>41260</v>
      </c>
      <c r="AU130" s="3">
        <v>41260</v>
      </c>
      <c r="AV130" s="3">
        <v>41274</v>
      </c>
      <c r="AW130" s="1" t="s">
        <v>1221</v>
      </c>
      <c r="AX130" s="1" t="s">
        <v>1533</v>
      </c>
      <c r="AY130">
        <v>-1220</v>
      </c>
      <c r="AZ130">
        <v>76</v>
      </c>
      <c r="BA130">
        <v>260953.83</v>
      </c>
      <c r="BB130" s="1"/>
      <c r="BD130" s="1"/>
      <c r="BE130" s="1"/>
      <c r="BG130" s="1"/>
      <c r="BH130" s="1"/>
      <c r="BJ130" s="1"/>
      <c r="BL130" s="1"/>
      <c r="BN130" s="1"/>
      <c r="BO130">
        <v>186</v>
      </c>
      <c r="BP130">
        <v>260953.83</v>
      </c>
      <c r="BQ130">
        <v>260953.83</v>
      </c>
    </row>
    <row r="131" spans="1:69" x14ac:dyDescent="0.35">
      <c r="A131" s="1" t="s">
        <v>68</v>
      </c>
      <c r="B131" s="1" t="s">
        <v>69</v>
      </c>
      <c r="C131" s="1" t="s">
        <v>70</v>
      </c>
      <c r="D131">
        <v>1</v>
      </c>
      <c r="E131">
        <v>1</v>
      </c>
      <c r="F131" s="2">
        <v>43584.863483796296</v>
      </c>
      <c r="G131" s="3">
        <v>40909</v>
      </c>
      <c r="H131" s="3">
        <v>41274</v>
      </c>
      <c r="I131" s="1" t="s">
        <v>71</v>
      </c>
      <c r="J131">
        <v>4521</v>
      </c>
      <c r="K131">
        <v>0</v>
      </c>
      <c r="L131" s="1" t="s">
        <v>384</v>
      </c>
      <c r="M131" s="1" t="s">
        <v>72</v>
      </c>
      <c r="N131" s="1" t="s">
        <v>134</v>
      </c>
      <c r="O131" s="1" t="s">
        <v>385</v>
      </c>
      <c r="P131" s="1" t="s">
        <v>386</v>
      </c>
      <c r="Q131" s="1" t="s">
        <v>387</v>
      </c>
      <c r="R131">
        <v>103</v>
      </c>
      <c r="S131" s="1" t="s">
        <v>135</v>
      </c>
      <c r="T131" s="1" t="s">
        <v>388</v>
      </c>
      <c r="U131" s="1" t="s">
        <v>135</v>
      </c>
      <c r="V131" s="1"/>
      <c r="W131" s="1"/>
      <c r="X131" s="1"/>
      <c r="Y131" s="1"/>
      <c r="AA131" s="1"/>
      <c r="AC131" s="1"/>
      <c r="AD131" s="1"/>
      <c r="AE131" s="1"/>
      <c r="AN131" s="1" t="s">
        <v>74</v>
      </c>
      <c r="AO131">
        <v>59</v>
      </c>
      <c r="AP131" s="1" t="s">
        <v>1406</v>
      </c>
      <c r="AQ131" s="1" t="s">
        <v>1448</v>
      </c>
      <c r="AR131" s="1" t="s">
        <v>1498</v>
      </c>
      <c r="AS131" s="1" t="s">
        <v>95</v>
      </c>
      <c r="AT131" s="3">
        <v>41260</v>
      </c>
      <c r="AU131" s="3">
        <v>41260</v>
      </c>
      <c r="AV131" s="3">
        <v>41274</v>
      </c>
      <c r="AW131" s="1" t="s">
        <v>1221</v>
      </c>
      <c r="AX131" s="1" t="s">
        <v>1448</v>
      </c>
      <c r="AY131">
        <v>260</v>
      </c>
      <c r="AZ131">
        <v>76</v>
      </c>
      <c r="BA131">
        <v>260953.83</v>
      </c>
      <c r="BB131" s="1"/>
      <c r="BD131" s="1"/>
      <c r="BE131" s="1"/>
      <c r="BG131" s="1"/>
      <c r="BH131" s="1"/>
      <c r="BJ131" s="1"/>
      <c r="BL131" s="1"/>
      <c r="BN131" s="1"/>
      <c r="BO131">
        <v>186</v>
      </c>
      <c r="BP131">
        <v>260953.83</v>
      </c>
      <c r="BQ131">
        <v>260953.83</v>
      </c>
    </row>
    <row r="132" spans="1:69" x14ac:dyDescent="0.35">
      <c r="A132" s="1" t="s">
        <v>68</v>
      </c>
      <c r="B132" s="1" t="s">
        <v>69</v>
      </c>
      <c r="C132" s="1" t="s">
        <v>70</v>
      </c>
      <c r="D132">
        <v>1</v>
      </c>
      <c r="E132">
        <v>1</v>
      </c>
      <c r="F132" s="2">
        <v>43584.863483796296</v>
      </c>
      <c r="G132" s="3">
        <v>40909</v>
      </c>
      <c r="H132" s="3">
        <v>41274</v>
      </c>
      <c r="I132" s="1" t="s">
        <v>71</v>
      </c>
      <c r="J132">
        <v>4521</v>
      </c>
      <c r="K132">
        <v>0</v>
      </c>
      <c r="L132" s="1" t="s">
        <v>384</v>
      </c>
      <c r="M132" s="1" t="s">
        <v>72</v>
      </c>
      <c r="N132" s="1" t="s">
        <v>134</v>
      </c>
      <c r="O132" s="1" t="s">
        <v>385</v>
      </c>
      <c r="P132" s="1" t="s">
        <v>386</v>
      </c>
      <c r="Q132" s="1" t="s">
        <v>387</v>
      </c>
      <c r="R132">
        <v>103</v>
      </c>
      <c r="S132" s="1" t="s">
        <v>135</v>
      </c>
      <c r="T132" s="1" t="s">
        <v>388</v>
      </c>
      <c r="U132" s="1" t="s">
        <v>135</v>
      </c>
      <c r="V132" s="1"/>
      <c r="W132" s="1"/>
      <c r="X132" s="1"/>
      <c r="Y132" s="1"/>
      <c r="AA132" s="1"/>
      <c r="AC132" s="1"/>
      <c r="AD132" s="1"/>
      <c r="AE132" s="1"/>
      <c r="AN132" s="1" t="s">
        <v>74</v>
      </c>
      <c r="AO132">
        <v>60</v>
      </c>
      <c r="AP132" s="1" t="s">
        <v>1407</v>
      </c>
      <c r="AQ132" s="1" t="s">
        <v>983</v>
      </c>
      <c r="AR132" s="1" t="s">
        <v>1499</v>
      </c>
      <c r="AS132" s="1" t="s">
        <v>97</v>
      </c>
      <c r="AT132" s="3">
        <v>41261</v>
      </c>
      <c r="AU132" s="3">
        <v>41261</v>
      </c>
      <c r="AV132" s="3">
        <v>41274</v>
      </c>
      <c r="AW132" s="1" t="s">
        <v>1221</v>
      </c>
      <c r="AX132" s="1" t="s">
        <v>983</v>
      </c>
      <c r="AY132">
        <v>688.8</v>
      </c>
      <c r="AZ132">
        <v>76</v>
      </c>
      <c r="BA132">
        <v>260953.83</v>
      </c>
      <c r="BB132" s="1"/>
      <c r="BD132" s="1"/>
      <c r="BE132" s="1"/>
      <c r="BG132" s="1"/>
      <c r="BH132" s="1"/>
      <c r="BJ132" s="1"/>
      <c r="BL132" s="1"/>
      <c r="BN132" s="1"/>
      <c r="BO132">
        <v>186</v>
      </c>
      <c r="BP132">
        <v>260953.83</v>
      </c>
      <c r="BQ132">
        <v>260953.83</v>
      </c>
    </row>
    <row r="133" spans="1:69" x14ac:dyDescent="0.35">
      <c r="A133" s="1" t="s">
        <v>68</v>
      </c>
      <c r="B133" s="1" t="s">
        <v>69</v>
      </c>
      <c r="C133" s="1" t="s">
        <v>70</v>
      </c>
      <c r="D133">
        <v>1</v>
      </c>
      <c r="E133">
        <v>1</v>
      </c>
      <c r="F133" s="2">
        <v>43584.863483796296</v>
      </c>
      <c r="G133" s="3">
        <v>40909</v>
      </c>
      <c r="H133" s="3">
        <v>41274</v>
      </c>
      <c r="I133" s="1" t="s">
        <v>71</v>
      </c>
      <c r="J133">
        <v>4521</v>
      </c>
      <c r="K133">
        <v>0</v>
      </c>
      <c r="L133" s="1" t="s">
        <v>384</v>
      </c>
      <c r="M133" s="1" t="s">
        <v>72</v>
      </c>
      <c r="N133" s="1" t="s">
        <v>134</v>
      </c>
      <c r="O133" s="1" t="s">
        <v>385</v>
      </c>
      <c r="P133" s="1" t="s">
        <v>386</v>
      </c>
      <c r="Q133" s="1" t="s">
        <v>387</v>
      </c>
      <c r="R133">
        <v>103</v>
      </c>
      <c r="S133" s="1" t="s">
        <v>135</v>
      </c>
      <c r="T133" s="1" t="s">
        <v>388</v>
      </c>
      <c r="U133" s="1" t="s">
        <v>135</v>
      </c>
      <c r="V133" s="1"/>
      <c r="W133" s="1"/>
      <c r="X133" s="1"/>
      <c r="Y133" s="1"/>
      <c r="AA133" s="1"/>
      <c r="AC133" s="1"/>
      <c r="AD133" s="1"/>
      <c r="AE133" s="1"/>
      <c r="AN133" s="1" t="s">
        <v>74</v>
      </c>
      <c r="AO133">
        <v>61</v>
      </c>
      <c r="AP133" s="1" t="s">
        <v>1408</v>
      </c>
      <c r="AQ133" s="1" t="s">
        <v>1449</v>
      </c>
      <c r="AR133" s="1" t="s">
        <v>1500</v>
      </c>
      <c r="AS133" s="1" t="s">
        <v>1513</v>
      </c>
      <c r="AT133" s="3">
        <v>41261</v>
      </c>
      <c r="AU133" s="3">
        <v>41261</v>
      </c>
      <c r="AV133" s="3">
        <v>41274</v>
      </c>
      <c r="AW133" s="1" t="s">
        <v>1221</v>
      </c>
      <c r="AX133" s="1" t="s">
        <v>1449</v>
      </c>
      <c r="AY133">
        <v>-688.8</v>
      </c>
      <c r="AZ133">
        <v>76</v>
      </c>
      <c r="BA133">
        <v>260953.83</v>
      </c>
      <c r="BB133" s="1"/>
      <c r="BD133" s="1"/>
      <c r="BE133" s="1"/>
      <c r="BG133" s="1"/>
      <c r="BH133" s="1"/>
      <c r="BJ133" s="1"/>
      <c r="BL133" s="1"/>
      <c r="BN133" s="1"/>
      <c r="BO133">
        <v>186</v>
      </c>
      <c r="BP133">
        <v>260953.83</v>
      </c>
      <c r="BQ133">
        <v>260953.83</v>
      </c>
    </row>
    <row r="134" spans="1:69" x14ac:dyDescent="0.35">
      <c r="A134" s="1" t="s">
        <v>68</v>
      </c>
      <c r="B134" s="1" t="s">
        <v>69</v>
      </c>
      <c r="C134" s="1" t="s">
        <v>70</v>
      </c>
      <c r="D134">
        <v>1</v>
      </c>
      <c r="E134">
        <v>1</v>
      </c>
      <c r="F134" s="2">
        <v>43584.863483796296</v>
      </c>
      <c r="G134" s="3">
        <v>40909</v>
      </c>
      <c r="H134" s="3">
        <v>41274</v>
      </c>
      <c r="I134" s="1" t="s">
        <v>71</v>
      </c>
      <c r="J134">
        <v>4521</v>
      </c>
      <c r="K134">
        <v>0</v>
      </c>
      <c r="L134" s="1" t="s">
        <v>384</v>
      </c>
      <c r="M134" s="1" t="s">
        <v>72</v>
      </c>
      <c r="N134" s="1" t="s">
        <v>134</v>
      </c>
      <c r="O134" s="1" t="s">
        <v>385</v>
      </c>
      <c r="P134" s="1" t="s">
        <v>386</v>
      </c>
      <c r="Q134" s="1" t="s">
        <v>387</v>
      </c>
      <c r="R134">
        <v>103</v>
      </c>
      <c r="S134" s="1" t="s">
        <v>135</v>
      </c>
      <c r="T134" s="1" t="s">
        <v>388</v>
      </c>
      <c r="U134" s="1" t="s">
        <v>135</v>
      </c>
      <c r="V134" s="1"/>
      <c r="W134" s="1"/>
      <c r="X134" s="1"/>
      <c r="Y134" s="1"/>
      <c r="AA134" s="1"/>
      <c r="AC134" s="1"/>
      <c r="AD134" s="1"/>
      <c r="AE134" s="1"/>
      <c r="AN134" s="1" t="s">
        <v>74</v>
      </c>
      <c r="AO134">
        <v>62</v>
      </c>
      <c r="AP134" s="1" t="s">
        <v>1409</v>
      </c>
      <c r="AQ134" s="1" t="s">
        <v>1450</v>
      </c>
      <c r="AR134" s="1" t="s">
        <v>1501</v>
      </c>
      <c r="AS134" s="1" t="s">
        <v>1514</v>
      </c>
      <c r="AT134" s="3">
        <v>41262</v>
      </c>
      <c r="AU134" s="3">
        <v>41262</v>
      </c>
      <c r="AV134" s="3">
        <v>41274</v>
      </c>
      <c r="AW134" s="1" t="s">
        <v>1221</v>
      </c>
      <c r="AX134" s="1" t="s">
        <v>1450</v>
      </c>
      <c r="AY134">
        <v>412.3</v>
      </c>
      <c r="AZ134">
        <v>76</v>
      </c>
      <c r="BA134">
        <v>260953.83</v>
      </c>
      <c r="BB134" s="1"/>
      <c r="BD134" s="1"/>
      <c r="BE134" s="1"/>
      <c r="BG134" s="1"/>
      <c r="BH134" s="1"/>
      <c r="BJ134" s="1"/>
      <c r="BL134" s="1"/>
      <c r="BN134" s="1"/>
      <c r="BO134">
        <v>186</v>
      </c>
      <c r="BP134">
        <v>260953.83</v>
      </c>
      <c r="BQ134">
        <v>260953.83</v>
      </c>
    </row>
    <row r="135" spans="1:69" x14ac:dyDescent="0.35">
      <c r="A135" s="1" t="s">
        <v>68</v>
      </c>
      <c r="B135" s="1" t="s">
        <v>69</v>
      </c>
      <c r="C135" s="1" t="s">
        <v>70</v>
      </c>
      <c r="D135">
        <v>1</v>
      </c>
      <c r="E135">
        <v>1</v>
      </c>
      <c r="F135" s="2">
        <v>43584.863483796296</v>
      </c>
      <c r="G135" s="3">
        <v>40909</v>
      </c>
      <c r="H135" s="3">
        <v>41274</v>
      </c>
      <c r="I135" s="1" t="s">
        <v>71</v>
      </c>
      <c r="J135">
        <v>4521</v>
      </c>
      <c r="K135">
        <v>0</v>
      </c>
      <c r="L135" s="1" t="s">
        <v>384</v>
      </c>
      <c r="M135" s="1" t="s">
        <v>72</v>
      </c>
      <c r="N135" s="1" t="s">
        <v>134</v>
      </c>
      <c r="O135" s="1" t="s">
        <v>385</v>
      </c>
      <c r="P135" s="1" t="s">
        <v>386</v>
      </c>
      <c r="Q135" s="1" t="s">
        <v>387</v>
      </c>
      <c r="R135">
        <v>103</v>
      </c>
      <c r="S135" s="1" t="s">
        <v>135</v>
      </c>
      <c r="T135" s="1" t="s">
        <v>388</v>
      </c>
      <c r="U135" s="1" t="s">
        <v>135</v>
      </c>
      <c r="V135" s="1"/>
      <c r="W135" s="1"/>
      <c r="X135" s="1"/>
      <c r="Y135" s="1"/>
      <c r="AA135" s="1"/>
      <c r="AC135" s="1"/>
      <c r="AD135" s="1"/>
      <c r="AE135" s="1"/>
      <c r="AN135" s="1" t="s">
        <v>74</v>
      </c>
      <c r="AO135">
        <v>63</v>
      </c>
      <c r="AP135" s="1" t="s">
        <v>1410</v>
      </c>
      <c r="AQ135" s="1" t="s">
        <v>1451</v>
      </c>
      <c r="AR135" s="1" t="s">
        <v>1502</v>
      </c>
      <c r="AS135" s="1" t="s">
        <v>1204</v>
      </c>
      <c r="AT135" s="3">
        <v>41262</v>
      </c>
      <c r="AU135" s="3">
        <v>41262</v>
      </c>
      <c r="AV135" s="3">
        <v>41274</v>
      </c>
      <c r="AW135" s="1" t="s">
        <v>1221</v>
      </c>
      <c r="AX135" s="1" t="s">
        <v>1451</v>
      </c>
      <c r="AY135">
        <v>704.79</v>
      </c>
      <c r="AZ135">
        <v>76</v>
      </c>
      <c r="BA135">
        <v>260953.83</v>
      </c>
      <c r="BB135" s="1"/>
      <c r="BD135" s="1"/>
      <c r="BE135" s="1"/>
      <c r="BG135" s="1"/>
      <c r="BH135" s="1"/>
      <c r="BJ135" s="1"/>
      <c r="BL135" s="1"/>
      <c r="BN135" s="1"/>
      <c r="BO135">
        <v>186</v>
      </c>
      <c r="BP135">
        <v>260953.83</v>
      </c>
      <c r="BQ135">
        <v>260953.83</v>
      </c>
    </row>
    <row r="136" spans="1:69" x14ac:dyDescent="0.35">
      <c r="A136" s="1" t="s">
        <v>68</v>
      </c>
      <c r="B136" s="1" t="s">
        <v>69</v>
      </c>
      <c r="C136" s="1" t="s">
        <v>70</v>
      </c>
      <c r="D136">
        <v>1</v>
      </c>
      <c r="E136">
        <v>1</v>
      </c>
      <c r="F136" s="2">
        <v>43584.863483796296</v>
      </c>
      <c r="G136" s="3">
        <v>40909</v>
      </c>
      <c r="H136" s="3">
        <v>41274</v>
      </c>
      <c r="I136" s="1" t="s">
        <v>71</v>
      </c>
      <c r="J136">
        <v>4521</v>
      </c>
      <c r="K136">
        <v>0</v>
      </c>
      <c r="L136" s="1" t="s">
        <v>384</v>
      </c>
      <c r="M136" s="1" t="s">
        <v>72</v>
      </c>
      <c r="N136" s="1" t="s">
        <v>134</v>
      </c>
      <c r="O136" s="1" t="s">
        <v>385</v>
      </c>
      <c r="P136" s="1" t="s">
        <v>386</v>
      </c>
      <c r="Q136" s="1" t="s">
        <v>387</v>
      </c>
      <c r="R136">
        <v>103</v>
      </c>
      <c r="S136" s="1" t="s">
        <v>135</v>
      </c>
      <c r="T136" s="1" t="s">
        <v>388</v>
      </c>
      <c r="U136" s="1" t="s">
        <v>135</v>
      </c>
      <c r="V136" s="1"/>
      <c r="W136" s="1"/>
      <c r="X136" s="1"/>
      <c r="Y136" s="1"/>
      <c r="AA136" s="1"/>
      <c r="AC136" s="1"/>
      <c r="AD136" s="1"/>
      <c r="AE136" s="1"/>
      <c r="AN136" s="1" t="s">
        <v>74</v>
      </c>
      <c r="AO136">
        <v>64</v>
      </c>
      <c r="AP136" s="1" t="s">
        <v>1411</v>
      </c>
      <c r="AQ136" s="1" t="s">
        <v>1452</v>
      </c>
      <c r="AR136" s="1" t="s">
        <v>1503</v>
      </c>
      <c r="AS136" s="1" t="s">
        <v>95</v>
      </c>
      <c r="AT136" s="3">
        <v>41262</v>
      </c>
      <c r="AU136" s="3">
        <v>41262</v>
      </c>
      <c r="AV136" s="3">
        <v>41274</v>
      </c>
      <c r="AW136" s="1" t="s">
        <v>1221</v>
      </c>
      <c r="AX136" s="1" t="s">
        <v>1452</v>
      </c>
      <c r="AY136">
        <v>3000</v>
      </c>
      <c r="AZ136">
        <v>76</v>
      </c>
      <c r="BA136">
        <v>260953.83</v>
      </c>
      <c r="BB136" s="1"/>
      <c r="BD136" s="1"/>
      <c r="BE136" s="1"/>
      <c r="BG136" s="1"/>
      <c r="BH136" s="1"/>
      <c r="BJ136" s="1"/>
      <c r="BL136" s="1"/>
      <c r="BN136" s="1"/>
      <c r="BO136">
        <v>186</v>
      </c>
      <c r="BP136">
        <v>260953.83</v>
      </c>
      <c r="BQ136">
        <v>260953.83</v>
      </c>
    </row>
    <row r="137" spans="1:69" x14ac:dyDescent="0.35">
      <c r="A137" s="1" t="s">
        <v>68</v>
      </c>
      <c r="B137" s="1" t="s">
        <v>69</v>
      </c>
      <c r="C137" s="1" t="s">
        <v>70</v>
      </c>
      <c r="D137">
        <v>1</v>
      </c>
      <c r="E137">
        <v>1</v>
      </c>
      <c r="F137" s="2">
        <v>43584.863483796296</v>
      </c>
      <c r="G137" s="3">
        <v>40909</v>
      </c>
      <c r="H137" s="3">
        <v>41274</v>
      </c>
      <c r="I137" s="1" t="s">
        <v>71</v>
      </c>
      <c r="J137">
        <v>4521</v>
      </c>
      <c r="K137">
        <v>0</v>
      </c>
      <c r="L137" s="1" t="s">
        <v>384</v>
      </c>
      <c r="M137" s="1" t="s">
        <v>72</v>
      </c>
      <c r="N137" s="1" t="s">
        <v>134</v>
      </c>
      <c r="O137" s="1" t="s">
        <v>385</v>
      </c>
      <c r="P137" s="1" t="s">
        <v>386</v>
      </c>
      <c r="Q137" s="1" t="s">
        <v>387</v>
      </c>
      <c r="R137">
        <v>103</v>
      </c>
      <c r="S137" s="1" t="s">
        <v>135</v>
      </c>
      <c r="T137" s="1" t="s">
        <v>388</v>
      </c>
      <c r="U137" s="1" t="s">
        <v>135</v>
      </c>
      <c r="V137" s="1"/>
      <c r="W137" s="1"/>
      <c r="X137" s="1"/>
      <c r="Y137" s="1"/>
      <c r="AA137" s="1"/>
      <c r="AC137" s="1"/>
      <c r="AD137" s="1"/>
      <c r="AE137" s="1"/>
      <c r="AN137" s="1" t="s">
        <v>74</v>
      </c>
      <c r="AO137">
        <v>65</v>
      </c>
      <c r="AP137" s="1" t="s">
        <v>1412</v>
      </c>
      <c r="AQ137" s="1" t="s">
        <v>1453</v>
      </c>
      <c r="AR137" s="1" t="s">
        <v>1504</v>
      </c>
      <c r="AS137" s="1" t="s">
        <v>95</v>
      </c>
      <c r="AT137" s="3">
        <v>41262</v>
      </c>
      <c r="AU137" s="3">
        <v>41262</v>
      </c>
      <c r="AV137" s="3">
        <v>41274</v>
      </c>
      <c r="AW137" s="1" t="s">
        <v>1221</v>
      </c>
      <c r="AX137" s="1" t="s">
        <v>1453</v>
      </c>
      <c r="AY137">
        <v>1943.4</v>
      </c>
      <c r="AZ137">
        <v>76</v>
      </c>
      <c r="BA137">
        <v>260953.83</v>
      </c>
      <c r="BB137" s="1"/>
      <c r="BD137" s="1"/>
      <c r="BE137" s="1"/>
      <c r="BG137" s="1"/>
      <c r="BH137" s="1"/>
      <c r="BJ137" s="1"/>
      <c r="BL137" s="1"/>
      <c r="BN137" s="1"/>
      <c r="BO137">
        <v>186</v>
      </c>
      <c r="BP137">
        <v>260953.83</v>
      </c>
      <c r="BQ137">
        <v>260953.83</v>
      </c>
    </row>
    <row r="138" spans="1:69" x14ac:dyDescent="0.35">
      <c r="A138" s="1" t="s">
        <v>68</v>
      </c>
      <c r="B138" s="1" t="s">
        <v>69</v>
      </c>
      <c r="C138" s="1" t="s">
        <v>70</v>
      </c>
      <c r="D138">
        <v>1</v>
      </c>
      <c r="E138">
        <v>1</v>
      </c>
      <c r="F138" s="2">
        <v>43584.863483796296</v>
      </c>
      <c r="G138" s="3">
        <v>40909</v>
      </c>
      <c r="H138" s="3">
        <v>41274</v>
      </c>
      <c r="I138" s="1" t="s">
        <v>71</v>
      </c>
      <c r="J138">
        <v>4521</v>
      </c>
      <c r="K138">
        <v>0</v>
      </c>
      <c r="L138" s="1" t="s">
        <v>384</v>
      </c>
      <c r="M138" s="1" t="s">
        <v>72</v>
      </c>
      <c r="N138" s="1" t="s">
        <v>134</v>
      </c>
      <c r="O138" s="1" t="s">
        <v>385</v>
      </c>
      <c r="P138" s="1" t="s">
        <v>386</v>
      </c>
      <c r="Q138" s="1" t="s">
        <v>387</v>
      </c>
      <c r="R138">
        <v>103</v>
      </c>
      <c r="S138" s="1" t="s">
        <v>135</v>
      </c>
      <c r="T138" s="1" t="s">
        <v>388</v>
      </c>
      <c r="U138" s="1" t="s">
        <v>135</v>
      </c>
      <c r="V138" s="1"/>
      <c r="W138" s="1"/>
      <c r="X138" s="1"/>
      <c r="Y138" s="1"/>
      <c r="AA138" s="1"/>
      <c r="AC138" s="1"/>
      <c r="AD138" s="1"/>
      <c r="AE138" s="1"/>
      <c r="AN138" s="1" t="s">
        <v>74</v>
      </c>
      <c r="AO138">
        <v>66</v>
      </c>
      <c r="AP138" s="1" t="s">
        <v>1413</v>
      </c>
      <c r="AQ138" s="1" t="s">
        <v>1454</v>
      </c>
      <c r="AR138" s="1" t="s">
        <v>1505</v>
      </c>
      <c r="AS138" s="1" t="s">
        <v>98</v>
      </c>
      <c r="AT138" s="3">
        <v>40652</v>
      </c>
      <c r="AU138" s="3">
        <v>40652</v>
      </c>
      <c r="AV138" s="3">
        <v>40939</v>
      </c>
      <c r="AW138" s="1" t="s">
        <v>1221</v>
      </c>
      <c r="AX138" s="1" t="s">
        <v>1454</v>
      </c>
      <c r="AY138">
        <v>162.36000000000001</v>
      </c>
      <c r="AZ138">
        <v>76</v>
      </c>
      <c r="BA138">
        <v>260953.83</v>
      </c>
      <c r="BB138" s="1"/>
      <c r="BD138" s="1"/>
      <c r="BE138" s="1"/>
      <c r="BG138" s="1"/>
      <c r="BH138" s="1"/>
      <c r="BJ138" s="1"/>
      <c r="BL138" s="1"/>
      <c r="BN138" s="1"/>
      <c r="BO138">
        <v>186</v>
      </c>
      <c r="BP138">
        <v>260953.83</v>
      </c>
      <c r="BQ138">
        <v>260953.83</v>
      </c>
    </row>
    <row r="139" spans="1:69" x14ac:dyDescent="0.35">
      <c r="A139" s="1" t="s">
        <v>68</v>
      </c>
      <c r="B139" s="1" t="s">
        <v>69</v>
      </c>
      <c r="C139" s="1" t="s">
        <v>70</v>
      </c>
      <c r="D139">
        <v>1</v>
      </c>
      <c r="E139">
        <v>1</v>
      </c>
      <c r="F139" s="2">
        <v>43584.863483796296</v>
      </c>
      <c r="G139" s="3">
        <v>40909</v>
      </c>
      <c r="H139" s="3">
        <v>41274</v>
      </c>
      <c r="I139" s="1" t="s">
        <v>71</v>
      </c>
      <c r="J139">
        <v>4521</v>
      </c>
      <c r="K139">
        <v>0</v>
      </c>
      <c r="L139" s="1" t="s">
        <v>384</v>
      </c>
      <c r="M139" s="1" t="s">
        <v>72</v>
      </c>
      <c r="N139" s="1" t="s">
        <v>134</v>
      </c>
      <c r="O139" s="1" t="s">
        <v>385</v>
      </c>
      <c r="P139" s="1" t="s">
        <v>386</v>
      </c>
      <c r="Q139" s="1" t="s">
        <v>387</v>
      </c>
      <c r="R139">
        <v>103</v>
      </c>
      <c r="S139" s="1" t="s">
        <v>135</v>
      </c>
      <c r="T139" s="1" t="s">
        <v>388</v>
      </c>
      <c r="U139" s="1" t="s">
        <v>135</v>
      </c>
      <c r="V139" s="1"/>
      <c r="W139" s="1"/>
      <c r="X139" s="1"/>
      <c r="Y139" s="1"/>
      <c r="AA139" s="1"/>
      <c r="AC139" s="1"/>
      <c r="AD139" s="1"/>
      <c r="AE139" s="1"/>
      <c r="AN139" s="1" t="s">
        <v>74</v>
      </c>
      <c r="AO139">
        <v>67</v>
      </c>
      <c r="AP139" s="1" t="s">
        <v>1354</v>
      </c>
      <c r="AQ139" s="1" t="s">
        <v>982</v>
      </c>
      <c r="AR139" s="1" t="s">
        <v>1462</v>
      </c>
      <c r="AS139" s="1" t="s">
        <v>98</v>
      </c>
      <c r="AT139" s="3">
        <v>41184</v>
      </c>
      <c r="AU139" s="3">
        <v>41184</v>
      </c>
      <c r="AV139" s="3">
        <v>41213</v>
      </c>
      <c r="AW139" s="1" t="s">
        <v>1221</v>
      </c>
      <c r="AX139" s="1" t="s">
        <v>982</v>
      </c>
      <c r="AY139">
        <v>260</v>
      </c>
      <c r="AZ139">
        <v>76</v>
      </c>
      <c r="BA139">
        <v>260953.83</v>
      </c>
      <c r="BB139" s="1"/>
      <c r="BD139" s="1"/>
      <c r="BE139" s="1"/>
      <c r="BG139" s="1"/>
      <c r="BH139" s="1"/>
      <c r="BJ139" s="1"/>
      <c r="BL139" s="1"/>
      <c r="BN139" s="1"/>
      <c r="BO139">
        <v>186</v>
      </c>
      <c r="BP139">
        <v>260953.83</v>
      </c>
      <c r="BQ139">
        <v>260953.83</v>
      </c>
    </row>
    <row r="140" spans="1:69" x14ac:dyDescent="0.35">
      <c r="A140" s="1" t="s">
        <v>68</v>
      </c>
      <c r="B140" s="1" t="s">
        <v>69</v>
      </c>
      <c r="C140" s="1" t="s">
        <v>70</v>
      </c>
      <c r="D140">
        <v>1</v>
      </c>
      <c r="E140">
        <v>1</v>
      </c>
      <c r="F140" s="2">
        <v>43584.863483796296</v>
      </c>
      <c r="G140" s="3">
        <v>40909</v>
      </c>
      <c r="H140" s="3">
        <v>41274</v>
      </c>
      <c r="I140" s="1" t="s">
        <v>71</v>
      </c>
      <c r="J140">
        <v>4521</v>
      </c>
      <c r="K140">
        <v>0</v>
      </c>
      <c r="L140" s="1" t="s">
        <v>384</v>
      </c>
      <c r="M140" s="1" t="s">
        <v>72</v>
      </c>
      <c r="N140" s="1" t="s">
        <v>134</v>
      </c>
      <c r="O140" s="1" t="s">
        <v>385</v>
      </c>
      <c r="P140" s="1" t="s">
        <v>386</v>
      </c>
      <c r="Q140" s="1" t="s">
        <v>387</v>
      </c>
      <c r="R140">
        <v>103</v>
      </c>
      <c r="S140" s="1" t="s">
        <v>135</v>
      </c>
      <c r="T140" s="1" t="s">
        <v>388</v>
      </c>
      <c r="U140" s="1" t="s">
        <v>135</v>
      </c>
      <c r="V140" s="1"/>
      <c r="W140" s="1"/>
      <c r="X140" s="1"/>
      <c r="Y140" s="1"/>
      <c r="AA140" s="1"/>
      <c r="AC140" s="1"/>
      <c r="AD140" s="1"/>
      <c r="AE140" s="1"/>
      <c r="AN140" s="1" t="s">
        <v>74</v>
      </c>
      <c r="AO140">
        <v>68</v>
      </c>
      <c r="AP140" s="1" t="s">
        <v>1359</v>
      </c>
      <c r="AQ140" s="1" t="s">
        <v>1424</v>
      </c>
      <c r="AR140" s="1" t="s">
        <v>1466</v>
      </c>
      <c r="AS140" s="1" t="s">
        <v>1216</v>
      </c>
      <c r="AT140" s="3">
        <v>41215</v>
      </c>
      <c r="AU140" s="3">
        <v>41213</v>
      </c>
      <c r="AV140" s="3">
        <v>41243</v>
      </c>
      <c r="AW140" s="1" t="s">
        <v>1221</v>
      </c>
      <c r="AX140" s="1" t="s">
        <v>1534</v>
      </c>
      <c r="AY140">
        <v>520</v>
      </c>
      <c r="AZ140">
        <v>76</v>
      </c>
      <c r="BA140">
        <v>260953.83</v>
      </c>
      <c r="BB140" s="1"/>
      <c r="BD140" s="1"/>
      <c r="BE140" s="1"/>
      <c r="BG140" s="1"/>
      <c r="BH140" s="1"/>
      <c r="BJ140" s="1"/>
      <c r="BL140" s="1"/>
      <c r="BN140" s="1"/>
      <c r="BO140">
        <v>186</v>
      </c>
      <c r="BP140">
        <v>260953.83</v>
      </c>
      <c r="BQ140">
        <v>260953.83</v>
      </c>
    </row>
    <row r="141" spans="1:69" x14ac:dyDescent="0.35">
      <c r="A141" s="1" t="s">
        <v>68</v>
      </c>
      <c r="B141" s="1" t="s">
        <v>69</v>
      </c>
      <c r="C141" s="1" t="s">
        <v>70</v>
      </c>
      <c r="D141">
        <v>1</v>
      </c>
      <c r="E141">
        <v>1</v>
      </c>
      <c r="F141" s="2">
        <v>43584.863483796296</v>
      </c>
      <c r="G141" s="3">
        <v>40909</v>
      </c>
      <c r="H141" s="3">
        <v>41274</v>
      </c>
      <c r="I141" s="1" t="s">
        <v>71</v>
      </c>
      <c r="J141">
        <v>4521</v>
      </c>
      <c r="K141">
        <v>0</v>
      </c>
      <c r="L141" s="1" t="s">
        <v>384</v>
      </c>
      <c r="M141" s="1" t="s">
        <v>72</v>
      </c>
      <c r="N141" s="1" t="s">
        <v>134</v>
      </c>
      <c r="O141" s="1" t="s">
        <v>385</v>
      </c>
      <c r="P141" s="1" t="s">
        <v>386</v>
      </c>
      <c r="Q141" s="1" t="s">
        <v>387</v>
      </c>
      <c r="R141">
        <v>103</v>
      </c>
      <c r="S141" s="1" t="s">
        <v>135</v>
      </c>
      <c r="T141" s="1" t="s">
        <v>388</v>
      </c>
      <c r="U141" s="1" t="s">
        <v>135</v>
      </c>
      <c r="V141" s="1"/>
      <c r="W141" s="1"/>
      <c r="X141" s="1"/>
      <c r="Y141" s="1"/>
      <c r="AA141" s="1"/>
      <c r="AC141" s="1"/>
      <c r="AD141" s="1"/>
      <c r="AE141" s="1"/>
      <c r="AN141" s="1" t="s">
        <v>74</v>
      </c>
      <c r="AO141">
        <v>69</v>
      </c>
      <c r="AP141" s="1" t="s">
        <v>1360</v>
      </c>
      <c r="AQ141" s="1" t="s">
        <v>1425</v>
      </c>
      <c r="AR141" s="1" t="s">
        <v>1467</v>
      </c>
      <c r="AS141" s="1" t="s">
        <v>98</v>
      </c>
      <c r="AT141" s="3">
        <v>40647</v>
      </c>
      <c r="AU141" s="3">
        <v>40647</v>
      </c>
      <c r="AV141" s="3">
        <v>41243</v>
      </c>
      <c r="AW141" s="1" t="s">
        <v>1221</v>
      </c>
      <c r="AX141" s="1" t="s">
        <v>1535</v>
      </c>
      <c r="AY141">
        <v>2515.0300000000002</v>
      </c>
      <c r="AZ141">
        <v>76</v>
      </c>
      <c r="BA141">
        <v>260953.83</v>
      </c>
      <c r="BB141" s="1"/>
      <c r="BD141" s="1"/>
      <c r="BE141" s="1"/>
      <c r="BG141" s="1"/>
      <c r="BH141" s="1"/>
      <c r="BJ141" s="1"/>
      <c r="BL141" s="1"/>
      <c r="BN141" s="1"/>
      <c r="BO141">
        <v>186</v>
      </c>
      <c r="BP141">
        <v>260953.83</v>
      </c>
      <c r="BQ141">
        <v>260953.83</v>
      </c>
    </row>
    <row r="142" spans="1:69" x14ac:dyDescent="0.35">
      <c r="A142" s="1" t="s">
        <v>68</v>
      </c>
      <c r="B142" s="1" t="s">
        <v>69</v>
      </c>
      <c r="C142" s="1" t="s">
        <v>70</v>
      </c>
      <c r="D142">
        <v>1</v>
      </c>
      <c r="E142">
        <v>1</v>
      </c>
      <c r="F142" s="2">
        <v>43584.863483796296</v>
      </c>
      <c r="G142" s="3">
        <v>40909</v>
      </c>
      <c r="H142" s="3">
        <v>41274</v>
      </c>
      <c r="I142" s="1" t="s">
        <v>71</v>
      </c>
      <c r="J142">
        <v>4521</v>
      </c>
      <c r="K142">
        <v>0</v>
      </c>
      <c r="L142" s="1" t="s">
        <v>384</v>
      </c>
      <c r="M142" s="1" t="s">
        <v>72</v>
      </c>
      <c r="N142" s="1" t="s">
        <v>134</v>
      </c>
      <c r="O142" s="1" t="s">
        <v>385</v>
      </c>
      <c r="P142" s="1" t="s">
        <v>386</v>
      </c>
      <c r="Q142" s="1" t="s">
        <v>387</v>
      </c>
      <c r="R142">
        <v>103</v>
      </c>
      <c r="S142" s="1" t="s">
        <v>135</v>
      </c>
      <c r="T142" s="1" t="s">
        <v>388</v>
      </c>
      <c r="U142" s="1" t="s">
        <v>135</v>
      </c>
      <c r="V142" s="1"/>
      <c r="W142" s="1"/>
      <c r="X142" s="1"/>
      <c r="Y142" s="1"/>
      <c r="AA142" s="1"/>
      <c r="AC142" s="1"/>
      <c r="AD142" s="1"/>
      <c r="AE142" s="1"/>
      <c r="AN142" s="1" t="s">
        <v>74</v>
      </c>
      <c r="AO142">
        <v>70</v>
      </c>
      <c r="AP142" s="1" t="s">
        <v>1367</v>
      </c>
      <c r="AQ142" s="1" t="s">
        <v>1430</v>
      </c>
      <c r="AR142" s="1" t="s">
        <v>1474</v>
      </c>
      <c r="AS142" s="1" t="s">
        <v>98</v>
      </c>
      <c r="AT142" s="3">
        <v>41218</v>
      </c>
      <c r="AU142" s="3">
        <v>41218</v>
      </c>
      <c r="AV142" s="3">
        <v>41243</v>
      </c>
      <c r="AW142" s="1" t="s">
        <v>1221</v>
      </c>
      <c r="AX142" s="1" t="s">
        <v>1428</v>
      </c>
      <c r="AY142">
        <v>1205.4000000000001</v>
      </c>
      <c r="AZ142">
        <v>76</v>
      </c>
      <c r="BA142">
        <v>260953.83</v>
      </c>
      <c r="BB142" s="1"/>
      <c r="BD142" s="1"/>
      <c r="BE142" s="1"/>
      <c r="BG142" s="1"/>
      <c r="BH142" s="1"/>
      <c r="BJ142" s="1"/>
      <c r="BL142" s="1"/>
      <c r="BN142" s="1"/>
      <c r="BO142">
        <v>186</v>
      </c>
      <c r="BP142">
        <v>260953.83</v>
      </c>
      <c r="BQ142">
        <v>260953.83</v>
      </c>
    </row>
    <row r="143" spans="1:69" x14ac:dyDescent="0.35">
      <c r="A143" s="1" t="s">
        <v>68</v>
      </c>
      <c r="B143" s="1" t="s">
        <v>69</v>
      </c>
      <c r="C143" s="1" t="s">
        <v>70</v>
      </c>
      <c r="D143">
        <v>1</v>
      </c>
      <c r="E143">
        <v>1</v>
      </c>
      <c r="F143" s="2">
        <v>43584.863483796296</v>
      </c>
      <c r="G143" s="3">
        <v>40909</v>
      </c>
      <c r="H143" s="3">
        <v>41274</v>
      </c>
      <c r="I143" s="1" t="s">
        <v>71</v>
      </c>
      <c r="J143">
        <v>4521</v>
      </c>
      <c r="K143">
        <v>0</v>
      </c>
      <c r="L143" s="1" t="s">
        <v>384</v>
      </c>
      <c r="M143" s="1" t="s">
        <v>72</v>
      </c>
      <c r="N143" s="1" t="s">
        <v>134</v>
      </c>
      <c r="O143" s="1" t="s">
        <v>385</v>
      </c>
      <c r="P143" s="1" t="s">
        <v>386</v>
      </c>
      <c r="Q143" s="1" t="s">
        <v>387</v>
      </c>
      <c r="R143">
        <v>103</v>
      </c>
      <c r="S143" s="1" t="s">
        <v>135</v>
      </c>
      <c r="T143" s="1" t="s">
        <v>388</v>
      </c>
      <c r="U143" s="1" t="s">
        <v>135</v>
      </c>
      <c r="V143" s="1"/>
      <c r="W143" s="1"/>
      <c r="X143" s="1"/>
      <c r="Y143" s="1"/>
      <c r="AA143" s="1"/>
      <c r="AC143" s="1"/>
      <c r="AD143" s="1"/>
      <c r="AE143" s="1"/>
      <c r="AN143" s="1" t="s">
        <v>74</v>
      </c>
      <c r="AO143">
        <v>71</v>
      </c>
      <c r="AP143" s="1" t="s">
        <v>1373</v>
      </c>
      <c r="AQ143" s="1" t="s">
        <v>1434</v>
      </c>
      <c r="AR143" s="1" t="s">
        <v>1480</v>
      </c>
      <c r="AS143" s="1" t="s">
        <v>96</v>
      </c>
      <c r="AT143" s="3">
        <v>41220</v>
      </c>
      <c r="AU143" s="3">
        <v>41220</v>
      </c>
      <c r="AV143" s="3">
        <v>41243</v>
      </c>
      <c r="AW143" s="1" t="s">
        <v>1221</v>
      </c>
      <c r="AX143" s="1" t="s">
        <v>1428</v>
      </c>
      <c r="AY143">
        <v>1205.4000000000001</v>
      </c>
      <c r="AZ143">
        <v>76</v>
      </c>
      <c r="BA143">
        <v>260953.83</v>
      </c>
      <c r="BB143" s="1"/>
      <c r="BD143" s="1"/>
      <c r="BE143" s="1"/>
      <c r="BG143" s="1"/>
      <c r="BH143" s="1"/>
      <c r="BJ143" s="1"/>
      <c r="BL143" s="1"/>
      <c r="BN143" s="1"/>
      <c r="BO143">
        <v>186</v>
      </c>
      <c r="BP143">
        <v>260953.83</v>
      </c>
      <c r="BQ143">
        <v>260953.83</v>
      </c>
    </row>
    <row r="144" spans="1:69" x14ac:dyDescent="0.35">
      <c r="A144" s="1" t="s">
        <v>68</v>
      </c>
      <c r="B144" s="1" t="s">
        <v>69</v>
      </c>
      <c r="C144" s="1" t="s">
        <v>70</v>
      </c>
      <c r="D144">
        <v>1</v>
      </c>
      <c r="E144">
        <v>1</v>
      </c>
      <c r="F144" s="2">
        <v>43584.863483796296</v>
      </c>
      <c r="G144" s="3">
        <v>40909</v>
      </c>
      <c r="H144" s="3">
        <v>41274</v>
      </c>
      <c r="I144" s="1" t="s">
        <v>71</v>
      </c>
      <c r="J144">
        <v>4521</v>
      </c>
      <c r="K144">
        <v>0</v>
      </c>
      <c r="L144" s="1" t="s">
        <v>384</v>
      </c>
      <c r="M144" s="1" t="s">
        <v>72</v>
      </c>
      <c r="N144" s="1" t="s">
        <v>134</v>
      </c>
      <c r="O144" s="1" t="s">
        <v>385</v>
      </c>
      <c r="P144" s="1" t="s">
        <v>386</v>
      </c>
      <c r="Q144" s="1" t="s">
        <v>387</v>
      </c>
      <c r="R144">
        <v>103</v>
      </c>
      <c r="S144" s="1" t="s">
        <v>135</v>
      </c>
      <c r="T144" s="1" t="s">
        <v>388</v>
      </c>
      <c r="U144" s="1" t="s">
        <v>135</v>
      </c>
      <c r="V144" s="1"/>
      <c r="W144" s="1"/>
      <c r="X144" s="1"/>
      <c r="Y144" s="1"/>
      <c r="AA144" s="1"/>
      <c r="AC144" s="1"/>
      <c r="AD144" s="1"/>
      <c r="AE144" s="1"/>
      <c r="AN144" s="1" t="s">
        <v>74</v>
      </c>
      <c r="AO144">
        <v>72</v>
      </c>
      <c r="AP144" s="1" t="s">
        <v>1414</v>
      </c>
      <c r="AQ144" s="1" t="s">
        <v>1455</v>
      </c>
      <c r="AR144" s="1" t="s">
        <v>1506</v>
      </c>
      <c r="AS144" s="1" t="s">
        <v>95</v>
      </c>
      <c r="AT144" s="3">
        <v>41260</v>
      </c>
      <c r="AU144" s="3">
        <v>41260</v>
      </c>
      <c r="AV144" s="3">
        <v>41274</v>
      </c>
      <c r="AW144" s="1" t="s">
        <v>1221</v>
      </c>
      <c r="AX144" s="1" t="s">
        <v>1455</v>
      </c>
      <c r="AY144">
        <v>450</v>
      </c>
      <c r="AZ144">
        <v>76</v>
      </c>
      <c r="BA144">
        <v>260953.83</v>
      </c>
      <c r="BB144" s="1"/>
      <c r="BD144" s="1"/>
      <c r="BE144" s="1"/>
      <c r="BG144" s="1"/>
      <c r="BH144" s="1"/>
      <c r="BJ144" s="1"/>
      <c r="BL144" s="1"/>
      <c r="BN144" s="1"/>
      <c r="BO144">
        <v>186</v>
      </c>
      <c r="BP144">
        <v>260953.83</v>
      </c>
      <c r="BQ144">
        <v>260953.83</v>
      </c>
    </row>
    <row r="145" spans="1:69" x14ac:dyDescent="0.35">
      <c r="A145" s="1" t="s">
        <v>68</v>
      </c>
      <c r="B145" s="1" t="s">
        <v>69</v>
      </c>
      <c r="C145" s="1" t="s">
        <v>70</v>
      </c>
      <c r="D145">
        <v>1</v>
      </c>
      <c r="E145">
        <v>1</v>
      </c>
      <c r="F145" s="2">
        <v>43584.863483796296</v>
      </c>
      <c r="G145" s="3">
        <v>40909</v>
      </c>
      <c r="H145" s="3">
        <v>41274</v>
      </c>
      <c r="I145" s="1" t="s">
        <v>71</v>
      </c>
      <c r="J145">
        <v>4521</v>
      </c>
      <c r="K145">
        <v>0</v>
      </c>
      <c r="L145" s="1" t="s">
        <v>384</v>
      </c>
      <c r="M145" s="1" t="s">
        <v>72</v>
      </c>
      <c r="N145" s="1" t="s">
        <v>134</v>
      </c>
      <c r="O145" s="1" t="s">
        <v>385</v>
      </c>
      <c r="P145" s="1" t="s">
        <v>386</v>
      </c>
      <c r="Q145" s="1" t="s">
        <v>387</v>
      </c>
      <c r="R145">
        <v>103</v>
      </c>
      <c r="S145" s="1" t="s">
        <v>135</v>
      </c>
      <c r="T145" s="1" t="s">
        <v>388</v>
      </c>
      <c r="U145" s="1" t="s">
        <v>135</v>
      </c>
      <c r="V145" s="1"/>
      <c r="W145" s="1"/>
      <c r="X145" s="1"/>
      <c r="Y145" s="1"/>
      <c r="AA145" s="1"/>
      <c r="AC145" s="1"/>
      <c r="AD145" s="1"/>
      <c r="AE145" s="1"/>
      <c r="AN145" s="1" t="s">
        <v>74</v>
      </c>
      <c r="AO145">
        <v>73</v>
      </c>
      <c r="AP145" s="1" t="s">
        <v>1415</v>
      </c>
      <c r="AQ145" s="1" t="s">
        <v>1456</v>
      </c>
      <c r="AR145" s="1" t="s">
        <v>1507</v>
      </c>
      <c r="AS145" s="1" t="s">
        <v>97</v>
      </c>
      <c r="AT145" s="3">
        <v>41260</v>
      </c>
      <c r="AU145" s="3">
        <v>41260</v>
      </c>
      <c r="AV145" s="3">
        <v>41263</v>
      </c>
      <c r="AW145" s="1" t="s">
        <v>1221</v>
      </c>
      <c r="AX145" s="1" t="s">
        <v>1456</v>
      </c>
      <c r="AY145">
        <v>565.79999999999995</v>
      </c>
      <c r="AZ145">
        <v>76</v>
      </c>
      <c r="BA145">
        <v>260953.83</v>
      </c>
      <c r="BB145" s="1"/>
      <c r="BD145" s="1"/>
      <c r="BE145" s="1"/>
      <c r="BG145" s="1"/>
      <c r="BH145" s="1"/>
      <c r="BJ145" s="1"/>
      <c r="BL145" s="1"/>
      <c r="BN145" s="1"/>
      <c r="BO145">
        <v>186</v>
      </c>
      <c r="BP145">
        <v>260953.83</v>
      </c>
      <c r="BQ145">
        <v>260953.83</v>
      </c>
    </row>
    <row r="146" spans="1:69" x14ac:dyDescent="0.35">
      <c r="A146" s="1" t="s">
        <v>68</v>
      </c>
      <c r="B146" s="1" t="s">
        <v>69</v>
      </c>
      <c r="C146" s="1" t="s">
        <v>70</v>
      </c>
      <c r="D146">
        <v>1</v>
      </c>
      <c r="E146">
        <v>1</v>
      </c>
      <c r="F146" s="2">
        <v>43584.863483796296</v>
      </c>
      <c r="G146" s="3">
        <v>40909</v>
      </c>
      <c r="H146" s="3">
        <v>41274</v>
      </c>
      <c r="I146" s="1" t="s">
        <v>71</v>
      </c>
      <c r="J146">
        <v>4521</v>
      </c>
      <c r="K146">
        <v>0</v>
      </c>
      <c r="L146" s="1" t="s">
        <v>384</v>
      </c>
      <c r="M146" s="1" t="s">
        <v>72</v>
      </c>
      <c r="N146" s="1" t="s">
        <v>134</v>
      </c>
      <c r="O146" s="1" t="s">
        <v>385</v>
      </c>
      <c r="P146" s="1" t="s">
        <v>386</v>
      </c>
      <c r="Q146" s="1" t="s">
        <v>387</v>
      </c>
      <c r="R146">
        <v>103</v>
      </c>
      <c r="S146" s="1" t="s">
        <v>135</v>
      </c>
      <c r="T146" s="1" t="s">
        <v>388</v>
      </c>
      <c r="U146" s="1" t="s">
        <v>135</v>
      </c>
      <c r="V146" s="1"/>
      <c r="W146" s="1"/>
      <c r="X146" s="1"/>
      <c r="Y146" s="1"/>
      <c r="AA146" s="1"/>
      <c r="AC146" s="1"/>
      <c r="AD146" s="1"/>
      <c r="AE146" s="1"/>
      <c r="AN146" s="1" t="s">
        <v>74</v>
      </c>
      <c r="AO146">
        <v>74</v>
      </c>
      <c r="AP146" s="1" t="s">
        <v>1416</v>
      </c>
      <c r="AQ146" s="1" t="s">
        <v>1457</v>
      </c>
      <c r="AR146" s="1" t="s">
        <v>1508</v>
      </c>
      <c r="AS146" s="1" t="s">
        <v>95</v>
      </c>
      <c r="AT146" s="3">
        <v>41262</v>
      </c>
      <c r="AU146" s="3">
        <v>41262</v>
      </c>
      <c r="AV146" s="3">
        <v>41274</v>
      </c>
      <c r="AW146" s="1" t="s">
        <v>1221</v>
      </c>
      <c r="AX146" s="1" t="s">
        <v>1457</v>
      </c>
      <c r="AY146">
        <v>2029.5</v>
      </c>
      <c r="AZ146">
        <v>76</v>
      </c>
      <c r="BA146">
        <v>260953.83</v>
      </c>
      <c r="BB146" s="1"/>
      <c r="BD146" s="1"/>
      <c r="BE146" s="1"/>
      <c r="BG146" s="1"/>
      <c r="BH146" s="1"/>
      <c r="BJ146" s="1"/>
      <c r="BL146" s="1"/>
      <c r="BN146" s="1"/>
      <c r="BO146">
        <v>186</v>
      </c>
      <c r="BP146">
        <v>260953.83</v>
      </c>
      <c r="BQ146">
        <v>260953.83</v>
      </c>
    </row>
    <row r="147" spans="1:69" x14ac:dyDescent="0.35">
      <c r="A147" s="1" t="s">
        <v>68</v>
      </c>
      <c r="B147" s="1" t="s">
        <v>69</v>
      </c>
      <c r="C147" s="1" t="s">
        <v>70</v>
      </c>
      <c r="D147">
        <v>1</v>
      </c>
      <c r="E147">
        <v>1</v>
      </c>
      <c r="F147" s="2">
        <v>43584.863483796296</v>
      </c>
      <c r="G147" s="3">
        <v>40909</v>
      </c>
      <c r="H147" s="3">
        <v>41274</v>
      </c>
      <c r="I147" s="1" t="s">
        <v>71</v>
      </c>
      <c r="J147">
        <v>4521</v>
      </c>
      <c r="K147">
        <v>0</v>
      </c>
      <c r="L147" s="1" t="s">
        <v>384</v>
      </c>
      <c r="M147" s="1" t="s">
        <v>72</v>
      </c>
      <c r="N147" s="1" t="s">
        <v>134</v>
      </c>
      <c r="O147" s="1" t="s">
        <v>385</v>
      </c>
      <c r="P147" s="1" t="s">
        <v>386</v>
      </c>
      <c r="Q147" s="1" t="s">
        <v>387</v>
      </c>
      <c r="R147">
        <v>103</v>
      </c>
      <c r="S147" s="1" t="s">
        <v>135</v>
      </c>
      <c r="T147" s="1" t="s">
        <v>388</v>
      </c>
      <c r="U147" s="1" t="s">
        <v>135</v>
      </c>
      <c r="V147" s="1"/>
      <c r="W147" s="1"/>
      <c r="X147" s="1"/>
      <c r="Y147" s="1"/>
      <c r="AA147" s="1"/>
      <c r="AC147" s="1"/>
      <c r="AD147" s="1"/>
      <c r="AE147" s="1"/>
      <c r="AN147" s="1" t="s">
        <v>74</v>
      </c>
      <c r="AO147">
        <v>75</v>
      </c>
      <c r="AP147" s="1" t="s">
        <v>1411</v>
      </c>
      <c r="AQ147" s="1" t="s">
        <v>1452</v>
      </c>
      <c r="AR147" s="1" t="s">
        <v>1503</v>
      </c>
      <c r="AS147" s="1" t="s">
        <v>95</v>
      </c>
      <c r="AT147" s="3">
        <v>41262</v>
      </c>
      <c r="AU147" s="3">
        <v>41262</v>
      </c>
      <c r="AV147" s="3">
        <v>41274</v>
      </c>
      <c r="AW147" s="1" t="s">
        <v>1221</v>
      </c>
      <c r="AX147" s="1" t="s">
        <v>1536</v>
      </c>
      <c r="AY147">
        <v>1480</v>
      </c>
      <c r="AZ147">
        <v>76</v>
      </c>
      <c r="BA147">
        <v>260953.83</v>
      </c>
      <c r="BB147" s="1"/>
      <c r="BD147" s="1"/>
      <c r="BE147" s="1"/>
      <c r="BG147" s="1"/>
      <c r="BH147" s="1"/>
      <c r="BJ147" s="1"/>
      <c r="BL147" s="1"/>
      <c r="BN147" s="1"/>
      <c r="BO147">
        <v>186</v>
      </c>
      <c r="BP147">
        <v>260953.83</v>
      </c>
      <c r="BQ147">
        <v>260953.83</v>
      </c>
    </row>
    <row r="148" spans="1:69" x14ac:dyDescent="0.35">
      <c r="A148" s="1" t="s">
        <v>68</v>
      </c>
      <c r="B148" s="1" t="s">
        <v>69</v>
      </c>
      <c r="C148" s="1" t="s">
        <v>70</v>
      </c>
      <c r="D148">
        <v>1</v>
      </c>
      <c r="E148">
        <v>1</v>
      </c>
      <c r="F148" s="2">
        <v>43584.863483796296</v>
      </c>
      <c r="G148" s="3">
        <v>40909</v>
      </c>
      <c r="H148" s="3">
        <v>41274</v>
      </c>
      <c r="I148" s="1" t="s">
        <v>71</v>
      </c>
      <c r="J148">
        <v>4521</v>
      </c>
      <c r="K148">
        <v>0</v>
      </c>
      <c r="L148" s="1" t="s">
        <v>384</v>
      </c>
      <c r="M148" s="1" t="s">
        <v>72</v>
      </c>
      <c r="N148" s="1" t="s">
        <v>134</v>
      </c>
      <c r="O148" s="1" t="s">
        <v>385</v>
      </c>
      <c r="P148" s="1" t="s">
        <v>386</v>
      </c>
      <c r="Q148" s="1" t="s">
        <v>387</v>
      </c>
      <c r="R148">
        <v>103</v>
      </c>
      <c r="S148" s="1" t="s">
        <v>135</v>
      </c>
      <c r="T148" s="1" t="s">
        <v>388</v>
      </c>
      <c r="U148" s="1" t="s">
        <v>135</v>
      </c>
      <c r="V148" s="1"/>
      <c r="W148" s="1"/>
      <c r="X148" s="1"/>
      <c r="Y148" s="1"/>
      <c r="AA148" s="1"/>
      <c r="AC148" s="1"/>
      <c r="AD148" s="1"/>
      <c r="AE148" s="1"/>
      <c r="AN148" s="1" t="s">
        <v>74</v>
      </c>
      <c r="AO148">
        <v>76</v>
      </c>
      <c r="AP148" s="1" t="s">
        <v>1417</v>
      </c>
      <c r="AQ148" s="1" t="s">
        <v>1458</v>
      </c>
      <c r="AR148" s="1" t="s">
        <v>1509</v>
      </c>
      <c r="AS148" s="1" t="s">
        <v>97</v>
      </c>
      <c r="AT148" s="3">
        <v>41263</v>
      </c>
      <c r="AU148" s="3">
        <v>41263</v>
      </c>
      <c r="AV148" s="3">
        <v>41263</v>
      </c>
      <c r="AW148" s="1" t="s">
        <v>1221</v>
      </c>
      <c r="AX148" s="1" t="s">
        <v>1458</v>
      </c>
      <c r="AY148">
        <v>272.83999999999997</v>
      </c>
      <c r="AZ148">
        <v>76</v>
      </c>
      <c r="BA148">
        <v>260953.83</v>
      </c>
      <c r="BB148" s="1"/>
      <c r="BD148" s="1"/>
      <c r="BE148" s="1"/>
      <c r="BG148" s="1"/>
      <c r="BH148" s="1"/>
      <c r="BJ148" s="1"/>
      <c r="BL148" s="1"/>
      <c r="BN148" s="1"/>
      <c r="BO148">
        <v>186</v>
      </c>
      <c r="BP148">
        <v>260953.83</v>
      </c>
      <c r="BQ148">
        <v>260953.83</v>
      </c>
    </row>
    <row r="149" spans="1:69" x14ac:dyDescent="0.35">
      <c r="A149" s="1" t="s">
        <v>68</v>
      </c>
      <c r="B149" s="1" t="s">
        <v>69</v>
      </c>
      <c r="C149" s="1" t="s">
        <v>70</v>
      </c>
      <c r="D149">
        <v>1</v>
      </c>
      <c r="E149">
        <v>1</v>
      </c>
      <c r="F149" s="2">
        <v>43584.863483796296</v>
      </c>
      <c r="G149" s="3">
        <v>40909</v>
      </c>
      <c r="H149" s="3">
        <v>41274</v>
      </c>
      <c r="I149" s="1" t="s">
        <v>71</v>
      </c>
      <c r="J149">
        <v>4521</v>
      </c>
      <c r="K149">
        <v>0</v>
      </c>
      <c r="L149" s="1" t="s">
        <v>384</v>
      </c>
      <c r="M149" s="1" t="s">
        <v>72</v>
      </c>
      <c r="N149" s="1" t="s">
        <v>134</v>
      </c>
      <c r="O149" s="1" t="s">
        <v>385</v>
      </c>
      <c r="P149" s="1" t="s">
        <v>386</v>
      </c>
      <c r="Q149" s="1" t="s">
        <v>387</v>
      </c>
      <c r="R149">
        <v>103</v>
      </c>
      <c r="S149" s="1" t="s">
        <v>135</v>
      </c>
      <c r="T149" s="1" t="s">
        <v>388</v>
      </c>
      <c r="U149" s="1" t="s">
        <v>135</v>
      </c>
      <c r="V149" s="1"/>
      <c r="W149" s="1"/>
      <c r="X149" s="1"/>
      <c r="Y149" s="1"/>
      <c r="AA149" s="1"/>
      <c r="AC149" s="1"/>
      <c r="AD149" s="1"/>
      <c r="AE149" s="1"/>
      <c r="AN149" s="1"/>
      <c r="AP149" s="1"/>
      <c r="AQ149" s="1"/>
      <c r="AR149" s="1"/>
      <c r="AS149" s="1"/>
      <c r="AT149" s="3"/>
      <c r="AU149" s="3"/>
      <c r="AV149" s="3"/>
      <c r="AW149" s="1"/>
      <c r="AX149" s="1"/>
      <c r="AZ149">
        <v>76</v>
      </c>
      <c r="BA149">
        <v>260953.83</v>
      </c>
      <c r="BB149" s="1" t="s">
        <v>74</v>
      </c>
      <c r="BC149">
        <v>1</v>
      </c>
      <c r="BD149" s="1" t="s">
        <v>1348</v>
      </c>
      <c r="BE149" s="1" t="s">
        <v>473</v>
      </c>
      <c r="BF149">
        <v>1580</v>
      </c>
      <c r="BG149" s="1" t="s">
        <v>1515</v>
      </c>
      <c r="BH149" s="1" t="s">
        <v>99</v>
      </c>
      <c r="BI149">
        <v>0</v>
      </c>
      <c r="BJ149" s="1"/>
      <c r="BL149" s="1"/>
      <c r="BN149" s="1"/>
      <c r="BO149">
        <v>186</v>
      </c>
      <c r="BP149">
        <v>260953.83</v>
      </c>
      <c r="BQ149">
        <v>260953.83</v>
      </c>
    </row>
    <row r="150" spans="1:69" x14ac:dyDescent="0.35">
      <c r="A150" s="1" t="s">
        <v>68</v>
      </c>
      <c r="B150" s="1" t="s">
        <v>69</v>
      </c>
      <c r="C150" s="1" t="s">
        <v>70</v>
      </c>
      <c r="D150">
        <v>1</v>
      </c>
      <c r="E150">
        <v>1</v>
      </c>
      <c r="F150" s="2">
        <v>43584.863483796296</v>
      </c>
      <c r="G150" s="3">
        <v>40909</v>
      </c>
      <c r="H150" s="3">
        <v>41274</v>
      </c>
      <c r="I150" s="1" t="s">
        <v>71</v>
      </c>
      <c r="J150">
        <v>4521</v>
      </c>
      <c r="K150">
        <v>0</v>
      </c>
      <c r="L150" s="1" t="s">
        <v>384</v>
      </c>
      <c r="M150" s="1" t="s">
        <v>72</v>
      </c>
      <c r="N150" s="1" t="s">
        <v>134</v>
      </c>
      <c r="O150" s="1" t="s">
        <v>385</v>
      </c>
      <c r="P150" s="1" t="s">
        <v>386</v>
      </c>
      <c r="Q150" s="1" t="s">
        <v>387</v>
      </c>
      <c r="R150">
        <v>103</v>
      </c>
      <c r="S150" s="1" t="s">
        <v>135</v>
      </c>
      <c r="T150" s="1" t="s">
        <v>388</v>
      </c>
      <c r="U150" s="1" t="s">
        <v>135</v>
      </c>
      <c r="V150" s="1"/>
      <c r="W150" s="1"/>
      <c r="X150" s="1"/>
      <c r="Y150" s="1"/>
      <c r="AA150" s="1"/>
      <c r="AC150" s="1"/>
      <c r="AD150" s="1"/>
      <c r="AE150" s="1"/>
      <c r="AN150" s="1"/>
      <c r="AP150" s="1"/>
      <c r="AQ150" s="1"/>
      <c r="AR150" s="1"/>
      <c r="AS150" s="1"/>
      <c r="AT150" s="3"/>
      <c r="AU150" s="3"/>
      <c r="AV150" s="3"/>
      <c r="AW150" s="1"/>
      <c r="AX150" s="1"/>
      <c r="AZ150">
        <v>76</v>
      </c>
      <c r="BA150">
        <v>260953.83</v>
      </c>
      <c r="BB150" s="1" t="s">
        <v>74</v>
      </c>
      <c r="BC150">
        <v>2</v>
      </c>
      <c r="BD150" s="1" t="s">
        <v>1348</v>
      </c>
      <c r="BE150" s="1" t="s">
        <v>99</v>
      </c>
      <c r="BF150">
        <v>0</v>
      </c>
      <c r="BG150" s="1"/>
      <c r="BH150" s="1" t="s">
        <v>416</v>
      </c>
      <c r="BI150">
        <v>1943.4</v>
      </c>
      <c r="BJ150" s="1" t="s">
        <v>1515</v>
      </c>
      <c r="BL150" s="1"/>
      <c r="BN150" s="1"/>
      <c r="BO150">
        <v>186</v>
      </c>
      <c r="BP150">
        <v>260953.83</v>
      </c>
      <c r="BQ150">
        <v>260953.83</v>
      </c>
    </row>
    <row r="151" spans="1:69" x14ac:dyDescent="0.35">
      <c r="A151" s="1" t="s">
        <v>68</v>
      </c>
      <c r="B151" s="1" t="s">
        <v>69</v>
      </c>
      <c r="C151" s="1" t="s">
        <v>70</v>
      </c>
      <c r="D151">
        <v>1</v>
      </c>
      <c r="E151">
        <v>1</v>
      </c>
      <c r="F151" s="2">
        <v>43584.863483796296</v>
      </c>
      <c r="G151" s="3">
        <v>40909</v>
      </c>
      <c r="H151" s="3">
        <v>41274</v>
      </c>
      <c r="I151" s="1" t="s">
        <v>71</v>
      </c>
      <c r="J151">
        <v>4521</v>
      </c>
      <c r="K151">
        <v>0</v>
      </c>
      <c r="L151" s="1" t="s">
        <v>384</v>
      </c>
      <c r="M151" s="1" t="s">
        <v>72</v>
      </c>
      <c r="N151" s="1" t="s">
        <v>134</v>
      </c>
      <c r="O151" s="1" t="s">
        <v>385</v>
      </c>
      <c r="P151" s="1" t="s">
        <v>386</v>
      </c>
      <c r="Q151" s="1" t="s">
        <v>387</v>
      </c>
      <c r="R151">
        <v>103</v>
      </c>
      <c r="S151" s="1" t="s">
        <v>135</v>
      </c>
      <c r="T151" s="1" t="s">
        <v>388</v>
      </c>
      <c r="U151" s="1" t="s">
        <v>135</v>
      </c>
      <c r="V151" s="1"/>
      <c r="W151" s="1"/>
      <c r="X151" s="1"/>
      <c r="Y151" s="1"/>
      <c r="AA151" s="1"/>
      <c r="AC151" s="1"/>
      <c r="AD151" s="1"/>
      <c r="AE151" s="1"/>
      <c r="AN151" s="1"/>
      <c r="AP151" s="1"/>
      <c r="AQ151" s="1"/>
      <c r="AR151" s="1"/>
      <c r="AS151" s="1"/>
      <c r="AT151" s="3"/>
      <c r="AU151" s="3"/>
      <c r="AV151" s="3"/>
      <c r="AW151" s="1"/>
      <c r="AX151" s="1"/>
      <c r="AZ151">
        <v>76</v>
      </c>
      <c r="BA151">
        <v>260953.83</v>
      </c>
      <c r="BB151" s="1" t="s">
        <v>74</v>
      </c>
      <c r="BC151">
        <v>3</v>
      </c>
      <c r="BD151" s="1" t="s">
        <v>1348</v>
      </c>
      <c r="BE151" s="1" t="s">
        <v>452</v>
      </c>
      <c r="BF151">
        <v>363.4</v>
      </c>
      <c r="BG151" s="1" t="s">
        <v>1515</v>
      </c>
      <c r="BH151" s="1" t="s">
        <v>99</v>
      </c>
      <c r="BI151">
        <v>0</v>
      </c>
      <c r="BJ151" s="1"/>
      <c r="BL151" s="1"/>
      <c r="BN151" s="1"/>
      <c r="BO151">
        <v>186</v>
      </c>
      <c r="BP151">
        <v>260953.83</v>
      </c>
      <c r="BQ151">
        <v>260953.83</v>
      </c>
    </row>
    <row r="152" spans="1:69" x14ac:dyDescent="0.35">
      <c r="A152" s="1" t="s">
        <v>68</v>
      </c>
      <c r="B152" s="1" t="s">
        <v>69</v>
      </c>
      <c r="C152" s="1" t="s">
        <v>70</v>
      </c>
      <c r="D152">
        <v>1</v>
      </c>
      <c r="E152">
        <v>1</v>
      </c>
      <c r="F152" s="2">
        <v>43584.863483796296</v>
      </c>
      <c r="G152" s="3">
        <v>40909</v>
      </c>
      <c r="H152" s="3">
        <v>41274</v>
      </c>
      <c r="I152" s="1" t="s">
        <v>71</v>
      </c>
      <c r="J152">
        <v>4521</v>
      </c>
      <c r="K152">
        <v>0</v>
      </c>
      <c r="L152" s="1" t="s">
        <v>384</v>
      </c>
      <c r="M152" s="1" t="s">
        <v>72</v>
      </c>
      <c r="N152" s="1" t="s">
        <v>134</v>
      </c>
      <c r="O152" s="1" t="s">
        <v>385</v>
      </c>
      <c r="P152" s="1" t="s">
        <v>386</v>
      </c>
      <c r="Q152" s="1" t="s">
        <v>387</v>
      </c>
      <c r="R152">
        <v>103</v>
      </c>
      <c r="S152" s="1" t="s">
        <v>135</v>
      </c>
      <c r="T152" s="1" t="s">
        <v>388</v>
      </c>
      <c r="U152" s="1" t="s">
        <v>135</v>
      </c>
      <c r="V152" s="1"/>
      <c r="W152" s="1"/>
      <c r="X152" s="1"/>
      <c r="Y152" s="1"/>
      <c r="AA152" s="1"/>
      <c r="AC152" s="1"/>
      <c r="AD152" s="1"/>
      <c r="AE152" s="1"/>
      <c r="AN152" s="1"/>
      <c r="AP152" s="1"/>
      <c r="AQ152" s="1"/>
      <c r="AR152" s="1"/>
      <c r="AS152" s="1"/>
      <c r="AT152" s="3"/>
      <c r="AU152" s="3"/>
      <c r="AV152" s="3"/>
      <c r="AW152" s="1"/>
      <c r="AX152" s="1"/>
      <c r="AZ152">
        <v>76</v>
      </c>
      <c r="BA152">
        <v>260953.83</v>
      </c>
      <c r="BB152" s="1" t="s">
        <v>74</v>
      </c>
      <c r="BC152">
        <v>4</v>
      </c>
      <c r="BD152" s="1" t="s">
        <v>1349</v>
      </c>
      <c r="BE152" s="1" t="s">
        <v>1307</v>
      </c>
      <c r="BF152">
        <v>1580</v>
      </c>
      <c r="BG152" s="1" t="s">
        <v>1515</v>
      </c>
      <c r="BH152" s="1" t="s">
        <v>99</v>
      </c>
      <c r="BI152">
        <v>0</v>
      </c>
      <c r="BJ152" s="1"/>
      <c r="BL152" s="1"/>
      <c r="BN152" s="1"/>
      <c r="BO152">
        <v>186</v>
      </c>
      <c r="BP152">
        <v>260953.83</v>
      </c>
      <c r="BQ152">
        <v>260953.83</v>
      </c>
    </row>
    <row r="153" spans="1:69" x14ac:dyDescent="0.35">
      <c r="A153" s="1" t="s">
        <v>68</v>
      </c>
      <c r="B153" s="1" t="s">
        <v>69</v>
      </c>
      <c r="C153" s="1" t="s">
        <v>70</v>
      </c>
      <c r="D153">
        <v>1</v>
      </c>
      <c r="E153">
        <v>1</v>
      </c>
      <c r="F153" s="2">
        <v>43584.863483796296</v>
      </c>
      <c r="G153" s="3">
        <v>40909</v>
      </c>
      <c r="H153" s="3">
        <v>41274</v>
      </c>
      <c r="I153" s="1" t="s">
        <v>71</v>
      </c>
      <c r="J153">
        <v>4521</v>
      </c>
      <c r="K153">
        <v>0</v>
      </c>
      <c r="L153" s="1" t="s">
        <v>384</v>
      </c>
      <c r="M153" s="1" t="s">
        <v>72</v>
      </c>
      <c r="N153" s="1" t="s">
        <v>134</v>
      </c>
      <c r="O153" s="1" t="s">
        <v>385</v>
      </c>
      <c r="P153" s="1" t="s">
        <v>386</v>
      </c>
      <c r="Q153" s="1" t="s">
        <v>387</v>
      </c>
      <c r="R153">
        <v>103</v>
      </c>
      <c r="S153" s="1" t="s">
        <v>135</v>
      </c>
      <c r="T153" s="1" t="s">
        <v>388</v>
      </c>
      <c r="U153" s="1" t="s">
        <v>135</v>
      </c>
      <c r="V153" s="1"/>
      <c r="W153" s="1"/>
      <c r="X153" s="1"/>
      <c r="Y153" s="1"/>
      <c r="AA153" s="1"/>
      <c r="AC153" s="1"/>
      <c r="AD153" s="1"/>
      <c r="AE153" s="1"/>
      <c r="AN153" s="1"/>
      <c r="AP153" s="1"/>
      <c r="AQ153" s="1"/>
      <c r="AR153" s="1"/>
      <c r="AS153" s="1"/>
      <c r="AT153" s="3"/>
      <c r="AU153" s="3"/>
      <c r="AV153" s="3"/>
      <c r="AW153" s="1"/>
      <c r="AX153" s="1"/>
      <c r="AZ153">
        <v>76</v>
      </c>
      <c r="BA153">
        <v>260953.83</v>
      </c>
      <c r="BB153" s="1" t="s">
        <v>74</v>
      </c>
      <c r="BC153">
        <v>5</v>
      </c>
      <c r="BD153" s="1" t="s">
        <v>1349</v>
      </c>
      <c r="BE153" s="1" t="s">
        <v>99</v>
      </c>
      <c r="BF153">
        <v>0</v>
      </c>
      <c r="BG153" s="1"/>
      <c r="BH153" s="1" t="s">
        <v>136</v>
      </c>
      <c r="BI153">
        <v>1580</v>
      </c>
      <c r="BJ153" s="1" t="s">
        <v>1515</v>
      </c>
      <c r="BL153" s="1"/>
      <c r="BN153" s="1"/>
      <c r="BO153">
        <v>186</v>
      </c>
      <c r="BP153">
        <v>260953.83</v>
      </c>
      <c r="BQ153">
        <v>260953.83</v>
      </c>
    </row>
    <row r="154" spans="1:69" x14ac:dyDescent="0.35">
      <c r="A154" s="1" t="s">
        <v>68</v>
      </c>
      <c r="B154" s="1" t="s">
        <v>69</v>
      </c>
      <c r="C154" s="1" t="s">
        <v>70</v>
      </c>
      <c r="D154">
        <v>1</v>
      </c>
      <c r="E154">
        <v>1</v>
      </c>
      <c r="F154" s="2">
        <v>43584.863483796296</v>
      </c>
      <c r="G154" s="3">
        <v>40909</v>
      </c>
      <c r="H154" s="3">
        <v>41274</v>
      </c>
      <c r="I154" s="1" t="s">
        <v>71</v>
      </c>
      <c r="J154">
        <v>4521</v>
      </c>
      <c r="K154">
        <v>0</v>
      </c>
      <c r="L154" s="1" t="s">
        <v>384</v>
      </c>
      <c r="M154" s="1" t="s">
        <v>72</v>
      </c>
      <c r="N154" s="1" t="s">
        <v>134</v>
      </c>
      <c r="O154" s="1" t="s">
        <v>385</v>
      </c>
      <c r="P154" s="1" t="s">
        <v>386</v>
      </c>
      <c r="Q154" s="1" t="s">
        <v>387</v>
      </c>
      <c r="R154">
        <v>103</v>
      </c>
      <c r="S154" s="1" t="s">
        <v>135</v>
      </c>
      <c r="T154" s="1" t="s">
        <v>388</v>
      </c>
      <c r="U154" s="1" t="s">
        <v>135</v>
      </c>
      <c r="V154" s="1"/>
      <c r="W154" s="1"/>
      <c r="X154" s="1"/>
      <c r="Y154" s="1"/>
      <c r="AA154" s="1"/>
      <c r="AC154" s="1"/>
      <c r="AD154" s="1"/>
      <c r="AE154" s="1"/>
      <c r="AN154" s="1"/>
      <c r="AP154" s="1"/>
      <c r="AQ154" s="1"/>
      <c r="AR154" s="1"/>
      <c r="AS154" s="1"/>
      <c r="AT154" s="3"/>
      <c r="AU154" s="3"/>
      <c r="AV154" s="3"/>
      <c r="AW154" s="1"/>
      <c r="AX154" s="1"/>
      <c r="AZ154">
        <v>76</v>
      </c>
      <c r="BA154">
        <v>260953.83</v>
      </c>
      <c r="BB154" s="1" t="s">
        <v>74</v>
      </c>
      <c r="BC154">
        <v>6</v>
      </c>
      <c r="BD154" s="1" t="s">
        <v>1350</v>
      </c>
      <c r="BE154" s="1" t="s">
        <v>1306</v>
      </c>
      <c r="BF154">
        <v>269</v>
      </c>
      <c r="BG154" s="1" t="s">
        <v>1419</v>
      </c>
      <c r="BH154" s="1" t="s">
        <v>99</v>
      </c>
      <c r="BI154">
        <v>0</v>
      </c>
      <c r="BJ154" s="1"/>
      <c r="BL154" s="1"/>
      <c r="BN154" s="1"/>
      <c r="BO154">
        <v>186</v>
      </c>
      <c r="BP154">
        <v>260953.83</v>
      </c>
      <c r="BQ154">
        <v>260953.83</v>
      </c>
    </row>
    <row r="155" spans="1:69" x14ac:dyDescent="0.35">
      <c r="A155" s="1" t="s">
        <v>68</v>
      </c>
      <c r="B155" s="1" t="s">
        <v>69</v>
      </c>
      <c r="C155" s="1" t="s">
        <v>70</v>
      </c>
      <c r="D155">
        <v>1</v>
      </c>
      <c r="E155">
        <v>1</v>
      </c>
      <c r="F155" s="2">
        <v>43584.863483796296</v>
      </c>
      <c r="G155" s="3">
        <v>40909</v>
      </c>
      <c r="H155" s="3">
        <v>41274</v>
      </c>
      <c r="I155" s="1" t="s">
        <v>71</v>
      </c>
      <c r="J155">
        <v>4521</v>
      </c>
      <c r="K155">
        <v>0</v>
      </c>
      <c r="L155" s="1" t="s">
        <v>384</v>
      </c>
      <c r="M155" s="1" t="s">
        <v>72</v>
      </c>
      <c r="N155" s="1" t="s">
        <v>134</v>
      </c>
      <c r="O155" s="1" t="s">
        <v>385</v>
      </c>
      <c r="P155" s="1" t="s">
        <v>386</v>
      </c>
      <c r="Q155" s="1" t="s">
        <v>387</v>
      </c>
      <c r="R155">
        <v>103</v>
      </c>
      <c r="S155" s="1" t="s">
        <v>135</v>
      </c>
      <c r="T155" s="1" t="s">
        <v>388</v>
      </c>
      <c r="U155" s="1" t="s">
        <v>135</v>
      </c>
      <c r="V155" s="1"/>
      <c r="W155" s="1"/>
      <c r="X155" s="1"/>
      <c r="Y155" s="1"/>
      <c r="AA155" s="1"/>
      <c r="AC155" s="1"/>
      <c r="AD155" s="1"/>
      <c r="AE155" s="1"/>
      <c r="AN155" s="1"/>
      <c r="AP155" s="1"/>
      <c r="AQ155" s="1"/>
      <c r="AR155" s="1"/>
      <c r="AS155" s="1"/>
      <c r="AT155" s="3"/>
      <c r="AU155" s="3"/>
      <c r="AV155" s="3"/>
      <c r="AW155" s="1"/>
      <c r="AX155" s="1"/>
      <c r="AZ155">
        <v>76</v>
      </c>
      <c r="BA155">
        <v>260953.83</v>
      </c>
      <c r="BB155" s="1" t="s">
        <v>74</v>
      </c>
      <c r="BC155">
        <v>7</v>
      </c>
      <c r="BD155" s="1" t="s">
        <v>1350</v>
      </c>
      <c r="BE155" s="1" t="s">
        <v>99</v>
      </c>
      <c r="BF155">
        <v>0</v>
      </c>
      <c r="BG155" s="1"/>
      <c r="BH155" s="1" t="s">
        <v>413</v>
      </c>
      <c r="BI155">
        <v>330.87</v>
      </c>
      <c r="BJ155" s="1" t="s">
        <v>1419</v>
      </c>
      <c r="BL155" s="1"/>
      <c r="BN155" s="1"/>
      <c r="BO155">
        <v>186</v>
      </c>
      <c r="BP155">
        <v>260953.83</v>
      </c>
      <c r="BQ155">
        <v>260953.83</v>
      </c>
    </row>
    <row r="156" spans="1:69" x14ac:dyDescent="0.35">
      <c r="A156" s="1" t="s">
        <v>68</v>
      </c>
      <c r="B156" s="1" t="s">
        <v>69</v>
      </c>
      <c r="C156" s="1" t="s">
        <v>70</v>
      </c>
      <c r="D156">
        <v>1</v>
      </c>
      <c r="E156">
        <v>1</v>
      </c>
      <c r="F156" s="2">
        <v>43584.863483796296</v>
      </c>
      <c r="G156" s="3">
        <v>40909</v>
      </c>
      <c r="H156" s="3">
        <v>41274</v>
      </c>
      <c r="I156" s="1" t="s">
        <v>71</v>
      </c>
      <c r="J156">
        <v>4521</v>
      </c>
      <c r="K156">
        <v>0</v>
      </c>
      <c r="L156" s="1" t="s">
        <v>384</v>
      </c>
      <c r="M156" s="1" t="s">
        <v>72</v>
      </c>
      <c r="N156" s="1" t="s">
        <v>134</v>
      </c>
      <c r="O156" s="1" t="s">
        <v>385</v>
      </c>
      <c r="P156" s="1" t="s">
        <v>386</v>
      </c>
      <c r="Q156" s="1" t="s">
        <v>387</v>
      </c>
      <c r="R156">
        <v>103</v>
      </c>
      <c r="S156" s="1" t="s">
        <v>135</v>
      </c>
      <c r="T156" s="1" t="s">
        <v>388</v>
      </c>
      <c r="U156" s="1" t="s">
        <v>135</v>
      </c>
      <c r="V156" s="1"/>
      <c r="W156" s="1"/>
      <c r="X156" s="1"/>
      <c r="Y156" s="1"/>
      <c r="AA156" s="1"/>
      <c r="AC156" s="1"/>
      <c r="AD156" s="1"/>
      <c r="AE156" s="1"/>
      <c r="AN156" s="1"/>
      <c r="AP156" s="1"/>
      <c r="AQ156" s="1"/>
      <c r="AR156" s="1"/>
      <c r="AS156" s="1"/>
      <c r="AT156" s="3"/>
      <c r="AU156" s="3"/>
      <c r="AV156" s="3"/>
      <c r="AW156" s="1"/>
      <c r="AX156" s="1"/>
      <c r="AZ156">
        <v>76</v>
      </c>
      <c r="BA156">
        <v>260953.83</v>
      </c>
      <c r="BB156" s="1" t="s">
        <v>74</v>
      </c>
      <c r="BC156">
        <v>8</v>
      </c>
      <c r="BD156" s="1" t="s">
        <v>1350</v>
      </c>
      <c r="BE156" s="1" t="s">
        <v>452</v>
      </c>
      <c r="BF156">
        <v>61.87</v>
      </c>
      <c r="BG156" s="1" t="s">
        <v>1419</v>
      </c>
      <c r="BH156" s="1" t="s">
        <v>99</v>
      </c>
      <c r="BI156">
        <v>0</v>
      </c>
      <c r="BJ156" s="1"/>
      <c r="BL156" s="1"/>
      <c r="BN156" s="1"/>
      <c r="BO156">
        <v>186</v>
      </c>
      <c r="BP156">
        <v>260953.83</v>
      </c>
      <c r="BQ156">
        <v>260953.83</v>
      </c>
    </row>
    <row r="157" spans="1:69" x14ac:dyDescent="0.35">
      <c r="A157" s="1" t="s">
        <v>68</v>
      </c>
      <c r="B157" s="1" t="s">
        <v>69</v>
      </c>
      <c r="C157" s="1" t="s">
        <v>70</v>
      </c>
      <c r="D157">
        <v>1</v>
      </c>
      <c r="E157">
        <v>1</v>
      </c>
      <c r="F157" s="2">
        <v>43584.863483796296</v>
      </c>
      <c r="G157" s="3">
        <v>40909</v>
      </c>
      <c r="H157" s="3">
        <v>41274</v>
      </c>
      <c r="I157" s="1" t="s">
        <v>71</v>
      </c>
      <c r="J157">
        <v>4521</v>
      </c>
      <c r="K157">
        <v>0</v>
      </c>
      <c r="L157" s="1" t="s">
        <v>384</v>
      </c>
      <c r="M157" s="1" t="s">
        <v>72</v>
      </c>
      <c r="N157" s="1" t="s">
        <v>134</v>
      </c>
      <c r="O157" s="1" t="s">
        <v>385</v>
      </c>
      <c r="P157" s="1" t="s">
        <v>386</v>
      </c>
      <c r="Q157" s="1" t="s">
        <v>387</v>
      </c>
      <c r="R157">
        <v>103</v>
      </c>
      <c r="S157" s="1" t="s">
        <v>135</v>
      </c>
      <c r="T157" s="1" t="s">
        <v>388</v>
      </c>
      <c r="U157" s="1" t="s">
        <v>135</v>
      </c>
      <c r="V157" s="1"/>
      <c r="W157" s="1"/>
      <c r="X157" s="1"/>
      <c r="Y157" s="1"/>
      <c r="AA157" s="1"/>
      <c r="AC157" s="1"/>
      <c r="AD157" s="1"/>
      <c r="AE157" s="1"/>
      <c r="AN157" s="1"/>
      <c r="AP157" s="1"/>
      <c r="AQ157" s="1"/>
      <c r="AR157" s="1"/>
      <c r="AS157" s="1"/>
      <c r="AT157" s="3"/>
      <c r="AU157" s="3"/>
      <c r="AV157" s="3"/>
      <c r="AW157" s="1"/>
      <c r="AX157" s="1"/>
      <c r="AZ157">
        <v>76</v>
      </c>
      <c r="BA157">
        <v>260953.83</v>
      </c>
      <c r="BB157" s="1" t="s">
        <v>74</v>
      </c>
      <c r="BC157">
        <v>9</v>
      </c>
      <c r="BD157" s="1" t="s">
        <v>1351</v>
      </c>
      <c r="BE157" s="1" t="s">
        <v>1307</v>
      </c>
      <c r="BF157">
        <v>269</v>
      </c>
      <c r="BG157" s="1" t="s">
        <v>1419</v>
      </c>
      <c r="BH157" s="1" t="s">
        <v>99</v>
      </c>
      <c r="BI157">
        <v>0</v>
      </c>
      <c r="BJ157" s="1"/>
      <c r="BL157" s="1"/>
      <c r="BN157" s="1"/>
      <c r="BO157">
        <v>186</v>
      </c>
      <c r="BP157">
        <v>260953.83</v>
      </c>
      <c r="BQ157">
        <v>260953.83</v>
      </c>
    </row>
    <row r="158" spans="1:69" x14ac:dyDescent="0.35">
      <c r="A158" s="1" t="s">
        <v>68</v>
      </c>
      <c r="B158" s="1" t="s">
        <v>69</v>
      </c>
      <c r="C158" s="1" t="s">
        <v>70</v>
      </c>
      <c r="D158">
        <v>1</v>
      </c>
      <c r="E158">
        <v>1</v>
      </c>
      <c r="F158" s="2">
        <v>43584.863483796296</v>
      </c>
      <c r="G158" s="3">
        <v>40909</v>
      </c>
      <c r="H158" s="3">
        <v>41274</v>
      </c>
      <c r="I158" s="1" t="s">
        <v>71</v>
      </c>
      <c r="J158">
        <v>4521</v>
      </c>
      <c r="K158">
        <v>0</v>
      </c>
      <c r="L158" s="1" t="s">
        <v>384</v>
      </c>
      <c r="M158" s="1" t="s">
        <v>72</v>
      </c>
      <c r="N158" s="1" t="s">
        <v>134</v>
      </c>
      <c r="O158" s="1" t="s">
        <v>385</v>
      </c>
      <c r="P158" s="1" t="s">
        <v>386</v>
      </c>
      <c r="Q158" s="1" t="s">
        <v>387</v>
      </c>
      <c r="R158">
        <v>103</v>
      </c>
      <c r="S158" s="1" t="s">
        <v>135</v>
      </c>
      <c r="T158" s="1" t="s">
        <v>388</v>
      </c>
      <c r="U158" s="1" t="s">
        <v>135</v>
      </c>
      <c r="V158" s="1"/>
      <c r="W158" s="1"/>
      <c r="X158" s="1"/>
      <c r="Y158" s="1"/>
      <c r="AA158" s="1"/>
      <c r="AC158" s="1"/>
      <c r="AD158" s="1"/>
      <c r="AE158" s="1"/>
      <c r="AN158" s="1"/>
      <c r="AP158" s="1"/>
      <c r="AQ158" s="1"/>
      <c r="AR158" s="1"/>
      <c r="AS158" s="1"/>
      <c r="AT158" s="3"/>
      <c r="AU158" s="3"/>
      <c r="AV158" s="3"/>
      <c r="AW158" s="1"/>
      <c r="AX158" s="1"/>
      <c r="AZ158">
        <v>76</v>
      </c>
      <c r="BA158">
        <v>260953.83</v>
      </c>
      <c r="BB158" s="1" t="s">
        <v>74</v>
      </c>
      <c r="BC158">
        <v>10</v>
      </c>
      <c r="BD158" s="1" t="s">
        <v>1351</v>
      </c>
      <c r="BE158" s="1" t="s">
        <v>99</v>
      </c>
      <c r="BF158">
        <v>0</v>
      </c>
      <c r="BG158" s="1"/>
      <c r="BH158" s="1" t="s">
        <v>136</v>
      </c>
      <c r="BI158">
        <v>269</v>
      </c>
      <c r="BJ158" s="1" t="s">
        <v>1419</v>
      </c>
      <c r="BL158" s="1"/>
      <c r="BN158" s="1"/>
      <c r="BO158">
        <v>186</v>
      </c>
      <c r="BP158">
        <v>260953.83</v>
      </c>
      <c r="BQ158">
        <v>260953.83</v>
      </c>
    </row>
    <row r="159" spans="1:69" x14ac:dyDescent="0.35">
      <c r="A159" s="1" t="s">
        <v>68</v>
      </c>
      <c r="B159" s="1" t="s">
        <v>69</v>
      </c>
      <c r="C159" s="1" t="s">
        <v>70</v>
      </c>
      <c r="D159">
        <v>1</v>
      </c>
      <c r="E159">
        <v>1</v>
      </c>
      <c r="F159" s="2">
        <v>43584.863483796296</v>
      </c>
      <c r="G159" s="3">
        <v>40909</v>
      </c>
      <c r="H159" s="3">
        <v>41274</v>
      </c>
      <c r="I159" s="1" t="s">
        <v>71</v>
      </c>
      <c r="J159">
        <v>4521</v>
      </c>
      <c r="K159">
        <v>0</v>
      </c>
      <c r="L159" s="1" t="s">
        <v>384</v>
      </c>
      <c r="M159" s="1" t="s">
        <v>72</v>
      </c>
      <c r="N159" s="1" t="s">
        <v>134</v>
      </c>
      <c r="O159" s="1" t="s">
        <v>385</v>
      </c>
      <c r="P159" s="1" t="s">
        <v>386</v>
      </c>
      <c r="Q159" s="1" t="s">
        <v>387</v>
      </c>
      <c r="R159">
        <v>103</v>
      </c>
      <c r="S159" s="1" t="s">
        <v>135</v>
      </c>
      <c r="T159" s="1" t="s">
        <v>388</v>
      </c>
      <c r="U159" s="1" t="s">
        <v>135</v>
      </c>
      <c r="V159" s="1"/>
      <c r="W159" s="1"/>
      <c r="X159" s="1"/>
      <c r="Y159" s="1"/>
      <c r="AA159" s="1"/>
      <c r="AC159" s="1"/>
      <c r="AD159" s="1"/>
      <c r="AE159" s="1"/>
      <c r="AN159" s="1"/>
      <c r="AP159" s="1"/>
      <c r="AQ159" s="1"/>
      <c r="AR159" s="1"/>
      <c r="AS159" s="1"/>
      <c r="AT159" s="3"/>
      <c r="AU159" s="3"/>
      <c r="AV159" s="3"/>
      <c r="AW159" s="1"/>
      <c r="AX159" s="1"/>
      <c r="AZ159">
        <v>76</v>
      </c>
      <c r="BA159">
        <v>260953.83</v>
      </c>
      <c r="BB159" s="1" t="s">
        <v>74</v>
      </c>
      <c r="BC159">
        <v>11</v>
      </c>
      <c r="BD159" s="1" t="s">
        <v>1352</v>
      </c>
      <c r="BE159" s="1" t="s">
        <v>473</v>
      </c>
      <c r="BF159">
        <v>1650</v>
      </c>
      <c r="BG159" s="1" t="s">
        <v>1515</v>
      </c>
      <c r="BH159" s="1" t="s">
        <v>99</v>
      </c>
      <c r="BI159">
        <v>0</v>
      </c>
      <c r="BJ159" s="1"/>
      <c r="BL159" s="1"/>
      <c r="BN159" s="1"/>
      <c r="BO159">
        <v>186</v>
      </c>
      <c r="BP159">
        <v>260953.83</v>
      </c>
      <c r="BQ159">
        <v>260953.83</v>
      </c>
    </row>
    <row r="160" spans="1:69" x14ac:dyDescent="0.35">
      <c r="A160" s="1" t="s">
        <v>68</v>
      </c>
      <c r="B160" s="1" t="s">
        <v>69</v>
      </c>
      <c r="C160" s="1" t="s">
        <v>70</v>
      </c>
      <c r="D160">
        <v>1</v>
      </c>
      <c r="E160">
        <v>1</v>
      </c>
      <c r="F160" s="2">
        <v>43584.863483796296</v>
      </c>
      <c r="G160" s="3">
        <v>40909</v>
      </c>
      <c r="H160" s="3">
        <v>41274</v>
      </c>
      <c r="I160" s="1" t="s">
        <v>71</v>
      </c>
      <c r="J160">
        <v>4521</v>
      </c>
      <c r="K160">
        <v>0</v>
      </c>
      <c r="L160" s="1" t="s">
        <v>384</v>
      </c>
      <c r="M160" s="1" t="s">
        <v>72</v>
      </c>
      <c r="N160" s="1" t="s">
        <v>134</v>
      </c>
      <c r="O160" s="1" t="s">
        <v>385</v>
      </c>
      <c r="P160" s="1" t="s">
        <v>386</v>
      </c>
      <c r="Q160" s="1" t="s">
        <v>387</v>
      </c>
      <c r="R160">
        <v>103</v>
      </c>
      <c r="S160" s="1" t="s">
        <v>135</v>
      </c>
      <c r="T160" s="1" t="s">
        <v>388</v>
      </c>
      <c r="U160" s="1" t="s">
        <v>135</v>
      </c>
      <c r="V160" s="1"/>
      <c r="W160" s="1"/>
      <c r="X160" s="1"/>
      <c r="Y160" s="1"/>
      <c r="AA160" s="1"/>
      <c r="AC160" s="1"/>
      <c r="AD160" s="1"/>
      <c r="AE160" s="1"/>
      <c r="AN160" s="1"/>
      <c r="AP160" s="1"/>
      <c r="AQ160" s="1"/>
      <c r="AR160" s="1"/>
      <c r="AS160" s="1"/>
      <c r="AT160" s="3"/>
      <c r="AU160" s="3"/>
      <c r="AV160" s="3"/>
      <c r="AW160" s="1"/>
      <c r="AX160" s="1"/>
      <c r="AZ160">
        <v>76</v>
      </c>
      <c r="BA160">
        <v>260953.83</v>
      </c>
      <c r="BB160" s="1" t="s">
        <v>74</v>
      </c>
      <c r="BC160">
        <v>12</v>
      </c>
      <c r="BD160" s="1" t="s">
        <v>1352</v>
      </c>
      <c r="BE160" s="1" t="s">
        <v>99</v>
      </c>
      <c r="BF160">
        <v>0</v>
      </c>
      <c r="BG160" s="1"/>
      <c r="BH160" s="1" t="s">
        <v>416</v>
      </c>
      <c r="BI160">
        <v>2029.5</v>
      </c>
      <c r="BJ160" s="1" t="s">
        <v>1515</v>
      </c>
      <c r="BL160" s="1"/>
      <c r="BN160" s="1"/>
      <c r="BO160">
        <v>186</v>
      </c>
      <c r="BP160">
        <v>260953.83</v>
      </c>
      <c r="BQ160">
        <v>260953.83</v>
      </c>
    </row>
    <row r="161" spans="1:69" x14ac:dyDescent="0.35">
      <c r="A161" s="1" t="s">
        <v>68</v>
      </c>
      <c r="B161" s="1" t="s">
        <v>69</v>
      </c>
      <c r="C161" s="1" t="s">
        <v>70</v>
      </c>
      <c r="D161">
        <v>1</v>
      </c>
      <c r="E161">
        <v>1</v>
      </c>
      <c r="F161" s="2">
        <v>43584.863483796296</v>
      </c>
      <c r="G161" s="3">
        <v>40909</v>
      </c>
      <c r="H161" s="3">
        <v>41274</v>
      </c>
      <c r="I161" s="1" t="s">
        <v>71</v>
      </c>
      <c r="J161">
        <v>4521</v>
      </c>
      <c r="K161">
        <v>0</v>
      </c>
      <c r="L161" s="1" t="s">
        <v>384</v>
      </c>
      <c r="M161" s="1" t="s">
        <v>72</v>
      </c>
      <c r="N161" s="1" t="s">
        <v>134</v>
      </c>
      <c r="O161" s="1" t="s">
        <v>385</v>
      </c>
      <c r="P161" s="1" t="s">
        <v>386</v>
      </c>
      <c r="Q161" s="1" t="s">
        <v>387</v>
      </c>
      <c r="R161">
        <v>103</v>
      </c>
      <c r="S161" s="1" t="s">
        <v>135</v>
      </c>
      <c r="T161" s="1" t="s">
        <v>388</v>
      </c>
      <c r="U161" s="1" t="s">
        <v>135</v>
      </c>
      <c r="V161" s="1"/>
      <c r="W161" s="1"/>
      <c r="X161" s="1"/>
      <c r="Y161" s="1"/>
      <c r="AA161" s="1"/>
      <c r="AC161" s="1"/>
      <c r="AD161" s="1"/>
      <c r="AE161" s="1"/>
      <c r="AN161" s="1"/>
      <c r="AP161" s="1"/>
      <c r="AQ161" s="1"/>
      <c r="AR161" s="1"/>
      <c r="AS161" s="1"/>
      <c r="AT161" s="3"/>
      <c r="AU161" s="3"/>
      <c r="AV161" s="3"/>
      <c r="AW161" s="1"/>
      <c r="AX161" s="1"/>
      <c r="AZ161">
        <v>76</v>
      </c>
      <c r="BA161">
        <v>260953.83</v>
      </c>
      <c r="BB161" s="1" t="s">
        <v>74</v>
      </c>
      <c r="BC161">
        <v>13</v>
      </c>
      <c r="BD161" s="1" t="s">
        <v>1352</v>
      </c>
      <c r="BE161" s="1" t="s">
        <v>452</v>
      </c>
      <c r="BF161">
        <v>379.5</v>
      </c>
      <c r="BG161" s="1" t="s">
        <v>1515</v>
      </c>
      <c r="BH161" s="1" t="s">
        <v>99</v>
      </c>
      <c r="BI161">
        <v>0</v>
      </c>
      <c r="BJ161" s="1"/>
      <c r="BL161" s="1"/>
      <c r="BN161" s="1"/>
      <c r="BO161">
        <v>186</v>
      </c>
      <c r="BP161">
        <v>260953.83</v>
      </c>
      <c r="BQ161">
        <v>260953.83</v>
      </c>
    </row>
    <row r="162" spans="1:69" x14ac:dyDescent="0.35">
      <c r="A162" s="1" t="s">
        <v>68</v>
      </c>
      <c r="B162" s="1" t="s">
        <v>69</v>
      </c>
      <c r="C162" s="1" t="s">
        <v>70</v>
      </c>
      <c r="D162">
        <v>1</v>
      </c>
      <c r="E162">
        <v>1</v>
      </c>
      <c r="F162" s="2">
        <v>43584.863483796296</v>
      </c>
      <c r="G162" s="3">
        <v>40909</v>
      </c>
      <c r="H162" s="3">
        <v>41274</v>
      </c>
      <c r="I162" s="1" t="s">
        <v>71</v>
      </c>
      <c r="J162">
        <v>4521</v>
      </c>
      <c r="K162">
        <v>0</v>
      </c>
      <c r="L162" s="1" t="s">
        <v>384</v>
      </c>
      <c r="M162" s="1" t="s">
        <v>72</v>
      </c>
      <c r="N162" s="1" t="s">
        <v>134</v>
      </c>
      <c r="O162" s="1" t="s">
        <v>385</v>
      </c>
      <c r="P162" s="1" t="s">
        <v>386</v>
      </c>
      <c r="Q162" s="1" t="s">
        <v>387</v>
      </c>
      <c r="R162">
        <v>103</v>
      </c>
      <c r="S162" s="1" t="s">
        <v>135</v>
      </c>
      <c r="T162" s="1" t="s">
        <v>388</v>
      </c>
      <c r="U162" s="1" t="s">
        <v>135</v>
      </c>
      <c r="V162" s="1"/>
      <c r="W162" s="1"/>
      <c r="X162" s="1"/>
      <c r="Y162" s="1"/>
      <c r="AA162" s="1"/>
      <c r="AC162" s="1"/>
      <c r="AD162" s="1"/>
      <c r="AE162" s="1"/>
      <c r="AN162" s="1"/>
      <c r="AP162" s="1"/>
      <c r="AQ162" s="1"/>
      <c r="AR162" s="1"/>
      <c r="AS162" s="1"/>
      <c r="AT162" s="3"/>
      <c r="AU162" s="3"/>
      <c r="AV162" s="3"/>
      <c r="AW162" s="1"/>
      <c r="AX162" s="1"/>
      <c r="AZ162">
        <v>76</v>
      </c>
      <c r="BA162">
        <v>260953.83</v>
      </c>
      <c r="BB162" s="1" t="s">
        <v>74</v>
      </c>
      <c r="BC162">
        <v>14</v>
      </c>
      <c r="BD162" s="1" t="s">
        <v>1353</v>
      </c>
      <c r="BE162" s="1" t="s">
        <v>1307</v>
      </c>
      <c r="BF162">
        <v>1650</v>
      </c>
      <c r="BG162" s="1" t="s">
        <v>1515</v>
      </c>
      <c r="BH162" s="1" t="s">
        <v>99</v>
      </c>
      <c r="BI162">
        <v>0</v>
      </c>
      <c r="BJ162" s="1"/>
      <c r="BL162" s="1"/>
      <c r="BN162" s="1"/>
      <c r="BO162">
        <v>186</v>
      </c>
      <c r="BP162">
        <v>260953.83</v>
      </c>
      <c r="BQ162">
        <v>260953.83</v>
      </c>
    </row>
    <row r="163" spans="1:69" x14ac:dyDescent="0.35">
      <c r="A163" s="1" t="s">
        <v>68</v>
      </c>
      <c r="B163" s="1" t="s">
        <v>69</v>
      </c>
      <c r="C163" s="1" t="s">
        <v>70</v>
      </c>
      <c r="D163">
        <v>1</v>
      </c>
      <c r="E163">
        <v>1</v>
      </c>
      <c r="F163" s="2">
        <v>43584.863483796296</v>
      </c>
      <c r="G163" s="3">
        <v>40909</v>
      </c>
      <c r="H163" s="3">
        <v>41274</v>
      </c>
      <c r="I163" s="1" t="s">
        <v>71</v>
      </c>
      <c r="J163">
        <v>4521</v>
      </c>
      <c r="K163">
        <v>0</v>
      </c>
      <c r="L163" s="1" t="s">
        <v>384</v>
      </c>
      <c r="M163" s="1" t="s">
        <v>72</v>
      </c>
      <c r="N163" s="1" t="s">
        <v>134</v>
      </c>
      <c r="O163" s="1" t="s">
        <v>385</v>
      </c>
      <c r="P163" s="1" t="s">
        <v>386</v>
      </c>
      <c r="Q163" s="1" t="s">
        <v>387</v>
      </c>
      <c r="R163">
        <v>103</v>
      </c>
      <c r="S163" s="1" t="s">
        <v>135</v>
      </c>
      <c r="T163" s="1" t="s">
        <v>388</v>
      </c>
      <c r="U163" s="1" t="s">
        <v>135</v>
      </c>
      <c r="V163" s="1"/>
      <c r="W163" s="1"/>
      <c r="X163" s="1"/>
      <c r="Y163" s="1"/>
      <c r="AA163" s="1"/>
      <c r="AC163" s="1"/>
      <c r="AD163" s="1"/>
      <c r="AE163" s="1"/>
      <c r="AN163" s="1"/>
      <c r="AP163" s="1"/>
      <c r="AQ163" s="1"/>
      <c r="AR163" s="1"/>
      <c r="AS163" s="1"/>
      <c r="AT163" s="3"/>
      <c r="AU163" s="3"/>
      <c r="AV163" s="3"/>
      <c r="AW163" s="1"/>
      <c r="AX163" s="1"/>
      <c r="AZ163">
        <v>76</v>
      </c>
      <c r="BA163">
        <v>260953.83</v>
      </c>
      <c r="BB163" s="1" t="s">
        <v>74</v>
      </c>
      <c r="BC163">
        <v>15</v>
      </c>
      <c r="BD163" s="1" t="s">
        <v>1353</v>
      </c>
      <c r="BE163" s="1" t="s">
        <v>99</v>
      </c>
      <c r="BF163">
        <v>0</v>
      </c>
      <c r="BG163" s="1"/>
      <c r="BH163" s="1" t="s">
        <v>136</v>
      </c>
      <c r="BI163">
        <v>1650</v>
      </c>
      <c r="BJ163" s="1" t="s">
        <v>1515</v>
      </c>
      <c r="BL163" s="1"/>
      <c r="BN163" s="1"/>
      <c r="BO163">
        <v>186</v>
      </c>
      <c r="BP163">
        <v>260953.83</v>
      </c>
      <c r="BQ163">
        <v>260953.83</v>
      </c>
    </row>
    <row r="164" spans="1:69" x14ac:dyDescent="0.35">
      <c r="A164" s="1" t="s">
        <v>68</v>
      </c>
      <c r="B164" s="1" t="s">
        <v>69</v>
      </c>
      <c r="C164" s="1" t="s">
        <v>70</v>
      </c>
      <c r="D164">
        <v>1</v>
      </c>
      <c r="E164">
        <v>1</v>
      </c>
      <c r="F164" s="2">
        <v>43584.863483796296</v>
      </c>
      <c r="G164" s="3">
        <v>40909</v>
      </c>
      <c r="H164" s="3">
        <v>41274</v>
      </c>
      <c r="I164" s="1" t="s">
        <v>71</v>
      </c>
      <c r="J164">
        <v>4521</v>
      </c>
      <c r="K164">
        <v>0</v>
      </c>
      <c r="L164" s="1" t="s">
        <v>384</v>
      </c>
      <c r="M164" s="1" t="s">
        <v>72</v>
      </c>
      <c r="N164" s="1" t="s">
        <v>134</v>
      </c>
      <c r="O164" s="1" t="s">
        <v>385</v>
      </c>
      <c r="P164" s="1" t="s">
        <v>386</v>
      </c>
      <c r="Q164" s="1" t="s">
        <v>387</v>
      </c>
      <c r="R164">
        <v>103</v>
      </c>
      <c r="S164" s="1" t="s">
        <v>135</v>
      </c>
      <c r="T164" s="1" t="s">
        <v>388</v>
      </c>
      <c r="U164" s="1" t="s">
        <v>135</v>
      </c>
      <c r="V164" s="1"/>
      <c r="W164" s="1"/>
      <c r="X164" s="1"/>
      <c r="Y164" s="1"/>
      <c r="AA164" s="1"/>
      <c r="AC164" s="1"/>
      <c r="AD164" s="1"/>
      <c r="AE164" s="1"/>
      <c r="AN164" s="1"/>
      <c r="AP164" s="1"/>
      <c r="AQ164" s="1"/>
      <c r="AR164" s="1"/>
      <c r="AS164" s="1"/>
      <c r="AT164" s="3"/>
      <c r="AU164" s="3"/>
      <c r="AV164" s="3"/>
      <c r="AW164" s="1"/>
      <c r="AX164" s="1"/>
      <c r="AZ164">
        <v>76</v>
      </c>
      <c r="BA164">
        <v>260953.83</v>
      </c>
      <c r="BB164" s="1" t="s">
        <v>74</v>
      </c>
      <c r="BC164">
        <v>16</v>
      </c>
      <c r="BD164" s="1" t="s">
        <v>1354</v>
      </c>
      <c r="BE164" s="1" t="s">
        <v>467</v>
      </c>
      <c r="BF164">
        <v>980</v>
      </c>
      <c r="BG164" s="1" t="s">
        <v>1516</v>
      </c>
      <c r="BH164" s="1" t="s">
        <v>99</v>
      </c>
      <c r="BI164">
        <v>0</v>
      </c>
      <c r="BJ164" s="1"/>
      <c r="BL164" s="1"/>
      <c r="BN164" s="1"/>
      <c r="BO164">
        <v>186</v>
      </c>
      <c r="BP164">
        <v>260953.83</v>
      </c>
      <c r="BQ164">
        <v>260953.83</v>
      </c>
    </row>
    <row r="165" spans="1:69" x14ac:dyDescent="0.35">
      <c r="A165" s="1" t="s">
        <v>68</v>
      </c>
      <c r="B165" s="1" t="s">
        <v>69</v>
      </c>
      <c r="C165" s="1" t="s">
        <v>70</v>
      </c>
      <c r="D165">
        <v>1</v>
      </c>
      <c r="E165">
        <v>1</v>
      </c>
      <c r="F165" s="2">
        <v>43584.863483796296</v>
      </c>
      <c r="G165" s="3">
        <v>40909</v>
      </c>
      <c r="H165" s="3">
        <v>41274</v>
      </c>
      <c r="I165" s="1" t="s">
        <v>71</v>
      </c>
      <c r="J165">
        <v>4521</v>
      </c>
      <c r="K165">
        <v>0</v>
      </c>
      <c r="L165" s="1" t="s">
        <v>384</v>
      </c>
      <c r="M165" s="1" t="s">
        <v>72</v>
      </c>
      <c r="N165" s="1" t="s">
        <v>134</v>
      </c>
      <c r="O165" s="1" t="s">
        <v>385</v>
      </c>
      <c r="P165" s="1" t="s">
        <v>386</v>
      </c>
      <c r="Q165" s="1" t="s">
        <v>387</v>
      </c>
      <c r="R165">
        <v>103</v>
      </c>
      <c r="S165" s="1" t="s">
        <v>135</v>
      </c>
      <c r="T165" s="1" t="s">
        <v>388</v>
      </c>
      <c r="U165" s="1" t="s">
        <v>135</v>
      </c>
      <c r="V165" s="1"/>
      <c r="W165" s="1"/>
      <c r="X165" s="1"/>
      <c r="Y165" s="1"/>
      <c r="AA165" s="1"/>
      <c r="AC165" s="1"/>
      <c r="AD165" s="1"/>
      <c r="AE165" s="1"/>
      <c r="AN165" s="1"/>
      <c r="AP165" s="1"/>
      <c r="AQ165" s="1"/>
      <c r="AR165" s="1"/>
      <c r="AS165" s="1"/>
      <c r="AT165" s="3"/>
      <c r="AU165" s="3"/>
      <c r="AV165" s="3"/>
      <c r="AW165" s="1"/>
      <c r="AX165" s="1"/>
      <c r="AZ165">
        <v>76</v>
      </c>
      <c r="BA165">
        <v>260953.83</v>
      </c>
      <c r="BB165" s="1" t="s">
        <v>74</v>
      </c>
      <c r="BC165">
        <v>17</v>
      </c>
      <c r="BD165" s="1" t="s">
        <v>1354</v>
      </c>
      <c r="BE165" s="1" t="s">
        <v>99</v>
      </c>
      <c r="BF165">
        <v>0</v>
      </c>
      <c r="BG165" s="1"/>
      <c r="BH165" s="1" t="s">
        <v>433</v>
      </c>
      <c r="BI165">
        <v>1205.4000000000001</v>
      </c>
      <c r="BJ165" s="1" t="s">
        <v>1516</v>
      </c>
      <c r="BL165" s="1"/>
      <c r="BN165" s="1"/>
      <c r="BO165">
        <v>186</v>
      </c>
      <c r="BP165">
        <v>260953.83</v>
      </c>
      <c r="BQ165">
        <v>260953.83</v>
      </c>
    </row>
    <row r="166" spans="1:69" x14ac:dyDescent="0.35">
      <c r="A166" s="1" t="s">
        <v>68</v>
      </c>
      <c r="B166" s="1" t="s">
        <v>69</v>
      </c>
      <c r="C166" s="1" t="s">
        <v>70</v>
      </c>
      <c r="D166">
        <v>1</v>
      </c>
      <c r="E166">
        <v>1</v>
      </c>
      <c r="F166" s="2">
        <v>43584.863483796296</v>
      </c>
      <c r="G166" s="3">
        <v>40909</v>
      </c>
      <c r="H166" s="3">
        <v>41274</v>
      </c>
      <c r="I166" s="1" t="s">
        <v>71</v>
      </c>
      <c r="J166">
        <v>4521</v>
      </c>
      <c r="K166">
        <v>0</v>
      </c>
      <c r="L166" s="1" t="s">
        <v>384</v>
      </c>
      <c r="M166" s="1" t="s">
        <v>72</v>
      </c>
      <c r="N166" s="1" t="s">
        <v>134</v>
      </c>
      <c r="O166" s="1" t="s">
        <v>385</v>
      </c>
      <c r="P166" s="1" t="s">
        <v>386</v>
      </c>
      <c r="Q166" s="1" t="s">
        <v>387</v>
      </c>
      <c r="R166">
        <v>103</v>
      </c>
      <c r="S166" s="1" t="s">
        <v>135</v>
      </c>
      <c r="T166" s="1" t="s">
        <v>388</v>
      </c>
      <c r="U166" s="1" t="s">
        <v>135</v>
      </c>
      <c r="V166" s="1"/>
      <c r="W166" s="1"/>
      <c r="X166" s="1"/>
      <c r="Y166" s="1"/>
      <c r="AA166" s="1"/>
      <c r="AC166" s="1"/>
      <c r="AD166" s="1"/>
      <c r="AE166" s="1"/>
      <c r="AN166" s="1"/>
      <c r="AP166" s="1"/>
      <c r="AQ166" s="1"/>
      <c r="AR166" s="1"/>
      <c r="AS166" s="1"/>
      <c r="AT166" s="3"/>
      <c r="AU166" s="3"/>
      <c r="AV166" s="3"/>
      <c r="AW166" s="1"/>
      <c r="AX166" s="1"/>
      <c r="AZ166">
        <v>76</v>
      </c>
      <c r="BA166">
        <v>260953.83</v>
      </c>
      <c r="BB166" s="1" t="s">
        <v>74</v>
      </c>
      <c r="BC166">
        <v>18</v>
      </c>
      <c r="BD166" s="1" t="s">
        <v>1354</v>
      </c>
      <c r="BE166" s="1" t="s">
        <v>452</v>
      </c>
      <c r="BF166">
        <v>225.4</v>
      </c>
      <c r="BG166" s="1" t="s">
        <v>1516</v>
      </c>
      <c r="BH166" s="1" t="s">
        <v>99</v>
      </c>
      <c r="BI166">
        <v>0</v>
      </c>
      <c r="BJ166" s="1"/>
      <c r="BL166" s="1"/>
      <c r="BN166" s="1"/>
      <c r="BO166">
        <v>186</v>
      </c>
      <c r="BP166">
        <v>260953.83</v>
      </c>
      <c r="BQ166">
        <v>260953.83</v>
      </c>
    </row>
    <row r="167" spans="1:69" x14ac:dyDescent="0.35">
      <c r="A167" s="1" t="s">
        <v>68</v>
      </c>
      <c r="B167" s="1" t="s">
        <v>69</v>
      </c>
      <c r="C167" s="1" t="s">
        <v>70</v>
      </c>
      <c r="D167">
        <v>1</v>
      </c>
      <c r="E167">
        <v>1</v>
      </c>
      <c r="F167" s="2">
        <v>43584.863483796296</v>
      </c>
      <c r="G167" s="3">
        <v>40909</v>
      </c>
      <c r="H167" s="3">
        <v>41274</v>
      </c>
      <c r="I167" s="1" t="s">
        <v>71</v>
      </c>
      <c r="J167">
        <v>4521</v>
      </c>
      <c r="K167">
        <v>0</v>
      </c>
      <c r="L167" s="1" t="s">
        <v>384</v>
      </c>
      <c r="M167" s="1" t="s">
        <v>72</v>
      </c>
      <c r="N167" s="1" t="s">
        <v>134</v>
      </c>
      <c r="O167" s="1" t="s">
        <v>385</v>
      </c>
      <c r="P167" s="1" t="s">
        <v>386</v>
      </c>
      <c r="Q167" s="1" t="s">
        <v>387</v>
      </c>
      <c r="R167">
        <v>103</v>
      </c>
      <c r="S167" s="1" t="s">
        <v>135</v>
      </c>
      <c r="T167" s="1" t="s">
        <v>388</v>
      </c>
      <c r="U167" s="1" t="s">
        <v>135</v>
      </c>
      <c r="V167" s="1"/>
      <c r="W167" s="1"/>
      <c r="X167" s="1"/>
      <c r="Y167" s="1"/>
      <c r="AA167" s="1"/>
      <c r="AC167" s="1"/>
      <c r="AD167" s="1"/>
      <c r="AE167" s="1"/>
      <c r="AN167" s="1"/>
      <c r="AP167" s="1"/>
      <c r="AQ167" s="1"/>
      <c r="AR167" s="1"/>
      <c r="AS167" s="1"/>
      <c r="AT167" s="3"/>
      <c r="AU167" s="3"/>
      <c r="AV167" s="3"/>
      <c r="AW167" s="1"/>
      <c r="AX167" s="1"/>
      <c r="AZ167">
        <v>76</v>
      </c>
      <c r="BA167">
        <v>260953.83</v>
      </c>
      <c r="BB167" s="1" t="s">
        <v>74</v>
      </c>
      <c r="BC167">
        <v>19</v>
      </c>
      <c r="BD167" s="1" t="s">
        <v>1355</v>
      </c>
      <c r="BE167" s="1" t="s">
        <v>1306</v>
      </c>
      <c r="BF167">
        <v>4521</v>
      </c>
      <c r="BG167" s="1" t="s">
        <v>1421</v>
      </c>
      <c r="BH167" s="1" t="s">
        <v>99</v>
      </c>
      <c r="BI167">
        <v>0</v>
      </c>
      <c r="BJ167" s="1"/>
      <c r="BL167" s="1"/>
      <c r="BN167" s="1"/>
      <c r="BO167">
        <v>186</v>
      </c>
      <c r="BP167">
        <v>260953.83</v>
      </c>
      <c r="BQ167">
        <v>260953.83</v>
      </c>
    </row>
    <row r="168" spans="1:69" x14ac:dyDescent="0.35">
      <c r="A168" s="1" t="s">
        <v>68</v>
      </c>
      <c r="B168" s="1" t="s">
        <v>69</v>
      </c>
      <c r="C168" s="1" t="s">
        <v>70</v>
      </c>
      <c r="D168">
        <v>1</v>
      </c>
      <c r="E168">
        <v>1</v>
      </c>
      <c r="F168" s="2">
        <v>43584.863483796296</v>
      </c>
      <c r="G168" s="3">
        <v>40909</v>
      </c>
      <c r="H168" s="3">
        <v>41274</v>
      </c>
      <c r="I168" s="1" t="s">
        <v>71</v>
      </c>
      <c r="J168">
        <v>4521</v>
      </c>
      <c r="K168">
        <v>0</v>
      </c>
      <c r="L168" s="1" t="s">
        <v>384</v>
      </c>
      <c r="M168" s="1" t="s">
        <v>72</v>
      </c>
      <c r="N168" s="1" t="s">
        <v>134</v>
      </c>
      <c r="O168" s="1" t="s">
        <v>385</v>
      </c>
      <c r="P168" s="1" t="s">
        <v>386</v>
      </c>
      <c r="Q168" s="1" t="s">
        <v>387</v>
      </c>
      <c r="R168">
        <v>103</v>
      </c>
      <c r="S168" s="1" t="s">
        <v>135</v>
      </c>
      <c r="T168" s="1" t="s">
        <v>388</v>
      </c>
      <c r="U168" s="1" t="s">
        <v>135</v>
      </c>
      <c r="V168" s="1"/>
      <c r="W168" s="1"/>
      <c r="X168" s="1"/>
      <c r="Y168" s="1"/>
      <c r="AA168" s="1"/>
      <c r="AC168" s="1"/>
      <c r="AD168" s="1"/>
      <c r="AE168" s="1"/>
      <c r="AN168" s="1"/>
      <c r="AP168" s="1"/>
      <c r="AQ168" s="1"/>
      <c r="AR168" s="1"/>
      <c r="AS168" s="1"/>
      <c r="AT168" s="3"/>
      <c r="AU168" s="3"/>
      <c r="AV168" s="3"/>
      <c r="AW168" s="1"/>
      <c r="AX168" s="1"/>
      <c r="AZ168">
        <v>76</v>
      </c>
      <c r="BA168">
        <v>260953.83</v>
      </c>
      <c r="BB168" s="1" t="s">
        <v>74</v>
      </c>
      <c r="BC168">
        <v>20</v>
      </c>
      <c r="BD168" s="1" t="s">
        <v>1355</v>
      </c>
      <c r="BE168" s="1" t="s">
        <v>99</v>
      </c>
      <c r="BF168">
        <v>0</v>
      </c>
      <c r="BG168" s="1"/>
      <c r="BH168" s="1" t="s">
        <v>410</v>
      </c>
      <c r="BI168">
        <v>5560.83</v>
      </c>
      <c r="BJ168" s="1" t="s">
        <v>1421</v>
      </c>
      <c r="BL168" s="1"/>
      <c r="BN168" s="1"/>
      <c r="BO168">
        <v>186</v>
      </c>
      <c r="BP168">
        <v>260953.83</v>
      </c>
      <c r="BQ168">
        <v>260953.83</v>
      </c>
    </row>
    <row r="169" spans="1:69" x14ac:dyDescent="0.35">
      <c r="A169" s="1" t="s">
        <v>68</v>
      </c>
      <c r="B169" s="1" t="s">
        <v>69</v>
      </c>
      <c r="C169" s="1" t="s">
        <v>70</v>
      </c>
      <c r="D169">
        <v>1</v>
      </c>
      <c r="E169">
        <v>1</v>
      </c>
      <c r="F169" s="2">
        <v>43584.863483796296</v>
      </c>
      <c r="G169" s="3">
        <v>40909</v>
      </c>
      <c r="H169" s="3">
        <v>41274</v>
      </c>
      <c r="I169" s="1" t="s">
        <v>71</v>
      </c>
      <c r="J169">
        <v>4521</v>
      </c>
      <c r="K169">
        <v>0</v>
      </c>
      <c r="L169" s="1" t="s">
        <v>384</v>
      </c>
      <c r="M169" s="1" t="s">
        <v>72</v>
      </c>
      <c r="N169" s="1" t="s">
        <v>134</v>
      </c>
      <c r="O169" s="1" t="s">
        <v>385</v>
      </c>
      <c r="P169" s="1" t="s">
        <v>386</v>
      </c>
      <c r="Q169" s="1" t="s">
        <v>387</v>
      </c>
      <c r="R169">
        <v>103</v>
      </c>
      <c r="S169" s="1" t="s">
        <v>135</v>
      </c>
      <c r="T169" s="1" t="s">
        <v>388</v>
      </c>
      <c r="U169" s="1" t="s">
        <v>135</v>
      </c>
      <c r="V169" s="1"/>
      <c r="W169" s="1"/>
      <c r="X169" s="1"/>
      <c r="Y169" s="1"/>
      <c r="AA169" s="1"/>
      <c r="AC169" s="1"/>
      <c r="AD169" s="1"/>
      <c r="AE169" s="1"/>
      <c r="AN169" s="1"/>
      <c r="AP169" s="1"/>
      <c r="AQ169" s="1"/>
      <c r="AR169" s="1"/>
      <c r="AS169" s="1"/>
      <c r="AT169" s="3"/>
      <c r="AU169" s="3"/>
      <c r="AV169" s="3"/>
      <c r="AW169" s="1"/>
      <c r="AX169" s="1"/>
      <c r="AZ169">
        <v>76</v>
      </c>
      <c r="BA169">
        <v>260953.83</v>
      </c>
      <c r="BB169" s="1" t="s">
        <v>74</v>
      </c>
      <c r="BC169">
        <v>21</v>
      </c>
      <c r="BD169" s="1" t="s">
        <v>1355</v>
      </c>
      <c r="BE169" s="1" t="s">
        <v>452</v>
      </c>
      <c r="BF169">
        <v>1039.83</v>
      </c>
      <c r="BG169" s="1" t="s">
        <v>1421</v>
      </c>
      <c r="BH169" s="1" t="s">
        <v>99</v>
      </c>
      <c r="BI169">
        <v>0</v>
      </c>
      <c r="BJ169" s="1"/>
      <c r="BL169" s="1"/>
      <c r="BN169" s="1"/>
      <c r="BO169">
        <v>186</v>
      </c>
      <c r="BP169">
        <v>260953.83</v>
      </c>
      <c r="BQ169">
        <v>260953.83</v>
      </c>
    </row>
    <row r="170" spans="1:69" x14ac:dyDescent="0.35">
      <c r="A170" s="1" t="s">
        <v>68</v>
      </c>
      <c r="B170" s="1" t="s">
        <v>69</v>
      </c>
      <c r="C170" s="1" t="s">
        <v>70</v>
      </c>
      <c r="D170">
        <v>1</v>
      </c>
      <c r="E170">
        <v>1</v>
      </c>
      <c r="F170" s="2">
        <v>43584.863483796296</v>
      </c>
      <c r="G170" s="3">
        <v>40909</v>
      </c>
      <c r="H170" s="3">
        <v>41274</v>
      </c>
      <c r="I170" s="1" t="s">
        <v>71</v>
      </c>
      <c r="J170">
        <v>4521</v>
      </c>
      <c r="K170">
        <v>0</v>
      </c>
      <c r="L170" s="1" t="s">
        <v>384</v>
      </c>
      <c r="M170" s="1" t="s">
        <v>72</v>
      </c>
      <c r="N170" s="1" t="s">
        <v>134</v>
      </c>
      <c r="O170" s="1" t="s">
        <v>385</v>
      </c>
      <c r="P170" s="1" t="s">
        <v>386</v>
      </c>
      <c r="Q170" s="1" t="s">
        <v>387</v>
      </c>
      <c r="R170">
        <v>103</v>
      </c>
      <c r="S170" s="1" t="s">
        <v>135</v>
      </c>
      <c r="T170" s="1" t="s">
        <v>388</v>
      </c>
      <c r="U170" s="1" t="s">
        <v>135</v>
      </c>
      <c r="V170" s="1"/>
      <c r="W170" s="1"/>
      <c r="X170" s="1"/>
      <c r="Y170" s="1"/>
      <c r="AA170" s="1"/>
      <c r="AC170" s="1"/>
      <c r="AD170" s="1"/>
      <c r="AE170" s="1"/>
      <c r="AN170" s="1"/>
      <c r="AP170" s="1"/>
      <c r="AQ170" s="1"/>
      <c r="AR170" s="1"/>
      <c r="AS170" s="1"/>
      <c r="AT170" s="3"/>
      <c r="AU170" s="3"/>
      <c r="AV170" s="3"/>
      <c r="AW170" s="1"/>
      <c r="AX170" s="1"/>
      <c r="AZ170">
        <v>76</v>
      </c>
      <c r="BA170">
        <v>260953.83</v>
      </c>
      <c r="BB170" s="1" t="s">
        <v>74</v>
      </c>
      <c r="BC170">
        <v>22</v>
      </c>
      <c r="BD170" s="1" t="s">
        <v>1356</v>
      </c>
      <c r="BE170" s="1" t="s">
        <v>480</v>
      </c>
      <c r="BF170">
        <v>4521</v>
      </c>
      <c r="BG170" s="1" t="s">
        <v>1421</v>
      </c>
      <c r="BH170" s="1" t="s">
        <v>99</v>
      </c>
      <c r="BI170">
        <v>0</v>
      </c>
      <c r="BJ170" s="1"/>
      <c r="BL170" s="1"/>
      <c r="BN170" s="1"/>
      <c r="BO170">
        <v>186</v>
      </c>
      <c r="BP170">
        <v>260953.83</v>
      </c>
      <c r="BQ170">
        <v>260953.83</v>
      </c>
    </row>
    <row r="171" spans="1:69" x14ac:dyDescent="0.35">
      <c r="A171" s="1" t="s">
        <v>68</v>
      </c>
      <c r="B171" s="1" t="s">
        <v>69</v>
      </c>
      <c r="C171" s="1" t="s">
        <v>70</v>
      </c>
      <c r="D171">
        <v>1</v>
      </c>
      <c r="E171">
        <v>1</v>
      </c>
      <c r="F171" s="2">
        <v>43584.863483796296</v>
      </c>
      <c r="G171" s="3">
        <v>40909</v>
      </c>
      <c r="H171" s="3">
        <v>41274</v>
      </c>
      <c r="I171" s="1" t="s">
        <v>71</v>
      </c>
      <c r="J171">
        <v>4521</v>
      </c>
      <c r="K171">
        <v>0</v>
      </c>
      <c r="L171" s="1" t="s">
        <v>384</v>
      </c>
      <c r="M171" s="1" t="s">
        <v>72</v>
      </c>
      <c r="N171" s="1" t="s">
        <v>134</v>
      </c>
      <c r="O171" s="1" t="s">
        <v>385</v>
      </c>
      <c r="P171" s="1" t="s">
        <v>386</v>
      </c>
      <c r="Q171" s="1" t="s">
        <v>387</v>
      </c>
      <c r="R171">
        <v>103</v>
      </c>
      <c r="S171" s="1" t="s">
        <v>135</v>
      </c>
      <c r="T171" s="1" t="s">
        <v>388</v>
      </c>
      <c r="U171" s="1" t="s">
        <v>135</v>
      </c>
      <c r="V171" s="1"/>
      <c r="W171" s="1"/>
      <c r="X171" s="1"/>
      <c r="Y171" s="1"/>
      <c r="AA171" s="1"/>
      <c r="AC171" s="1"/>
      <c r="AD171" s="1"/>
      <c r="AE171" s="1"/>
      <c r="AN171" s="1"/>
      <c r="AP171" s="1"/>
      <c r="AQ171" s="1"/>
      <c r="AR171" s="1"/>
      <c r="AS171" s="1"/>
      <c r="AT171" s="3"/>
      <c r="AU171" s="3"/>
      <c r="AV171" s="3"/>
      <c r="AW171" s="1"/>
      <c r="AX171" s="1"/>
      <c r="AZ171">
        <v>76</v>
      </c>
      <c r="BA171">
        <v>260953.83</v>
      </c>
      <c r="BB171" s="1" t="s">
        <v>74</v>
      </c>
      <c r="BC171">
        <v>23</v>
      </c>
      <c r="BD171" s="1" t="s">
        <v>1356</v>
      </c>
      <c r="BE171" s="1" t="s">
        <v>99</v>
      </c>
      <c r="BF171">
        <v>0</v>
      </c>
      <c r="BG171" s="1"/>
      <c r="BH171" s="1" t="s">
        <v>136</v>
      </c>
      <c r="BI171">
        <v>4521</v>
      </c>
      <c r="BJ171" s="1" t="s">
        <v>1421</v>
      </c>
      <c r="BL171" s="1"/>
      <c r="BN171" s="1"/>
      <c r="BO171">
        <v>186</v>
      </c>
      <c r="BP171">
        <v>260953.83</v>
      </c>
      <c r="BQ171">
        <v>260953.83</v>
      </c>
    </row>
    <row r="172" spans="1:69" x14ac:dyDescent="0.35">
      <c r="A172" s="1" t="s">
        <v>68</v>
      </c>
      <c r="B172" s="1" t="s">
        <v>69</v>
      </c>
      <c r="C172" s="1" t="s">
        <v>70</v>
      </c>
      <c r="D172">
        <v>1</v>
      </c>
      <c r="E172">
        <v>1</v>
      </c>
      <c r="F172" s="2">
        <v>43584.863483796296</v>
      </c>
      <c r="G172" s="3">
        <v>40909</v>
      </c>
      <c r="H172" s="3">
        <v>41274</v>
      </c>
      <c r="I172" s="1" t="s">
        <v>71</v>
      </c>
      <c r="J172">
        <v>4521</v>
      </c>
      <c r="K172">
        <v>0</v>
      </c>
      <c r="L172" s="1" t="s">
        <v>384</v>
      </c>
      <c r="M172" s="1" t="s">
        <v>72</v>
      </c>
      <c r="N172" s="1" t="s">
        <v>134</v>
      </c>
      <c r="O172" s="1" t="s">
        <v>385</v>
      </c>
      <c r="P172" s="1" t="s">
        <v>386</v>
      </c>
      <c r="Q172" s="1" t="s">
        <v>387</v>
      </c>
      <c r="R172">
        <v>103</v>
      </c>
      <c r="S172" s="1" t="s">
        <v>135</v>
      </c>
      <c r="T172" s="1" t="s">
        <v>388</v>
      </c>
      <c r="U172" s="1" t="s">
        <v>135</v>
      </c>
      <c r="V172" s="1"/>
      <c r="W172" s="1"/>
      <c r="X172" s="1"/>
      <c r="Y172" s="1"/>
      <c r="AA172" s="1"/>
      <c r="AC172" s="1"/>
      <c r="AD172" s="1"/>
      <c r="AE172" s="1"/>
      <c r="AN172" s="1"/>
      <c r="AP172" s="1"/>
      <c r="AQ172" s="1"/>
      <c r="AR172" s="1"/>
      <c r="AS172" s="1"/>
      <c r="AT172" s="3"/>
      <c r="AU172" s="3"/>
      <c r="AV172" s="3"/>
      <c r="AW172" s="1"/>
      <c r="AX172" s="1"/>
      <c r="AZ172">
        <v>76</v>
      </c>
      <c r="BA172">
        <v>260953.83</v>
      </c>
      <c r="BB172" s="1" t="s">
        <v>74</v>
      </c>
      <c r="BC172">
        <v>24</v>
      </c>
      <c r="BD172" s="1" t="s">
        <v>1357</v>
      </c>
      <c r="BE172" s="1" t="s">
        <v>443</v>
      </c>
      <c r="BF172">
        <v>6278.6</v>
      </c>
      <c r="BG172" s="1" t="s">
        <v>1422</v>
      </c>
      <c r="BH172" s="1" t="s">
        <v>99</v>
      </c>
      <c r="BI172">
        <v>0</v>
      </c>
      <c r="BJ172" s="1"/>
      <c r="BK172">
        <v>1520.28</v>
      </c>
      <c r="BL172" s="1" t="s">
        <v>1295</v>
      </c>
      <c r="BN172" s="1"/>
      <c r="BO172">
        <v>186</v>
      </c>
      <c r="BP172">
        <v>260953.83</v>
      </c>
      <c r="BQ172">
        <v>260953.83</v>
      </c>
    </row>
    <row r="173" spans="1:69" x14ac:dyDescent="0.35">
      <c r="A173" s="1" t="s">
        <v>68</v>
      </c>
      <c r="B173" s="1" t="s">
        <v>69</v>
      </c>
      <c r="C173" s="1" t="s">
        <v>70</v>
      </c>
      <c r="D173">
        <v>1</v>
      </c>
      <c r="E173">
        <v>1</v>
      </c>
      <c r="F173" s="2">
        <v>43584.863483796296</v>
      </c>
      <c r="G173" s="3">
        <v>40909</v>
      </c>
      <c r="H173" s="3">
        <v>41274</v>
      </c>
      <c r="I173" s="1" t="s">
        <v>71</v>
      </c>
      <c r="J173">
        <v>4521</v>
      </c>
      <c r="K173">
        <v>0</v>
      </c>
      <c r="L173" s="1" t="s">
        <v>384</v>
      </c>
      <c r="M173" s="1" t="s">
        <v>72</v>
      </c>
      <c r="N173" s="1" t="s">
        <v>134</v>
      </c>
      <c r="O173" s="1" t="s">
        <v>385</v>
      </c>
      <c r="P173" s="1" t="s">
        <v>386</v>
      </c>
      <c r="Q173" s="1" t="s">
        <v>387</v>
      </c>
      <c r="R173">
        <v>103</v>
      </c>
      <c r="S173" s="1" t="s">
        <v>135</v>
      </c>
      <c r="T173" s="1" t="s">
        <v>388</v>
      </c>
      <c r="U173" s="1" t="s">
        <v>135</v>
      </c>
      <c r="V173" s="1"/>
      <c r="W173" s="1"/>
      <c r="X173" s="1"/>
      <c r="Y173" s="1"/>
      <c r="AA173" s="1"/>
      <c r="AC173" s="1"/>
      <c r="AD173" s="1"/>
      <c r="AE173" s="1"/>
      <c r="AN173" s="1"/>
      <c r="AP173" s="1"/>
      <c r="AQ173" s="1"/>
      <c r="AR173" s="1"/>
      <c r="AS173" s="1"/>
      <c r="AT173" s="3"/>
      <c r="AU173" s="3"/>
      <c r="AV173" s="3"/>
      <c r="AW173" s="1"/>
      <c r="AX173" s="1"/>
      <c r="AZ173">
        <v>76</v>
      </c>
      <c r="BA173">
        <v>260953.83</v>
      </c>
      <c r="BB173" s="1" t="s">
        <v>74</v>
      </c>
      <c r="BC173">
        <v>25</v>
      </c>
      <c r="BD173" s="1" t="s">
        <v>1357</v>
      </c>
      <c r="BE173" s="1" t="s">
        <v>99</v>
      </c>
      <c r="BF173">
        <v>0</v>
      </c>
      <c r="BG173" s="1"/>
      <c r="BH173" s="1" t="s">
        <v>489</v>
      </c>
      <c r="BI173">
        <v>5104.5600000000004</v>
      </c>
      <c r="BJ173" s="1" t="s">
        <v>1544</v>
      </c>
      <c r="BL173" s="1"/>
      <c r="BM173">
        <v>1236</v>
      </c>
      <c r="BN173" s="1" t="s">
        <v>1295</v>
      </c>
      <c r="BO173">
        <v>186</v>
      </c>
      <c r="BP173">
        <v>260953.83</v>
      </c>
      <c r="BQ173">
        <v>260953.83</v>
      </c>
    </row>
    <row r="174" spans="1:69" x14ac:dyDescent="0.35">
      <c r="A174" s="1" t="s">
        <v>68</v>
      </c>
      <c r="B174" s="1" t="s">
        <v>69</v>
      </c>
      <c r="C174" s="1" t="s">
        <v>70</v>
      </c>
      <c r="D174">
        <v>1</v>
      </c>
      <c r="E174">
        <v>1</v>
      </c>
      <c r="F174" s="2">
        <v>43584.863483796296</v>
      </c>
      <c r="G174" s="3">
        <v>40909</v>
      </c>
      <c r="H174" s="3">
        <v>41274</v>
      </c>
      <c r="I174" s="1" t="s">
        <v>71</v>
      </c>
      <c r="J174">
        <v>4521</v>
      </c>
      <c r="K174">
        <v>0</v>
      </c>
      <c r="L174" s="1" t="s">
        <v>384</v>
      </c>
      <c r="M174" s="1" t="s">
        <v>72</v>
      </c>
      <c r="N174" s="1" t="s">
        <v>134</v>
      </c>
      <c r="O174" s="1" t="s">
        <v>385</v>
      </c>
      <c r="P174" s="1" t="s">
        <v>386</v>
      </c>
      <c r="Q174" s="1" t="s">
        <v>387</v>
      </c>
      <c r="R174">
        <v>103</v>
      </c>
      <c r="S174" s="1" t="s">
        <v>135</v>
      </c>
      <c r="T174" s="1" t="s">
        <v>388</v>
      </c>
      <c r="U174" s="1" t="s">
        <v>135</v>
      </c>
      <c r="V174" s="1"/>
      <c r="W174" s="1"/>
      <c r="X174" s="1"/>
      <c r="Y174" s="1"/>
      <c r="AA174" s="1"/>
      <c r="AC174" s="1"/>
      <c r="AD174" s="1"/>
      <c r="AE174" s="1"/>
      <c r="AN174" s="1"/>
      <c r="AP174" s="1"/>
      <c r="AQ174" s="1"/>
      <c r="AR174" s="1"/>
      <c r="AS174" s="1"/>
      <c r="AT174" s="3"/>
      <c r="AU174" s="3"/>
      <c r="AV174" s="3"/>
      <c r="AW174" s="1"/>
      <c r="AX174" s="1"/>
      <c r="AZ174">
        <v>76</v>
      </c>
      <c r="BA174">
        <v>260953.83</v>
      </c>
      <c r="BB174" s="1" t="s">
        <v>74</v>
      </c>
      <c r="BC174">
        <v>26</v>
      </c>
      <c r="BD174" s="1" t="s">
        <v>1357</v>
      </c>
      <c r="BE174" s="1" t="s">
        <v>99</v>
      </c>
      <c r="BF174">
        <v>0</v>
      </c>
      <c r="BG174" s="1"/>
      <c r="BH174" s="1" t="s">
        <v>451</v>
      </c>
      <c r="BI174">
        <v>1172.0899999999999</v>
      </c>
      <c r="BJ174" s="1" t="s">
        <v>1544</v>
      </c>
      <c r="BL174" s="1"/>
      <c r="BM174">
        <v>284.27999999999997</v>
      </c>
      <c r="BN174" s="1" t="s">
        <v>1295</v>
      </c>
      <c r="BO174">
        <v>186</v>
      </c>
      <c r="BP174">
        <v>260953.83</v>
      </c>
      <c r="BQ174">
        <v>260953.83</v>
      </c>
    </row>
    <row r="175" spans="1:69" x14ac:dyDescent="0.35">
      <c r="A175" s="1" t="s">
        <v>68</v>
      </c>
      <c r="B175" s="1" t="s">
        <v>69</v>
      </c>
      <c r="C175" s="1" t="s">
        <v>70</v>
      </c>
      <c r="D175">
        <v>1</v>
      </c>
      <c r="E175">
        <v>1</v>
      </c>
      <c r="F175" s="2">
        <v>43584.863483796296</v>
      </c>
      <c r="G175" s="3">
        <v>40909</v>
      </c>
      <c r="H175" s="3">
        <v>41274</v>
      </c>
      <c r="I175" s="1" t="s">
        <v>71</v>
      </c>
      <c r="J175">
        <v>4521</v>
      </c>
      <c r="K175">
        <v>0</v>
      </c>
      <c r="L175" s="1" t="s">
        <v>384</v>
      </c>
      <c r="M175" s="1" t="s">
        <v>72</v>
      </c>
      <c r="N175" s="1" t="s">
        <v>134</v>
      </c>
      <c r="O175" s="1" t="s">
        <v>385</v>
      </c>
      <c r="P175" s="1" t="s">
        <v>386</v>
      </c>
      <c r="Q175" s="1" t="s">
        <v>387</v>
      </c>
      <c r="R175">
        <v>103</v>
      </c>
      <c r="S175" s="1" t="s">
        <v>135</v>
      </c>
      <c r="T175" s="1" t="s">
        <v>388</v>
      </c>
      <c r="U175" s="1" t="s">
        <v>135</v>
      </c>
      <c r="V175" s="1"/>
      <c r="W175" s="1"/>
      <c r="X175" s="1"/>
      <c r="Y175" s="1"/>
      <c r="AA175" s="1"/>
      <c r="AC175" s="1"/>
      <c r="AD175" s="1"/>
      <c r="AE175" s="1"/>
      <c r="AN175" s="1"/>
      <c r="AP175" s="1"/>
      <c r="AQ175" s="1"/>
      <c r="AR175" s="1"/>
      <c r="AS175" s="1"/>
      <c r="AT175" s="3"/>
      <c r="AU175" s="3"/>
      <c r="AV175" s="3"/>
      <c r="AW175" s="1"/>
      <c r="AX175" s="1"/>
      <c r="AZ175">
        <v>76</v>
      </c>
      <c r="BA175">
        <v>260953.83</v>
      </c>
      <c r="BB175" s="1" t="s">
        <v>74</v>
      </c>
      <c r="BC175">
        <v>27</v>
      </c>
      <c r="BD175" s="1" t="s">
        <v>1357</v>
      </c>
      <c r="BE175" s="1" t="s">
        <v>99</v>
      </c>
      <c r="BF175">
        <v>0</v>
      </c>
      <c r="BG175" s="1"/>
      <c r="BH175" s="1" t="s">
        <v>492</v>
      </c>
      <c r="BI175">
        <v>1.95</v>
      </c>
      <c r="BJ175" s="1" t="s">
        <v>1422</v>
      </c>
      <c r="BL175" s="1"/>
      <c r="BN175" s="1"/>
      <c r="BO175">
        <v>186</v>
      </c>
      <c r="BP175">
        <v>260953.83</v>
      </c>
      <c r="BQ175">
        <v>260953.83</v>
      </c>
    </row>
    <row r="176" spans="1:69" x14ac:dyDescent="0.35">
      <c r="A176" s="1" t="s">
        <v>68</v>
      </c>
      <c r="B176" s="1" t="s">
        <v>69</v>
      </c>
      <c r="C176" s="1" t="s">
        <v>70</v>
      </c>
      <c r="D176">
        <v>1</v>
      </c>
      <c r="E176">
        <v>1</v>
      </c>
      <c r="F176" s="2">
        <v>43584.863483796296</v>
      </c>
      <c r="G176" s="3">
        <v>40909</v>
      </c>
      <c r="H176" s="3">
        <v>41274</v>
      </c>
      <c r="I176" s="1" t="s">
        <v>71</v>
      </c>
      <c r="J176">
        <v>4521</v>
      </c>
      <c r="K176">
        <v>0</v>
      </c>
      <c r="L176" s="1" t="s">
        <v>384</v>
      </c>
      <c r="M176" s="1" t="s">
        <v>72</v>
      </c>
      <c r="N176" s="1" t="s">
        <v>134</v>
      </c>
      <c r="O176" s="1" t="s">
        <v>385</v>
      </c>
      <c r="P176" s="1" t="s">
        <v>386</v>
      </c>
      <c r="Q176" s="1" t="s">
        <v>387</v>
      </c>
      <c r="R176">
        <v>103</v>
      </c>
      <c r="S176" s="1" t="s">
        <v>135</v>
      </c>
      <c r="T176" s="1" t="s">
        <v>388</v>
      </c>
      <c r="U176" s="1" t="s">
        <v>135</v>
      </c>
      <c r="V176" s="1"/>
      <c r="W176" s="1"/>
      <c r="X176" s="1"/>
      <c r="Y176" s="1"/>
      <c r="AA176" s="1"/>
      <c r="AC176" s="1"/>
      <c r="AD176" s="1"/>
      <c r="AE176" s="1"/>
      <c r="AN176" s="1"/>
      <c r="AP176" s="1"/>
      <c r="AQ176" s="1"/>
      <c r="AR176" s="1"/>
      <c r="AS176" s="1"/>
      <c r="AT176" s="3"/>
      <c r="AU176" s="3"/>
      <c r="AV176" s="3"/>
      <c r="AW176" s="1"/>
      <c r="AX176" s="1"/>
      <c r="AZ176">
        <v>76</v>
      </c>
      <c r="BA176">
        <v>260953.83</v>
      </c>
      <c r="BB176" s="1" t="s">
        <v>74</v>
      </c>
      <c r="BC176">
        <v>28</v>
      </c>
      <c r="BD176" s="1" t="s">
        <v>1358</v>
      </c>
      <c r="BE176" s="1" t="s">
        <v>444</v>
      </c>
      <c r="BF176">
        <v>362.3</v>
      </c>
      <c r="BG176" s="1" t="s">
        <v>1423</v>
      </c>
      <c r="BH176" s="1" t="s">
        <v>99</v>
      </c>
      <c r="BI176">
        <v>0</v>
      </c>
      <c r="BJ176" s="1"/>
      <c r="BL176" s="1"/>
      <c r="BN176" s="1"/>
      <c r="BO176">
        <v>186</v>
      </c>
      <c r="BP176">
        <v>260953.83</v>
      </c>
      <c r="BQ176">
        <v>260953.83</v>
      </c>
    </row>
    <row r="177" spans="1:69" x14ac:dyDescent="0.35">
      <c r="A177" s="1" t="s">
        <v>68</v>
      </c>
      <c r="B177" s="1" t="s">
        <v>69</v>
      </c>
      <c r="C177" s="1" t="s">
        <v>70</v>
      </c>
      <c r="D177">
        <v>1</v>
      </c>
      <c r="E177">
        <v>1</v>
      </c>
      <c r="F177" s="2">
        <v>43584.863483796296</v>
      </c>
      <c r="G177" s="3">
        <v>40909</v>
      </c>
      <c r="H177" s="3">
        <v>41274</v>
      </c>
      <c r="I177" s="1" t="s">
        <v>71</v>
      </c>
      <c r="J177">
        <v>4521</v>
      </c>
      <c r="K177">
        <v>0</v>
      </c>
      <c r="L177" s="1" t="s">
        <v>384</v>
      </c>
      <c r="M177" s="1" t="s">
        <v>72</v>
      </c>
      <c r="N177" s="1" t="s">
        <v>134</v>
      </c>
      <c r="O177" s="1" t="s">
        <v>385</v>
      </c>
      <c r="P177" s="1" t="s">
        <v>386</v>
      </c>
      <c r="Q177" s="1" t="s">
        <v>387</v>
      </c>
      <c r="R177">
        <v>103</v>
      </c>
      <c r="S177" s="1" t="s">
        <v>135</v>
      </c>
      <c r="T177" s="1" t="s">
        <v>388</v>
      </c>
      <c r="U177" s="1" t="s">
        <v>135</v>
      </c>
      <c r="V177" s="1"/>
      <c r="W177" s="1"/>
      <c r="X177" s="1"/>
      <c r="Y177" s="1"/>
      <c r="AA177" s="1"/>
      <c r="AC177" s="1"/>
      <c r="AD177" s="1"/>
      <c r="AE177" s="1"/>
      <c r="AN177" s="1"/>
      <c r="AP177" s="1"/>
      <c r="AQ177" s="1"/>
      <c r="AR177" s="1"/>
      <c r="AS177" s="1"/>
      <c r="AT177" s="3"/>
      <c r="AU177" s="3"/>
      <c r="AV177" s="3"/>
      <c r="AW177" s="1"/>
      <c r="AX177" s="1"/>
      <c r="AZ177">
        <v>76</v>
      </c>
      <c r="BA177">
        <v>260953.83</v>
      </c>
      <c r="BB177" s="1" t="s">
        <v>74</v>
      </c>
      <c r="BC177">
        <v>29</v>
      </c>
      <c r="BD177" s="1" t="s">
        <v>1358</v>
      </c>
      <c r="BE177" s="1" t="s">
        <v>99</v>
      </c>
      <c r="BF177">
        <v>0</v>
      </c>
      <c r="BG177" s="1"/>
      <c r="BH177" s="1" t="s">
        <v>489</v>
      </c>
      <c r="BI177">
        <v>362.3</v>
      </c>
      <c r="BJ177" s="1" t="s">
        <v>1423</v>
      </c>
      <c r="BL177" s="1"/>
      <c r="BN177" s="1"/>
      <c r="BO177">
        <v>186</v>
      </c>
      <c r="BP177">
        <v>260953.83</v>
      </c>
      <c r="BQ177">
        <v>260953.83</v>
      </c>
    </row>
    <row r="178" spans="1:69" x14ac:dyDescent="0.35">
      <c r="A178" s="1" t="s">
        <v>68</v>
      </c>
      <c r="B178" s="1" t="s">
        <v>69</v>
      </c>
      <c r="C178" s="1" t="s">
        <v>70</v>
      </c>
      <c r="D178">
        <v>1</v>
      </c>
      <c r="E178">
        <v>1</v>
      </c>
      <c r="F178" s="2">
        <v>43584.863483796296</v>
      </c>
      <c r="G178" s="3">
        <v>40909</v>
      </c>
      <c r="H178" s="3">
        <v>41274</v>
      </c>
      <c r="I178" s="1" t="s">
        <v>71</v>
      </c>
      <c r="J178">
        <v>4521</v>
      </c>
      <c r="K178">
        <v>0</v>
      </c>
      <c r="L178" s="1" t="s">
        <v>384</v>
      </c>
      <c r="M178" s="1" t="s">
        <v>72</v>
      </c>
      <c r="N178" s="1" t="s">
        <v>134</v>
      </c>
      <c r="O178" s="1" t="s">
        <v>385</v>
      </c>
      <c r="P178" s="1" t="s">
        <v>386</v>
      </c>
      <c r="Q178" s="1" t="s">
        <v>387</v>
      </c>
      <c r="R178">
        <v>103</v>
      </c>
      <c r="S178" s="1" t="s">
        <v>135</v>
      </c>
      <c r="T178" s="1" t="s">
        <v>388</v>
      </c>
      <c r="U178" s="1" t="s">
        <v>135</v>
      </c>
      <c r="V178" s="1"/>
      <c r="W178" s="1"/>
      <c r="X178" s="1"/>
      <c r="Y178" s="1"/>
      <c r="AA178" s="1"/>
      <c r="AC178" s="1"/>
      <c r="AD178" s="1"/>
      <c r="AE178" s="1"/>
      <c r="AN178" s="1"/>
      <c r="AP178" s="1"/>
      <c r="AQ178" s="1"/>
      <c r="AR178" s="1"/>
      <c r="AS178" s="1"/>
      <c r="AT178" s="3"/>
      <c r="AU178" s="3"/>
      <c r="AV178" s="3"/>
      <c r="AW178" s="1"/>
      <c r="AX178" s="1"/>
      <c r="AZ178">
        <v>76</v>
      </c>
      <c r="BA178">
        <v>260953.83</v>
      </c>
      <c r="BB178" s="1" t="s">
        <v>74</v>
      </c>
      <c r="BC178">
        <v>30</v>
      </c>
      <c r="BD178" s="1" t="s">
        <v>1359</v>
      </c>
      <c r="BE178" s="1" t="s">
        <v>466</v>
      </c>
      <c r="BF178">
        <v>273</v>
      </c>
      <c r="BG178" s="1" t="s">
        <v>1424</v>
      </c>
      <c r="BH178" s="1" t="s">
        <v>99</v>
      </c>
      <c r="BI178">
        <v>0</v>
      </c>
      <c r="BJ178" s="1"/>
      <c r="BL178" s="1"/>
      <c r="BN178" s="1"/>
      <c r="BO178">
        <v>186</v>
      </c>
      <c r="BP178">
        <v>260953.83</v>
      </c>
      <c r="BQ178">
        <v>260953.83</v>
      </c>
    </row>
    <row r="179" spans="1:69" x14ac:dyDescent="0.35">
      <c r="A179" s="1" t="s">
        <v>68</v>
      </c>
      <c r="B179" s="1" t="s">
        <v>69</v>
      </c>
      <c r="C179" s="1" t="s">
        <v>70</v>
      </c>
      <c r="D179">
        <v>1</v>
      </c>
      <c r="E179">
        <v>1</v>
      </c>
      <c r="F179" s="2">
        <v>43584.863483796296</v>
      </c>
      <c r="G179" s="3">
        <v>40909</v>
      </c>
      <c r="H179" s="3">
        <v>41274</v>
      </c>
      <c r="I179" s="1" t="s">
        <v>71</v>
      </c>
      <c r="J179">
        <v>4521</v>
      </c>
      <c r="K179">
        <v>0</v>
      </c>
      <c r="L179" s="1" t="s">
        <v>384</v>
      </c>
      <c r="M179" s="1" t="s">
        <v>72</v>
      </c>
      <c r="N179" s="1" t="s">
        <v>134</v>
      </c>
      <c r="O179" s="1" t="s">
        <v>385</v>
      </c>
      <c r="P179" s="1" t="s">
        <v>386</v>
      </c>
      <c r="Q179" s="1" t="s">
        <v>387</v>
      </c>
      <c r="R179">
        <v>103</v>
      </c>
      <c r="S179" s="1" t="s">
        <v>135</v>
      </c>
      <c r="T179" s="1" t="s">
        <v>388</v>
      </c>
      <c r="U179" s="1" t="s">
        <v>135</v>
      </c>
      <c r="V179" s="1"/>
      <c r="W179" s="1"/>
      <c r="X179" s="1"/>
      <c r="Y179" s="1"/>
      <c r="AA179" s="1"/>
      <c r="AC179" s="1"/>
      <c r="AD179" s="1"/>
      <c r="AE179" s="1"/>
      <c r="AN179" s="1"/>
      <c r="AP179" s="1"/>
      <c r="AQ179" s="1"/>
      <c r="AR179" s="1"/>
      <c r="AS179" s="1"/>
      <c r="AT179" s="3"/>
      <c r="AU179" s="3"/>
      <c r="AV179" s="3"/>
      <c r="AW179" s="1"/>
      <c r="AX179" s="1"/>
      <c r="AZ179">
        <v>76</v>
      </c>
      <c r="BA179">
        <v>260953.83</v>
      </c>
      <c r="BB179" s="1" t="s">
        <v>74</v>
      </c>
      <c r="BC179">
        <v>31</v>
      </c>
      <c r="BD179" s="1" t="s">
        <v>1359</v>
      </c>
      <c r="BE179" s="1" t="s">
        <v>99</v>
      </c>
      <c r="BF179">
        <v>0</v>
      </c>
      <c r="BG179" s="1"/>
      <c r="BH179" s="1" t="s">
        <v>1304</v>
      </c>
      <c r="BI179">
        <v>335.79</v>
      </c>
      <c r="BJ179" s="1" t="s">
        <v>1424</v>
      </c>
      <c r="BL179" s="1"/>
      <c r="BN179" s="1"/>
      <c r="BO179">
        <v>186</v>
      </c>
      <c r="BP179">
        <v>260953.83</v>
      </c>
      <c r="BQ179">
        <v>260953.83</v>
      </c>
    </row>
    <row r="180" spans="1:69" x14ac:dyDescent="0.35">
      <c r="A180" s="1" t="s">
        <v>68</v>
      </c>
      <c r="B180" s="1" t="s">
        <v>69</v>
      </c>
      <c r="C180" s="1" t="s">
        <v>70</v>
      </c>
      <c r="D180">
        <v>1</v>
      </c>
      <c r="E180">
        <v>1</v>
      </c>
      <c r="F180" s="2">
        <v>43584.863483796296</v>
      </c>
      <c r="G180" s="3">
        <v>40909</v>
      </c>
      <c r="H180" s="3">
        <v>41274</v>
      </c>
      <c r="I180" s="1" t="s">
        <v>71</v>
      </c>
      <c r="J180">
        <v>4521</v>
      </c>
      <c r="K180">
        <v>0</v>
      </c>
      <c r="L180" s="1" t="s">
        <v>384</v>
      </c>
      <c r="M180" s="1" t="s">
        <v>72</v>
      </c>
      <c r="N180" s="1" t="s">
        <v>134</v>
      </c>
      <c r="O180" s="1" t="s">
        <v>385</v>
      </c>
      <c r="P180" s="1" t="s">
        <v>386</v>
      </c>
      <c r="Q180" s="1" t="s">
        <v>387</v>
      </c>
      <c r="R180">
        <v>103</v>
      </c>
      <c r="S180" s="1" t="s">
        <v>135</v>
      </c>
      <c r="T180" s="1" t="s">
        <v>388</v>
      </c>
      <c r="U180" s="1" t="s">
        <v>135</v>
      </c>
      <c r="V180" s="1"/>
      <c r="W180" s="1"/>
      <c r="X180" s="1"/>
      <c r="Y180" s="1"/>
      <c r="AA180" s="1"/>
      <c r="AC180" s="1"/>
      <c r="AD180" s="1"/>
      <c r="AE180" s="1"/>
      <c r="AN180" s="1"/>
      <c r="AP180" s="1"/>
      <c r="AQ180" s="1"/>
      <c r="AR180" s="1"/>
      <c r="AS180" s="1"/>
      <c r="AT180" s="3"/>
      <c r="AU180" s="3"/>
      <c r="AV180" s="3"/>
      <c r="AW180" s="1"/>
      <c r="AX180" s="1"/>
      <c r="AZ180">
        <v>76</v>
      </c>
      <c r="BA180">
        <v>260953.83</v>
      </c>
      <c r="BB180" s="1" t="s">
        <v>74</v>
      </c>
      <c r="BC180">
        <v>32</v>
      </c>
      <c r="BD180" s="1" t="s">
        <v>1359</v>
      </c>
      <c r="BE180" s="1" t="s">
        <v>452</v>
      </c>
      <c r="BF180">
        <v>62.79</v>
      </c>
      <c r="BG180" s="1" t="s">
        <v>1424</v>
      </c>
      <c r="BH180" s="1" t="s">
        <v>99</v>
      </c>
      <c r="BI180">
        <v>0</v>
      </c>
      <c r="BJ180" s="1"/>
      <c r="BL180" s="1"/>
      <c r="BN180" s="1"/>
      <c r="BO180">
        <v>186</v>
      </c>
      <c r="BP180">
        <v>260953.83</v>
      </c>
      <c r="BQ180">
        <v>260953.83</v>
      </c>
    </row>
    <row r="181" spans="1:69" x14ac:dyDescent="0.35">
      <c r="A181" s="1" t="s">
        <v>68</v>
      </c>
      <c r="B181" s="1" t="s">
        <v>69</v>
      </c>
      <c r="C181" s="1" t="s">
        <v>70</v>
      </c>
      <c r="D181">
        <v>1</v>
      </c>
      <c r="E181">
        <v>1</v>
      </c>
      <c r="F181" s="2">
        <v>43584.863483796296</v>
      </c>
      <c r="G181" s="3">
        <v>40909</v>
      </c>
      <c r="H181" s="3">
        <v>41274</v>
      </c>
      <c r="I181" s="1" t="s">
        <v>71</v>
      </c>
      <c r="J181">
        <v>4521</v>
      </c>
      <c r="K181">
        <v>0</v>
      </c>
      <c r="L181" s="1" t="s">
        <v>384</v>
      </c>
      <c r="M181" s="1" t="s">
        <v>72</v>
      </c>
      <c r="N181" s="1" t="s">
        <v>134</v>
      </c>
      <c r="O181" s="1" t="s">
        <v>385</v>
      </c>
      <c r="P181" s="1" t="s">
        <v>386</v>
      </c>
      <c r="Q181" s="1" t="s">
        <v>387</v>
      </c>
      <c r="R181">
        <v>103</v>
      </c>
      <c r="S181" s="1" t="s">
        <v>135</v>
      </c>
      <c r="T181" s="1" t="s">
        <v>388</v>
      </c>
      <c r="U181" s="1" t="s">
        <v>135</v>
      </c>
      <c r="V181" s="1"/>
      <c r="W181" s="1"/>
      <c r="X181" s="1"/>
      <c r="Y181" s="1"/>
      <c r="AA181" s="1"/>
      <c r="AC181" s="1"/>
      <c r="AD181" s="1"/>
      <c r="AE181" s="1"/>
      <c r="AN181" s="1"/>
      <c r="AP181" s="1"/>
      <c r="AQ181" s="1"/>
      <c r="AR181" s="1"/>
      <c r="AS181" s="1"/>
      <c r="AT181" s="3"/>
      <c r="AU181" s="3"/>
      <c r="AV181" s="3"/>
      <c r="AW181" s="1"/>
      <c r="AX181" s="1"/>
      <c r="AZ181">
        <v>76</v>
      </c>
      <c r="BA181">
        <v>260953.83</v>
      </c>
      <c r="BB181" s="1" t="s">
        <v>74</v>
      </c>
      <c r="BC181">
        <v>33</v>
      </c>
      <c r="BD181" s="1" t="s">
        <v>1360</v>
      </c>
      <c r="BE181" s="1" t="s">
        <v>467</v>
      </c>
      <c r="BF181">
        <v>980</v>
      </c>
      <c r="BG181" s="1" t="s">
        <v>1425</v>
      </c>
      <c r="BH181" s="1" t="s">
        <v>99</v>
      </c>
      <c r="BI181">
        <v>0</v>
      </c>
      <c r="BJ181" s="1"/>
      <c r="BL181" s="1"/>
      <c r="BN181" s="1"/>
      <c r="BO181">
        <v>186</v>
      </c>
      <c r="BP181">
        <v>260953.83</v>
      </c>
      <c r="BQ181">
        <v>260953.83</v>
      </c>
    </row>
    <row r="182" spans="1:69" x14ac:dyDescent="0.35">
      <c r="A182" s="1" t="s">
        <v>68</v>
      </c>
      <c r="B182" s="1" t="s">
        <v>69</v>
      </c>
      <c r="C182" s="1" t="s">
        <v>70</v>
      </c>
      <c r="D182">
        <v>1</v>
      </c>
      <c r="E182">
        <v>1</v>
      </c>
      <c r="F182" s="2">
        <v>43584.863483796296</v>
      </c>
      <c r="G182" s="3">
        <v>40909</v>
      </c>
      <c r="H182" s="3">
        <v>41274</v>
      </c>
      <c r="I182" s="1" t="s">
        <v>71</v>
      </c>
      <c r="J182">
        <v>4521</v>
      </c>
      <c r="K182">
        <v>0</v>
      </c>
      <c r="L182" s="1" t="s">
        <v>384</v>
      </c>
      <c r="M182" s="1" t="s">
        <v>72</v>
      </c>
      <c r="N182" s="1" t="s">
        <v>134</v>
      </c>
      <c r="O182" s="1" t="s">
        <v>385</v>
      </c>
      <c r="P182" s="1" t="s">
        <v>386</v>
      </c>
      <c r="Q182" s="1" t="s">
        <v>387</v>
      </c>
      <c r="R182">
        <v>103</v>
      </c>
      <c r="S182" s="1" t="s">
        <v>135</v>
      </c>
      <c r="T182" s="1" t="s">
        <v>388</v>
      </c>
      <c r="U182" s="1" t="s">
        <v>135</v>
      </c>
      <c r="V182" s="1"/>
      <c r="W182" s="1"/>
      <c r="X182" s="1"/>
      <c r="Y182" s="1"/>
      <c r="AA182" s="1"/>
      <c r="AC182" s="1"/>
      <c r="AD182" s="1"/>
      <c r="AE182" s="1"/>
      <c r="AN182" s="1"/>
      <c r="AP182" s="1"/>
      <c r="AQ182" s="1"/>
      <c r="AR182" s="1"/>
      <c r="AS182" s="1"/>
      <c r="AT182" s="3"/>
      <c r="AU182" s="3"/>
      <c r="AV182" s="3"/>
      <c r="AW182" s="1"/>
      <c r="AX182" s="1"/>
      <c r="AZ182">
        <v>76</v>
      </c>
      <c r="BA182">
        <v>260953.83</v>
      </c>
      <c r="BB182" s="1" t="s">
        <v>74</v>
      </c>
      <c r="BC182">
        <v>34</v>
      </c>
      <c r="BD182" s="1" t="s">
        <v>1360</v>
      </c>
      <c r="BE182" s="1" t="s">
        <v>99</v>
      </c>
      <c r="BF182">
        <v>0</v>
      </c>
      <c r="BG182" s="1"/>
      <c r="BH182" s="1" t="s">
        <v>425</v>
      </c>
      <c r="BI182">
        <v>1205.4000000000001</v>
      </c>
      <c r="BJ182" s="1" t="s">
        <v>1425</v>
      </c>
      <c r="BL182" s="1"/>
      <c r="BN182" s="1"/>
      <c r="BO182">
        <v>186</v>
      </c>
      <c r="BP182">
        <v>260953.83</v>
      </c>
      <c r="BQ182">
        <v>260953.83</v>
      </c>
    </row>
    <row r="183" spans="1:69" x14ac:dyDescent="0.35">
      <c r="A183" s="1" t="s">
        <v>68</v>
      </c>
      <c r="B183" s="1" t="s">
        <v>69</v>
      </c>
      <c r="C183" s="1" t="s">
        <v>70</v>
      </c>
      <c r="D183">
        <v>1</v>
      </c>
      <c r="E183">
        <v>1</v>
      </c>
      <c r="F183" s="2">
        <v>43584.863483796296</v>
      </c>
      <c r="G183" s="3">
        <v>40909</v>
      </c>
      <c r="H183" s="3">
        <v>41274</v>
      </c>
      <c r="I183" s="1" t="s">
        <v>71</v>
      </c>
      <c r="J183">
        <v>4521</v>
      </c>
      <c r="K183">
        <v>0</v>
      </c>
      <c r="L183" s="1" t="s">
        <v>384</v>
      </c>
      <c r="M183" s="1" t="s">
        <v>72</v>
      </c>
      <c r="N183" s="1" t="s">
        <v>134</v>
      </c>
      <c r="O183" s="1" t="s">
        <v>385</v>
      </c>
      <c r="P183" s="1" t="s">
        <v>386</v>
      </c>
      <c r="Q183" s="1" t="s">
        <v>387</v>
      </c>
      <c r="R183">
        <v>103</v>
      </c>
      <c r="S183" s="1" t="s">
        <v>135</v>
      </c>
      <c r="T183" s="1" t="s">
        <v>388</v>
      </c>
      <c r="U183" s="1" t="s">
        <v>135</v>
      </c>
      <c r="V183" s="1"/>
      <c r="W183" s="1"/>
      <c r="X183" s="1"/>
      <c r="Y183" s="1"/>
      <c r="AA183" s="1"/>
      <c r="AC183" s="1"/>
      <c r="AD183" s="1"/>
      <c r="AE183" s="1"/>
      <c r="AN183" s="1"/>
      <c r="AP183" s="1"/>
      <c r="AQ183" s="1"/>
      <c r="AR183" s="1"/>
      <c r="AS183" s="1"/>
      <c r="AT183" s="3"/>
      <c r="AU183" s="3"/>
      <c r="AV183" s="3"/>
      <c r="AW183" s="1"/>
      <c r="AX183" s="1"/>
      <c r="AZ183">
        <v>76</v>
      </c>
      <c r="BA183">
        <v>260953.83</v>
      </c>
      <c r="BB183" s="1" t="s">
        <v>74</v>
      </c>
      <c r="BC183">
        <v>35</v>
      </c>
      <c r="BD183" s="1" t="s">
        <v>1360</v>
      </c>
      <c r="BE183" s="1" t="s">
        <v>452</v>
      </c>
      <c r="BF183">
        <v>225.4</v>
      </c>
      <c r="BG183" s="1" t="s">
        <v>1425</v>
      </c>
      <c r="BH183" s="1" t="s">
        <v>99</v>
      </c>
      <c r="BI183">
        <v>0</v>
      </c>
      <c r="BJ183" s="1"/>
      <c r="BL183" s="1"/>
      <c r="BN183" s="1"/>
      <c r="BO183">
        <v>186</v>
      </c>
      <c r="BP183">
        <v>260953.83</v>
      </c>
      <c r="BQ183">
        <v>260953.83</v>
      </c>
    </row>
    <row r="184" spans="1:69" x14ac:dyDescent="0.35">
      <c r="A184" s="1" t="s">
        <v>68</v>
      </c>
      <c r="B184" s="1" t="s">
        <v>69</v>
      </c>
      <c r="C184" s="1" t="s">
        <v>70</v>
      </c>
      <c r="D184">
        <v>1</v>
      </c>
      <c r="E184">
        <v>1</v>
      </c>
      <c r="F184" s="2">
        <v>43584.863483796296</v>
      </c>
      <c r="G184" s="3">
        <v>40909</v>
      </c>
      <c r="H184" s="3">
        <v>41274</v>
      </c>
      <c r="I184" s="1" t="s">
        <v>71</v>
      </c>
      <c r="J184">
        <v>4521</v>
      </c>
      <c r="K184">
        <v>0</v>
      </c>
      <c r="L184" s="1" t="s">
        <v>384</v>
      </c>
      <c r="M184" s="1" t="s">
        <v>72</v>
      </c>
      <c r="N184" s="1" t="s">
        <v>134</v>
      </c>
      <c r="O184" s="1" t="s">
        <v>385</v>
      </c>
      <c r="P184" s="1" t="s">
        <v>386</v>
      </c>
      <c r="Q184" s="1" t="s">
        <v>387</v>
      </c>
      <c r="R184">
        <v>103</v>
      </c>
      <c r="S184" s="1" t="s">
        <v>135</v>
      </c>
      <c r="T184" s="1" t="s">
        <v>388</v>
      </c>
      <c r="U184" s="1" t="s">
        <v>135</v>
      </c>
      <c r="V184" s="1"/>
      <c r="W184" s="1"/>
      <c r="X184" s="1"/>
      <c r="Y184" s="1"/>
      <c r="AA184" s="1"/>
      <c r="AC184" s="1"/>
      <c r="AD184" s="1"/>
      <c r="AE184" s="1"/>
      <c r="AN184" s="1"/>
      <c r="AP184" s="1"/>
      <c r="AQ184" s="1"/>
      <c r="AR184" s="1"/>
      <c r="AS184" s="1"/>
      <c r="AT184" s="3"/>
      <c r="AU184" s="3"/>
      <c r="AV184" s="3"/>
      <c r="AW184" s="1"/>
      <c r="AX184" s="1"/>
      <c r="AZ184">
        <v>76</v>
      </c>
      <c r="BA184">
        <v>260953.83</v>
      </c>
      <c r="BB184" s="1" t="s">
        <v>74</v>
      </c>
      <c r="BC184">
        <v>36</v>
      </c>
      <c r="BD184" s="1" t="s">
        <v>1361</v>
      </c>
      <c r="BE184" s="1" t="s">
        <v>444</v>
      </c>
      <c r="BF184">
        <v>3299.94</v>
      </c>
      <c r="BG184" s="1" t="s">
        <v>1426</v>
      </c>
      <c r="BH184" s="1" t="s">
        <v>99</v>
      </c>
      <c r="BI184">
        <v>0</v>
      </c>
      <c r="BJ184" s="1"/>
      <c r="BL184" s="1"/>
      <c r="BN184" s="1"/>
      <c r="BO184">
        <v>186</v>
      </c>
      <c r="BP184">
        <v>260953.83</v>
      </c>
      <c r="BQ184">
        <v>260953.83</v>
      </c>
    </row>
    <row r="185" spans="1:69" x14ac:dyDescent="0.35">
      <c r="A185" s="1" t="s">
        <v>68</v>
      </c>
      <c r="B185" s="1" t="s">
        <v>69</v>
      </c>
      <c r="C185" s="1" t="s">
        <v>70</v>
      </c>
      <c r="D185">
        <v>1</v>
      </c>
      <c r="E185">
        <v>1</v>
      </c>
      <c r="F185" s="2">
        <v>43584.863483796296</v>
      </c>
      <c r="G185" s="3">
        <v>40909</v>
      </c>
      <c r="H185" s="3">
        <v>41274</v>
      </c>
      <c r="I185" s="1" t="s">
        <v>71</v>
      </c>
      <c r="J185">
        <v>4521</v>
      </c>
      <c r="K185">
        <v>0</v>
      </c>
      <c r="L185" s="1" t="s">
        <v>384</v>
      </c>
      <c r="M185" s="1" t="s">
        <v>72</v>
      </c>
      <c r="N185" s="1" t="s">
        <v>134</v>
      </c>
      <c r="O185" s="1" t="s">
        <v>385</v>
      </c>
      <c r="P185" s="1" t="s">
        <v>386</v>
      </c>
      <c r="Q185" s="1" t="s">
        <v>387</v>
      </c>
      <c r="R185">
        <v>103</v>
      </c>
      <c r="S185" s="1" t="s">
        <v>135</v>
      </c>
      <c r="T185" s="1" t="s">
        <v>388</v>
      </c>
      <c r="U185" s="1" t="s">
        <v>135</v>
      </c>
      <c r="V185" s="1"/>
      <c r="W185" s="1"/>
      <c r="X185" s="1"/>
      <c r="Y185" s="1"/>
      <c r="AA185" s="1"/>
      <c r="AC185" s="1"/>
      <c r="AD185" s="1"/>
      <c r="AE185" s="1"/>
      <c r="AN185" s="1"/>
      <c r="AP185" s="1"/>
      <c r="AQ185" s="1"/>
      <c r="AR185" s="1"/>
      <c r="AS185" s="1"/>
      <c r="AT185" s="3"/>
      <c r="AU185" s="3"/>
      <c r="AV185" s="3"/>
      <c r="AW185" s="1"/>
      <c r="AX185" s="1"/>
      <c r="AZ185">
        <v>76</v>
      </c>
      <c r="BA185">
        <v>260953.83</v>
      </c>
      <c r="BB185" s="1" t="s">
        <v>74</v>
      </c>
      <c r="BC185">
        <v>37</v>
      </c>
      <c r="BD185" s="1" t="s">
        <v>1361</v>
      </c>
      <c r="BE185" s="1" t="s">
        <v>99</v>
      </c>
      <c r="BF185">
        <v>0</v>
      </c>
      <c r="BG185" s="1"/>
      <c r="BH185" s="1" t="s">
        <v>489</v>
      </c>
      <c r="BI185">
        <v>3299.94</v>
      </c>
      <c r="BJ185" s="1" t="s">
        <v>1426</v>
      </c>
      <c r="BL185" s="1"/>
      <c r="BN185" s="1"/>
      <c r="BO185">
        <v>186</v>
      </c>
      <c r="BP185">
        <v>260953.83</v>
      </c>
      <c r="BQ185">
        <v>260953.83</v>
      </c>
    </row>
    <row r="186" spans="1:69" x14ac:dyDescent="0.35">
      <c r="A186" s="1" t="s">
        <v>68</v>
      </c>
      <c r="B186" s="1" t="s">
        <v>69</v>
      </c>
      <c r="C186" s="1" t="s">
        <v>70</v>
      </c>
      <c r="D186">
        <v>1</v>
      </c>
      <c r="E186">
        <v>1</v>
      </c>
      <c r="F186" s="2">
        <v>43584.863483796296</v>
      </c>
      <c r="G186" s="3">
        <v>40909</v>
      </c>
      <c r="H186" s="3">
        <v>41274</v>
      </c>
      <c r="I186" s="1" t="s">
        <v>71</v>
      </c>
      <c r="J186">
        <v>4521</v>
      </c>
      <c r="K186">
        <v>0</v>
      </c>
      <c r="L186" s="1" t="s">
        <v>384</v>
      </c>
      <c r="M186" s="1" t="s">
        <v>72</v>
      </c>
      <c r="N186" s="1" t="s">
        <v>134</v>
      </c>
      <c r="O186" s="1" t="s">
        <v>385</v>
      </c>
      <c r="P186" s="1" t="s">
        <v>386</v>
      </c>
      <c r="Q186" s="1" t="s">
        <v>387</v>
      </c>
      <c r="R186">
        <v>103</v>
      </c>
      <c r="S186" s="1" t="s">
        <v>135</v>
      </c>
      <c r="T186" s="1" t="s">
        <v>388</v>
      </c>
      <c r="U186" s="1" t="s">
        <v>135</v>
      </c>
      <c r="V186" s="1"/>
      <c r="W186" s="1"/>
      <c r="X186" s="1"/>
      <c r="Y186" s="1"/>
      <c r="AA186" s="1"/>
      <c r="AC186" s="1"/>
      <c r="AD186" s="1"/>
      <c r="AE186" s="1"/>
      <c r="AN186" s="1"/>
      <c r="AP186" s="1"/>
      <c r="AQ186" s="1"/>
      <c r="AR186" s="1"/>
      <c r="AS186" s="1"/>
      <c r="AT186" s="3"/>
      <c r="AU186" s="3"/>
      <c r="AV186" s="3"/>
      <c r="AW186" s="1"/>
      <c r="AX186" s="1"/>
      <c r="AZ186">
        <v>76</v>
      </c>
      <c r="BA186">
        <v>260953.83</v>
      </c>
      <c r="BB186" s="1" t="s">
        <v>74</v>
      </c>
      <c r="BC186">
        <v>38</v>
      </c>
      <c r="BD186" s="1" t="s">
        <v>1362</v>
      </c>
      <c r="BE186" s="1" t="s">
        <v>469</v>
      </c>
      <c r="BF186">
        <v>11813.7</v>
      </c>
      <c r="BG186" s="1" t="s">
        <v>1427</v>
      </c>
      <c r="BH186" s="1" t="s">
        <v>99</v>
      </c>
      <c r="BI186">
        <v>0</v>
      </c>
      <c r="BJ186" s="1"/>
      <c r="BL186" s="1"/>
      <c r="BN186" s="1"/>
      <c r="BO186">
        <v>186</v>
      </c>
      <c r="BP186">
        <v>260953.83</v>
      </c>
      <c r="BQ186">
        <v>260953.83</v>
      </c>
    </row>
    <row r="187" spans="1:69" x14ac:dyDescent="0.35">
      <c r="A187" s="1" t="s">
        <v>68</v>
      </c>
      <c r="B187" s="1" t="s">
        <v>69</v>
      </c>
      <c r="C187" s="1" t="s">
        <v>70</v>
      </c>
      <c r="D187">
        <v>1</v>
      </c>
      <c r="E187">
        <v>1</v>
      </c>
      <c r="F187" s="2">
        <v>43584.863483796296</v>
      </c>
      <c r="G187" s="3">
        <v>40909</v>
      </c>
      <c r="H187" s="3">
        <v>41274</v>
      </c>
      <c r="I187" s="1" t="s">
        <v>71</v>
      </c>
      <c r="J187">
        <v>4521</v>
      </c>
      <c r="K187">
        <v>0</v>
      </c>
      <c r="L187" s="1" t="s">
        <v>384</v>
      </c>
      <c r="M187" s="1" t="s">
        <v>72</v>
      </c>
      <c r="N187" s="1" t="s">
        <v>134</v>
      </c>
      <c r="O187" s="1" t="s">
        <v>385</v>
      </c>
      <c r="P187" s="1" t="s">
        <v>386</v>
      </c>
      <c r="Q187" s="1" t="s">
        <v>387</v>
      </c>
      <c r="R187">
        <v>103</v>
      </c>
      <c r="S187" s="1" t="s">
        <v>135</v>
      </c>
      <c r="T187" s="1" t="s">
        <v>388</v>
      </c>
      <c r="U187" s="1" t="s">
        <v>135</v>
      </c>
      <c r="V187" s="1"/>
      <c r="W187" s="1"/>
      <c r="X187" s="1"/>
      <c r="Y187" s="1"/>
      <c r="AA187" s="1"/>
      <c r="AC187" s="1"/>
      <c r="AD187" s="1"/>
      <c r="AE187" s="1"/>
      <c r="AN187" s="1"/>
      <c r="AP187" s="1"/>
      <c r="AQ187" s="1"/>
      <c r="AR187" s="1"/>
      <c r="AS187" s="1"/>
      <c r="AT187" s="3"/>
      <c r="AU187" s="3"/>
      <c r="AV187" s="3"/>
      <c r="AW187" s="1"/>
      <c r="AX187" s="1"/>
      <c r="AZ187">
        <v>76</v>
      </c>
      <c r="BA187">
        <v>260953.83</v>
      </c>
      <c r="BB187" s="1" t="s">
        <v>74</v>
      </c>
      <c r="BC187">
        <v>39</v>
      </c>
      <c r="BD187" s="1" t="s">
        <v>1362</v>
      </c>
      <c r="BE187" s="1" t="s">
        <v>99</v>
      </c>
      <c r="BF187">
        <v>0</v>
      </c>
      <c r="BG187" s="1"/>
      <c r="BH187" s="1" t="s">
        <v>448</v>
      </c>
      <c r="BI187">
        <v>11813.7</v>
      </c>
      <c r="BJ187" s="1" t="s">
        <v>1427</v>
      </c>
      <c r="BL187" s="1"/>
      <c r="BN187" s="1"/>
      <c r="BO187">
        <v>186</v>
      </c>
      <c r="BP187">
        <v>260953.83</v>
      </c>
      <c r="BQ187">
        <v>260953.83</v>
      </c>
    </row>
    <row r="188" spans="1:69" x14ac:dyDescent="0.35">
      <c r="A188" s="1" t="s">
        <v>68</v>
      </c>
      <c r="B188" s="1" t="s">
        <v>69</v>
      </c>
      <c r="C188" s="1" t="s">
        <v>70</v>
      </c>
      <c r="D188">
        <v>1</v>
      </c>
      <c r="E188">
        <v>1</v>
      </c>
      <c r="F188" s="2">
        <v>43584.863483796296</v>
      </c>
      <c r="G188" s="3">
        <v>40909</v>
      </c>
      <c r="H188" s="3">
        <v>41274</v>
      </c>
      <c r="I188" s="1" t="s">
        <v>71</v>
      </c>
      <c r="J188">
        <v>4521</v>
      </c>
      <c r="K188">
        <v>0</v>
      </c>
      <c r="L188" s="1" t="s">
        <v>384</v>
      </c>
      <c r="M188" s="1" t="s">
        <v>72</v>
      </c>
      <c r="N188" s="1" t="s">
        <v>134</v>
      </c>
      <c r="O188" s="1" t="s">
        <v>385</v>
      </c>
      <c r="P188" s="1" t="s">
        <v>386</v>
      </c>
      <c r="Q188" s="1" t="s">
        <v>387</v>
      </c>
      <c r="R188">
        <v>103</v>
      </c>
      <c r="S188" s="1" t="s">
        <v>135</v>
      </c>
      <c r="T188" s="1" t="s">
        <v>388</v>
      </c>
      <c r="U188" s="1" t="s">
        <v>135</v>
      </c>
      <c r="V188" s="1"/>
      <c r="W188" s="1"/>
      <c r="X188" s="1"/>
      <c r="Y188" s="1"/>
      <c r="AA188" s="1"/>
      <c r="AC188" s="1"/>
      <c r="AD188" s="1"/>
      <c r="AE188" s="1"/>
      <c r="AN188" s="1"/>
      <c r="AP188" s="1"/>
      <c r="AQ188" s="1"/>
      <c r="AR188" s="1"/>
      <c r="AS188" s="1"/>
      <c r="AT188" s="3"/>
      <c r="AU188" s="3"/>
      <c r="AV188" s="3"/>
      <c r="AW188" s="1"/>
      <c r="AX188" s="1"/>
      <c r="AZ188">
        <v>76</v>
      </c>
      <c r="BA188">
        <v>260953.83</v>
      </c>
      <c r="BB188" s="1" t="s">
        <v>74</v>
      </c>
      <c r="BC188">
        <v>40</v>
      </c>
      <c r="BD188" s="1" t="s">
        <v>1363</v>
      </c>
      <c r="BE188" s="1" t="s">
        <v>466</v>
      </c>
      <c r="BF188">
        <v>980</v>
      </c>
      <c r="BG188" s="1" t="s">
        <v>1428</v>
      </c>
      <c r="BH188" s="1" t="s">
        <v>99</v>
      </c>
      <c r="BI188">
        <v>0</v>
      </c>
      <c r="BJ188" s="1"/>
      <c r="BL188" s="1"/>
      <c r="BN188" s="1"/>
      <c r="BO188">
        <v>186</v>
      </c>
      <c r="BP188">
        <v>260953.83</v>
      </c>
      <c r="BQ188">
        <v>260953.83</v>
      </c>
    </row>
    <row r="189" spans="1:69" x14ac:dyDescent="0.35">
      <c r="A189" s="1" t="s">
        <v>68</v>
      </c>
      <c r="B189" s="1" t="s">
        <v>69</v>
      </c>
      <c r="C189" s="1" t="s">
        <v>70</v>
      </c>
      <c r="D189">
        <v>1</v>
      </c>
      <c r="E189">
        <v>1</v>
      </c>
      <c r="F189" s="2">
        <v>43584.863483796296</v>
      </c>
      <c r="G189" s="3">
        <v>40909</v>
      </c>
      <c r="H189" s="3">
        <v>41274</v>
      </c>
      <c r="I189" s="1" t="s">
        <v>71</v>
      </c>
      <c r="J189">
        <v>4521</v>
      </c>
      <c r="K189">
        <v>0</v>
      </c>
      <c r="L189" s="1" t="s">
        <v>384</v>
      </c>
      <c r="M189" s="1" t="s">
        <v>72</v>
      </c>
      <c r="N189" s="1" t="s">
        <v>134</v>
      </c>
      <c r="O189" s="1" t="s">
        <v>385</v>
      </c>
      <c r="P189" s="1" t="s">
        <v>386</v>
      </c>
      <c r="Q189" s="1" t="s">
        <v>387</v>
      </c>
      <c r="R189">
        <v>103</v>
      </c>
      <c r="S189" s="1" t="s">
        <v>135</v>
      </c>
      <c r="T189" s="1" t="s">
        <v>388</v>
      </c>
      <c r="U189" s="1" t="s">
        <v>135</v>
      </c>
      <c r="V189" s="1"/>
      <c r="W189" s="1"/>
      <c r="X189" s="1"/>
      <c r="Y189" s="1"/>
      <c r="AA189" s="1"/>
      <c r="AC189" s="1"/>
      <c r="AD189" s="1"/>
      <c r="AE189" s="1"/>
      <c r="AN189" s="1"/>
      <c r="AP189" s="1"/>
      <c r="AQ189" s="1"/>
      <c r="AR189" s="1"/>
      <c r="AS189" s="1"/>
      <c r="AT189" s="3"/>
      <c r="AU189" s="3"/>
      <c r="AV189" s="3"/>
      <c r="AW189" s="1"/>
      <c r="AX189" s="1"/>
      <c r="AZ189">
        <v>76</v>
      </c>
      <c r="BA189">
        <v>260953.83</v>
      </c>
      <c r="BB189" s="1" t="s">
        <v>74</v>
      </c>
      <c r="BC189">
        <v>41</v>
      </c>
      <c r="BD189" s="1" t="s">
        <v>1363</v>
      </c>
      <c r="BE189" s="1" t="s">
        <v>99</v>
      </c>
      <c r="BF189">
        <v>0</v>
      </c>
      <c r="BG189" s="1"/>
      <c r="BH189" s="1" t="s">
        <v>429</v>
      </c>
      <c r="BI189">
        <v>1205.4000000000001</v>
      </c>
      <c r="BJ189" s="1" t="s">
        <v>1428</v>
      </c>
      <c r="BL189" s="1"/>
      <c r="BN189" s="1"/>
      <c r="BO189">
        <v>186</v>
      </c>
      <c r="BP189">
        <v>260953.83</v>
      </c>
      <c r="BQ189">
        <v>260953.83</v>
      </c>
    </row>
    <row r="190" spans="1:69" x14ac:dyDescent="0.35">
      <c r="A190" s="1" t="s">
        <v>68</v>
      </c>
      <c r="B190" s="1" t="s">
        <v>69</v>
      </c>
      <c r="C190" s="1" t="s">
        <v>70</v>
      </c>
      <c r="D190">
        <v>1</v>
      </c>
      <c r="E190">
        <v>1</v>
      </c>
      <c r="F190" s="2">
        <v>43584.863483796296</v>
      </c>
      <c r="G190" s="3">
        <v>40909</v>
      </c>
      <c r="H190" s="3">
        <v>41274</v>
      </c>
      <c r="I190" s="1" t="s">
        <v>71</v>
      </c>
      <c r="J190">
        <v>4521</v>
      </c>
      <c r="K190">
        <v>0</v>
      </c>
      <c r="L190" s="1" t="s">
        <v>384</v>
      </c>
      <c r="M190" s="1" t="s">
        <v>72</v>
      </c>
      <c r="N190" s="1" t="s">
        <v>134</v>
      </c>
      <c r="O190" s="1" t="s">
        <v>385</v>
      </c>
      <c r="P190" s="1" t="s">
        <v>386</v>
      </c>
      <c r="Q190" s="1" t="s">
        <v>387</v>
      </c>
      <c r="R190">
        <v>103</v>
      </c>
      <c r="S190" s="1" t="s">
        <v>135</v>
      </c>
      <c r="T190" s="1" t="s">
        <v>388</v>
      </c>
      <c r="U190" s="1" t="s">
        <v>135</v>
      </c>
      <c r="V190" s="1"/>
      <c r="W190" s="1"/>
      <c r="X190" s="1"/>
      <c r="Y190" s="1"/>
      <c r="AA190" s="1"/>
      <c r="AC190" s="1"/>
      <c r="AD190" s="1"/>
      <c r="AE190" s="1"/>
      <c r="AN190" s="1"/>
      <c r="AP190" s="1"/>
      <c r="AQ190" s="1"/>
      <c r="AR190" s="1"/>
      <c r="AS190" s="1"/>
      <c r="AT190" s="3"/>
      <c r="AU190" s="3"/>
      <c r="AV190" s="3"/>
      <c r="AW190" s="1"/>
      <c r="AX190" s="1"/>
      <c r="AZ190">
        <v>76</v>
      </c>
      <c r="BA190">
        <v>260953.83</v>
      </c>
      <c r="BB190" s="1" t="s">
        <v>74</v>
      </c>
      <c r="BC190">
        <v>42</v>
      </c>
      <c r="BD190" s="1" t="s">
        <v>1363</v>
      </c>
      <c r="BE190" s="1" t="s">
        <v>452</v>
      </c>
      <c r="BF190">
        <v>225.4</v>
      </c>
      <c r="BG190" s="1" t="s">
        <v>1428</v>
      </c>
      <c r="BH190" s="1" t="s">
        <v>99</v>
      </c>
      <c r="BI190">
        <v>0</v>
      </c>
      <c r="BJ190" s="1"/>
      <c r="BL190" s="1"/>
      <c r="BN190" s="1"/>
      <c r="BO190">
        <v>186</v>
      </c>
      <c r="BP190">
        <v>260953.83</v>
      </c>
      <c r="BQ190">
        <v>260953.83</v>
      </c>
    </row>
    <row r="191" spans="1:69" x14ac:dyDescent="0.35">
      <c r="A191" s="1" t="s">
        <v>68</v>
      </c>
      <c r="B191" s="1" t="s">
        <v>69</v>
      </c>
      <c r="C191" s="1" t="s">
        <v>70</v>
      </c>
      <c r="D191">
        <v>1</v>
      </c>
      <c r="E191">
        <v>1</v>
      </c>
      <c r="F191" s="2">
        <v>43584.863483796296</v>
      </c>
      <c r="G191" s="3">
        <v>40909</v>
      </c>
      <c r="H191" s="3">
        <v>41274</v>
      </c>
      <c r="I191" s="1" t="s">
        <v>71</v>
      </c>
      <c r="J191">
        <v>4521</v>
      </c>
      <c r="K191">
        <v>0</v>
      </c>
      <c r="L191" s="1" t="s">
        <v>384</v>
      </c>
      <c r="M191" s="1" t="s">
        <v>72</v>
      </c>
      <c r="N191" s="1" t="s">
        <v>134</v>
      </c>
      <c r="O191" s="1" t="s">
        <v>385</v>
      </c>
      <c r="P191" s="1" t="s">
        <v>386</v>
      </c>
      <c r="Q191" s="1" t="s">
        <v>387</v>
      </c>
      <c r="R191">
        <v>103</v>
      </c>
      <c r="S191" s="1" t="s">
        <v>135</v>
      </c>
      <c r="T191" s="1" t="s">
        <v>388</v>
      </c>
      <c r="U191" s="1" t="s">
        <v>135</v>
      </c>
      <c r="V191" s="1"/>
      <c r="W191" s="1"/>
      <c r="X191" s="1"/>
      <c r="Y191" s="1"/>
      <c r="AA191" s="1"/>
      <c r="AC191" s="1"/>
      <c r="AD191" s="1"/>
      <c r="AE191" s="1"/>
      <c r="AN191" s="1"/>
      <c r="AP191" s="1"/>
      <c r="AQ191" s="1"/>
      <c r="AR191" s="1"/>
      <c r="AS191" s="1"/>
      <c r="AT191" s="3"/>
      <c r="AU191" s="3"/>
      <c r="AV191" s="3"/>
      <c r="AW191" s="1"/>
      <c r="AX191" s="1"/>
      <c r="AZ191">
        <v>76</v>
      </c>
      <c r="BA191">
        <v>260953.83</v>
      </c>
      <c r="BB191" s="1" t="s">
        <v>74</v>
      </c>
      <c r="BC191">
        <v>43</v>
      </c>
      <c r="BD191" s="1" t="s">
        <v>1364</v>
      </c>
      <c r="BE191" s="1" t="s">
        <v>398</v>
      </c>
      <c r="BF191">
        <v>2390.1799999999998</v>
      </c>
      <c r="BG191" s="1" t="s">
        <v>1543</v>
      </c>
      <c r="BH191" s="1" t="s">
        <v>99</v>
      </c>
      <c r="BI191">
        <v>0</v>
      </c>
      <c r="BJ191" s="1"/>
      <c r="BK191">
        <v>578.75</v>
      </c>
      <c r="BL191" s="1" t="s">
        <v>1295</v>
      </c>
      <c r="BN191" s="1"/>
      <c r="BO191">
        <v>186</v>
      </c>
      <c r="BP191">
        <v>260953.83</v>
      </c>
      <c r="BQ191">
        <v>260953.83</v>
      </c>
    </row>
    <row r="192" spans="1:69" x14ac:dyDescent="0.35">
      <c r="A192" s="1" t="s">
        <v>68</v>
      </c>
      <c r="B192" s="1" t="s">
        <v>69</v>
      </c>
      <c r="C192" s="1" t="s">
        <v>70</v>
      </c>
      <c r="D192">
        <v>1</v>
      </c>
      <c r="E192">
        <v>1</v>
      </c>
      <c r="F192" s="2">
        <v>43584.863483796296</v>
      </c>
      <c r="G192" s="3">
        <v>40909</v>
      </c>
      <c r="H192" s="3">
        <v>41274</v>
      </c>
      <c r="I192" s="1" t="s">
        <v>71</v>
      </c>
      <c r="J192">
        <v>4521</v>
      </c>
      <c r="K192">
        <v>0</v>
      </c>
      <c r="L192" s="1" t="s">
        <v>384</v>
      </c>
      <c r="M192" s="1" t="s">
        <v>72</v>
      </c>
      <c r="N192" s="1" t="s">
        <v>134</v>
      </c>
      <c r="O192" s="1" t="s">
        <v>385</v>
      </c>
      <c r="P192" s="1" t="s">
        <v>386</v>
      </c>
      <c r="Q192" s="1" t="s">
        <v>387</v>
      </c>
      <c r="R192">
        <v>103</v>
      </c>
      <c r="S192" s="1" t="s">
        <v>135</v>
      </c>
      <c r="T192" s="1" t="s">
        <v>388</v>
      </c>
      <c r="U192" s="1" t="s">
        <v>135</v>
      </c>
      <c r="V192" s="1"/>
      <c r="W192" s="1"/>
      <c r="X192" s="1"/>
      <c r="Y192" s="1"/>
      <c r="AA192" s="1"/>
      <c r="AC192" s="1"/>
      <c r="AD192" s="1"/>
      <c r="AE192" s="1"/>
      <c r="AN192" s="1"/>
      <c r="AP192" s="1"/>
      <c r="AQ192" s="1"/>
      <c r="AR192" s="1"/>
      <c r="AS192" s="1"/>
      <c r="AT192" s="3"/>
      <c r="AU192" s="3"/>
      <c r="AV192" s="3"/>
      <c r="AW192" s="1"/>
      <c r="AX192" s="1"/>
      <c r="AZ192">
        <v>76</v>
      </c>
      <c r="BA192">
        <v>260953.83</v>
      </c>
      <c r="BB192" s="1" t="s">
        <v>74</v>
      </c>
      <c r="BC192">
        <v>44</v>
      </c>
      <c r="BD192" s="1" t="s">
        <v>1364</v>
      </c>
      <c r="BE192" s="1" t="s">
        <v>99</v>
      </c>
      <c r="BF192">
        <v>0</v>
      </c>
      <c r="BG192" s="1"/>
      <c r="BH192" s="1" t="s">
        <v>1310</v>
      </c>
      <c r="BI192">
        <v>1943.24</v>
      </c>
      <c r="BJ192" s="1" t="s">
        <v>1545</v>
      </c>
      <c r="BL192" s="1"/>
      <c r="BM192">
        <v>470.53</v>
      </c>
      <c r="BN192" s="1" t="s">
        <v>1295</v>
      </c>
      <c r="BO192">
        <v>186</v>
      </c>
      <c r="BP192">
        <v>260953.83</v>
      </c>
      <c r="BQ192">
        <v>260953.83</v>
      </c>
    </row>
    <row r="193" spans="1:69" x14ac:dyDescent="0.35">
      <c r="A193" s="1" t="s">
        <v>68</v>
      </c>
      <c r="B193" s="1" t="s">
        <v>69</v>
      </c>
      <c r="C193" s="1" t="s">
        <v>70</v>
      </c>
      <c r="D193">
        <v>1</v>
      </c>
      <c r="E193">
        <v>1</v>
      </c>
      <c r="F193" s="2">
        <v>43584.863483796296</v>
      </c>
      <c r="G193" s="3">
        <v>40909</v>
      </c>
      <c r="H193" s="3">
        <v>41274</v>
      </c>
      <c r="I193" s="1" t="s">
        <v>71</v>
      </c>
      <c r="J193">
        <v>4521</v>
      </c>
      <c r="K193">
        <v>0</v>
      </c>
      <c r="L193" s="1" t="s">
        <v>384</v>
      </c>
      <c r="M193" s="1" t="s">
        <v>72</v>
      </c>
      <c r="N193" s="1" t="s">
        <v>134</v>
      </c>
      <c r="O193" s="1" t="s">
        <v>385</v>
      </c>
      <c r="P193" s="1" t="s">
        <v>386</v>
      </c>
      <c r="Q193" s="1" t="s">
        <v>387</v>
      </c>
      <c r="R193">
        <v>103</v>
      </c>
      <c r="S193" s="1" t="s">
        <v>135</v>
      </c>
      <c r="T193" s="1" t="s">
        <v>388</v>
      </c>
      <c r="U193" s="1" t="s">
        <v>135</v>
      </c>
      <c r="V193" s="1"/>
      <c r="W193" s="1"/>
      <c r="X193" s="1"/>
      <c r="Y193" s="1"/>
      <c r="AA193" s="1"/>
      <c r="AC193" s="1"/>
      <c r="AD193" s="1"/>
      <c r="AE193" s="1"/>
      <c r="AN193" s="1"/>
      <c r="AP193" s="1"/>
      <c r="AQ193" s="1"/>
      <c r="AR193" s="1"/>
      <c r="AS193" s="1"/>
      <c r="AT193" s="3"/>
      <c r="AU193" s="3"/>
      <c r="AV193" s="3"/>
      <c r="AW193" s="1"/>
      <c r="AX193" s="1"/>
      <c r="AZ193">
        <v>76</v>
      </c>
      <c r="BA193">
        <v>260953.83</v>
      </c>
      <c r="BB193" s="1" t="s">
        <v>74</v>
      </c>
      <c r="BC193">
        <v>45</v>
      </c>
      <c r="BD193" s="1" t="s">
        <v>1364</v>
      </c>
      <c r="BE193" s="1" t="s">
        <v>99</v>
      </c>
      <c r="BF193">
        <v>0</v>
      </c>
      <c r="BG193" s="1"/>
      <c r="BH193" s="1" t="s">
        <v>451</v>
      </c>
      <c r="BI193">
        <v>446.2</v>
      </c>
      <c r="BJ193" s="1" t="s">
        <v>1546</v>
      </c>
      <c r="BL193" s="1"/>
      <c r="BM193">
        <v>108.22</v>
      </c>
      <c r="BN193" s="1" t="s">
        <v>1295</v>
      </c>
      <c r="BO193">
        <v>186</v>
      </c>
      <c r="BP193">
        <v>260953.83</v>
      </c>
      <c r="BQ193">
        <v>260953.83</v>
      </c>
    </row>
    <row r="194" spans="1:69" x14ac:dyDescent="0.35">
      <c r="A194" s="1" t="s">
        <v>68</v>
      </c>
      <c r="B194" s="1" t="s">
        <v>69</v>
      </c>
      <c r="C194" s="1" t="s">
        <v>70</v>
      </c>
      <c r="D194">
        <v>1</v>
      </c>
      <c r="E194">
        <v>1</v>
      </c>
      <c r="F194" s="2">
        <v>43584.863483796296</v>
      </c>
      <c r="G194" s="3">
        <v>40909</v>
      </c>
      <c r="H194" s="3">
        <v>41274</v>
      </c>
      <c r="I194" s="1" t="s">
        <v>71</v>
      </c>
      <c r="J194">
        <v>4521</v>
      </c>
      <c r="K194">
        <v>0</v>
      </c>
      <c r="L194" s="1" t="s">
        <v>384</v>
      </c>
      <c r="M194" s="1" t="s">
        <v>72</v>
      </c>
      <c r="N194" s="1" t="s">
        <v>134</v>
      </c>
      <c r="O194" s="1" t="s">
        <v>385</v>
      </c>
      <c r="P194" s="1" t="s">
        <v>386</v>
      </c>
      <c r="Q194" s="1" t="s">
        <v>387</v>
      </c>
      <c r="R194">
        <v>103</v>
      </c>
      <c r="S194" s="1" t="s">
        <v>135</v>
      </c>
      <c r="T194" s="1" t="s">
        <v>388</v>
      </c>
      <c r="U194" s="1" t="s">
        <v>135</v>
      </c>
      <c r="V194" s="1"/>
      <c r="W194" s="1"/>
      <c r="X194" s="1"/>
      <c r="Y194" s="1"/>
      <c r="AA194" s="1"/>
      <c r="AC194" s="1"/>
      <c r="AD194" s="1"/>
      <c r="AE194" s="1"/>
      <c r="AN194" s="1"/>
      <c r="AP194" s="1"/>
      <c r="AQ194" s="1"/>
      <c r="AR194" s="1"/>
      <c r="AS194" s="1"/>
      <c r="AT194" s="3"/>
      <c r="AU194" s="3"/>
      <c r="AV194" s="3"/>
      <c r="AW194" s="1"/>
      <c r="AX194" s="1"/>
      <c r="AZ194">
        <v>76</v>
      </c>
      <c r="BA194">
        <v>260953.83</v>
      </c>
      <c r="BB194" s="1" t="s">
        <v>74</v>
      </c>
      <c r="BC194">
        <v>46</v>
      </c>
      <c r="BD194" s="1" t="s">
        <v>1364</v>
      </c>
      <c r="BE194" s="1" t="s">
        <v>99</v>
      </c>
      <c r="BF194">
        <v>0</v>
      </c>
      <c r="BG194" s="1"/>
      <c r="BH194" s="1" t="s">
        <v>1312</v>
      </c>
      <c r="BI194">
        <v>0.74</v>
      </c>
      <c r="BJ194" s="1" t="s">
        <v>1547</v>
      </c>
      <c r="BL194" s="1"/>
      <c r="BN194" s="1"/>
      <c r="BO194">
        <v>186</v>
      </c>
      <c r="BP194">
        <v>260953.83</v>
      </c>
      <c r="BQ194">
        <v>260953.83</v>
      </c>
    </row>
    <row r="195" spans="1:69" x14ac:dyDescent="0.35">
      <c r="A195" s="1" t="s">
        <v>68</v>
      </c>
      <c r="B195" s="1" t="s">
        <v>69</v>
      </c>
      <c r="C195" s="1" t="s">
        <v>70</v>
      </c>
      <c r="D195">
        <v>1</v>
      </c>
      <c r="E195">
        <v>1</v>
      </c>
      <c r="F195" s="2">
        <v>43584.863483796296</v>
      </c>
      <c r="G195" s="3">
        <v>40909</v>
      </c>
      <c r="H195" s="3">
        <v>41274</v>
      </c>
      <c r="I195" s="1" t="s">
        <v>71</v>
      </c>
      <c r="J195">
        <v>4521</v>
      </c>
      <c r="K195">
        <v>0</v>
      </c>
      <c r="L195" s="1" t="s">
        <v>384</v>
      </c>
      <c r="M195" s="1" t="s">
        <v>72</v>
      </c>
      <c r="N195" s="1" t="s">
        <v>134</v>
      </c>
      <c r="O195" s="1" t="s">
        <v>385</v>
      </c>
      <c r="P195" s="1" t="s">
        <v>386</v>
      </c>
      <c r="Q195" s="1" t="s">
        <v>387</v>
      </c>
      <c r="R195">
        <v>103</v>
      </c>
      <c r="S195" s="1" t="s">
        <v>135</v>
      </c>
      <c r="T195" s="1" t="s">
        <v>388</v>
      </c>
      <c r="U195" s="1" t="s">
        <v>135</v>
      </c>
      <c r="V195" s="1"/>
      <c r="W195" s="1"/>
      <c r="X195" s="1"/>
      <c r="Y195" s="1"/>
      <c r="AA195" s="1"/>
      <c r="AC195" s="1"/>
      <c r="AD195" s="1"/>
      <c r="AE195" s="1"/>
      <c r="AN195" s="1"/>
      <c r="AP195" s="1"/>
      <c r="AQ195" s="1"/>
      <c r="AR195" s="1"/>
      <c r="AS195" s="1"/>
      <c r="AT195" s="3"/>
      <c r="AU195" s="3"/>
      <c r="AV195" s="3"/>
      <c r="AW195" s="1"/>
      <c r="AX195" s="1"/>
      <c r="AZ195">
        <v>76</v>
      </c>
      <c r="BA195">
        <v>260953.83</v>
      </c>
      <c r="BB195" s="1" t="s">
        <v>74</v>
      </c>
      <c r="BC195">
        <v>47</v>
      </c>
      <c r="BD195" s="1" t="s">
        <v>1365</v>
      </c>
      <c r="BE195" s="1" t="s">
        <v>409</v>
      </c>
      <c r="BF195">
        <v>12</v>
      </c>
      <c r="BG195" s="1" t="s">
        <v>989</v>
      </c>
      <c r="BH195" s="1" t="s">
        <v>99</v>
      </c>
      <c r="BI195">
        <v>0</v>
      </c>
      <c r="BJ195" s="1"/>
      <c r="BL195" s="1"/>
      <c r="BN195" s="1"/>
      <c r="BO195">
        <v>186</v>
      </c>
      <c r="BP195">
        <v>260953.83</v>
      </c>
      <c r="BQ195">
        <v>260953.83</v>
      </c>
    </row>
    <row r="196" spans="1:69" x14ac:dyDescent="0.35">
      <c r="A196" s="1" t="s">
        <v>68</v>
      </c>
      <c r="B196" s="1" t="s">
        <v>69</v>
      </c>
      <c r="C196" s="1" t="s">
        <v>70</v>
      </c>
      <c r="D196">
        <v>1</v>
      </c>
      <c r="E196">
        <v>1</v>
      </c>
      <c r="F196" s="2">
        <v>43584.863483796296</v>
      </c>
      <c r="G196" s="3">
        <v>40909</v>
      </c>
      <c r="H196" s="3">
        <v>41274</v>
      </c>
      <c r="I196" s="1" t="s">
        <v>71</v>
      </c>
      <c r="J196">
        <v>4521</v>
      </c>
      <c r="K196">
        <v>0</v>
      </c>
      <c r="L196" s="1" t="s">
        <v>384</v>
      </c>
      <c r="M196" s="1" t="s">
        <v>72</v>
      </c>
      <c r="N196" s="1" t="s">
        <v>134</v>
      </c>
      <c r="O196" s="1" t="s">
        <v>385</v>
      </c>
      <c r="P196" s="1" t="s">
        <v>386</v>
      </c>
      <c r="Q196" s="1" t="s">
        <v>387</v>
      </c>
      <c r="R196">
        <v>103</v>
      </c>
      <c r="S196" s="1" t="s">
        <v>135</v>
      </c>
      <c r="T196" s="1" t="s">
        <v>388</v>
      </c>
      <c r="U196" s="1" t="s">
        <v>135</v>
      </c>
      <c r="V196" s="1"/>
      <c r="W196" s="1"/>
      <c r="X196" s="1"/>
      <c r="Y196" s="1"/>
      <c r="AA196" s="1"/>
      <c r="AC196" s="1"/>
      <c r="AD196" s="1"/>
      <c r="AE196" s="1"/>
      <c r="AN196" s="1"/>
      <c r="AP196" s="1"/>
      <c r="AQ196" s="1"/>
      <c r="AR196" s="1"/>
      <c r="AS196" s="1"/>
      <c r="AT196" s="3"/>
      <c r="AU196" s="3"/>
      <c r="AV196" s="3"/>
      <c r="AW196" s="1"/>
      <c r="AX196" s="1"/>
      <c r="AZ196">
        <v>76</v>
      </c>
      <c r="BA196">
        <v>260953.83</v>
      </c>
      <c r="BB196" s="1" t="s">
        <v>74</v>
      </c>
      <c r="BC196">
        <v>48</v>
      </c>
      <c r="BD196" s="1" t="s">
        <v>1365</v>
      </c>
      <c r="BE196" s="1" t="s">
        <v>99</v>
      </c>
      <c r="BF196">
        <v>0</v>
      </c>
      <c r="BG196" s="1"/>
      <c r="BH196" s="1" t="s">
        <v>489</v>
      </c>
      <c r="BI196">
        <v>12</v>
      </c>
      <c r="BJ196" s="1" t="s">
        <v>989</v>
      </c>
      <c r="BL196" s="1"/>
      <c r="BN196" s="1"/>
      <c r="BO196">
        <v>186</v>
      </c>
      <c r="BP196">
        <v>260953.83</v>
      </c>
      <c r="BQ196">
        <v>260953.83</v>
      </c>
    </row>
    <row r="197" spans="1:69" x14ac:dyDescent="0.35">
      <c r="A197" s="1" t="s">
        <v>68</v>
      </c>
      <c r="B197" s="1" t="s">
        <v>69</v>
      </c>
      <c r="C197" s="1" t="s">
        <v>70</v>
      </c>
      <c r="D197">
        <v>1</v>
      </c>
      <c r="E197">
        <v>1</v>
      </c>
      <c r="F197" s="2">
        <v>43584.863483796296</v>
      </c>
      <c r="G197" s="3">
        <v>40909</v>
      </c>
      <c r="H197" s="3">
        <v>41274</v>
      </c>
      <c r="I197" s="1" t="s">
        <v>71</v>
      </c>
      <c r="J197">
        <v>4521</v>
      </c>
      <c r="K197">
        <v>0</v>
      </c>
      <c r="L197" s="1" t="s">
        <v>384</v>
      </c>
      <c r="M197" s="1" t="s">
        <v>72</v>
      </c>
      <c r="N197" s="1" t="s">
        <v>134</v>
      </c>
      <c r="O197" s="1" t="s">
        <v>385</v>
      </c>
      <c r="P197" s="1" t="s">
        <v>386</v>
      </c>
      <c r="Q197" s="1" t="s">
        <v>387</v>
      </c>
      <c r="R197">
        <v>103</v>
      </c>
      <c r="S197" s="1" t="s">
        <v>135</v>
      </c>
      <c r="T197" s="1" t="s">
        <v>388</v>
      </c>
      <c r="U197" s="1" t="s">
        <v>135</v>
      </c>
      <c r="V197" s="1"/>
      <c r="W197" s="1"/>
      <c r="X197" s="1"/>
      <c r="Y197" s="1"/>
      <c r="AA197" s="1"/>
      <c r="AC197" s="1"/>
      <c r="AD197" s="1"/>
      <c r="AE197" s="1"/>
      <c r="AN197" s="1"/>
      <c r="AP197" s="1"/>
      <c r="AQ197" s="1"/>
      <c r="AR197" s="1"/>
      <c r="AS197" s="1"/>
      <c r="AT197" s="3"/>
      <c r="AU197" s="3"/>
      <c r="AV197" s="3"/>
      <c r="AW197" s="1"/>
      <c r="AX197" s="1"/>
      <c r="AZ197">
        <v>76</v>
      </c>
      <c r="BA197">
        <v>260953.83</v>
      </c>
      <c r="BB197" s="1" t="s">
        <v>74</v>
      </c>
      <c r="BC197">
        <v>49</v>
      </c>
      <c r="BD197" s="1" t="s">
        <v>1366</v>
      </c>
      <c r="BE197" s="1" t="s">
        <v>443</v>
      </c>
      <c r="BF197">
        <v>3708.24</v>
      </c>
      <c r="BG197" s="1" t="s">
        <v>1422</v>
      </c>
      <c r="BH197" s="1" t="s">
        <v>99</v>
      </c>
      <c r="BI197">
        <v>0</v>
      </c>
      <c r="BJ197" s="1"/>
      <c r="BK197">
        <v>897.9</v>
      </c>
      <c r="BL197" s="1" t="s">
        <v>1295</v>
      </c>
      <c r="BN197" s="1"/>
      <c r="BO197">
        <v>186</v>
      </c>
      <c r="BP197">
        <v>260953.83</v>
      </c>
      <c r="BQ197">
        <v>260953.83</v>
      </c>
    </row>
    <row r="198" spans="1:69" x14ac:dyDescent="0.35">
      <c r="A198" s="1" t="s">
        <v>68</v>
      </c>
      <c r="B198" s="1" t="s">
        <v>69</v>
      </c>
      <c r="C198" s="1" t="s">
        <v>70</v>
      </c>
      <c r="D198">
        <v>1</v>
      </c>
      <c r="E198">
        <v>1</v>
      </c>
      <c r="F198" s="2">
        <v>43584.863483796296</v>
      </c>
      <c r="G198" s="3">
        <v>40909</v>
      </c>
      <c r="H198" s="3">
        <v>41274</v>
      </c>
      <c r="I198" s="1" t="s">
        <v>71</v>
      </c>
      <c r="J198">
        <v>4521</v>
      </c>
      <c r="K198">
        <v>0</v>
      </c>
      <c r="L198" s="1" t="s">
        <v>384</v>
      </c>
      <c r="M198" s="1" t="s">
        <v>72</v>
      </c>
      <c r="N198" s="1" t="s">
        <v>134</v>
      </c>
      <c r="O198" s="1" t="s">
        <v>385</v>
      </c>
      <c r="P198" s="1" t="s">
        <v>386</v>
      </c>
      <c r="Q198" s="1" t="s">
        <v>387</v>
      </c>
      <c r="R198">
        <v>103</v>
      </c>
      <c r="S198" s="1" t="s">
        <v>135</v>
      </c>
      <c r="T198" s="1" t="s">
        <v>388</v>
      </c>
      <c r="U198" s="1" t="s">
        <v>135</v>
      </c>
      <c r="V198" s="1"/>
      <c r="W198" s="1"/>
      <c r="X198" s="1"/>
      <c r="Y198" s="1"/>
      <c r="AA198" s="1"/>
      <c r="AC198" s="1"/>
      <c r="AD198" s="1"/>
      <c r="AE198" s="1"/>
      <c r="AN198" s="1"/>
      <c r="AP198" s="1"/>
      <c r="AQ198" s="1"/>
      <c r="AR198" s="1"/>
      <c r="AS198" s="1"/>
      <c r="AT198" s="3"/>
      <c r="AU198" s="3"/>
      <c r="AV198" s="3"/>
      <c r="AW198" s="1"/>
      <c r="AX198" s="1"/>
      <c r="AZ198">
        <v>76</v>
      </c>
      <c r="BA198">
        <v>260953.83</v>
      </c>
      <c r="BB198" s="1" t="s">
        <v>74</v>
      </c>
      <c r="BC198">
        <v>50</v>
      </c>
      <c r="BD198" s="1" t="s">
        <v>1366</v>
      </c>
      <c r="BE198" s="1" t="s">
        <v>99</v>
      </c>
      <c r="BF198">
        <v>0</v>
      </c>
      <c r="BG198" s="1"/>
      <c r="BH198" s="1" t="s">
        <v>489</v>
      </c>
      <c r="BI198">
        <v>3014.83</v>
      </c>
      <c r="BJ198" s="1" t="s">
        <v>1544</v>
      </c>
      <c r="BL198" s="1"/>
      <c r="BM198">
        <v>730</v>
      </c>
      <c r="BN198" s="1" t="s">
        <v>1295</v>
      </c>
      <c r="BO198">
        <v>186</v>
      </c>
      <c r="BP198">
        <v>260953.83</v>
      </c>
      <c r="BQ198">
        <v>260953.83</v>
      </c>
    </row>
    <row r="199" spans="1:69" x14ac:dyDescent="0.35">
      <c r="A199" s="1" t="s">
        <v>68</v>
      </c>
      <c r="B199" s="1" t="s">
        <v>69</v>
      </c>
      <c r="C199" s="1" t="s">
        <v>70</v>
      </c>
      <c r="D199">
        <v>1</v>
      </c>
      <c r="E199">
        <v>1</v>
      </c>
      <c r="F199" s="2">
        <v>43584.863483796296</v>
      </c>
      <c r="G199" s="3">
        <v>40909</v>
      </c>
      <c r="H199" s="3">
        <v>41274</v>
      </c>
      <c r="I199" s="1" t="s">
        <v>71</v>
      </c>
      <c r="J199">
        <v>4521</v>
      </c>
      <c r="K199">
        <v>0</v>
      </c>
      <c r="L199" s="1" t="s">
        <v>384</v>
      </c>
      <c r="M199" s="1" t="s">
        <v>72</v>
      </c>
      <c r="N199" s="1" t="s">
        <v>134</v>
      </c>
      <c r="O199" s="1" t="s">
        <v>385</v>
      </c>
      <c r="P199" s="1" t="s">
        <v>386</v>
      </c>
      <c r="Q199" s="1" t="s">
        <v>387</v>
      </c>
      <c r="R199">
        <v>103</v>
      </c>
      <c r="S199" s="1" t="s">
        <v>135</v>
      </c>
      <c r="T199" s="1" t="s">
        <v>388</v>
      </c>
      <c r="U199" s="1" t="s">
        <v>135</v>
      </c>
      <c r="V199" s="1"/>
      <c r="W199" s="1"/>
      <c r="X199" s="1"/>
      <c r="Y199" s="1"/>
      <c r="AA199" s="1"/>
      <c r="AC199" s="1"/>
      <c r="AD199" s="1"/>
      <c r="AE199" s="1"/>
      <c r="AN199" s="1"/>
      <c r="AP199" s="1"/>
      <c r="AQ199" s="1"/>
      <c r="AR199" s="1"/>
      <c r="AS199" s="1"/>
      <c r="AT199" s="3"/>
      <c r="AU199" s="3"/>
      <c r="AV199" s="3"/>
      <c r="AW199" s="1"/>
      <c r="AX199" s="1"/>
      <c r="AZ199">
        <v>76</v>
      </c>
      <c r="BA199">
        <v>260953.83</v>
      </c>
      <c r="BB199" s="1" t="s">
        <v>74</v>
      </c>
      <c r="BC199">
        <v>51</v>
      </c>
      <c r="BD199" s="1" t="s">
        <v>1366</v>
      </c>
      <c r="BE199" s="1" t="s">
        <v>99</v>
      </c>
      <c r="BF199">
        <v>0</v>
      </c>
      <c r="BG199" s="1"/>
      <c r="BH199" s="1" t="s">
        <v>451</v>
      </c>
      <c r="BI199">
        <v>693.41</v>
      </c>
      <c r="BJ199" s="1" t="s">
        <v>1544</v>
      </c>
      <c r="BL199" s="1"/>
      <c r="BM199">
        <v>167.9</v>
      </c>
      <c r="BN199" s="1" t="s">
        <v>1295</v>
      </c>
      <c r="BO199">
        <v>186</v>
      </c>
      <c r="BP199">
        <v>260953.83</v>
      </c>
      <c r="BQ199">
        <v>260953.83</v>
      </c>
    </row>
    <row r="200" spans="1:69" x14ac:dyDescent="0.35">
      <c r="A200" s="1" t="s">
        <v>68</v>
      </c>
      <c r="B200" s="1" t="s">
        <v>69</v>
      </c>
      <c r="C200" s="1" t="s">
        <v>70</v>
      </c>
      <c r="D200">
        <v>1</v>
      </c>
      <c r="E200">
        <v>1</v>
      </c>
      <c r="F200" s="2">
        <v>43584.863483796296</v>
      </c>
      <c r="G200" s="3">
        <v>40909</v>
      </c>
      <c r="H200" s="3">
        <v>41274</v>
      </c>
      <c r="I200" s="1" t="s">
        <v>71</v>
      </c>
      <c r="J200">
        <v>4521</v>
      </c>
      <c r="K200">
        <v>0</v>
      </c>
      <c r="L200" s="1" t="s">
        <v>384</v>
      </c>
      <c r="M200" s="1" t="s">
        <v>72</v>
      </c>
      <c r="N200" s="1" t="s">
        <v>134</v>
      </c>
      <c r="O200" s="1" t="s">
        <v>385</v>
      </c>
      <c r="P200" s="1" t="s">
        <v>386</v>
      </c>
      <c r="Q200" s="1" t="s">
        <v>387</v>
      </c>
      <c r="R200">
        <v>103</v>
      </c>
      <c r="S200" s="1" t="s">
        <v>135</v>
      </c>
      <c r="T200" s="1" t="s">
        <v>388</v>
      </c>
      <c r="U200" s="1" t="s">
        <v>135</v>
      </c>
      <c r="V200" s="1"/>
      <c r="W200" s="1"/>
      <c r="X200" s="1"/>
      <c r="Y200" s="1"/>
      <c r="AA200" s="1"/>
      <c r="AC200" s="1"/>
      <c r="AD200" s="1"/>
      <c r="AE200" s="1"/>
      <c r="AN200" s="1"/>
      <c r="AP200" s="1"/>
      <c r="AQ200" s="1"/>
      <c r="AR200" s="1"/>
      <c r="AS200" s="1"/>
      <c r="AT200" s="3"/>
      <c r="AU200" s="3"/>
      <c r="AV200" s="3"/>
      <c r="AW200" s="1"/>
      <c r="AX200" s="1"/>
      <c r="AZ200">
        <v>76</v>
      </c>
      <c r="BA200">
        <v>260953.83</v>
      </c>
      <c r="BB200" s="1" t="s">
        <v>74</v>
      </c>
      <c r="BC200">
        <v>52</v>
      </c>
      <c r="BD200" s="1" t="s">
        <v>1367</v>
      </c>
      <c r="BE200" s="1" t="s">
        <v>467</v>
      </c>
      <c r="BF200">
        <v>6325</v>
      </c>
      <c r="BG200" s="1" t="s">
        <v>1519</v>
      </c>
      <c r="BH200" s="1" t="s">
        <v>99</v>
      </c>
      <c r="BI200">
        <v>0</v>
      </c>
      <c r="BJ200" s="1"/>
      <c r="BL200" s="1"/>
      <c r="BN200" s="1"/>
      <c r="BO200">
        <v>186</v>
      </c>
      <c r="BP200">
        <v>260953.83</v>
      </c>
      <c r="BQ200">
        <v>260953.83</v>
      </c>
    </row>
    <row r="201" spans="1:69" x14ac:dyDescent="0.35">
      <c r="A201" s="1" t="s">
        <v>68</v>
      </c>
      <c r="B201" s="1" t="s">
        <v>69</v>
      </c>
      <c r="C201" s="1" t="s">
        <v>70</v>
      </c>
      <c r="D201">
        <v>1</v>
      </c>
      <c r="E201">
        <v>1</v>
      </c>
      <c r="F201" s="2">
        <v>43584.863483796296</v>
      </c>
      <c r="G201" s="3">
        <v>40909</v>
      </c>
      <c r="H201" s="3">
        <v>41274</v>
      </c>
      <c r="I201" s="1" t="s">
        <v>71</v>
      </c>
      <c r="J201">
        <v>4521</v>
      </c>
      <c r="K201">
        <v>0</v>
      </c>
      <c r="L201" s="1" t="s">
        <v>384</v>
      </c>
      <c r="M201" s="1" t="s">
        <v>72</v>
      </c>
      <c r="N201" s="1" t="s">
        <v>134</v>
      </c>
      <c r="O201" s="1" t="s">
        <v>385</v>
      </c>
      <c r="P201" s="1" t="s">
        <v>386</v>
      </c>
      <c r="Q201" s="1" t="s">
        <v>387</v>
      </c>
      <c r="R201">
        <v>103</v>
      </c>
      <c r="S201" s="1" t="s">
        <v>135</v>
      </c>
      <c r="T201" s="1" t="s">
        <v>388</v>
      </c>
      <c r="U201" s="1" t="s">
        <v>135</v>
      </c>
      <c r="V201" s="1"/>
      <c r="W201" s="1"/>
      <c r="X201" s="1"/>
      <c r="Y201" s="1"/>
      <c r="AA201" s="1"/>
      <c r="AC201" s="1"/>
      <c r="AD201" s="1"/>
      <c r="AE201" s="1"/>
      <c r="AN201" s="1"/>
      <c r="AP201" s="1"/>
      <c r="AQ201" s="1"/>
      <c r="AR201" s="1"/>
      <c r="AS201" s="1"/>
      <c r="AT201" s="3"/>
      <c r="AU201" s="3"/>
      <c r="AV201" s="3"/>
      <c r="AW201" s="1"/>
      <c r="AX201" s="1"/>
      <c r="AZ201">
        <v>76</v>
      </c>
      <c r="BA201">
        <v>260953.83</v>
      </c>
      <c r="BB201" s="1" t="s">
        <v>74</v>
      </c>
      <c r="BC201">
        <v>53</v>
      </c>
      <c r="BD201" s="1" t="s">
        <v>1367</v>
      </c>
      <c r="BE201" s="1" t="s">
        <v>99</v>
      </c>
      <c r="BF201">
        <v>0</v>
      </c>
      <c r="BG201" s="1"/>
      <c r="BH201" s="1" t="s">
        <v>433</v>
      </c>
      <c r="BI201">
        <v>7779.75</v>
      </c>
      <c r="BJ201" s="1" t="s">
        <v>1519</v>
      </c>
      <c r="BL201" s="1"/>
      <c r="BN201" s="1"/>
      <c r="BO201">
        <v>186</v>
      </c>
      <c r="BP201">
        <v>260953.83</v>
      </c>
      <c r="BQ201">
        <v>260953.83</v>
      </c>
    </row>
    <row r="202" spans="1:69" x14ac:dyDescent="0.35">
      <c r="A202" s="1" t="s">
        <v>68</v>
      </c>
      <c r="B202" s="1" t="s">
        <v>69</v>
      </c>
      <c r="C202" s="1" t="s">
        <v>70</v>
      </c>
      <c r="D202">
        <v>1</v>
      </c>
      <c r="E202">
        <v>1</v>
      </c>
      <c r="F202" s="2">
        <v>43584.863483796296</v>
      </c>
      <c r="G202" s="3">
        <v>40909</v>
      </c>
      <c r="H202" s="3">
        <v>41274</v>
      </c>
      <c r="I202" s="1" t="s">
        <v>71</v>
      </c>
      <c r="J202">
        <v>4521</v>
      </c>
      <c r="K202">
        <v>0</v>
      </c>
      <c r="L202" s="1" t="s">
        <v>384</v>
      </c>
      <c r="M202" s="1" t="s">
        <v>72</v>
      </c>
      <c r="N202" s="1" t="s">
        <v>134</v>
      </c>
      <c r="O202" s="1" t="s">
        <v>385</v>
      </c>
      <c r="P202" s="1" t="s">
        <v>386</v>
      </c>
      <c r="Q202" s="1" t="s">
        <v>387</v>
      </c>
      <c r="R202">
        <v>103</v>
      </c>
      <c r="S202" s="1" t="s">
        <v>135</v>
      </c>
      <c r="T202" s="1" t="s">
        <v>388</v>
      </c>
      <c r="U202" s="1" t="s">
        <v>135</v>
      </c>
      <c r="V202" s="1"/>
      <c r="W202" s="1"/>
      <c r="X202" s="1"/>
      <c r="Y202" s="1"/>
      <c r="AA202" s="1"/>
      <c r="AC202" s="1"/>
      <c r="AD202" s="1"/>
      <c r="AE202" s="1"/>
      <c r="AN202" s="1"/>
      <c r="AP202" s="1"/>
      <c r="AQ202" s="1"/>
      <c r="AR202" s="1"/>
      <c r="AS202" s="1"/>
      <c r="AT202" s="3"/>
      <c r="AU202" s="3"/>
      <c r="AV202" s="3"/>
      <c r="AW202" s="1"/>
      <c r="AX202" s="1"/>
      <c r="AZ202">
        <v>76</v>
      </c>
      <c r="BA202">
        <v>260953.83</v>
      </c>
      <c r="BB202" s="1" t="s">
        <v>74</v>
      </c>
      <c r="BC202">
        <v>54</v>
      </c>
      <c r="BD202" s="1" t="s">
        <v>1367</v>
      </c>
      <c r="BE202" s="1" t="s">
        <v>452</v>
      </c>
      <c r="BF202">
        <v>1454.75</v>
      </c>
      <c r="BG202" s="1" t="s">
        <v>1519</v>
      </c>
      <c r="BH202" s="1" t="s">
        <v>99</v>
      </c>
      <c r="BI202">
        <v>0</v>
      </c>
      <c r="BJ202" s="1"/>
      <c r="BL202" s="1"/>
      <c r="BN202" s="1"/>
      <c r="BO202">
        <v>186</v>
      </c>
      <c r="BP202">
        <v>260953.83</v>
      </c>
      <c r="BQ202">
        <v>260953.83</v>
      </c>
    </row>
    <row r="203" spans="1:69" x14ac:dyDescent="0.35">
      <c r="A203" s="1" t="s">
        <v>68</v>
      </c>
      <c r="B203" s="1" t="s">
        <v>69</v>
      </c>
      <c r="C203" s="1" t="s">
        <v>70</v>
      </c>
      <c r="D203">
        <v>1</v>
      </c>
      <c r="E203">
        <v>1</v>
      </c>
      <c r="F203" s="2">
        <v>43584.863483796296</v>
      </c>
      <c r="G203" s="3">
        <v>40909</v>
      </c>
      <c r="H203" s="3">
        <v>41274</v>
      </c>
      <c r="I203" s="1" t="s">
        <v>71</v>
      </c>
      <c r="J203">
        <v>4521</v>
      </c>
      <c r="K203">
        <v>0</v>
      </c>
      <c r="L203" s="1" t="s">
        <v>384</v>
      </c>
      <c r="M203" s="1" t="s">
        <v>72</v>
      </c>
      <c r="N203" s="1" t="s">
        <v>134</v>
      </c>
      <c r="O203" s="1" t="s">
        <v>385</v>
      </c>
      <c r="P203" s="1" t="s">
        <v>386</v>
      </c>
      <c r="Q203" s="1" t="s">
        <v>387</v>
      </c>
      <c r="R203">
        <v>103</v>
      </c>
      <c r="S203" s="1" t="s">
        <v>135</v>
      </c>
      <c r="T203" s="1" t="s">
        <v>388</v>
      </c>
      <c r="U203" s="1" t="s">
        <v>135</v>
      </c>
      <c r="V203" s="1"/>
      <c r="W203" s="1"/>
      <c r="X203" s="1"/>
      <c r="Y203" s="1"/>
      <c r="AA203" s="1"/>
      <c r="AC203" s="1"/>
      <c r="AD203" s="1"/>
      <c r="AE203" s="1"/>
      <c r="AN203" s="1"/>
      <c r="AP203" s="1"/>
      <c r="AQ203" s="1"/>
      <c r="AR203" s="1"/>
      <c r="AS203" s="1"/>
      <c r="AT203" s="3"/>
      <c r="AU203" s="3"/>
      <c r="AV203" s="3"/>
      <c r="AW203" s="1"/>
      <c r="AX203" s="1"/>
      <c r="AZ203">
        <v>76</v>
      </c>
      <c r="BA203">
        <v>260953.83</v>
      </c>
      <c r="BB203" s="1" t="s">
        <v>74</v>
      </c>
      <c r="BC203">
        <v>55</v>
      </c>
      <c r="BD203" s="1" t="s">
        <v>1368</v>
      </c>
      <c r="BE203" s="1" t="s">
        <v>404</v>
      </c>
      <c r="BF203">
        <v>2462.46</v>
      </c>
      <c r="BG203" s="1" t="s">
        <v>1431</v>
      </c>
      <c r="BH203" s="1" t="s">
        <v>99</v>
      </c>
      <c r="BI203">
        <v>0</v>
      </c>
      <c r="BJ203" s="1"/>
      <c r="BL203" s="1"/>
      <c r="BN203" s="1"/>
      <c r="BO203">
        <v>186</v>
      </c>
      <c r="BP203">
        <v>260953.83</v>
      </c>
      <c r="BQ203">
        <v>260953.83</v>
      </c>
    </row>
    <row r="204" spans="1:69" x14ac:dyDescent="0.35">
      <c r="A204" s="1" t="s">
        <v>68</v>
      </c>
      <c r="B204" s="1" t="s">
        <v>69</v>
      </c>
      <c r="C204" s="1" t="s">
        <v>70</v>
      </c>
      <c r="D204">
        <v>1</v>
      </c>
      <c r="E204">
        <v>1</v>
      </c>
      <c r="F204" s="2">
        <v>43584.863483796296</v>
      </c>
      <c r="G204" s="3">
        <v>40909</v>
      </c>
      <c r="H204" s="3">
        <v>41274</v>
      </c>
      <c r="I204" s="1" t="s">
        <v>71</v>
      </c>
      <c r="J204">
        <v>4521</v>
      </c>
      <c r="K204">
        <v>0</v>
      </c>
      <c r="L204" s="1" t="s">
        <v>384</v>
      </c>
      <c r="M204" s="1" t="s">
        <v>72</v>
      </c>
      <c r="N204" s="1" t="s">
        <v>134</v>
      </c>
      <c r="O204" s="1" t="s">
        <v>385</v>
      </c>
      <c r="P204" s="1" t="s">
        <v>386</v>
      </c>
      <c r="Q204" s="1" t="s">
        <v>387</v>
      </c>
      <c r="R204">
        <v>103</v>
      </c>
      <c r="S204" s="1" t="s">
        <v>135</v>
      </c>
      <c r="T204" s="1" t="s">
        <v>388</v>
      </c>
      <c r="U204" s="1" t="s">
        <v>135</v>
      </c>
      <c r="V204" s="1"/>
      <c r="W204" s="1"/>
      <c r="X204" s="1"/>
      <c r="Y204" s="1"/>
      <c r="AA204" s="1"/>
      <c r="AC204" s="1"/>
      <c r="AD204" s="1"/>
      <c r="AE204" s="1"/>
      <c r="AN204" s="1"/>
      <c r="AP204" s="1"/>
      <c r="AQ204" s="1"/>
      <c r="AR204" s="1"/>
      <c r="AS204" s="1"/>
      <c r="AT204" s="3"/>
      <c r="AU204" s="3"/>
      <c r="AV204" s="3"/>
      <c r="AW204" s="1"/>
      <c r="AX204" s="1"/>
      <c r="AZ204">
        <v>76</v>
      </c>
      <c r="BA204">
        <v>260953.83</v>
      </c>
      <c r="BB204" s="1" t="s">
        <v>74</v>
      </c>
      <c r="BC204">
        <v>56</v>
      </c>
      <c r="BD204" s="1" t="s">
        <v>1368</v>
      </c>
      <c r="BE204" s="1" t="s">
        <v>99</v>
      </c>
      <c r="BF204">
        <v>0</v>
      </c>
      <c r="BG204" s="1"/>
      <c r="BH204" s="1" t="s">
        <v>489</v>
      </c>
      <c r="BI204">
        <v>2002</v>
      </c>
      <c r="BJ204" s="1" t="s">
        <v>1431</v>
      </c>
      <c r="BL204" s="1"/>
      <c r="BN204" s="1"/>
      <c r="BO204">
        <v>186</v>
      </c>
      <c r="BP204">
        <v>260953.83</v>
      </c>
      <c r="BQ204">
        <v>260953.83</v>
      </c>
    </row>
    <row r="205" spans="1:69" x14ac:dyDescent="0.35">
      <c r="A205" s="1" t="s">
        <v>68</v>
      </c>
      <c r="B205" s="1" t="s">
        <v>69</v>
      </c>
      <c r="C205" s="1" t="s">
        <v>70</v>
      </c>
      <c r="D205">
        <v>1</v>
      </c>
      <c r="E205">
        <v>1</v>
      </c>
      <c r="F205" s="2">
        <v>43584.863483796296</v>
      </c>
      <c r="G205" s="3">
        <v>40909</v>
      </c>
      <c r="H205" s="3">
        <v>41274</v>
      </c>
      <c r="I205" s="1" t="s">
        <v>71</v>
      </c>
      <c r="J205">
        <v>4521</v>
      </c>
      <c r="K205">
        <v>0</v>
      </c>
      <c r="L205" s="1" t="s">
        <v>384</v>
      </c>
      <c r="M205" s="1" t="s">
        <v>72</v>
      </c>
      <c r="N205" s="1" t="s">
        <v>134</v>
      </c>
      <c r="O205" s="1" t="s">
        <v>385</v>
      </c>
      <c r="P205" s="1" t="s">
        <v>386</v>
      </c>
      <c r="Q205" s="1" t="s">
        <v>387</v>
      </c>
      <c r="R205">
        <v>103</v>
      </c>
      <c r="S205" s="1" t="s">
        <v>135</v>
      </c>
      <c r="T205" s="1" t="s">
        <v>388</v>
      </c>
      <c r="U205" s="1" t="s">
        <v>135</v>
      </c>
      <c r="V205" s="1"/>
      <c r="W205" s="1"/>
      <c r="X205" s="1"/>
      <c r="Y205" s="1"/>
      <c r="AA205" s="1"/>
      <c r="AC205" s="1"/>
      <c r="AD205" s="1"/>
      <c r="AE205" s="1"/>
      <c r="AN205" s="1"/>
      <c r="AP205" s="1"/>
      <c r="AQ205" s="1"/>
      <c r="AR205" s="1"/>
      <c r="AS205" s="1"/>
      <c r="AT205" s="3"/>
      <c r="AU205" s="3"/>
      <c r="AV205" s="3"/>
      <c r="AW205" s="1"/>
      <c r="AX205" s="1"/>
      <c r="AZ205">
        <v>76</v>
      </c>
      <c r="BA205">
        <v>260953.83</v>
      </c>
      <c r="BB205" s="1" t="s">
        <v>74</v>
      </c>
      <c r="BC205">
        <v>57</v>
      </c>
      <c r="BD205" s="1" t="s">
        <v>1368</v>
      </c>
      <c r="BE205" s="1" t="s">
        <v>99</v>
      </c>
      <c r="BF205">
        <v>0</v>
      </c>
      <c r="BG205" s="1"/>
      <c r="BH205" s="1" t="s">
        <v>451</v>
      </c>
      <c r="BI205">
        <v>460.46</v>
      </c>
      <c r="BJ205" s="1" t="s">
        <v>1431</v>
      </c>
      <c r="BL205" s="1"/>
      <c r="BN205" s="1"/>
      <c r="BO205">
        <v>186</v>
      </c>
      <c r="BP205">
        <v>260953.83</v>
      </c>
      <c r="BQ205">
        <v>260953.83</v>
      </c>
    </row>
    <row r="206" spans="1:69" x14ac:dyDescent="0.35">
      <c r="A206" s="1" t="s">
        <v>68</v>
      </c>
      <c r="B206" s="1" t="s">
        <v>69</v>
      </c>
      <c r="C206" s="1" t="s">
        <v>70</v>
      </c>
      <c r="D206">
        <v>1</v>
      </c>
      <c r="E206">
        <v>1</v>
      </c>
      <c r="F206" s="2">
        <v>43584.863483796296</v>
      </c>
      <c r="G206" s="3">
        <v>40909</v>
      </c>
      <c r="H206" s="3">
        <v>41274</v>
      </c>
      <c r="I206" s="1" t="s">
        <v>71</v>
      </c>
      <c r="J206">
        <v>4521</v>
      </c>
      <c r="K206">
        <v>0</v>
      </c>
      <c r="L206" s="1" t="s">
        <v>384</v>
      </c>
      <c r="M206" s="1" t="s">
        <v>72</v>
      </c>
      <c r="N206" s="1" t="s">
        <v>134</v>
      </c>
      <c r="O206" s="1" t="s">
        <v>385</v>
      </c>
      <c r="P206" s="1" t="s">
        <v>386</v>
      </c>
      <c r="Q206" s="1" t="s">
        <v>387</v>
      </c>
      <c r="R206">
        <v>103</v>
      </c>
      <c r="S206" s="1" t="s">
        <v>135</v>
      </c>
      <c r="T206" s="1" t="s">
        <v>388</v>
      </c>
      <c r="U206" s="1" t="s">
        <v>135</v>
      </c>
      <c r="V206" s="1"/>
      <c r="W206" s="1"/>
      <c r="X206" s="1"/>
      <c r="Y206" s="1"/>
      <c r="AA206" s="1"/>
      <c r="AC206" s="1"/>
      <c r="AD206" s="1"/>
      <c r="AE206" s="1"/>
      <c r="AN206" s="1"/>
      <c r="AP206" s="1"/>
      <c r="AQ206" s="1"/>
      <c r="AR206" s="1"/>
      <c r="AS206" s="1"/>
      <c r="AT206" s="3"/>
      <c r="AU206" s="3"/>
      <c r="AV206" s="3"/>
      <c r="AW206" s="1"/>
      <c r="AX206" s="1"/>
      <c r="AZ206">
        <v>76</v>
      </c>
      <c r="BA206">
        <v>260953.83</v>
      </c>
      <c r="BB206" s="1" t="s">
        <v>74</v>
      </c>
      <c r="BC206">
        <v>58</v>
      </c>
      <c r="BD206" s="1" t="s">
        <v>1369</v>
      </c>
      <c r="BE206" s="1" t="s">
        <v>467</v>
      </c>
      <c r="BF206">
        <v>980</v>
      </c>
      <c r="BG206" s="1" t="s">
        <v>1516</v>
      </c>
      <c r="BH206" s="1" t="s">
        <v>99</v>
      </c>
      <c r="BI206">
        <v>0</v>
      </c>
      <c r="BJ206" s="1"/>
      <c r="BL206" s="1"/>
      <c r="BN206" s="1"/>
      <c r="BO206">
        <v>186</v>
      </c>
      <c r="BP206">
        <v>260953.83</v>
      </c>
      <c r="BQ206">
        <v>260953.83</v>
      </c>
    </row>
    <row r="207" spans="1:69" x14ac:dyDescent="0.35">
      <c r="A207" s="1" t="s">
        <v>68</v>
      </c>
      <c r="B207" s="1" t="s">
        <v>69</v>
      </c>
      <c r="C207" s="1" t="s">
        <v>70</v>
      </c>
      <c r="D207">
        <v>1</v>
      </c>
      <c r="E207">
        <v>1</v>
      </c>
      <c r="F207" s="2">
        <v>43584.863483796296</v>
      </c>
      <c r="G207" s="3">
        <v>40909</v>
      </c>
      <c r="H207" s="3">
        <v>41274</v>
      </c>
      <c r="I207" s="1" t="s">
        <v>71</v>
      </c>
      <c r="J207">
        <v>4521</v>
      </c>
      <c r="K207">
        <v>0</v>
      </c>
      <c r="L207" s="1" t="s">
        <v>384</v>
      </c>
      <c r="M207" s="1" t="s">
        <v>72</v>
      </c>
      <c r="N207" s="1" t="s">
        <v>134</v>
      </c>
      <c r="O207" s="1" t="s">
        <v>385</v>
      </c>
      <c r="P207" s="1" t="s">
        <v>386</v>
      </c>
      <c r="Q207" s="1" t="s">
        <v>387</v>
      </c>
      <c r="R207">
        <v>103</v>
      </c>
      <c r="S207" s="1" t="s">
        <v>135</v>
      </c>
      <c r="T207" s="1" t="s">
        <v>388</v>
      </c>
      <c r="U207" s="1" t="s">
        <v>135</v>
      </c>
      <c r="V207" s="1"/>
      <c r="W207" s="1"/>
      <c r="X207" s="1"/>
      <c r="Y207" s="1"/>
      <c r="AA207" s="1"/>
      <c r="AC207" s="1"/>
      <c r="AD207" s="1"/>
      <c r="AE207" s="1"/>
      <c r="AN207" s="1"/>
      <c r="AP207" s="1"/>
      <c r="AQ207" s="1"/>
      <c r="AR207" s="1"/>
      <c r="AS207" s="1"/>
      <c r="AT207" s="3"/>
      <c r="AU207" s="3"/>
      <c r="AV207" s="3"/>
      <c r="AW207" s="1"/>
      <c r="AX207" s="1"/>
      <c r="AZ207">
        <v>76</v>
      </c>
      <c r="BA207">
        <v>260953.83</v>
      </c>
      <c r="BB207" s="1" t="s">
        <v>74</v>
      </c>
      <c r="BC207">
        <v>59</v>
      </c>
      <c r="BD207" s="1" t="s">
        <v>1369</v>
      </c>
      <c r="BE207" s="1" t="s">
        <v>99</v>
      </c>
      <c r="BF207">
        <v>0</v>
      </c>
      <c r="BG207" s="1"/>
      <c r="BH207" s="1" t="s">
        <v>433</v>
      </c>
      <c r="BI207">
        <v>1205.4000000000001</v>
      </c>
      <c r="BJ207" s="1" t="s">
        <v>1516</v>
      </c>
      <c r="BL207" s="1"/>
      <c r="BN207" s="1"/>
      <c r="BO207">
        <v>186</v>
      </c>
      <c r="BP207">
        <v>260953.83</v>
      </c>
      <c r="BQ207">
        <v>260953.83</v>
      </c>
    </row>
    <row r="208" spans="1:69" x14ac:dyDescent="0.35">
      <c r="A208" s="1" t="s">
        <v>68</v>
      </c>
      <c r="B208" s="1" t="s">
        <v>69</v>
      </c>
      <c r="C208" s="1" t="s">
        <v>70</v>
      </c>
      <c r="D208">
        <v>1</v>
      </c>
      <c r="E208">
        <v>1</v>
      </c>
      <c r="F208" s="2">
        <v>43584.863483796296</v>
      </c>
      <c r="G208" s="3">
        <v>40909</v>
      </c>
      <c r="H208" s="3">
        <v>41274</v>
      </c>
      <c r="I208" s="1" t="s">
        <v>71</v>
      </c>
      <c r="J208">
        <v>4521</v>
      </c>
      <c r="K208">
        <v>0</v>
      </c>
      <c r="L208" s="1" t="s">
        <v>384</v>
      </c>
      <c r="M208" s="1" t="s">
        <v>72</v>
      </c>
      <c r="N208" s="1" t="s">
        <v>134</v>
      </c>
      <c r="O208" s="1" t="s">
        <v>385</v>
      </c>
      <c r="P208" s="1" t="s">
        <v>386</v>
      </c>
      <c r="Q208" s="1" t="s">
        <v>387</v>
      </c>
      <c r="R208">
        <v>103</v>
      </c>
      <c r="S208" s="1" t="s">
        <v>135</v>
      </c>
      <c r="T208" s="1" t="s">
        <v>388</v>
      </c>
      <c r="U208" s="1" t="s">
        <v>135</v>
      </c>
      <c r="V208" s="1"/>
      <c r="W208" s="1"/>
      <c r="X208" s="1"/>
      <c r="Y208" s="1"/>
      <c r="AA208" s="1"/>
      <c r="AC208" s="1"/>
      <c r="AD208" s="1"/>
      <c r="AE208" s="1"/>
      <c r="AN208" s="1"/>
      <c r="AP208" s="1"/>
      <c r="AQ208" s="1"/>
      <c r="AR208" s="1"/>
      <c r="AS208" s="1"/>
      <c r="AT208" s="3"/>
      <c r="AU208" s="3"/>
      <c r="AV208" s="3"/>
      <c r="AW208" s="1"/>
      <c r="AX208" s="1"/>
      <c r="AZ208">
        <v>76</v>
      </c>
      <c r="BA208">
        <v>260953.83</v>
      </c>
      <c r="BB208" s="1" t="s">
        <v>74</v>
      </c>
      <c r="BC208">
        <v>60</v>
      </c>
      <c r="BD208" s="1" t="s">
        <v>1369</v>
      </c>
      <c r="BE208" s="1" t="s">
        <v>452</v>
      </c>
      <c r="BF208">
        <v>225.4</v>
      </c>
      <c r="BG208" s="1" t="s">
        <v>1516</v>
      </c>
      <c r="BH208" s="1" t="s">
        <v>99</v>
      </c>
      <c r="BI208">
        <v>0</v>
      </c>
      <c r="BJ208" s="1"/>
      <c r="BL208" s="1"/>
      <c r="BN208" s="1"/>
      <c r="BO208">
        <v>186</v>
      </c>
      <c r="BP208">
        <v>260953.83</v>
      </c>
      <c r="BQ208">
        <v>260953.83</v>
      </c>
    </row>
    <row r="209" spans="1:69" x14ac:dyDescent="0.35">
      <c r="A209" s="1" t="s">
        <v>68</v>
      </c>
      <c r="B209" s="1" t="s">
        <v>69</v>
      </c>
      <c r="C209" s="1" t="s">
        <v>70</v>
      </c>
      <c r="D209">
        <v>1</v>
      </c>
      <c r="E209">
        <v>1</v>
      </c>
      <c r="F209" s="2">
        <v>43584.863483796296</v>
      </c>
      <c r="G209" s="3">
        <v>40909</v>
      </c>
      <c r="H209" s="3">
        <v>41274</v>
      </c>
      <c r="I209" s="1" t="s">
        <v>71</v>
      </c>
      <c r="J209">
        <v>4521</v>
      </c>
      <c r="K209">
        <v>0</v>
      </c>
      <c r="L209" s="1" t="s">
        <v>384</v>
      </c>
      <c r="M209" s="1" t="s">
        <v>72</v>
      </c>
      <c r="N209" s="1" t="s">
        <v>134</v>
      </c>
      <c r="O209" s="1" t="s">
        <v>385</v>
      </c>
      <c r="P209" s="1" t="s">
        <v>386</v>
      </c>
      <c r="Q209" s="1" t="s">
        <v>387</v>
      </c>
      <c r="R209">
        <v>103</v>
      </c>
      <c r="S209" s="1" t="s">
        <v>135</v>
      </c>
      <c r="T209" s="1" t="s">
        <v>388</v>
      </c>
      <c r="U209" s="1" t="s">
        <v>135</v>
      </c>
      <c r="V209" s="1"/>
      <c r="W209" s="1"/>
      <c r="X209" s="1"/>
      <c r="Y209" s="1"/>
      <c r="AA209" s="1"/>
      <c r="AC209" s="1"/>
      <c r="AD209" s="1"/>
      <c r="AE209" s="1"/>
      <c r="AN209" s="1"/>
      <c r="AP209" s="1"/>
      <c r="AQ209" s="1"/>
      <c r="AR209" s="1"/>
      <c r="AS209" s="1"/>
      <c r="AT209" s="3"/>
      <c r="AU209" s="3"/>
      <c r="AV209" s="3"/>
      <c r="AW209" s="1"/>
      <c r="AX209" s="1"/>
      <c r="AZ209">
        <v>76</v>
      </c>
      <c r="BA209">
        <v>260953.83</v>
      </c>
      <c r="BB209" s="1" t="s">
        <v>74</v>
      </c>
      <c r="BC209">
        <v>61</v>
      </c>
      <c r="BD209" s="1" t="s">
        <v>1370</v>
      </c>
      <c r="BE209" s="1" t="s">
        <v>445</v>
      </c>
      <c r="BF209">
        <v>5836.91</v>
      </c>
      <c r="BG209" s="1" t="s">
        <v>1432</v>
      </c>
      <c r="BH209" s="1" t="s">
        <v>99</v>
      </c>
      <c r="BI209">
        <v>0</v>
      </c>
      <c r="BJ209" s="1"/>
      <c r="BL209" s="1"/>
      <c r="BN209" s="1"/>
      <c r="BO209">
        <v>186</v>
      </c>
      <c r="BP209">
        <v>260953.83</v>
      </c>
      <c r="BQ209">
        <v>260953.83</v>
      </c>
    </row>
    <row r="210" spans="1:69" x14ac:dyDescent="0.35">
      <c r="A210" s="1" t="s">
        <v>68</v>
      </c>
      <c r="B210" s="1" t="s">
        <v>69</v>
      </c>
      <c r="C210" s="1" t="s">
        <v>70</v>
      </c>
      <c r="D210">
        <v>1</v>
      </c>
      <c r="E210">
        <v>1</v>
      </c>
      <c r="F210" s="2">
        <v>43584.863483796296</v>
      </c>
      <c r="G210" s="3">
        <v>40909</v>
      </c>
      <c r="H210" s="3">
        <v>41274</v>
      </c>
      <c r="I210" s="1" t="s">
        <v>71</v>
      </c>
      <c r="J210">
        <v>4521</v>
      </c>
      <c r="K210">
        <v>0</v>
      </c>
      <c r="L210" s="1" t="s">
        <v>384</v>
      </c>
      <c r="M210" s="1" t="s">
        <v>72</v>
      </c>
      <c r="N210" s="1" t="s">
        <v>134</v>
      </c>
      <c r="O210" s="1" t="s">
        <v>385</v>
      </c>
      <c r="P210" s="1" t="s">
        <v>386</v>
      </c>
      <c r="Q210" s="1" t="s">
        <v>387</v>
      </c>
      <c r="R210">
        <v>103</v>
      </c>
      <c r="S210" s="1" t="s">
        <v>135</v>
      </c>
      <c r="T210" s="1" t="s">
        <v>388</v>
      </c>
      <c r="U210" s="1" t="s">
        <v>135</v>
      </c>
      <c r="V210" s="1"/>
      <c r="W210" s="1"/>
      <c r="X210" s="1"/>
      <c r="Y210" s="1"/>
      <c r="AA210" s="1"/>
      <c r="AC210" s="1"/>
      <c r="AD210" s="1"/>
      <c r="AE210" s="1"/>
      <c r="AN210" s="1"/>
      <c r="AP210" s="1"/>
      <c r="AQ210" s="1"/>
      <c r="AR210" s="1"/>
      <c r="AS210" s="1"/>
      <c r="AT210" s="3"/>
      <c r="AU210" s="3"/>
      <c r="AV210" s="3"/>
      <c r="AW210" s="1"/>
      <c r="AX210" s="1"/>
      <c r="AZ210">
        <v>76</v>
      </c>
      <c r="BA210">
        <v>260953.83</v>
      </c>
      <c r="BB210" s="1" t="s">
        <v>74</v>
      </c>
      <c r="BC210">
        <v>62</v>
      </c>
      <c r="BD210" s="1" t="s">
        <v>1370</v>
      </c>
      <c r="BE210" s="1" t="s">
        <v>99</v>
      </c>
      <c r="BF210">
        <v>0</v>
      </c>
      <c r="BG210" s="1"/>
      <c r="BH210" s="1" t="s">
        <v>489</v>
      </c>
      <c r="BI210">
        <v>5836.91</v>
      </c>
      <c r="BJ210" s="1" t="s">
        <v>1432</v>
      </c>
      <c r="BL210" s="1"/>
      <c r="BN210" s="1"/>
      <c r="BO210">
        <v>186</v>
      </c>
      <c r="BP210">
        <v>260953.83</v>
      </c>
      <c r="BQ210">
        <v>260953.83</v>
      </c>
    </row>
    <row r="211" spans="1:69" x14ac:dyDescent="0.35">
      <c r="A211" s="1" t="s">
        <v>68</v>
      </c>
      <c r="B211" s="1" t="s">
        <v>69</v>
      </c>
      <c r="C211" s="1" t="s">
        <v>70</v>
      </c>
      <c r="D211">
        <v>1</v>
      </c>
      <c r="E211">
        <v>1</v>
      </c>
      <c r="F211" s="2">
        <v>43584.863483796296</v>
      </c>
      <c r="G211" s="3">
        <v>40909</v>
      </c>
      <c r="H211" s="3">
        <v>41274</v>
      </c>
      <c r="I211" s="1" t="s">
        <v>71</v>
      </c>
      <c r="J211">
        <v>4521</v>
      </c>
      <c r="K211">
        <v>0</v>
      </c>
      <c r="L211" s="1" t="s">
        <v>384</v>
      </c>
      <c r="M211" s="1" t="s">
        <v>72</v>
      </c>
      <c r="N211" s="1" t="s">
        <v>134</v>
      </c>
      <c r="O211" s="1" t="s">
        <v>385</v>
      </c>
      <c r="P211" s="1" t="s">
        <v>386</v>
      </c>
      <c r="Q211" s="1" t="s">
        <v>387</v>
      </c>
      <c r="R211">
        <v>103</v>
      </c>
      <c r="S211" s="1" t="s">
        <v>135</v>
      </c>
      <c r="T211" s="1" t="s">
        <v>388</v>
      </c>
      <c r="U211" s="1" t="s">
        <v>135</v>
      </c>
      <c r="V211" s="1"/>
      <c r="W211" s="1"/>
      <c r="X211" s="1"/>
      <c r="Y211" s="1"/>
      <c r="AA211" s="1"/>
      <c r="AC211" s="1"/>
      <c r="AD211" s="1"/>
      <c r="AE211" s="1"/>
      <c r="AN211" s="1"/>
      <c r="AP211" s="1"/>
      <c r="AQ211" s="1"/>
      <c r="AR211" s="1"/>
      <c r="AS211" s="1"/>
      <c r="AT211" s="3"/>
      <c r="AU211" s="3"/>
      <c r="AV211" s="3"/>
      <c r="AW211" s="1"/>
      <c r="AX211" s="1"/>
      <c r="AZ211">
        <v>76</v>
      </c>
      <c r="BA211">
        <v>260953.83</v>
      </c>
      <c r="BB211" s="1" t="s">
        <v>74</v>
      </c>
      <c r="BC211">
        <v>63</v>
      </c>
      <c r="BD211" s="1" t="s">
        <v>1371</v>
      </c>
      <c r="BE211" s="1" t="s">
        <v>484</v>
      </c>
      <c r="BF211">
        <v>264</v>
      </c>
      <c r="BG211" s="1" t="s">
        <v>1433</v>
      </c>
      <c r="BH211" s="1" t="s">
        <v>99</v>
      </c>
      <c r="BI211">
        <v>0</v>
      </c>
      <c r="BJ211" s="1"/>
      <c r="BL211" s="1"/>
      <c r="BN211" s="1"/>
      <c r="BO211">
        <v>186</v>
      </c>
      <c r="BP211">
        <v>260953.83</v>
      </c>
      <c r="BQ211">
        <v>260953.83</v>
      </c>
    </row>
    <row r="212" spans="1:69" x14ac:dyDescent="0.35">
      <c r="A212" s="1" t="s">
        <v>68</v>
      </c>
      <c r="B212" s="1" t="s">
        <v>69</v>
      </c>
      <c r="C212" s="1" t="s">
        <v>70</v>
      </c>
      <c r="D212">
        <v>1</v>
      </c>
      <c r="E212">
        <v>1</v>
      </c>
      <c r="F212" s="2">
        <v>43584.863483796296</v>
      </c>
      <c r="G212" s="3">
        <v>40909</v>
      </c>
      <c r="H212" s="3">
        <v>41274</v>
      </c>
      <c r="I212" s="1" t="s">
        <v>71</v>
      </c>
      <c r="J212">
        <v>4521</v>
      </c>
      <c r="K212">
        <v>0</v>
      </c>
      <c r="L212" s="1" t="s">
        <v>384</v>
      </c>
      <c r="M212" s="1" t="s">
        <v>72</v>
      </c>
      <c r="N212" s="1" t="s">
        <v>134</v>
      </c>
      <c r="O212" s="1" t="s">
        <v>385</v>
      </c>
      <c r="P212" s="1" t="s">
        <v>386</v>
      </c>
      <c r="Q212" s="1" t="s">
        <v>387</v>
      </c>
      <c r="R212">
        <v>103</v>
      </c>
      <c r="S212" s="1" t="s">
        <v>135</v>
      </c>
      <c r="T212" s="1" t="s">
        <v>388</v>
      </c>
      <c r="U212" s="1" t="s">
        <v>135</v>
      </c>
      <c r="V212" s="1"/>
      <c r="W212" s="1"/>
      <c r="X212" s="1"/>
      <c r="Y212" s="1"/>
      <c r="AA212" s="1"/>
      <c r="AC212" s="1"/>
      <c r="AD212" s="1"/>
      <c r="AE212" s="1"/>
      <c r="AN212" s="1"/>
      <c r="AP212" s="1"/>
      <c r="AQ212" s="1"/>
      <c r="AR212" s="1"/>
      <c r="AS212" s="1"/>
      <c r="AT212" s="3"/>
      <c r="AU212" s="3"/>
      <c r="AV212" s="3"/>
      <c r="AW212" s="1"/>
      <c r="AX212" s="1"/>
      <c r="AZ212">
        <v>76</v>
      </c>
      <c r="BA212">
        <v>260953.83</v>
      </c>
      <c r="BB212" s="1" t="s">
        <v>74</v>
      </c>
      <c r="BC212">
        <v>64</v>
      </c>
      <c r="BD212" s="1" t="s">
        <v>1371</v>
      </c>
      <c r="BE212" s="1" t="s">
        <v>99</v>
      </c>
      <c r="BF212">
        <v>0</v>
      </c>
      <c r="BG212" s="1"/>
      <c r="BH212" s="1" t="s">
        <v>435</v>
      </c>
      <c r="BI212">
        <v>277.2</v>
      </c>
      <c r="BJ212" s="1" t="s">
        <v>1433</v>
      </c>
      <c r="BL212" s="1"/>
      <c r="BN212" s="1"/>
      <c r="BO212">
        <v>186</v>
      </c>
      <c r="BP212">
        <v>260953.83</v>
      </c>
      <c r="BQ212">
        <v>260953.83</v>
      </c>
    </row>
    <row r="213" spans="1:69" x14ac:dyDescent="0.35">
      <c r="A213" s="1" t="s">
        <v>68</v>
      </c>
      <c r="B213" s="1" t="s">
        <v>69</v>
      </c>
      <c r="C213" s="1" t="s">
        <v>70</v>
      </c>
      <c r="D213">
        <v>1</v>
      </c>
      <c r="E213">
        <v>1</v>
      </c>
      <c r="F213" s="2">
        <v>43584.863483796296</v>
      </c>
      <c r="G213" s="3">
        <v>40909</v>
      </c>
      <c r="H213" s="3">
        <v>41274</v>
      </c>
      <c r="I213" s="1" t="s">
        <v>71</v>
      </c>
      <c r="J213">
        <v>4521</v>
      </c>
      <c r="K213">
        <v>0</v>
      </c>
      <c r="L213" s="1" t="s">
        <v>384</v>
      </c>
      <c r="M213" s="1" t="s">
        <v>72</v>
      </c>
      <c r="N213" s="1" t="s">
        <v>134</v>
      </c>
      <c r="O213" s="1" t="s">
        <v>385</v>
      </c>
      <c r="P213" s="1" t="s">
        <v>386</v>
      </c>
      <c r="Q213" s="1" t="s">
        <v>387</v>
      </c>
      <c r="R213">
        <v>103</v>
      </c>
      <c r="S213" s="1" t="s">
        <v>135</v>
      </c>
      <c r="T213" s="1" t="s">
        <v>388</v>
      </c>
      <c r="U213" s="1" t="s">
        <v>135</v>
      </c>
      <c r="V213" s="1"/>
      <c r="W213" s="1"/>
      <c r="X213" s="1"/>
      <c r="Y213" s="1"/>
      <c r="AA213" s="1"/>
      <c r="AC213" s="1"/>
      <c r="AD213" s="1"/>
      <c r="AE213" s="1"/>
      <c r="AN213" s="1"/>
      <c r="AP213" s="1"/>
      <c r="AQ213" s="1"/>
      <c r="AR213" s="1"/>
      <c r="AS213" s="1"/>
      <c r="AT213" s="3"/>
      <c r="AU213" s="3"/>
      <c r="AV213" s="3"/>
      <c r="AW213" s="1"/>
      <c r="AX213" s="1"/>
      <c r="AZ213">
        <v>76</v>
      </c>
      <c r="BA213">
        <v>260953.83</v>
      </c>
      <c r="BB213" s="1" t="s">
        <v>74</v>
      </c>
      <c r="BC213">
        <v>65</v>
      </c>
      <c r="BD213" s="1" t="s">
        <v>1371</v>
      </c>
      <c r="BE213" s="1" t="s">
        <v>452</v>
      </c>
      <c r="BF213">
        <v>13.2</v>
      </c>
      <c r="BG213" s="1" t="s">
        <v>1433</v>
      </c>
      <c r="BH213" s="1" t="s">
        <v>99</v>
      </c>
      <c r="BI213">
        <v>0</v>
      </c>
      <c r="BJ213" s="1"/>
      <c r="BL213" s="1"/>
      <c r="BN213" s="1"/>
      <c r="BO213">
        <v>186</v>
      </c>
      <c r="BP213">
        <v>260953.83</v>
      </c>
      <c r="BQ213">
        <v>260953.83</v>
      </c>
    </row>
    <row r="214" spans="1:69" x14ac:dyDescent="0.35">
      <c r="A214" s="1" t="s">
        <v>68</v>
      </c>
      <c r="B214" s="1" t="s">
        <v>69</v>
      </c>
      <c r="C214" s="1" t="s">
        <v>70</v>
      </c>
      <c r="D214">
        <v>1</v>
      </c>
      <c r="E214">
        <v>1</v>
      </c>
      <c r="F214" s="2">
        <v>43584.863483796296</v>
      </c>
      <c r="G214" s="3">
        <v>40909</v>
      </c>
      <c r="H214" s="3">
        <v>41274</v>
      </c>
      <c r="I214" s="1" t="s">
        <v>71</v>
      </c>
      <c r="J214">
        <v>4521</v>
      </c>
      <c r="K214">
        <v>0</v>
      </c>
      <c r="L214" s="1" t="s">
        <v>384</v>
      </c>
      <c r="M214" s="1" t="s">
        <v>72</v>
      </c>
      <c r="N214" s="1" t="s">
        <v>134</v>
      </c>
      <c r="O214" s="1" t="s">
        <v>385</v>
      </c>
      <c r="P214" s="1" t="s">
        <v>386</v>
      </c>
      <c r="Q214" s="1" t="s">
        <v>387</v>
      </c>
      <c r="R214">
        <v>103</v>
      </c>
      <c r="S214" s="1" t="s">
        <v>135</v>
      </c>
      <c r="T214" s="1" t="s">
        <v>388</v>
      </c>
      <c r="U214" s="1" t="s">
        <v>135</v>
      </c>
      <c r="V214" s="1"/>
      <c r="W214" s="1"/>
      <c r="X214" s="1"/>
      <c r="Y214" s="1"/>
      <c r="AA214" s="1"/>
      <c r="AC214" s="1"/>
      <c r="AD214" s="1"/>
      <c r="AE214" s="1"/>
      <c r="AN214" s="1"/>
      <c r="AP214" s="1"/>
      <c r="AQ214" s="1"/>
      <c r="AR214" s="1"/>
      <c r="AS214" s="1"/>
      <c r="AT214" s="3"/>
      <c r="AU214" s="3"/>
      <c r="AV214" s="3"/>
      <c r="AW214" s="1"/>
      <c r="AX214" s="1"/>
      <c r="AZ214">
        <v>76</v>
      </c>
      <c r="BA214">
        <v>260953.83</v>
      </c>
      <c r="BB214" s="1" t="s">
        <v>74</v>
      </c>
      <c r="BC214">
        <v>66</v>
      </c>
      <c r="BD214" s="1" t="s">
        <v>1372</v>
      </c>
      <c r="BE214" s="1" t="s">
        <v>445</v>
      </c>
      <c r="BF214">
        <v>2356</v>
      </c>
      <c r="BG214" s="1" t="s">
        <v>1432</v>
      </c>
      <c r="BH214" s="1" t="s">
        <v>99</v>
      </c>
      <c r="BI214">
        <v>0</v>
      </c>
      <c r="BJ214" s="1"/>
      <c r="BL214" s="1"/>
      <c r="BN214" s="1"/>
      <c r="BO214">
        <v>186</v>
      </c>
      <c r="BP214">
        <v>260953.83</v>
      </c>
      <c r="BQ214">
        <v>260953.83</v>
      </c>
    </row>
    <row r="215" spans="1:69" x14ac:dyDescent="0.35">
      <c r="A215" s="1" t="s">
        <v>68</v>
      </c>
      <c r="B215" s="1" t="s">
        <v>69</v>
      </c>
      <c r="C215" s="1" t="s">
        <v>70</v>
      </c>
      <c r="D215">
        <v>1</v>
      </c>
      <c r="E215">
        <v>1</v>
      </c>
      <c r="F215" s="2">
        <v>43584.863483796296</v>
      </c>
      <c r="G215" s="3">
        <v>40909</v>
      </c>
      <c r="H215" s="3">
        <v>41274</v>
      </c>
      <c r="I215" s="1" t="s">
        <v>71</v>
      </c>
      <c r="J215">
        <v>4521</v>
      </c>
      <c r="K215">
        <v>0</v>
      </c>
      <c r="L215" s="1" t="s">
        <v>384</v>
      </c>
      <c r="M215" s="1" t="s">
        <v>72</v>
      </c>
      <c r="N215" s="1" t="s">
        <v>134</v>
      </c>
      <c r="O215" s="1" t="s">
        <v>385</v>
      </c>
      <c r="P215" s="1" t="s">
        <v>386</v>
      </c>
      <c r="Q215" s="1" t="s">
        <v>387</v>
      </c>
      <c r="R215">
        <v>103</v>
      </c>
      <c r="S215" s="1" t="s">
        <v>135</v>
      </c>
      <c r="T215" s="1" t="s">
        <v>388</v>
      </c>
      <c r="U215" s="1" t="s">
        <v>135</v>
      </c>
      <c r="V215" s="1"/>
      <c r="W215" s="1"/>
      <c r="X215" s="1"/>
      <c r="Y215" s="1"/>
      <c r="AA215" s="1"/>
      <c r="AC215" s="1"/>
      <c r="AD215" s="1"/>
      <c r="AE215" s="1"/>
      <c r="AN215" s="1"/>
      <c r="AP215" s="1"/>
      <c r="AQ215" s="1"/>
      <c r="AR215" s="1"/>
      <c r="AS215" s="1"/>
      <c r="AT215" s="3"/>
      <c r="AU215" s="3"/>
      <c r="AV215" s="3"/>
      <c r="AW215" s="1"/>
      <c r="AX215" s="1"/>
      <c r="AZ215">
        <v>76</v>
      </c>
      <c r="BA215">
        <v>260953.83</v>
      </c>
      <c r="BB215" s="1" t="s">
        <v>74</v>
      </c>
      <c r="BC215">
        <v>67</v>
      </c>
      <c r="BD215" s="1" t="s">
        <v>1372</v>
      </c>
      <c r="BE215" s="1" t="s">
        <v>99</v>
      </c>
      <c r="BF215">
        <v>0</v>
      </c>
      <c r="BG215" s="1"/>
      <c r="BH215" s="1" t="s">
        <v>489</v>
      </c>
      <c r="BI215">
        <v>2356</v>
      </c>
      <c r="BJ215" s="1" t="s">
        <v>1432</v>
      </c>
      <c r="BL215" s="1"/>
      <c r="BN215" s="1"/>
      <c r="BO215">
        <v>186</v>
      </c>
      <c r="BP215">
        <v>260953.83</v>
      </c>
      <c r="BQ215">
        <v>260953.83</v>
      </c>
    </row>
    <row r="216" spans="1:69" x14ac:dyDescent="0.35">
      <c r="A216" s="1" t="s">
        <v>68</v>
      </c>
      <c r="B216" s="1" t="s">
        <v>69</v>
      </c>
      <c r="C216" s="1" t="s">
        <v>70</v>
      </c>
      <c r="D216">
        <v>1</v>
      </c>
      <c r="E216">
        <v>1</v>
      </c>
      <c r="F216" s="2">
        <v>43584.863483796296</v>
      </c>
      <c r="G216" s="3">
        <v>40909</v>
      </c>
      <c r="H216" s="3">
        <v>41274</v>
      </c>
      <c r="I216" s="1" t="s">
        <v>71</v>
      </c>
      <c r="J216">
        <v>4521</v>
      </c>
      <c r="K216">
        <v>0</v>
      </c>
      <c r="L216" s="1" t="s">
        <v>384</v>
      </c>
      <c r="M216" s="1" t="s">
        <v>72</v>
      </c>
      <c r="N216" s="1" t="s">
        <v>134</v>
      </c>
      <c r="O216" s="1" t="s">
        <v>385</v>
      </c>
      <c r="P216" s="1" t="s">
        <v>386</v>
      </c>
      <c r="Q216" s="1" t="s">
        <v>387</v>
      </c>
      <c r="R216">
        <v>103</v>
      </c>
      <c r="S216" s="1" t="s">
        <v>135</v>
      </c>
      <c r="T216" s="1" t="s">
        <v>388</v>
      </c>
      <c r="U216" s="1" t="s">
        <v>135</v>
      </c>
      <c r="V216" s="1"/>
      <c r="W216" s="1"/>
      <c r="X216" s="1"/>
      <c r="Y216" s="1"/>
      <c r="AA216" s="1"/>
      <c r="AC216" s="1"/>
      <c r="AD216" s="1"/>
      <c r="AE216" s="1"/>
      <c r="AN216" s="1"/>
      <c r="AP216" s="1"/>
      <c r="AQ216" s="1"/>
      <c r="AR216" s="1"/>
      <c r="AS216" s="1"/>
      <c r="AT216" s="3"/>
      <c r="AU216" s="3"/>
      <c r="AV216" s="3"/>
      <c r="AW216" s="1"/>
      <c r="AX216" s="1"/>
      <c r="AZ216">
        <v>76</v>
      </c>
      <c r="BA216">
        <v>260953.83</v>
      </c>
      <c r="BB216" s="1" t="s">
        <v>74</v>
      </c>
      <c r="BC216">
        <v>68</v>
      </c>
      <c r="BD216" s="1" t="s">
        <v>1373</v>
      </c>
      <c r="BE216" s="1" t="s">
        <v>396</v>
      </c>
      <c r="BF216">
        <v>74125</v>
      </c>
      <c r="BG216" s="1" t="s">
        <v>1434</v>
      </c>
      <c r="BH216" s="1" t="s">
        <v>99</v>
      </c>
      <c r="BI216">
        <v>0</v>
      </c>
      <c r="BJ216" s="1"/>
      <c r="BK216">
        <v>18765.82</v>
      </c>
      <c r="BL216" s="1" t="s">
        <v>1295</v>
      </c>
      <c r="BN216" s="1"/>
      <c r="BO216">
        <v>186</v>
      </c>
      <c r="BP216">
        <v>260953.83</v>
      </c>
      <c r="BQ216">
        <v>260953.83</v>
      </c>
    </row>
    <row r="217" spans="1:69" x14ac:dyDescent="0.35">
      <c r="A217" s="1" t="s">
        <v>68</v>
      </c>
      <c r="B217" s="1" t="s">
        <v>69</v>
      </c>
      <c r="C217" s="1" t="s">
        <v>70</v>
      </c>
      <c r="D217">
        <v>1</v>
      </c>
      <c r="E217">
        <v>1</v>
      </c>
      <c r="F217" s="2">
        <v>43584.863483796296</v>
      </c>
      <c r="G217" s="3">
        <v>40909</v>
      </c>
      <c r="H217" s="3">
        <v>41274</v>
      </c>
      <c r="I217" s="1" t="s">
        <v>71</v>
      </c>
      <c r="J217">
        <v>4521</v>
      </c>
      <c r="K217">
        <v>0</v>
      </c>
      <c r="L217" s="1" t="s">
        <v>384</v>
      </c>
      <c r="M217" s="1" t="s">
        <v>72</v>
      </c>
      <c r="N217" s="1" t="s">
        <v>134</v>
      </c>
      <c r="O217" s="1" t="s">
        <v>385</v>
      </c>
      <c r="P217" s="1" t="s">
        <v>386</v>
      </c>
      <c r="Q217" s="1" t="s">
        <v>387</v>
      </c>
      <c r="R217">
        <v>103</v>
      </c>
      <c r="S217" s="1" t="s">
        <v>135</v>
      </c>
      <c r="T217" s="1" t="s">
        <v>388</v>
      </c>
      <c r="U217" s="1" t="s">
        <v>135</v>
      </c>
      <c r="V217" s="1"/>
      <c r="W217" s="1"/>
      <c r="X217" s="1"/>
      <c r="Y217" s="1"/>
      <c r="AA217" s="1"/>
      <c r="AC217" s="1"/>
      <c r="AD217" s="1"/>
      <c r="AE217" s="1"/>
      <c r="AN217" s="1"/>
      <c r="AP217" s="1"/>
      <c r="AQ217" s="1"/>
      <c r="AR217" s="1"/>
      <c r="AS217" s="1"/>
      <c r="AT217" s="3"/>
      <c r="AU217" s="3"/>
      <c r="AV217" s="3"/>
      <c r="AW217" s="1"/>
      <c r="AX217" s="1"/>
      <c r="AZ217">
        <v>76</v>
      </c>
      <c r="BA217">
        <v>260953.83</v>
      </c>
      <c r="BB217" s="1" t="s">
        <v>74</v>
      </c>
      <c r="BC217">
        <v>69</v>
      </c>
      <c r="BD217" s="1" t="s">
        <v>1373</v>
      </c>
      <c r="BE217" s="1" t="s">
        <v>99</v>
      </c>
      <c r="BF217">
        <v>0</v>
      </c>
      <c r="BG217" s="1"/>
      <c r="BH217" s="1" t="s">
        <v>411</v>
      </c>
      <c r="BI217">
        <v>74125</v>
      </c>
      <c r="BJ217" s="1" t="s">
        <v>1434</v>
      </c>
      <c r="BL217" s="1"/>
      <c r="BM217">
        <v>18765.82</v>
      </c>
      <c r="BN217" s="1" t="s">
        <v>1295</v>
      </c>
      <c r="BO217">
        <v>186</v>
      </c>
      <c r="BP217">
        <v>260953.83</v>
      </c>
      <c r="BQ217">
        <v>260953.83</v>
      </c>
    </row>
    <row r="218" spans="1:69" x14ac:dyDescent="0.35">
      <c r="A218" s="1" t="s">
        <v>68</v>
      </c>
      <c r="B218" s="1" t="s">
        <v>69</v>
      </c>
      <c r="C218" s="1" t="s">
        <v>70</v>
      </c>
      <c r="D218">
        <v>1</v>
      </c>
      <c r="E218">
        <v>1</v>
      </c>
      <c r="F218" s="2">
        <v>43584.863483796296</v>
      </c>
      <c r="G218" s="3">
        <v>40909</v>
      </c>
      <c r="H218" s="3">
        <v>41274</v>
      </c>
      <c r="I218" s="1" t="s">
        <v>71</v>
      </c>
      <c r="J218">
        <v>4521</v>
      </c>
      <c r="K218">
        <v>0</v>
      </c>
      <c r="L218" s="1" t="s">
        <v>384</v>
      </c>
      <c r="M218" s="1" t="s">
        <v>72</v>
      </c>
      <c r="N218" s="1" t="s">
        <v>134</v>
      </c>
      <c r="O218" s="1" t="s">
        <v>385</v>
      </c>
      <c r="P218" s="1" t="s">
        <v>386</v>
      </c>
      <c r="Q218" s="1" t="s">
        <v>387</v>
      </c>
      <c r="R218">
        <v>103</v>
      </c>
      <c r="S218" s="1" t="s">
        <v>135</v>
      </c>
      <c r="T218" s="1" t="s">
        <v>388</v>
      </c>
      <c r="U218" s="1" t="s">
        <v>135</v>
      </c>
      <c r="V218" s="1"/>
      <c r="W218" s="1"/>
      <c r="X218" s="1"/>
      <c r="Y218" s="1"/>
      <c r="AA218" s="1"/>
      <c r="AC218" s="1"/>
      <c r="AD218" s="1"/>
      <c r="AE218" s="1"/>
      <c r="AN218" s="1"/>
      <c r="AP218" s="1"/>
      <c r="AQ218" s="1"/>
      <c r="AR218" s="1"/>
      <c r="AS218" s="1"/>
      <c r="AT218" s="3"/>
      <c r="AU218" s="3"/>
      <c r="AV218" s="3"/>
      <c r="AW218" s="1"/>
      <c r="AX218" s="1"/>
      <c r="AZ218">
        <v>76</v>
      </c>
      <c r="BA218">
        <v>260953.83</v>
      </c>
      <c r="BB218" s="1" t="s">
        <v>74</v>
      </c>
      <c r="BC218">
        <v>70</v>
      </c>
      <c r="BD218" s="1" t="s">
        <v>1374</v>
      </c>
      <c r="BE218" s="1" t="s">
        <v>475</v>
      </c>
      <c r="BF218">
        <v>100</v>
      </c>
      <c r="BG218" s="1" t="s">
        <v>1232</v>
      </c>
      <c r="BH218" s="1" t="s">
        <v>99</v>
      </c>
      <c r="BI218">
        <v>0</v>
      </c>
      <c r="BJ218" s="1"/>
      <c r="BL218" s="1"/>
      <c r="BN218" s="1"/>
      <c r="BO218">
        <v>186</v>
      </c>
      <c r="BP218">
        <v>260953.83</v>
      </c>
      <c r="BQ218">
        <v>260953.83</v>
      </c>
    </row>
    <row r="219" spans="1:69" x14ac:dyDescent="0.35">
      <c r="A219" s="1" t="s">
        <v>68</v>
      </c>
      <c r="B219" s="1" t="s">
        <v>69</v>
      </c>
      <c r="C219" s="1" t="s">
        <v>70</v>
      </c>
      <c r="D219">
        <v>1</v>
      </c>
      <c r="E219">
        <v>1</v>
      </c>
      <c r="F219" s="2">
        <v>43584.863483796296</v>
      </c>
      <c r="G219" s="3">
        <v>40909</v>
      </c>
      <c r="H219" s="3">
        <v>41274</v>
      </c>
      <c r="I219" s="1" t="s">
        <v>71</v>
      </c>
      <c r="J219">
        <v>4521</v>
      </c>
      <c r="K219">
        <v>0</v>
      </c>
      <c r="L219" s="1" t="s">
        <v>384</v>
      </c>
      <c r="M219" s="1" t="s">
        <v>72</v>
      </c>
      <c r="N219" s="1" t="s">
        <v>134</v>
      </c>
      <c r="O219" s="1" t="s">
        <v>385</v>
      </c>
      <c r="P219" s="1" t="s">
        <v>386</v>
      </c>
      <c r="Q219" s="1" t="s">
        <v>387</v>
      </c>
      <c r="R219">
        <v>103</v>
      </c>
      <c r="S219" s="1" t="s">
        <v>135</v>
      </c>
      <c r="T219" s="1" t="s">
        <v>388</v>
      </c>
      <c r="U219" s="1" t="s">
        <v>135</v>
      </c>
      <c r="V219" s="1"/>
      <c r="W219" s="1"/>
      <c r="X219" s="1"/>
      <c r="Y219" s="1"/>
      <c r="AA219" s="1"/>
      <c r="AC219" s="1"/>
      <c r="AD219" s="1"/>
      <c r="AE219" s="1"/>
      <c r="AN219" s="1"/>
      <c r="AP219" s="1"/>
      <c r="AQ219" s="1"/>
      <c r="AR219" s="1"/>
      <c r="AS219" s="1"/>
      <c r="AT219" s="3"/>
      <c r="AU219" s="3"/>
      <c r="AV219" s="3"/>
      <c r="AW219" s="1"/>
      <c r="AX219" s="1"/>
      <c r="AZ219">
        <v>76</v>
      </c>
      <c r="BA219">
        <v>260953.83</v>
      </c>
      <c r="BB219" s="1" t="s">
        <v>74</v>
      </c>
      <c r="BC219">
        <v>71</v>
      </c>
      <c r="BD219" s="1" t="s">
        <v>1374</v>
      </c>
      <c r="BE219" s="1" t="s">
        <v>99</v>
      </c>
      <c r="BF219">
        <v>0</v>
      </c>
      <c r="BG219" s="1"/>
      <c r="BH219" s="1" t="s">
        <v>453</v>
      </c>
      <c r="BI219">
        <v>370</v>
      </c>
      <c r="BJ219" s="1" t="s">
        <v>1002</v>
      </c>
      <c r="BL219" s="1"/>
      <c r="BN219" s="1"/>
      <c r="BO219">
        <v>186</v>
      </c>
      <c r="BP219">
        <v>260953.83</v>
      </c>
      <c r="BQ219">
        <v>260953.83</v>
      </c>
    </row>
    <row r="220" spans="1:69" x14ac:dyDescent="0.35">
      <c r="A220" s="1" t="s">
        <v>68</v>
      </c>
      <c r="B220" s="1" t="s">
        <v>69</v>
      </c>
      <c r="C220" s="1" t="s">
        <v>70</v>
      </c>
      <c r="D220">
        <v>1</v>
      </c>
      <c r="E220">
        <v>1</v>
      </c>
      <c r="F220" s="2">
        <v>43584.863483796296</v>
      </c>
      <c r="G220" s="3">
        <v>40909</v>
      </c>
      <c r="H220" s="3">
        <v>41274</v>
      </c>
      <c r="I220" s="1" t="s">
        <v>71</v>
      </c>
      <c r="J220">
        <v>4521</v>
      </c>
      <c r="K220">
        <v>0</v>
      </c>
      <c r="L220" s="1" t="s">
        <v>384</v>
      </c>
      <c r="M220" s="1" t="s">
        <v>72</v>
      </c>
      <c r="N220" s="1" t="s">
        <v>134</v>
      </c>
      <c r="O220" s="1" t="s">
        <v>385</v>
      </c>
      <c r="P220" s="1" t="s">
        <v>386</v>
      </c>
      <c r="Q220" s="1" t="s">
        <v>387</v>
      </c>
      <c r="R220">
        <v>103</v>
      </c>
      <c r="S220" s="1" t="s">
        <v>135</v>
      </c>
      <c r="T220" s="1" t="s">
        <v>388</v>
      </c>
      <c r="U220" s="1" t="s">
        <v>135</v>
      </c>
      <c r="V220" s="1"/>
      <c r="W220" s="1"/>
      <c r="X220" s="1"/>
      <c r="Y220" s="1"/>
      <c r="AA220" s="1"/>
      <c r="AC220" s="1"/>
      <c r="AD220" s="1"/>
      <c r="AE220" s="1"/>
      <c r="AN220" s="1"/>
      <c r="AP220" s="1"/>
      <c r="AQ220" s="1"/>
      <c r="AR220" s="1"/>
      <c r="AS220" s="1"/>
      <c r="AT220" s="3"/>
      <c r="AU220" s="3"/>
      <c r="AV220" s="3"/>
      <c r="AW220" s="1"/>
      <c r="AX220" s="1"/>
      <c r="AZ220">
        <v>76</v>
      </c>
      <c r="BA220">
        <v>260953.83</v>
      </c>
      <c r="BB220" s="1" t="s">
        <v>74</v>
      </c>
      <c r="BC220">
        <v>72</v>
      </c>
      <c r="BD220" s="1" t="s">
        <v>1374</v>
      </c>
      <c r="BE220" s="1" t="s">
        <v>475</v>
      </c>
      <c r="BF220">
        <v>50</v>
      </c>
      <c r="BG220" s="1" t="s">
        <v>1232</v>
      </c>
      <c r="BH220" s="1" t="s">
        <v>99</v>
      </c>
      <c r="BI220">
        <v>0</v>
      </c>
      <c r="BJ220" s="1"/>
      <c r="BL220" s="1"/>
      <c r="BN220" s="1"/>
      <c r="BO220">
        <v>186</v>
      </c>
      <c r="BP220">
        <v>260953.83</v>
      </c>
      <c r="BQ220">
        <v>260953.83</v>
      </c>
    </row>
    <row r="221" spans="1:69" x14ac:dyDescent="0.35">
      <c r="A221" s="1" t="s">
        <v>68</v>
      </c>
      <c r="B221" s="1" t="s">
        <v>69</v>
      </c>
      <c r="C221" s="1" t="s">
        <v>70</v>
      </c>
      <c r="D221">
        <v>1</v>
      </c>
      <c r="E221">
        <v>1</v>
      </c>
      <c r="F221" s="2">
        <v>43584.863483796296</v>
      </c>
      <c r="G221" s="3">
        <v>40909</v>
      </c>
      <c r="H221" s="3">
        <v>41274</v>
      </c>
      <c r="I221" s="1" t="s">
        <v>71</v>
      </c>
      <c r="J221">
        <v>4521</v>
      </c>
      <c r="K221">
        <v>0</v>
      </c>
      <c r="L221" s="1" t="s">
        <v>384</v>
      </c>
      <c r="M221" s="1" t="s">
        <v>72</v>
      </c>
      <c r="N221" s="1" t="s">
        <v>134</v>
      </c>
      <c r="O221" s="1" t="s">
        <v>385</v>
      </c>
      <c r="P221" s="1" t="s">
        <v>386</v>
      </c>
      <c r="Q221" s="1" t="s">
        <v>387</v>
      </c>
      <c r="R221">
        <v>103</v>
      </c>
      <c r="S221" s="1" t="s">
        <v>135</v>
      </c>
      <c r="T221" s="1" t="s">
        <v>388</v>
      </c>
      <c r="U221" s="1" t="s">
        <v>135</v>
      </c>
      <c r="V221" s="1"/>
      <c r="W221" s="1"/>
      <c r="X221" s="1"/>
      <c r="Y221" s="1"/>
      <c r="AA221" s="1"/>
      <c r="AC221" s="1"/>
      <c r="AD221" s="1"/>
      <c r="AE221" s="1"/>
      <c r="AN221" s="1"/>
      <c r="AP221" s="1"/>
      <c r="AQ221" s="1"/>
      <c r="AR221" s="1"/>
      <c r="AS221" s="1"/>
      <c r="AT221" s="3"/>
      <c r="AU221" s="3"/>
      <c r="AV221" s="3"/>
      <c r="AW221" s="1"/>
      <c r="AX221" s="1"/>
      <c r="AZ221">
        <v>76</v>
      </c>
      <c r="BA221">
        <v>260953.83</v>
      </c>
      <c r="BB221" s="1" t="s">
        <v>74</v>
      </c>
      <c r="BC221">
        <v>73</v>
      </c>
      <c r="BD221" s="1" t="s">
        <v>1374</v>
      </c>
      <c r="BE221" s="1" t="s">
        <v>452</v>
      </c>
      <c r="BF221">
        <v>220</v>
      </c>
      <c r="BG221" s="1" t="s">
        <v>1280</v>
      </c>
      <c r="BH221" s="1" t="s">
        <v>99</v>
      </c>
      <c r="BI221">
        <v>0</v>
      </c>
      <c r="BJ221" s="1"/>
      <c r="BL221" s="1"/>
      <c r="BN221" s="1"/>
      <c r="BO221">
        <v>186</v>
      </c>
      <c r="BP221">
        <v>260953.83</v>
      </c>
      <c r="BQ221">
        <v>260953.83</v>
      </c>
    </row>
    <row r="222" spans="1:69" x14ac:dyDescent="0.35">
      <c r="A222" s="1" t="s">
        <v>68</v>
      </c>
      <c r="B222" s="1" t="s">
        <v>69</v>
      </c>
      <c r="C222" s="1" t="s">
        <v>70</v>
      </c>
      <c r="D222">
        <v>1</v>
      </c>
      <c r="E222">
        <v>1</v>
      </c>
      <c r="F222" s="2">
        <v>43584.863483796296</v>
      </c>
      <c r="G222" s="3">
        <v>40909</v>
      </c>
      <c r="H222" s="3">
        <v>41274</v>
      </c>
      <c r="I222" s="1" t="s">
        <v>71</v>
      </c>
      <c r="J222">
        <v>4521</v>
      </c>
      <c r="K222">
        <v>0</v>
      </c>
      <c r="L222" s="1" t="s">
        <v>384</v>
      </c>
      <c r="M222" s="1" t="s">
        <v>72</v>
      </c>
      <c r="N222" s="1" t="s">
        <v>134</v>
      </c>
      <c r="O222" s="1" t="s">
        <v>385</v>
      </c>
      <c r="P222" s="1" t="s">
        <v>386</v>
      </c>
      <c r="Q222" s="1" t="s">
        <v>387</v>
      </c>
      <c r="R222">
        <v>103</v>
      </c>
      <c r="S222" s="1" t="s">
        <v>135</v>
      </c>
      <c r="T222" s="1" t="s">
        <v>388</v>
      </c>
      <c r="U222" s="1" t="s">
        <v>135</v>
      </c>
      <c r="V222" s="1"/>
      <c r="W222" s="1"/>
      <c r="X222" s="1"/>
      <c r="Y222" s="1"/>
      <c r="AA222" s="1"/>
      <c r="AC222" s="1"/>
      <c r="AD222" s="1"/>
      <c r="AE222" s="1"/>
      <c r="AN222" s="1"/>
      <c r="AP222" s="1"/>
      <c r="AQ222" s="1"/>
      <c r="AR222" s="1"/>
      <c r="AS222" s="1"/>
      <c r="AT222" s="3"/>
      <c r="AU222" s="3"/>
      <c r="AV222" s="3"/>
      <c r="AW222" s="1"/>
      <c r="AX222" s="1"/>
      <c r="AZ222">
        <v>76</v>
      </c>
      <c r="BA222">
        <v>260953.83</v>
      </c>
      <c r="BB222" s="1" t="s">
        <v>74</v>
      </c>
      <c r="BC222">
        <v>74</v>
      </c>
      <c r="BD222" s="1" t="s">
        <v>1375</v>
      </c>
      <c r="BE222" s="1" t="s">
        <v>478</v>
      </c>
      <c r="BF222">
        <v>150</v>
      </c>
      <c r="BG222" s="1" t="s">
        <v>1232</v>
      </c>
      <c r="BH222" s="1" t="s">
        <v>99</v>
      </c>
      <c r="BI222">
        <v>0</v>
      </c>
      <c r="BJ222" s="1"/>
      <c r="BL222" s="1"/>
      <c r="BN222" s="1"/>
      <c r="BO222">
        <v>186</v>
      </c>
      <c r="BP222">
        <v>260953.83</v>
      </c>
      <c r="BQ222">
        <v>260953.83</v>
      </c>
    </row>
    <row r="223" spans="1:69" x14ac:dyDescent="0.35">
      <c r="A223" s="1" t="s">
        <v>68</v>
      </c>
      <c r="B223" s="1" t="s">
        <v>69</v>
      </c>
      <c r="C223" s="1" t="s">
        <v>70</v>
      </c>
      <c r="D223">
        <v>1</v>
      </c>
      <c r="E223">
        <v>1</v>
      </c>
      <c r="F223" s="2">
        <v>43584.863483796296</v>
      </c>
      <c r="G223" s="3">
        <v>40909</v>
      </c>
      <c r="H223" s="3">
        <v>41274</v>
      </c>
      <c r="I223" s="1" t="s">
        <v>71</v>
      </c>
      <c r="J223">
        <v>4521</v>
      </c>
      <c r="K223">
        <v>0</v>
      </c>
      <c r="L223" s="1" t="s">
        <v>384</v>
      </c>
      <c r="M223" s="1" t="s">
        <v>72</v>
      </c>
      <c r="N223" s="1" t="s">
        <v>134</v>
      </c>
      <c r="O223" s="1" t="s">
        <v>385</v>
      </c>
      <c r="P223" s="1" t="s">
        <v>386</v>
      </c>
      <c r="Q223" s="1" t="s">
        <v>387</v>
      </c>
      <c r="R223">
        <v>103</v>
      </c>
      <c r="S223" s="1" t="s">
        <v>135</v>
      </c>
      <c r="T223" s="1" t="s">
        <v>388</v>
      </c>
      <c r="U223" s="1" t="s">
        <v>135</v>
      </c>
      <c r="V223" s="1"/>
      <c r="W223" s="1"/>
      <c r="X223" s="1"/>
      <c r="Y223" s="1"/>
      <c r="AA223" s="1"/>
      <c r="AC223" s="1"/>
      <c r="AD223" s="1"/>
      <c r="AE223" s="1"/>
      <c r="AN223" s="1"/>
      <c r="AP223" s="1"/>
      <c r="AQ223" s="1"/>
      <c r="AR223" s="1"/>
      <c r="AS223" s="1"/>
      <c r="AT223" s="3"/>
      <c r="AU223" s="3"/>
      <c r="AV223" s="3"/>
      <c r="AW223" s="1"/>
      <c r="AX223" s="1"/>
      <c r="AZ223">
        <v>76</v>
      </c>
      <c r="BA223">
        <v>260953.83</v>
      </c>
      <c r="BB223" s="1" t="s">
        <v>74</v>
      </c>
      <c r="BC223">
        <v>75</v>
      </c>
      <c r="BD223" s="1" t="s">
        <v>1375</v>
      </c>
      <c r="BE223" s="1" t="s">
        <v>99</v>
      </c>
      <c r="BF223">
        <v>0</v>
      </c>
      <c r="BG223" s="1"/>
      <c r="BH223" s="1" t="s">
        <v>136</v>
      </c>
      <c r="BI223">
        <v>150</v>
      </c>
      <c r="BJ223" s="1" t="s">
        <v>1232</v>
      </c>
      <c r="BL223" s="1"/>
      <c r="BN223" s="1"/>
      <c r="BO223">
        <v>186</v>
      </c>
      <c r="BP223">
        <v>260953.83</v>
      </c>
      <c r="BQ223">
        <v>260953.83</v>
      </c>
    </row>
    <row r="224" spans="1:69" x14ac:dyDescent="0.35">
      <c r="A224" s="1" t="s">
        <v>68</v>
      </c>
      <c r="B224" s="1" t="s">
        <v>69</v>
      </c>
      <c r="C224" s="1" t="s">
        <v>70</v>
      </c>
      <c r="D224">
        <v>1</v>
      </c>
      <c r="E224">
        <v>1</v>
      </c>
      <c r="F224" s="2">
        <v>43584.863483796296</v>
      </c>
      <c r="G224" s="3">
        <v>40909</v>
      </c>
      <c r="H224" s="3">
        <v>41274</v>
      </c>
      <c r="I224" s="1" t="s">
        <v>71</v>
      </c>
      <c r="J224">
        <v>4521</v>
      </c>
      <c r="K224">
        <v>0</v>
      </c>
      <c r="L224" s="1" t="s">
        <v>384</v>
      </c>
      <c r="M224" s="1" t="s">
        <v>72</v>
      </c>
      <c r="N224" s="1" t="s">
        <v>134</v>
      </c>
      <c r="O224" s="1" t="s">
        <v>385</v>
      </c>
      <c r="P224" s="1" t="s">
        <v>386</v>
      </c>
      <c r="Q224" s="1" t="s">
        <v>387</v>
      </c>
      <c r="R224">
        <v>103</v>
      </c>
      <c r="S224" s="1" t="s">
        <v>135</v>
      </c>
      <c r="T224" s="1" t="s">
        <v>388</v>
      </c>
      <c r="U224" s="1" t="s">
        <v>135</v>
      </c>
      <c r="V224" s="1"/>
      <c r="W224" s="1"/>
      <c r="X224" s="1"/>
      <c r="Y224" s="1"/>
      <c r="AA224" s="1"/>
      <c r="AC224" s="1"/>
      <c r="AD224" s="1"/>
      <c r="AE224" s="1"/>
      <c r="AN224" s="1"/>
      <c r="AP224" s="1"/>
      <c r="AQ224" s="1"/>
      <c r="AR224" s="1"/>
      <c r="AS224" s="1"/>
      <c r="AT224" s="3"/>
      <c r="AU224" s="3"/>
      <c r="AV224" s="3"/>
      <c r="AW224" s="1"/>
      <c r="AX224" s="1"/>
      <c r="AZ224">
        <v>76</v>
      </c>
      <c r="BA224">
        <v>260953.83</v>
      </c>
      <c r="BB224" s="1" t="s">
        <v>74</v>
      </c>
      <c r="BC224">
        <v>76</v>
      </c>
      <c r="BD224" s="1" t="s">
        <v>1376</v>
      </c>
      <c r="BE224" s="1" t="s">
        <v>392</v>
      </c>
      <c r="BF224">
        <v>1600</v>
      </c>
      <c r="BG224" s="1" t="s">
        <v>1520</v>
      </c>
      <c r="BH224" s="1" t="s">
        <v>99</v>
      </c>
      <c r="BI224">
        <v>0</v>
      </c>
      <c r="BJ224" s="1"/>
      <c r="BL224" s="1"/>
      <c r="BN224" s="1"/>
      <c r="BO224">
        <v>186</v>
      </c>
      <c r="BP224">
        <v>260953.83</v>
      </c>
      <c r="BQ224">
        <v>260953.83</v>
      </c>
    </row>
    <row r="225" spans="1:69" x14ac:dyDescent="0.35">
      <c r="A225" s="1" t="s">
        <v>68</v>
      </c>
      <c r="B225" s="1" t="s">
        <v>69</v>
      </c>
      <c r="C225" s="1" t="s">
        <v>70</v>
      </c>
      <c r="D225">
        <v>1</v>
      </c>
      <c r="E225">
        <v>1</v>
      </c>
      <c r="F225" s="2">
        <v>43584.863483796296</v>
      </c>
      <c r="G225" s="3">
        <v>40909</v>
      </c>
      <c r="H225" s="3">
        <v>41274</v>
      </c>
      <c r="I225" s="1" t="s">
        <v>71</v>
      </c>
      <c r="J225">
        <v>4521</v>
      </c>
      <c r="K225">
        <v>0</v>
      </c>
      <c r="L225" s="1" t="s">
        <v>384</v>
      </c>
      <c r="M225" s="1" t="s">
        <v>72</v>
      </c>
      <c r="N225" s="1" t="s">
        <v>134</v>
      </c>
      <c r="O225" s="1" t="s">
        <v>385</v>
      </c>
      <c r="P225" s="1" t="s">
        <v>386</v>
      </c>
      <c r="Q225" s="1" t="s">
        <v>387</v>
      </c>
      <c r="R225">
        <v>103</v>
      </c>
      <c r="S225" s="1" t="s">
        <v>135</v>
      </c>
      <c r="T225" s="1" t="s">
        <v>388</v>
      </c>
      <c r="U225" s="1" t="s">
        <v>135</v>
      </c>
      <c r="V225" s="1"/>
      <c r="W225" s="1"/>
      <c r="X225" s="1"/>
      <c r="Y225" s="1"/>
      <c r="AA225" s="1"/>
      <c r="AC225" s="1"/>
      <c r="AD225" s="1"/>
      <c r="AE225" s="1"/>
      <c r="AN225" s="1"/>
      <c r="AP225" s="1"/>
      <c r="AQ225" s="1"/>
      <c r="AR225" s="1"/>
      <c r="AS225" s="1"/>
      <c r="AT225" s="3"/>
      <c r="AU225" s="3"/>
      <c r="AV225" s="3"/>
      <c r="AW225" s="1"/>
      <c r="AX225" s="1"/>
      <c r="AZ225">
        <v>76</v>
      </c>
      <c r="BA225">
        <v>260953.83</v>
      </c>
      <c r="BB225" s="1" t="s">
        <v>74</v>
      </c>
      <c r="BC225">
        <v>77</v>
      </c>
      <c r="BD225" s="1" t="s">
        <v>1376</v>
      </c>
      <c r="BE225" s="1" t="s">
        <v>99</v>
      </c>
      <c r="BF225">
        <v>0</v>
      </c>
      <c r="BG225" s="1"/>
      <c r="BH225" s="1" t="s">
        <v>394</v>
      </c>
      <c r="BI225">
        <v>1600</v>
      </c>
      <c r="BJ225" s="1" t="s">
        <v>1520</v>
      </c>
      <c r="BL225" s="1"/>
      <c r="BN225" s="1"/>
      <c r="BO225">
        <v>186</v>
      </c>
      <c r="BP225">
        <v>260953.83</v>
      </c>
      <c r="BQ225">
        <v>260953.83</v>
      </c>
    </row>
    <row r="226" spans="1:69" x14ac:dyDescent="0.35">
      <c r="A226" s="1" t="s">
        <v>68</v>
      </c>
      <c r="B226" s="1" t="s">
        <v>69</v>
      </c>
      <c r="C226" s="1" t="s">
        <v>70</v>
      </c>
      <c r="D226">
        <v>1</v>
      </c>
      <c r="E226">
        <v>1</v>
      </c>
      <c r="F226" s="2">
        <v>43584.863483796296</v>
      </c>
      <c r="G226" s="3">
        <v>40909</v>
      </c>
      <c r="H226" s="3">
        <v>41274</v>
      </c>
      <c r="I226" s="1" t="s">
        <v>71</v>
      </c>
      <c r="J226">
        <v>4521</v>
      </c>
      <c r="K226">
        <v>0</v>
      </c>
      <c r="L226" s="1" t="s">
        <v>384</v>
      </c>
      <c r="M226" s="1" t="s">
        <v>72</v>
      </c>
      <c r="N226" s="1" t="s">
        <v>134</v>
      </c>
      <c r="O226" s="1" t="s">
        <v>385</v>
      </c>
      <c r="P226" s="1" t="s">
        <v>386</v>
      </c>
      <c r="Q226" s="1" t="s">
        <v>387</v>
      </c>
      <c r="R226">
        <v>103</v>
      </c>
      <c r="S226" s="1" t="s">
        <v>135</v>
      </c>
      <c r="T226" s="1" t="s">
        <v>388</v>
      </c>
      <c r="U226" s="1" t="s">
        <v>135</v>
      </c>
      <c r="V226" s="1"/>
      <c r="W226" s="1"/>
      <c r="X226" s="1"/>
      <c r="Y226" s="1"/>
      <c r="AA226" s="1"/>
      <c r="AC226" s="1"/>
      <c r="AD226" s="1"/>
      <c r="AE226" s="1"/>
      <c r="AN226" s="1"/>
      <c r="AP226" s="1"/>
      <c r="AQ226" s="1"/>
      <c r="AR226" s="1"/>
      <c r="AS226" s="1"/>
      <c r="AT226" s="3"/>
      <c r="AU226" s="3"/>
      <c r="AV226" s="3"/>
      <c r="AW226" s="1"/>
      <c r="AX226" s="1"/>
      <c r="AZ226">
        <v>76</v>
      </c>
      <c r="BA226">
        <v>260953.83</v>
      </c>
      <c r="BB226" s="1" t="s">
        <v>74</v>
      </c>
      <c r="BC226">
        <v>78</v>
      </c>
      <c r="BD226" s="1" t="s">
        <v>1377</v>
      </c>
      <c r="BE226" s="1" t="s">
        <v>453</v>
      </c>
      <c r="BF226">
        <v>500</v>
      </c>
      <c r="BG226" s="1" t="s">
        <v>1521</v>
      </c>
      <c r="BH226" s="1" t="s">
        <v>99</v>
      </c>
      <c r="BI226">
        <v>0</v>
      </c>
      <c r="BJ226" s="1"/>
      <c r="BL226" s="1"/>
      <c r="BN226" s="1"/>
      <c r="BO226">
        <v>186</v>
      </c>
      <c r="BP226">
        <v>260953.83</v>
      </c>
      <c r="BQ226">
        <v>260953.83</v>
      </c>
    </row>
    <row r="227" spans="1:69" x14ac:dyDescent="0.35">
      <c r="A227" s="1" t="s">
        <v>68</v>
      </c>
      <c r="B227" s="1" t="s">
        <v>69</v>
      </c>
      <c r="C227" s="1" t="s">
        <v>70</v>
      </c>
      <c r="D227">
        <v>1</v>
      </c>
      <c r="E227">
        <v>1</v>
      </c>
      <c r="F227" s="2">
        <v>43584.863483796296</v>
      </c>
      <c r="G227" s="3">
        <v>40909</v>
      </c>
      <c r="H227" s="3">
        <v>41274</v>
      </c>
      <c r="I227" s="1" t="s">
        <v>71</v>
      </c>
      <c r="J227">
        <v>4521</v>
      </c>
      <c r="K227">
        <v>0</v>
      </c>
      <c r="L227" s="1" t="s">
        <v>384</v>
      </c>
      <c r="M227" s="1" t="s">
        <v>72</v>
      </c>
      <c r="N227" s="1" t="s">
        <v>134</v>
      </c>
      <c r="O227" s="1" t="s">
        <v>385</v>
      </c>
      <c r="P227" s="1" t="s">
        <v>386</v>
      </c>
      <c r="Q227" s="1" t="s">
        <v>387</v>
      </c>
      <c r="R227">
        <v>103</v>
      </c>
      <c r="S227" s="1" t="s">
        <v>135</v>
      </c>
      <c r="T227" s="1" t="s">
        <v>388</v>
      </c>
      <c r="U227" s="1" t="s">
        <v>135</v>
      </c>
      <c r="V227" s="1"/>
      <c r="W227" s="1"/>
      <c r="X227" s="1"/>
      <c r="Y227" s="1"/>
      <c r="AA227" s="1"/>
      <c r="AC227" s="1"/>
      <c r="AD227" s="1"/>
      <c r="AE227" s="1"/>
      <c r="AN227" s="1"/>
      <c r="AP227" s="1"/>
      <c r="AQ227" s="1"/>
      <c r="AR227" s="1"/>
      <c r="AS227" s="1"/>
      <c r="AT227" s="3"/>
      <c r="AU227" s="3"/>
      <c r="AV227" s="3"/>
      <c r="AW227" s="1"/>
      <c r="AX227" s="1"/>
      <c r="AZ227">
        <v>76</v>
      </c>
      <c r="BA227">
        <v>260953.83</v>
      </c>
      <c r="BB227" s="1" t="s">
        <v>74</v>
      </c>
      <c r="BC227">
        <v>79</v>
      </c>
      <c r="BD227" s="1" t="s">
        <v>1377</v>
      </c>
      <c r="BE227" s="1" t="s">
        <v>99</v>
      </c>
      <c r="BF227">
        <v>0</v>
      </c>
      <c r="BG227" s="1"/>
      <c r="BH227" s="1" t="s">
        <v>392</v>
      </c>
      <c r="BI227">
        <v>500</v>
      </c>
      <c r="BJ227" s="1" t="s">
        <v>1521</v>
      </c>
      <c r="BL227" s="1"/>
      <c r="BN227" s="1"/>
      <c r="BO227">
        <v>186</v>
      </c>
      <c r="BP227">
        <v>260953.83</v>
      </c>
      <c r="BQ227">
        <v>260953.83</v>
      </c>
    </row>
    <row r="228" spans="1:69" x14ac:dyDescent="0.35">
      <c r="A228" s="1" t="s">
        <v>68</v>
      </c>
      <c r="B228" s="1" t="s">
        <v>69</v>
      </c>
      <c r="C228" s="1" t="s">
        <v>70</v>
      </c>
      <c r="D228">
        <v>1</v>
      </c>
      <c r="E228">
        <v>1</v>
      </c>
      <c r="F228" s="2">
        <v>43584.863483796296</v>
      </c>
      <c r="G228" s="3">
        <v>40909</v>
      </c>
      <c r="H228" s="3">
        <v>41274</v>
      </c>
      <c r="I228" s="1" t="s">
        <v>71</v>
      </c>
      <c r="J228">
        <v>4521</v>
      </c>
      <c r="K228">
        <v>0</v>
      </c>
      <c r="L228" s="1" t="s">
        <v>384</v>
      </c>
      <c r="M228" s="1" t="s">
        <v>72</v>
      </c>
      <c r="N228" s="1" t="s">
        <v>134</v>
      </c>
      <c r="O228" s="1" t="s">
        <v>385</v>
      </c>
      <c r="P228" s="1" t="s">
        <v>386</v>
      </c>
      <c r="Q228" s="1" t="s">
        <v>387</v>
      </c>
      <c r="R228">
        <v>103</v>
      </c>
      <c r="S228" s="1" t="s">
        <v>135</v>
      </c>
      <c r="T228" s="1" t="s">
        <v>388</v>
      </c>
      <c r="U228" s="1" t="s">
        <v>135</v>
      </c>
      <c r="V228" s="1"/>
      <c r="W228" s="1"/>
      <c r="X228" s="1"/>
      <c r="Y228" s="1"/>
      <c r="AA228" s="1"/>
      <c r="AC228" s="1"/>
      <c r="AD228" s="1"/>
      <c r="AE228" s="1"/>
      <c r="AN228" s="1"/>
      <c r="AP228" s="1"/>
      <c r="AQ228" s="1"/>
      <c r="AR228" s="1"/>
      <c r="AS228" s="1"/>
      <c r="AT228" s="3"/>
      <c r="AU228" s="3"/>
      <c r="AV228" s="3"/>
      <c r="AW228" s="1"/>
      <c r="AX228" s="1"/>
      <c r="AZ228">
        <v>76</v>
      </c>
      <c r="BA228">
        <v>260953.83</v>
      </c>
      <c r="BB228" s="1" t="s">
        <v>74</v>
      </c>
      <c r="BC228">
        <v>80</v>
      </c>
      <c r="BD228" s="1" t="s">
        <v>1378</v>
      </c>
      <c r="BE228" s="1" t="s">
        <v>392</v>
      </c>
      <c r="BF228">
        <v>4270</v>
      </c>
      <c r="BG228" s="1" t="s">
        <v>1522</v>
      </c>
      <c r="BH228" s="1" t="s">
        <v>99</v>
      </c>
      <c r="BI228">
        <v>0</v>
      </c>
      <c r="BJ228" s="1"/>
      <c r="BL228" s="1"/>
      <c r="BN228" s="1"/>
      <c r="BO228">
        <v>186</v>
      </c>
      <c r="BP228">
        <v>260953.83</v>
      </c>
      <c r="BQ228">
        <v>260953.83</v>
      </c>
    </row>
    <row r="229" spans="1:69" x14ac:dyDescent="0.35">
      <c r="A229" s="1" t="s">
        <v>68</v>
      </c>
      <c r="B229" s="1" t="s">
        <v>69</v>
      </c>
      <c r="C229" s="1" t="s">
        <v>70</v>
      </c>
      <c r="D229">
        <v>1</v>
      </c>
      <c r="E229">
        <v>1</v>
      </c>
      <c r="F229" s="2">
        <v>43584.863483796296</v>
      </c>
      <c r="G229" s="3">
        <v>40909</v>
      </c>
      <c r="H229" s="3">
        <v>41274</v>
      </c>
      <c r="I229" s="1" t="s">
        <v>71</v>
      </c>
      <c r="J229">
        <v>4521</v>
      </c>
      <c r="K229">
        <v>0</v>
      </c>
      <c r="L229" s="1" t="s">
        <v>384</v>
      </c>
      <c r="M229" s="1" t="s">
        <v>72</v>
      </c>
      <c r="N229" s="1" t="s">
        <v>134</v>
      </c>
      <c r="O229" s="1" t="s">
        <v>385</v>
      </c>
      <c r="P229" s="1" t="s">
        <v>386</v>
      </c>
      <c r="Q229" s="1" t="s">
        <v>387</v>
      </c>
      <c r="R229">
        <v>103</v>
      </c>
      <c r="S229" s="1" t="s">
        <v>135</v>
      </c>
      <c r="T229" s="1" t="s">
        <v>388</v>
      </c>
      <c r="U229" s="1" t="s">
        <v>135</v>
      </c>
      <c r="V229" s="1"/>
      <c r="W229" s="1"/>
      <c r="X229" s="1"/>
      <c r="Y229" s="1"/>
      <c r="AA229" s="1"/>
      <c r="AC229" s="1"/>
      <c r="AD229" s="1"/>
      <c r="AE229" s="1"/>
      <c r="AN229" s="1"/>
      <c r="AP229" s="1"/>
      <c r="AQ229" s="1"/>
      <c r="AR229" s="1"/>
      <c r="AS229" s="1"/>
      <c r="AT229" s="3"/>
      <c r="AU229" s="3"/>
      <c r="AV229" s="3"/>
      <c r="AW229" s="1"/>
      <c r="AX229" s="1"/>
      <c r="AZ229">
        <v>76</v>
      </c>
      <c r="BA229">
        <v>260953.83</v>
      </c>
      <c r="BB229" s="1" t="s">
        <v>74</v>
      </c>
      <c r="BC229">
        <v>81</v>
      </c>
      <c r="BD229" s="1" t="s">
        <v>1378</v>
      </c>
      <c r="BE229" s="1" t="s">
        <v>99</v>
      </c>
      <c r="BF229">
        <v>0</v>
      </c>
      <c r="BG229" s="1"/>
      <c r="BH229" s="1" t="s">
        <v>398</v>
      </c>
      <c r="BI229">
        <v>4270</v>
      </c>
      <c r="BJ229" s="1" t="s">
        <v>1522</v>
      </c>
      <c r="BL229" s="1"/>
      <c r="BN229" s="1"/>
      <c r="BO229">
        <v>186</v>
      </c>
      <c r="BP229">
        <v>260953.83</v>
      </c>
      <c r="BQ229">
        <v>260953.83</v>
      </c>
    </row>
    <row r="230" spans="1:69" x14ac:dyDescent="0.35">
      <c r="A230" s="1" t="s">
        <v>68</v>
      </c>
      <c r="B230" s="1" t="s">
        <v>69</v>
      </c>
      <c r="C230" s="1" t="s">
        <v>70</v>
      </c>
      <c r="D230">
        <v>1</v>
      </c>
      <c r="E230">
        <v>1</v>
      </c>
      <c r="F230" s="2">
        <v>43584.863483796296</v>
      </c>
      <c r="G230" s="3">
        <v>40909</v>
      </c>
      <c r="H230" s="3">
        <v>41274</v>
      </c>
      <c r="I230" s="1" t="s">
        <v>71</v>
      </c>
      <c r="J230">
        <v>4521</v>
      </c>
      <c r="K230">
        <v>0</v>
      </c>
      <c r="L230" s="1" t="s">
        <v>384</v>
      </c>
      <c r="M230" s="1" t="s">
        <v>72</v>
      </c>
      <c r="N230" s="1" t="s">
        <v>134</v>
      </c>
      <c r="O230" s="1" t="s">
        <v>385</v>
      </c>
      <c r="P230" s="1" t="s">
        <v>386</v>
      </c>
      <c r="Q230" s="1" t="s">
        <v>387</v>
      </c>
      <c r="R230">
        <v>103</v>
      </c>
      <c r="S230" s="1" t="s">
        <v>135</v>
      </c>
      <c r="T230" s="1" t="s">
        <v>388</v>
      </c>
      <c r="U230" s="1" t="s">
        <v>135</v>
      </c>
      <c r="V230" s="1"/>
      <c r="W230" s="1"/>
      <c r="X230" s="1"/>
      <c r="Y230" s="1"/>
      <c r="AA230" s="1"/>
      <c r="AC230" s="1"/>
      <c r="AD230" s="1"/>
      <c r="AE230" s="1"/>
      <c r="AN230" s="1"/>
      <c r="AP230" s="1"/>
      <c r="AQ230" s="1"/>
      <c r="AR230" s="1"/>
      <c r="AS230" s="1"/>
      <c r="AT230" s="3"/>
      <c r="AU230" s="3"/>
      <c r="AV230" s="3"/>
      <c r="AW230" s="1"/>
      <c r="AX230" s="1"/>
      <c r="AZ230">
        <v>76</v>
      </c>
      <c r="BA230">
        <v>260953.83</v>
      </c>
      <c r="BB230" s="1" t="s">
        <v>74</v>
      </c>
      <c r="BC230">
        <v>82</v>
      </c>
      <c r="BD230" s="1" t="s">
        <v>1379</v>
      </c>
      <c r="BE230" s="1" t="s">
        <v>421</v>
      </c>
      <c r="BF230">
        <v>1500</v>
      </c>
      <c r="BG230" s="1" t="s">
        <v>1523</v>
      </c>
      <c r="BH230" s="1" t="s">
        <v>99</v>
      </c>
      <c r="BI230">
        <v>0</v>
      </c>
      <c r="BJ230" s="1"/>
      <c r="BL230" s="1"/>
      <c r="BN230" s="1"/>
      <c r="BO230">
        <v>186</v>
      </c>
      <c r="BP230">
        <v>260953.83</v>
      </c>
      <c r="BQ230">
        <v>260953.83</v>
      </c>
    </row>
    <row r="231" spans="1:69" x14ac:dyDescent="0.35">
      <c r="A231" s="1" t="s">
        <v>68</v>
      </c>
      <c r="B231" s="1" t="s">
        <v>69</v>
      </c>
      <c r="C231" s="1" t="s">
        <v>70</v>
      </c>
      <c r="D231">
        <v>1</v>
      </c>
      <c r="E231">
        <v>1</v>
      </c>
      <c r="F231" s="2">
        <v>43584.863483796296</v>
      </c>
      <c r="G231" s="3">
        <v>40909</v>
      </c>
      <c r="H231" s="3">
        <v>41274</v>
      </c>
      <c r="I231" s="1" t="s">
        <v>71</v>
      </c>
      <c r="J231">
        <v>4521</v>
      </c>
      <c r="K231">
        <v>0</v>
      </c>
      <c r="L231" s="1" t="s">
        <v>384</v>
      </c>
      <c r="M231" s="1" t="s">
        <v>72</v>
      </c>
      <c r="N231" s="1" t="s">
        <v>134</v>
      </c>
      <c r="O231" s="1" t="s">
        <v>385</v>
      </c>
      <c r="P231" s="1" t="s">
        <v>386</v>
      </c>
      <c r="Q231" s="1" t="s">
        <v>387</v>
      </c>
      <c r="R231">
        <v>103</v>
      </c>
      <c r="S231" s="1" t="s">
        <v>135</v>
      </c>
      <c r="T231" s="1" t="s">
        <v>388</v>
      </c>
      <c r="U231" s="1" t="s">
        <v>135</v>
      </c>
      <c r="V231" s="1"/>
      <c r="W231" s="1"/>
      <c r="X231" s="1"/>
      <c r="Y231" s="1"/>
      <c r="AA231" s="1"/>
      <c r="AC231" s="1"/>
      <c r="AD231" s="1"/>
      <c r="AE231" s="1"/>
      <c r="AN231" s="1"/>
      <c r="AP231" s="1"/>
      <c r="AQ231" s="1"/>
      <c r="AR231" s="1"/>
      <c r="AS231" s="1"/>
      <c r="AT231" s="3"/>
      <c r="AU231" s="3"/>
      <c r="AV231" s="3"/>
      <c r="AW231" s="1"/>
      <c r="AX231" s="1"/>
      <c r="AZ231">
        <v>76</v>
      </c>
      <c r="BA231">
        <v>260953.83</v>
      </c>
      <c r="BB231" s="1" t="s">
        <v>74</v>
      </c>
      <c r="BC231">
        <v>83</v>
      </c>
      <c r="BD231" s="1" t="s">
        <v>1379</v>
      </c>
      <c r="BE231" s="1" t="s">
        <v>99</v>
      </c>
      <c r="BF231">
        <v>0</v>
      </c>
      <c r="BG231" s="1"/>
      <c r="BH231" s="1" t="s">
        <v>392</v>
      </c>
      <c r="BI231">
        <v>1500</v>
      </c>
      <c r="BJ231" s="1" t="s">
        <v>1523</v>
      </c>
      <c r="BL231" s="1"/>
      <c r="BN231" s="1"/>
      <c r="BO231">
        <v>186</v>
      </c>
      <c r="BP231">
        <v>260953.83</v>
      </c>
      <c r="BQ231">
        <v>260953.83</v>
      </c>
    </row>
    <row r="232" spans="1:69" x14ac:dyDescent="0.35">
      <c r="A232" s="1" t="s">
        <v>68</v>
      </c>
      <c r="B232" s="1" t="s">
        <v>69</v>
      </c>
      <c r="C232" s="1" t="s">
        <v>70</v>
      </c>
      <c r="D232">
        <v>1</v>
      </c>
      <c r="E232">
        <v>1</v>
      </c>
      <c r="F232" s="2">
        <v>43584.863483796296</v>
      </c>
      <c r="G232" s="3">
        <v>40909</v>
      </c>
      <c r="H232" s="3">
        <v>41274</v>
      </c>
      <c r="I232" s="1" t="s">
        <v>71</v>
      </c>
      <c r="J232">
        <v>4521</v>
      </c>
      <c r="K232">
        <v>0</v>
      </c>
      <c r="L232" s="1" t="s">
        <v>384</v>
      </c>
      <c r="M232" s="1" t="s">
        <v>72</v>
      </c>
      <c r="N232" s="1" t="s">
        <v>134</v>
      </c>
      <c r="O232" s="1" t="s">
        <v>385</v>
      </c>
      <c r="P232" s="1" t="s">
        <v>386</v>
      </c>
      <c r="Q232" s="1" t="s">
        <v>387</v>
      </c>
      <c r="R232">
        <v>103</v>
      </c>
      <c r="S232" s="1" t="s">
        <v>135</v>
      </c>
      <c r="T232" s="1" t="s">
        <v>388</v>
      </c>
      <c r="U232" s="1" t="s">
        <v>135</v>
      </c>
      <c r="V232" s="1"/>
      <c r="W232" s="1"/>
      <c r="X232" s="1"/>
      <c r="Y232" s="1"/>
      <c r="AA232" s="1"/>
      <c r="AC232" s="1"/>
      <c r="AD232" s="1"/>
      <c r="AE232" s="1"/>
      <c r="AN232" s="1"/>
      <c r="AP232" s="1"/>
      <c r="AQ232" s="1"/>
      <c r="AR232" s="1"/>
      <c r="AS232" s="1"/>
      <c r="AT232" s="3"/>
      <c r="AU232" s="3"/>
      <c r="AV232" s="3"/>
      <c r="AW232" s="1"/>
      <c r="AX232" s="1"/>
      <c r="AZ232">
        <v>76</v>
      </c>
      <c r="BA232">
        <v>260953.83</v>
      </c>
      <c r="BB232" s="1" t="s">
        <v>74</v>
      </c>
      <c r="BC232">
        <v>84</v>
      </c>
      <c r="BD232" s="1" t="s">
        <v>1380</v>
      </c>
      <c r="BE232" s="1" t="s">
        <v>392</v>
      </c>
      <c r="BF232">
        <v>1000</v>
      </c>
      <c r="BG232" s="1" t="s">
        <v>1524</v>
      </c>
      <c r="BH232" s="1" t="s">
        <v>99</v>
      </c>
      <c r="BI232">
        <v>0</v>
      </c>
      <c r="BJ232" s="1"/>
      <c r="BL232" s="1"/>
      <c r="BN232" s="1"/>
      <c r="BO232">
        <v>186</v>
      </c>
      <c r="BP232">
        <v>260953.83</v>
      </c>
      <c r="BQ232">
        <v>260953.83</v>
      </c>
    </row>
    <row r="233" spans="1:69" x14ac:dyDescent="0.35">
      <c r="A233" s="1" t="s">
        <v>68</v>
      </c>
      <c r="B233" s="1" t="s">
        <v>69</v>
      </c>
      <c r="C233" s="1" t="s">
        <v>70</v>
      </c>
      <c r="D233">
        <v>1</v>
      </c>
      <c r="E233">
        <v>1</v>
      </c>
      <c r="F233" s="2">
        <v>43584.863483796296</v>
      </c>
      <c r="G233" s="3">
        <v>40909</v>
      </c>
      <c r="H233" s="3">
        <v>41274</v>
      </c>
      <c r="I233" s="1" t="s">
        <v>71</v>
      </c>
      <c r="J233">
        <v>4521</v>
      </c>
      <c r="K233">
        <v>0</v>
      </c>
      <c r="L233" s="1" t="s">
        <v>384</v>
      </c>
      <c r="M233" s="1" t="s">
        <v>72</v>
      </c>
      <c r="N233" s="1" t="s">
        <v>134</v>
      </c>
      <c r="O233" s="1" t="s">
        <v>385</v>
      </c>
      <c r="P233" s="1" t="s">
        <v>386</v>
      </c>
      <c r="Q233" s="1" t="s">
        <v>387</v>
      </c>
      <c r="R233">
        <v>103</v>
      </c>
      <c r="S233" s="1" t="s">
        <v>135</v>
      </c>
      <c r="T233" s="1" t="s">
        <v>388</v>
      </c>
      <c r="U233" s="1" t="s">
        <v>135</v>
      </c>
      <c r="V233" s="1"/>
      <c r="W233" s="1"/>
      <c r="X233" s="1"/>
      <c r="Y233" s="1"/>
      <c r="AA233" s="1"/>
      <c r="AC233" s="1"/>
      <c r="AD233" s="1"/>
      <c r="AE233" s="1"/>
      <c r="AN233" s="1"/>
      <c r="AP233" s="1"/>
      <c r="AQ233" s="1"/>
      <c r="AR233" s="1"/>
      <c r="AS233" s="1"/>
      <c r="AT233" s="3"/>
      <c r="AU233" s="3"/>
      <c r="AV233" s="3"/>
      <c r="AW233" s="1"/>
      <c r="AX233" s="1"/>
      <c r="AZ233">
        <v>76</v>
      </c>
      <c r="BA233">
        <v>260953.83</v>
      </c>
      <c r="BB233" s="1" t="s">
        <v>74</v>
      </c>
      <c r="BC233">
        <v>85</v>
      </c>
      <c r="BD233" s="1" t="s">
        <v>1380</v>
      </c>
      <c r="BE233" s="1" t="s">
        <v>99</v>
      </c>
      <c r="BF233">
        <v>0</v>
      </c>
      <c r="BG233" s="1"/>
      <c r="BH233" s="1" t="s">
        <v>462</v>
      </c>
      <c r="BI233">
        <v>1000</v>
      </c>
      <c r="BJ233" s="1" t="s">
        <v>1524</v>
      </c>
      <c r="BL233" s="1"/>
      <c r="BN233" s="1"/>
      <c r="BO233">
        <v>186</v>
      </c>
      <c r="BP233">
        <v>260953.83</v>
      </c>
      <c r="BQ233">
        <v>260953.83</v>
      </c>
    </row>
    <row r="234" spans="1:69" x14ac:dyDescent="0.35">
      <c r="A234" s="1" t="s">
        <v>68</v>
      </c>
      <c r="B234" s="1" t="s">
        <v>69</v>
      </c>
      <c r="C234" s="1" t="s">
        <v>70</v>
      </c>
      <c r="D234">
        <v>1</v>
      </c>
      <c r="E234">
        <v>1</v>
      </c>
      <c r="F234" s="2">
        <v>43584.863483796296</v>
      </c>
      <c r="G234" s="3">
        <v>40909</v>
      </c>
      <c r="H234" s="3">
        <v>41274</v>
      </c>
      <c r="I234" s="1" t="s">
        <v>71</v>
      </c>
      <c r="J234">
        <v>4521</v>
      </c>
      <c r="K234">
        <v>0</v>
      </c>
      <c r="L234" s="1" t="s">
        <v>384</v>
      </c>
      <c r="M234" s="1" t="s">
        <v>72</v>
      </c>
      <c r="N234" s="1" t="s">
        <v>134</v>
      </c>
      <c r="O234" s="1" t="s">
        <v>385</v>
      </c>
      <c r="P234" s="1" t="s">
        <v>386</v>
      </c>
      <c r="Q234" s="1" t="s">
        <v>387</v>
      </c>
      <c r="R234">
        <v>103</v>
      </c>
      <c r="S234" s="1" t="s">
        <v>135</v>
      </c>
      <c r="T234" s="1" t="s">
        <v>388</v>
      </c>
      <c r="U234" s="1" t="s">
        <v>135</v>
      </c>
      <c r="V234" s="1"/>
      <c r="W234" s="1"/>
      <c r="X234" s="1"/>
      <c r="Y234" s="1"/>
      <c r="AA234" s="1"/>
      <c r="AC234" s="1"/>
      <c r="AD234" s="1"/>
      <c r="AE234" s="1"/>
      <c r="AN234" s="1"/>
      <c r="AP234" s="1"/>
      <c r="AQ234" s="1"/>
      <c r="AR234" s="1"/>
      <c r="AS234" s="1"/>
      <c r="AT234" s="3"/>
      <c r="AU234" s="3"/>
      <c r="AV234" s="3"/>
      <c r="AW234" s="1"/>
      <c r="AX234" s="1"/>
      <c r="AZ234">
        <v>76</v>
      </c>
      <c r="BA234">
        <v>260953.83</v>
      </c>
      <c r="BB234" s="1" t="s">
        <v>74</v>
      </c>
      <c r="BC234">
        <v>86</v>
      </c>
      <c r="BD234" s="1" t="s">
        <v>1381</v>
      </c>
      <c r="BE234" s="1" t="s">
        <v>477</v>
      </c>
      <c r="BF234">
        <v>800</v>
      </c>
      <c r="BG234" s="1" t="s">
        <v>1525</v>
      </c>
      <c r="BH234" s="1" t="s">
        <v>99</v>
      </c>
      <c r="BI234">
        <v>0</v>
      </c>
      <c r="BJ234" s="1"/>
      <c r="BL234" s="1"/>
      <c r="BN234" s="1"/>
      <c r="BO234">
        <v>186</v>
      </c>
      <c r="BP234">
        <v>260953.83</v>
      </c>
      <c r="BQ234">
        <v>260953.83</v>
      </c>
    </row>
    <row r="235" spans="1:69" x14ac:dyDescent="0.35">
      <c r="A235" s="1" t="s">
        <v>68</v>
      </c>
      <c r="B235" s="1" t="s">
        <v>69</v>
      </c>
      <c r="C235" s="1" t="s">
        <v>70</v>
      </c>
      <c r="D235">
        <v>1</v>
      </c>
      <c r="E235">
        <v>1</v>
      </c>
      <c r="F235" s="2">
        <v>43584.863483796296</v>
      </c>
      <c r="G235" s="3">
        <v>40909</v>
      </c>
      <c r="H235" s="3">
        <v>41274</v>
      </c>
      <c r="I235" s="1" t="s">
        <v>71</v>
      </c>
      <c r="J235">
        <v>4521</v>
      </c>
      <c r="K235">
        <v>0</v>
      </c>
      <c r="L235" s="1" t="s">
        <v>384</v>
      </c>
      <c r="M235" s="1" t="s">
        <v>72</v>
      </c>
      <c r="N235" s="1" t="s">
        <v>134</v>
      </c>
      <c r="O235" s="1" t="s">
        <v>385</v>
      </c>
      <c r="P235" s="1" t="s">
        <v>386</v>
      </c>
      <c r="Q235" s="1" t="s">
        <v>387</v>
      </c>
      <c r="R235">
        <v>103</v>
      </c>
      <c r="S235" s="1" t="s">
        <v>135</v>
      </c>
      <c r="T235" s="1" t="s">
        <v>388</v>
      </c>
      <c r="U235" s="1" t="s">
        <v>135</v>
      </c>
      <c r="V235" s="1"/>
      <c r="W235" s="1"/>
      <c r="X235" s="1"/>
      <c r="Y235" s="1"/>
      <c r="AA235" s="1"/>
      <c r="AC235" s="1"/>
      <c r="AD235" s="1"/>
      <c r="AE235" s="1"/>
      <c r="AN235" s="1"/>
      <c r="AP235" s="1"/>
      <c r="AQ235" s="1"/>
      <c r="AR235" s="1"/>
      <c r="AS235" s="1"/>
      <c r="AT235" s="3"/>
      <c r="AU235" s="3"/>
      <c r="AV235" s="3"/>
      <c r="AW235" s="1"/>
      <c r="AX235" s="1"/>
      <c r="AZ235">
        <v>76</v>
      </c>
      <c r="BA235">
        <v>260953.83</v>
      </c>
      <c r="BB235" s="1" t="s">
        <v>74</v>
      </c>
      <c r="BC235">
        <v>87</v>
      </c>
      <c r="BD235" s="1" t="s">
        <v>1381</v>
      </c>
      <c r="BE235" s="1" t="s">
        <v>99</v>
      </c>
      <c r="BF235">
        <v>0</v>
      </c>
      <c r="BG235" s="1"/>
      <c r="BH235" s="1" t="s">
        <v>392</v>
      </c>
      <c r="BI235">
        <v>800</v>
      </c>
      <c r="BJ235" s="1" t="s">
        <v>1525</v>
      </c>
      <c r="BL235" s="1"/>
      <c r="BN235" s="1"/>
      <c r="BO235">
        <v>186</v>
      </c>
      <c r="BP235">
        <v>260953.83</v>
      </c>
      <c r="BQ235">
        <v>260953.83</v>
      </c>
    </row>
    <row r="236" spans="1:69" x14ac:dyDescent="0.35">
      <c r="A236" s="1" t="s">
        <v>68</v>
      </c>
      <c r="B236" s="1" t="s">
        <v>69</v>
      </c>
      <c r="C236" s="1" t="s">
        <v>70</v>
      </c>
      <c r="D236">
        <v>1</v>
      </c>
      <c r="E236">
        <v>1</v>
      </c>
      <c r="F236" s="2">
        <v>43584.863483796296</v>
      </c>
      <c r="G236" s="3">
        <v>40909</v>
      </c>
      <c r="H236" s="3">
        <v>41274</v>
      </c>
      <c r="I236" s="1" t="s">
        <v>71</v>
      </c>
      <c r="J236">
        <v>4521</v>
      </c>
      <c r="K236">
        <v>0</v>
      </c>
      <c r="L236" s="1" t="s">
        <v>384</v>
      </c>
      <c r="M236" s="1" t="s">
        <v>72</v>
      </c>
      <c r="N236" s="1" t="s">
        <v>134</v>
      </c>
      <c r="O236" s="1" t="s">
        <v>385</v>
      </c>
      <c r="P236" s="1" t="s">
        <v>386</v>
      </c>
      <c r="Q236" s="1" t="s">
        <v>387</v>
      </c>
      <c r="R236">
        <v>103</v>
      </c>
      <c r="S236" s="1" t="s">
        <v>135</v>
      </c>
      <c r="T236" s="1" t="s">
        <v>388</v>
      </c>
      <c r="U236" s="1" t="s">
        <v>135</v>
      </c>
      <c r="V236" s="1"/>
      <c r="W236" s="1"/>
      <c r="X236" s="1"/>
      <c r="Y236" s="1"/>
      <c r="AA236" s="1"/>
      <c r="AC236" s="1"/>
      <c r="AD236" s="1"/>
      <c r="AE236" s="1"/>
      <c r="AN236" s="1"/>
      <c r="AP236" s="1"/>
      <c r="AQ236" s="1"/>
      <c r="AR236" s="1"/>
      <c r="AS236" s="1"/>
      <c r="AT236" s="3"/>
      <c r="AU236" s="3"/>
      <c r="AV236" s="3"/>
      <c r="AW236" s="1"/>
      <c r="AX236" s="1"/>
      <c r="AZ236">
        <v>76</v>
      </c>
      <c r="BA236">
        <v>260953.83</v>
      </c>
      <c r="BB236" s="1" t="s">
        <v>74</v>
      </c>
      <c r="BC236">
        <v>88</v>
      </c>
      <c r="BD236" s="1" t="s">
        <v>1382</v>
      </c>
      <c r="BE236" s="1" t="s">
        <v>478</v>
      </c>
      <c r="BF236">
        <v>800</v>
      </c>
      <c r="BG236" s="1" t="s">
        <v>1525</v>
      </c>
      <c r="BH236" s="1" t="s">
        <v>99</v>
      </c>
      <c r="BI236">
        <v>0</v>
      </c>
      <c r="BJ236" s="1"/>
      <c r="BL236" s="1"/>
      <c r="BN236" s="1"/>
      <c r="BO236">
        <v>186</v>
      </c>
      <c r="BP236">
        <v>260953.83</v>
      </c>
      <c r="BQ236">
        <v>260953.83</v>
      </c>
    </row>
    <row r="237" spans="1:69" x14ac:dyDescent="0.35">
      <c r="A237" s="1" t="s">
        <v>68</v>
      </c>
      <c r="B237" s="1" t="s">
        <v>69</v>
      </c>
      <c r="C237" s="1" t="s">
        <v>70</v>
      </c>
      <c r="D237">
        <v>1</v>
      </c>
      <c r="E237">
        <v>1</v>
      </c>
      <c r="F237" s="2">
        <v>43584.863483796296</v>
      </c>
      <c r="G237" s="3">
        <v>40909</v>
      </c>
      <c r="H237" s="3">
        <v>41274</v>
      </c>
      <c r="I237" s="1" t="s">
        <v>71</v>
      </c>
      <c r="J237">
        <v>4521</v>
      </c>
      <c r="K237">
        <v>0</v>
      </c>
      <c r="L237" s="1" t="s">
        <v>384</v>
      </c>
      <c r="M237" s="1" t="s">
        <v>72</v>
      </c>
      <c r="N237" s="1" t="s">
        <v>134</v>
      </c>
      <c r="O237" s="1" t="s">
        <v>385</v>
      </c>
      <c r="P237" s="1" t="s">
        <v>386</v>
      </c>
      <c r="Q237" s="1" t="s">
        <v>387</v>
      </c>
      <c r="R237">
        <v>103</v>
      </c>
      <c r="S237" s="1" t="s">
        <v>135</v>
      </c>
      <c r="T237" s="1" t="s">
        <v>388</v>
      </c>
      <c r="U237" s="1" t="s">
        <v>135</v>
      </c>
      <c r="V237" s="1"/>
      <c r="W237" s="1"/>
      <c r="X237" s="1"/>
      <c r="Y237" s="1"/>
      <c r="AA237" s="1"/>
      <c r="AC237" s="1"/>
      <c r="AD237" s="1"/>
      <c r="AE237" s="1"/>
      <c r="AN237" s="1"/>
      <c r="AP237" s="1"/>
      <c r="AQ237" s="1"/>
      <c r="AR237" s="1"/>
      <c r="AS237" s="1"/>
      <c r="AT237" s="3"/>
      <c r="AU237" s="3"/>
      <c r="AV237" s="3"/>
      <c r="AW237" s="1"/>
      <c r="AX237" s="1"/>
      <c r="AZ237">
        <v>76</v>
      </c>
      <c r="BA237">
        <v>260953.83</v>
      </c>
      <c r="BB237" s="1" t="s">
        <v>74</v>
      </c>
      <c r="BC237">
        <v>89</v>
      </c>
      <c r="BD237" s="1" t="s">
        <v>1382</v>
      </c>
      <c r="BE237" s="1" t="s">
        <v>99</v>
      </c>
      <c r="BF237">
        <v>0</v>
      </c>
      <c r="BG237" s="1"/>
      <c r="BH237" s="1" t="s">
        <v>136</v>
      </c>
      <c r="BI237">
        <v>800</v>
      </c>
      <c r="BJ237" s="1" t="s">
        <v>1525</v>
      </c>
      <c r="BL237" s="1"/>
      <c r="BN237" s="1"/>
      <c r="BO237">
        <v>186</v>
      </c>
      <c r="BP237">
        <v>260953.83</v>
      </c>
      <c r="BQ237">
        <v>260953.83</v>
      </c>
    </row>
    <row r="238" spans="1:69" x14ac:dyDescent="0.35">
      <c r="A238" s="1" t="s">
        <v>68</v>
      </c>
      <c r="B238" s="1" t="s">
        <v>69</v>
      </c>
      <c r="C238" s="1" t="s">
        <v>70</v>
      </c>
      <c r="D238">
        <v>1</v>
      </c>
      <c r="E238">
        <v>1</v>
      </c>
      <c r="F238" s="2">
        <v>43584.863483796296</v>
      </c>
      <c r="G238" s="3">
        <v>40909</v>
      </c>
      <c r="H238" s="3">
        <v>41274</v>
      </c>
      <c r="I238" s="1" t="s">
        <v>71</v>
      </c>
      <c r="J238">
        <v>4521</v>
      </c>
      <c r="K238">
        <v>0</v>
      </c>
      <c r="L238" s="1" t="s">
        <v>384</v>
      </c>
      <c r="M238" s="1" t="s">
        <v>72</v>
      </c>
      <c r="N238" s="1" t="s">
        <v>134</v>
      </c>
      <c r="O238" s="1" t="s">
        <v>385</v>
      </c>
      <c r="P238" s="1" t="s">
        <v>386</v>
      </c>
      <c r="Q238" s="1" t="s">
        <v>387</v>
      </c>
      <c r="R238">
        <v>103</v>
      </c>
      <c r="S238" s="1" t="s">
        <v>135</v>
      </c>
      <c r="T238" s="1" t="s">
        <v>388</v>
      </c>
      <c r="U238" s="1" t="s">
        <v>135</v>
      </c>
      <c r="V238" s="1"/>
      <c r="W238" s="1"/>
      <c r="X238" s="1"/>
      <c r="Y238" s="1"/>
      <c r="AA238" s="1"/>
      <c r="AC238" s="1"/>
      <c r="AD238" s="1"/>
      <c r="AE238" s="1"/>
      <c r="AN238" s="1"/>
      <c r="AP238" s="1"/>
      <c r="AQ238" s="1"/>
      <c r="AR238" s="1"/>
      <c r="AS238" s="1"/>
      <c r="AT238" s="3"/>
      <c r="AU238" s="3"/>
      <c r="AV238" s="3"/>
      <c r="AW238" s="1"/>
      <c r="AX238" s="1"/>
      <c r="AZ238">
        <v>76</v>
      </c>
      <c r="BA238">
        <v>260953.83</v>
      </c>
      <c r="BB238" s="1" t="s">
        <v>74</v>
      </c>
      <c r="BC238">
        <v>90</v>
      </c>
      <c r="BD238" s="1" t="s">
        <v>1383</v>
      </c>
      <c r="BE238" s="1" t="s">
        <v>418</v>
      </c>
      <c r="BF238">
        <v>3570</v>
      </c>
      <c r="BG238" s="1" t="s">
        <v>1526</v>
      </c>
      <c r="BH238" s="1" t="s">
        <v>99</v>
      </c>
      <c r="BI238">
        <v>0</v>
      </c>
      <c r="BJ238" s="1"/>
      <c r="BL238" s="1"/>
      <c r="BN238" s="1"/>
      <c r="BO238">
        <v>186</v>
      </c>
      <c r="BP238">
        <v>260953.83</v>
      </c>
      <c r="BQ238">
        <v>260953.83</v>
      </c>
    </row>
    <row r="239" spans="1:69" x14ac:dyDescent="0.35">
      <c r="A239" s="1" t="s">
        <v>68</v>
      </c>
      <c r="B239" s="1" t="s">
        <v>69</v>
      </c>
      <c r="C239" s="1" t="s">
        <v>70</v>
      </c>
      <c r="D239">
        <v>1</v>
      </c>
      <c r="E239">
        <v>1</v>
      </c>
      <c r="F239" s="2">
        <v>43584.863483796296</v>
      </c>
      <c r="G239" s="3">
        <v>40909</v>
      </c>
      <c r="H239" s="3">
        <v>41274</v>
      </c>
      <c r="I239" s="1" t="s">
        <v>71</v>
      </c>
      <c r="J239">
        <v>4521</v>
      </c>
      <c r="K239">
        <v>0</v>
      </c>
      <c r="L239" s="1" t="s">
        <v>384</v>
      </c>
      <c r="M239" s="1" t="s">
        <v>72</v>
      </c>
      <c r="N239" s="1" t="s">
        <v>134</v>
      </c>
      <c r="O239" s="1" t="s">
        <v>385</v>
      </c>
      <c r="P239" s="1" t="s">
        <v>386</v>
      </c>
      <c r="Q239" s="1" t="s">
        <v>387</v>
      </c>
      <c r="R239">
        <v>103</v>
      </c>
      <c r="S239" s="1" t="s">
        <v>135</v>
      </c>
      <c r="T239" s="1" t="s">
        <v>388</v>
      </c>
      <c r="U239" s="1" t="s">
        <v>135</v>
      </c>
      <c r="V239" s="1"/>
      <c r="W239" s="1"/>
      <c r="X239" s="1"/>
      <c r="Y239" s="1"/>
      <c r="AA239" s="1"/>
      <c r="AC239" s="1"/>
      <c r="AD239" s="1"/>
      <c r="AE239" s="1"/>
      <c r="AN239" s="1"/>
      <c r="AP239" s="1"/>
      <c r="AQ239" s="1"/>
      <c r="AR239" s="1"/>
      <c r="AS239" s="1"/>
      <c r="AT239" s="3"/>
      <c r="AU239" s="3"/>
      <c r="AV239" s="3"/>
      <c r="AW239" s="1"/>
      <c r="AX239" s="1"/>
      <c r="AZ239">
        <v>76</v>
      </c>
      <c r="BA239">
        <v>260953.83</v>
      </c>
      <c r="BB239" s="1" t="s">
        <v>74</v>
      </c>
      <c r="BC239">
        <v>91</v>
      </c>
      <c r="BD239" s="1" t="s">
        <v>1383</v>
      </c>
      <c r="BE239" s="1" t="s">
        <v>99</v>
      </c>
      <c r="BF239">
        <v>0</v>
      </c>
      <c r="BG239" s="1"/>
      <c r="BH239" s="1" t="s">
        <v>394</v>
      </c>
      <c r="BI239">
        <v>3570</v>
      </c>
      <c r="BJ239" s="1" t="s">
        <v>1526</v>
      </c>
      <c r="BL239" s="1"/>
      <c r="BN239" s="1"/>
      <c r="BO239">
        <v>186</v>
      </c>
      <c r="BP239">
        <v>260953.83</v>
      </c>
      <c r="BQ239">
        <v>260953.83</v>
      </c>
    </row>
    <row r="240" spans="1:69" x14ac:dyDescent="0.35">
      <c r="A240" s="1" t="s">
        <v>68</v>
      </c>
      <c r="B240" s="1" t="s">
        <v>69</v>
      </c>
      <c r="C240" s="1" t="s">
        <v>70</v>
      </c>
      <c r="D240">
        <v>1</v>
      </c>
      <c r="E240">
        <v>1</v>
      </c>
      <c r="F240" s="2">
        <v>43584.863483796296</v>
      </c>
      <c r="G240" s="3">
        <v>40909</v>
      </c>
      <c r="H240" s="3">
        <v>41274</v>
      </c>
      <c r="I240" s="1" t="s">
        <v>71</v>
      </c>
      <c r="J240">
        <v>4521</v>
      </c>
      <c r="K240">
        <v>0</v>
      </c>
      <c r="L240" s="1" t="s">
        <v>384</v>
      </c>
      <c r="M240" s="1" t="s">
        <v>72</v>
      </c>
      <c r="N240" s="1" t="s">
        <v>134</v>
      </c>
      <c r="O240" s="1" t="s">
        <v>385</v>
      </c>
      <c r="P240" s="1" t="s">
        <v>386</v>
      </c>
      <c r="Q240" s="1" t="s">
        <v>387</v>
      </c>
      <c r="R240">
        <v>103</v>
      </c>
      <c r="S240" s="1" t="s">
        <v>135</v>
      </c>
      <c r="T240" s="1" t="s">
        <v>388</v>
      </c>
      <c r="U240" s="1" t="s">
        <v>135</v>
      </c>
      <c r="V240" s="1"/>
      <c r="W240" s="1"/>
      <c r="X240" s="1"/>
      <c r="Y240" s="1"/>
      <c r="AA240" s="1"/>
      <c r="AC240" s="1"/>
      <c r="AD240" s="1"/>
      <c r="AE240" s="1"/>
      <c r="AN240" s="1"/>
      <c r="AP240" s="1"/>
      <c r="AQ240" s="1"/>
      <c r="AR240" s="1"/>
      <c r="AS240" s="1"/>
      <c r="AT240" s="3"/>
      <c r="AU240" s="3"/>
      <c r="AV240" s="3"/>
      <c r="AW240" s="1"/>
      <c r="AX240" s="1"/>
      <c r="AZ240">
        <v>76</v>
      </c>
      <c r="BA240">
        <v>260953.83</v>
      </c>
      <c r="BB240" s="1" t="s">
        <v>74</v>
      </c>
      <c r="BC240">
        <v>92</v>
      </c>
      <c r="BD240" s="1" t="s">
        <v>1384</v>
      </c>
      <c r="BE240" s="1" t="s">
        <v>428</v>
      </c>
      <c r="BF240">
        <v>5700</v>
      </c>
      <c r="BG240" s="1" t="s">
        <v>1527</v>
      </c>
      <c r="BH240" s="1" t="s">
        <v>99</v>
      </c>
      <c r="BI240">
        <v>0</v>
      </c>
      <c r="BJ240" s="1"/>
      <c r="BL240" s="1"/>
      <c r="BN240" s="1"/>
      <c r="BO240">
        <v>186</v>
      </c>
      <c r="BP240">
        <v>260953.83</v>
      </c>
      <c r="BQ240">
        <v>260953.83</v>
      </c>
    </row>
    <row r="241" spans="1:69" x14ac:dyDescent="0.35">
      <c r="A241" s="1" t="s">
        <v>68</v>
      </c>
      <c r="B241" s="1" t="s">
        <v>69</v>
      </c>
      <c r="C241" s="1" t="s">
        <v>70</v>
      </c>
      <c r="D241">
        <v>1</v>
      </c>
      <c r="E241">
        <v>1</v>
      </c>
      <c r="F241" s="2">
        <v>43584.863483796296</v>
      </c>
      <c r="G241" s="3">
        <v>40909</v>
      </c>
      <c r="H241" s="3">
        <v>41274</v>
      </c>
      <c r="I241" s="1" t="s">
        <v>71</v>
      </c>
      <c r="J241">
        <v>4521</v>
      </c>
      <c r="K241">
        <v>0</v>
      </c>
      <c r="L241" s="1" t="s">
        <v>384</v>
      </c>
      <c r="M241" s="1" t="s">
        <v>72</v>
      </c>
      <c r="N241" s="1" t="s">
        <v>134</v>
      </c>
      <c r="O241" s="1" t="s">
        <v>385</v>
      </c>
      <c r="P241" s="1" t="s">
        <v>386</v>
      </c>
      <c r="Q241" s="1" t="s">
        <v>387</v>
      </c>
      <c r="R241">
        <v>103</v>
      </c>
      <c r="S241" s="1" t="s">
        <v>135</v>
      </c>
      <c r="T241" s="1" t="s">
        <v>388</v>
      </c>
      <c r="U241" s="1" t="s">
        <v>135</v>
      </c>
      <c r="V241" s="1"/>
      <c r="W241" s="1"/>
      <c r="X241" s="1"/>
      <c r="Y241" s="1"/>
      <c r="AA241" s="1"/>
      <c r="AC241" s="1"/>
      <c r="AD241" s="1"/>
      <c r="AE241" s="1"/>
      <c r="AN241" s="1"/>
      <c r="AP241" s="1"/>
      <c r="AQ241" s="1"/>
      <c r="AR241" s="1"/>
      <c r="AS241" s="1"/>
      <c r="AT241" s="3"/>
      <c r="AU241" s="3"/>
      <c r="AV241" s="3"/>
      <c r="AW241" s="1"/>
      <c r="AX241" s="1"/>
      <c r="AZ241">
        <v>76</v>
      </c>
      <c r="BA241">
        <v>260953.83</v>
      </c>
      <c r="BB241" s="1" t="s">
        <v>74</v>
      </c>
      <c r="BC241">
        <v>93</v>
      </c>
      <c r="BD241" s="1" t="s">
        <v>1384</v>
      </c>
      <c r="BE241" s="1" t="s">
        <v>99</v>
      </c>
      <c r="BF241">
        <v>0</v>
      </c>
      <c r="BG241" s="1"/>
      <c r="BH241" s="1" t="s">
        <v>394</v>
      </c>
      <c r="BI241">
        <v>5700</v>
      </c>
      <c r="BJ241" s="1" t="s">
        <v>1527</v>
      </c>
      <c r="BL241" s="1"/>
      <c r="BN241" s="1"/>
      <c r="BO241">
        <v>186</v>
      </c>
      <c r="BP241">
        <v>260953.83</v>
      </c>
      <c r="BQ241">
        <v>260953.83</v>
      </c>
    </row>
    <row r="242" spans="1:69" x14ac:dyDescent="0.35">
      <c r="A242" s="1" t="s">
        <v>68</v>
      </c>
      <c r="B242" s="1" t="s">
        <v>69</v>
      </c>
      <c r="C242" s="1" t="s">
        <v>70</v>
      </c>
      <c r="D242">
        <v>1</v>
      </c>
      <c r="E242">
        <v>1</v>
      </c>
      <c r="F242" s="2">
        <v>43584.863483796296</v>
      </c>
      <c r="G242" s="3">
        <v>40909</v>
      </c>
      <c r="H242" s="3">
        <v>41274</v>
      </c>
      <c r="I242" s="1" t="s">
        <v>71</v>
      </c>
      <c r="J242">
        <v>4521</v>
      </c>
      <c r="K242">
        <v>0</v>
      </c>
      <c r="L242" s="1" t="s">
        <v>384</v>
      </c>
      <c r="M242" s="1" t="s">
        <v>72</v>
      </c>
      <c r="N242" s="1" t="s">
        <v>134</v>
      </c>
      <c r="O242" s="1" t="s">
        <v>385</v>
      </c>
      <c r="P242" s="1" t="s">
        <v>386</v>
      </c>
      <c r="Q242" s="1" t="s">
        <v>387</v>
      </c>
      <c r="R242">
        <v>103</v>
      </c>
      <c r="S242" s="1" t="s">
        <v>135</v>
      </c>
      <c r="T242" s="1" t="s">
        <v>388</v>
      </c>
      <c r="U242" s="1" t="s">
        <v>135</v>
      </c>
      <c r="V242" s="1"/>
      <c r="W242" s="1"/>
      <c r="X242" s="1"/>
      <c r="Y242" s="1"/>
      <c r="AA242" s="1"/>
      <c r="AC242" s="1"/>
      <c r="AD242" s="1"/>
      <c r="AE242" s="1"/>
      <c r="AN242" s="1"/>
      <c r="AP242" s="1"/>
      <c r="AQ242" s="1"/>
      <c r="AR242" s="1"/>
      <c r="AS242" s="1"/>
      <c r="AT242" s="3"/>
      <c r="AU242" s="3"/>
      <c r="AV242" s="3"/>
      <c r="AW242" s="1"/>
      <c r="AX242" s="1"/>
      <c r="AZ242">
        <v>76</v>
      </c>
      <c r="BA242">
        <v>260953.83</v>
      </c>
      <c r="BB242" s="1" t="s">
        <v>74</v>
      </c>
      <c r="BC242">
        <v>94</v>
      </c>
      <c r="BD242" s="1" t="s">
        <v>1385</v>
      </c>
      <c r="BE242" s="1" t="s">
        <v>419</v>
      </c>
      <c r="BF242">
        <v>660</v>
      </c>
      <c r="BG242" s="1" t="s">
        <v>1528</v>
      </c>
      <c r="BH242" s="1" t="s">
        <v>99</v>
      </c>
      <c r="BI242">
        <v>0</v>
      </c>
      <c r="BJ242" s="1"/>
      <c r="BL242" s="1"/>
      <c r="BN242" s="1"/>
      <c r="BO242">
        <v>186</v>
      </c>
      <c r="BP242">
        <v>260953.83</v>
      </c>
      <c r="BQ242">
        <v>260953.83</v>
      </c>
    </row>
    <row r="243" spans="1:69" x14ac:dyDescent="0.35">
      <c r="A243" s="1" t="s">
        <v>68</v>
      </c>
      <c r="B243" s="1" t="s">
        <v>69</v>
      </c>
      <c r="C243" s="1" t="s">
        <v>70</v>
      </c>
      <c r="D243">
        <v>1</v>
      </c>
      <c r="E243">
        <v>1</v>
      </c>
      <c r="F243" s="2">
        <v>43584.863483796296</v>
      </c>
      <c r="G243" s="3">
        <v>40909</v>
      </c>
      <c r="H243" s="3">
        <v>41274</v>
      </c>
      <c r="I243" s="1" t="s">
        <v>71</v>
      </c>
      <c r="J243">
        <v>4521</v>
      </c>
      <c r="K243">
        <v>0</v>
      </c>
      <c r="L243" s="1" t="s">
        <v>384</v>
      </c>
      <c r="M243" s="1" t="s">
        <v>72</v>
      </c>
      <c r="N243" s="1" t="s">
        <v>134</v>
      </c>
      <c r="O243" s="1" t="s">
        <v>385</v>
      </c>
      <c r="P243" s="1" t="s">
        <v>386</v>
      </c>
      <c r="Q243" s="1" t="s">
        <v>387</v>
      </c>
      <c r="R243">
        <v>103</v>
      </c>
      <c r="S243" s="1" t="s">
        <v>135</v>
      </c>
      <c r="T243" s="1" t="s">
        <v>388</v>
      </c>
      <c r="U243" s="1" t="s">
        <v>135</v>
      </c>
      <c r="V243" s="1"/>
      <c r="W243" s="1"/>
      <c r="X243" s="1"/>
      <c r="Y243" s="1"/>
      <c r="AA243" s="1"/>
      <c r="AC243" s="1"/>
      <c r="AD243" s="1"/>
      <c r="AE243" s="1"/>
      <c r="AN243" s="1"/>
      <c r="AP243" s="1"/>
      <c r="AQ243" s="1"/>
      <c r="AR243" s="1"/>
      <c r="AS243" s="1"/>
      <c r="AT243" s="3"/>
      <c r="AU243" s="3"/>
      <c r="AV243" s="3"/>
      <c r="AW243" s="1"/>
      <c r="AX243" s="1"/>
      <c r="AZ243">
        <v>76</v>
      </c>
      <c r="BA243">
        <v>260953.83</v>
      </c>
      <c r="BB243" s="1" t="s">
        <v>74</v>
      </c>
      <c r="BC243">
        <v>95</v>
      </c>
      <c r="BD243" s="1" t="s">
        <v>1385</v>
      </c>
      <c r="BE243" s="1" t="s">
        <v>99</v>
      </c>
      <c r="BF243">
        <v>0</v>
      </c>
      <c r="BG243" s="1"/>
      <c r="BH243" s="1" t="s">
        <v>394</v>
      </c>
      <c r="BI243">
        <v>660</v>
      </c>
      <c r="BJ243" s="1" t="s">
        <v>1528</v>
      </c>
      <c r="BL243" s="1"/>
      <c r="BN243" s="1"/>
      <c r="BO243">
        <v>186</v>
      </c>
      <c r="BP243">
        <v>260953.83</v>
      </c>
      <c r="BQ243">
        <v>260953.83</v>
      </c>
    </row>
    <row r="244" spans="1:69" x14ac:dyDescent="0.35">
      <c r="A244" s="1" t="s">
        <v>68</v>
      </c>
      <c r="B244" s="1" t="s">
        <v>69</v>
      </c>
      <c r="C244" s="1" t="s">
        <v>70</v>
      </c>
      <c r="D244">
        <v>1</v>
      </c>
      <c r="E244">
        <v>1</v>
      </c>
      <c r="F244" s="2">
        <v>43584.863483796296</v>
      </c>
      <c r="G244" s="3">
        <v>40909</v>
      </c>
      <c r="H244" s="3">
        <v>41274</v>
      </c>
      <c r="I244" s="1" t="s">
        <v>71</v>
      </c>
      <c r="J244">
        <v>4521</v>
      </c>
      <c r="K244">
        <v>0</v>
      </c>
      <c r="L244" s="1" t="s">
        <v>384</v>
      </c>
      <c r="M244" s="1" t="s">
        <v>72</v>
      </c>
      <c r="N244" s="1" t="s">
        <v>134</v>
      </c>
      <c r="O244" s="1" t="s">
        <v>385</v>
      </c>
      <c r="P244" s="1" t="s">
        <v>386</v>
      </c>
      <c r="Q244" s="1" t="s">
        <v>387</v>
      </c>
      <c r="R244">
        <v>103</v>
      </c>
      <c r="S244" s="1" t="s">
        <v>135</v>
      </c>
      <c r="T244" s="1" t="s">
        <v>388</v>
      </c>
      <c r="U244" s="1" t="s">
        <v>135</v>
      </c>
      <c r="V244" s="1"/>
      <c r="W244" s="1"/>
      <c r="X244" s="1"/>
      <c r="Y244" s="1"/>
      <c r="AA244" s="1"/>
      <c r="AC244" s="1"/>
      <c r="AD244" s="1"/>
      <c r="AE244" s="1"/>
      <c r="AN244" s="1"/>
      <c r="AP244" s="1"/>
      <c r="AQ244" s="1"/>
      <c r="AR244" s="1"/>
      <c r="AS244" s="1"/>
      <c r="AT244" s="3"/>
      <c r="AU244" s="3"/>
      <c r="AV244" s="3"/>
      <c r="AW244" s="1"/>
      <c r="AX244" s="1"/>
      <c r="AZ244">
        <v>76</v>
      </c>
      <c r="BA244">
        <v>260953.83</v>
      </c>
      <c r="BB244" s="1" t="s">
        <v>74</v>
      </c>
      <c r="BC244">
        <v>96</v>
      </c>
      <c r="BD244" s="1" t="s">
        <v>1386</v>
      </c>
      <c r="BE244" s="1" t="s">
        <v>420</v>
      </c>
      <c r="BF244">
        <v>5890</v>
      </c>
      <c r="BG244" s="1" t="s">
        <v>1529</v>
      </c>
      <c r="BH244" s="1" t="s">
        <v>99</v>
      </c>
      <c r="BI244">
        <v>0</v>
      </c>
      <c r="BJ244" s="1"/>
      <c r="BL244" s="1"/>
      <c r="BN244" s="1"/>
      <c r="BO244">
        <v>186</v>
      </c>
      <c r="BP244">
        <v>260953.83</v>
      </c>
      <c r="BQ244">
        <v>260953.83</v>
      </c>
    </row>
    <row r="245" spans="1:69" x14ac:dyDescent="0.35">
      <c r="A245" s="1" t="s">
        <v>68</v>
      </c>
      <c r="B245" s="1" t="s">
        <v>69</v>
      </c>
      <c r="C245" s="1" t="s">
        <v>70</v>
      </c>
      <c r="D245">
        <v>1</v>
      </c>
      <c r="E245">
        <v>1</v>
      </c>
      <c r="F245" s="2">
        <v>43584.863483796296</v>
      </c>
      <c r="G245" s="3">
        <v>40909</v>
      </c>
      <c r="H245" s="3">
        <v>41274</v>
      </c>
      <c r="I245" s="1" t="s">
        <v>71</v>
      </c>
      <c r="J245">
        <v>4521</v>
      </c>
      <c r="K245">
        <v>0</v>
      </c>
      <c r="L245" s="1" t="s">
        <v>384</v>
      </c>
      <c r="M245" s="1" t="s">
        <v>72</v>
      </c>
      <c r="N245" s="1" t="s">
        <v>134</v>
      </c>
      <c r="O245" s="1" t="s">
        <v>385</v>
      </c>
      <c r="P245" s="1" t="s">
        <v>386</v>
      </c>
      <c r="Q245" s="1" t="s">
        <v>387</v>
      </c>
      <c r="R245">
        <v>103</v>
      </c>
      <c r="S245" s="1" t="s">
        <v>135</v>
      </c>
      <c r="T245" s="1" t="s">
        <v>388</v>
      </c>
      <c r="U245" s="1" t="s">
        <v>135</v>
      </c>
      <c r="V245" s="1"/>
      <c r="W245" s="1"/>
      <c r="X245" s="1"/>
      <c r="Y245" s="1"/>
      <c r="AA245" s="1"/>
      <c r="AC245" s="1"/>
      <c r="AD245" s="1"/>
      <c r="AE245" s="1"/>
      <c r="AN245" s="1"/>
      <c r="AP245" s="1"/>
      <c r="AQ245" s="1"/>
      <c r="AR245" s="1"/>
      <c r="AS245" s="1"/>
      <c r="AT245" s="3"/>
      <c r="AU245" s="3"/>
      <c r="AV245" s="3"/>
      <c r="AW245" s="1"/>
      <c r="AX245" s="1"/>
      <c r="AZ245">
        <v>76</v>
      </c>
      <c r="BA245">
        <v>260953.83</v>
      </c>
      <c r="BB245" s="1" t="s">
        <v>74</v>
      </c>
      <c r="BC245">
        <v>97</v>
      </c>
      <c r="BD245" s="1" t="s">
        <v>1386</v>
      </c>
      <c r="BE245" s="1" t="s">
        <v>99</v>
      </c>
      <c r="BF245">
        <v>0</v>
      </c>
      <c r="BG245" s="1"/>
      <c r="BH245" s="1" t="s">
        <v>394</v>
      </c>
      <c r="BI245">
        <v>5890</v>
      </c>
      <c r="BJ245" s="1" t="s">
        <v>1529</v>
      </c>
      <c r="BL245" s="1"/>
      <c r="BN245" s="1"/>
      <c r="BO245">
        <v>186</v>
      </c>
      <c r="BP245">
        <v>260953.83</v>
      </c>
      <c r="BQ245">
        <v>260953.83</v>
      </c>
    </row>
    <row r="246" spans="1:69" x14ac:dyDescent="0.35">
      <c r="A246" s="1" t="s">
        <v>68</v>
      </c>
      <c r="B246" s="1" t="s">
        <v>69</v>
      </c>
      <c r="C246" s="1" t="s">
        <v>70</v>
      </c>
      <c r="D246">
        <v>1</v>
      </c>
      <c r="E246">
        <v>1</v>
      </c>
      <c r="F246" s="2">
        <v>43584.863483796296</v>
      </c>
      <c r="G246" s="3">
        <v>40909</v>
      </c>
      <c r="H246" s="3">
        <v>41274</v>
      </c>
      <c r="I246" s="1" t="s">
        <v>71</v>
      </c>
      <c r="J246">
        <v>4521</v>
      </c>
      <c r="K246">
        <v>0</v>
      </c>
      <c r="L246" s="1" t="s">
        <v>384</v>
      </c>
      <c r="M246" s="1" t="s">
        <v>72</v>
      </c>
      <c r="N246" s="1" t="s">
        <v>134</v>
      </c>
      <c r="O246" s="1" t="s">
        <v>385</v>
      </c>
      <c r="P246" s="1" t="s">
        <v>386</v>
      </c>
      <c r="Q246" s="1" t="s">
        <v>387</v>
      </c>
      <c r="R246">
        <v>103</v>
      </c>
      <c r="S246" s="1" t="s">
        <v>135</v>
      </c>
      <c r="T246" s="1" t="s">
        <v>388</v>
      </c>
      <c r="U246" s="1" t="s">
        <v>135</v>
      </c>
      <c r="V246" s="1"/>
      <c r="W246" s="1"/>
      <c r="X246" s="1"/>
      <c r="Y246" s="1"/>
      <c r="AA246" s="1"/>
      <c r="AC246" s="1"/>
      <c r="AD246" s="1"/>
      <c r="AE246" s="1"/>
      <c r="AN246" s="1"/>
      <c r="AP246" s="1"/>
      <c r="AQ246" s="1"/>
      <c r="AR246" s="1"/>
      <c r="AS246" s="1"/>
      <c r="AT246" s="3"/>
      <c r="AU246" s="3"/>
      <c r="AV246" s="3"/>
      <c r="AW246" s="1"/>
      <c r="AX246" s="1"/>
      <c r="AZ246">
        <v>76</v>
      </c>
      <c r="BA246">
        <v>260953.83</v>
      </c>
      <c r="BB246" s="1" t="s">
        <v>74</v>
      </c>
      <c r="BC246">
        <v>98</v>
      </c>
      <c r="BD246" s="1" t="s">
        <v>1387</v>
      </c>
      <c r="BE246" s="1" t="s">
        <v>474</v>
      </c>
      <c r="BF246">
        <v>50</v>
      </c>
      <c r="BG246" s="1" t="s">
        <v>1530</v>
      </c>
      <c r="BH246" s="1" t="s">
        <v>99</v>
      </c>
      <c r="BI246">
        <v>0</v>
      </c>
      <c r="BJ246" s="1"/>
      <c r="BL246" s="1"/>
      <c r="BN246" s="1"/>
      <c r="BO246">
        <v>186</v>
      </c>
      <c r="BP246">
        <v>260953.83</v>
      </c>
      <c r="BQ246">
        <v>260953.83</v>
      </c>
    </row>
    <row r="247" spans="1:69" x14ac:dyDescent="0.35">
      <c r="A247" s="1" t="s">
        <v>68</v>
      </c>
      <c r="B247" s="1" t="s">
        <v>69</v>
      </c>
      <c r="C247" s="1" t="s">
        <v>70</v>
      </c>
      <c r="D247">
        <v>1</v>
      </c>
      <c r="E247">
        <v>1</v>
      </c>
      <c r="F247" s="2">
        <v>43584.863483796296</v>
      </c>
      <c r="G247" s="3">
        <v>40909</v>
      </c>
      <c r="H247" s="3">
        <v>41274</v>
      </c>
      <c r="I247" s="1" t="s">
        <v>71</v>
      </c>
      <c r="J247">
        <v>4521</v>
      </c>
      <c r="K247">
        <v>0</v>
      </c>
      <c r="L247" s="1" t="s">
        <v>384</v>
      </c>
      <c r="M247" s="1" t="s">
        <v>72</v>
      </c>
      <c r="N247" s="1" t="s">
        <v>134</v>
      </c>
      <c r="O247" s="1" t="s">
        <v>385</v>
      </c>
      <c r="P247" s="1" t="s">
        <v>386</v>
      </c>
      <c r="Q247" s="1" t="s">
        <v>387</v>
      </c>
      <c r="R247">
        <v>103</v>
      </c>
      <c r="S247" s="1" t="s">
        <v>135</v>
      </c>
      <c r="T247" s="1" t="s">
        <v>388</v>
      </c>
      <c r="U247" s="1" t="s">
        <v>135</v>
      </c>
      <c r="V247" s="1"/>
      <c r="W247" s="1"/>
      <c r="X247" s="1"/>
      <c r="Y247" s="1"/>
      <c r="AA247" s="1"/>
      <c r="AC247" s="1"/>
      <c r="AD247" s="1"/>
      <c r="AE247" s="1"/>
      <c r="AN247" s="1"/>
      <c r="AP247" s="1"/>
      <c r="AQ247" s="1"/>
      <c r="AR247" s="1"/>
      <c r="AS247" s="1"/>
      <c r="AT247" s="3"/>
      <c r="AU247" s="3"/>
      <c r="AV247" s="3"/>
      <c r="AW247" s="1"/>
      <c r="AX247" s="1"/>
      <c r="AZ247">
        <v>76</v>
      </c>
      <c r="BA247">
        <v>260953.83</v>
      </c>
      <c r="BB247" s="1" t="s">
        <v>74</v>
      </c>
      <c r="BC247">
        <v>99</v>
      </c>
      <c r="BD247" s="1" t="s">
        <v>1387</v>
      </c>
      <c r="BE247" s="1" t="s">
        <v>99</v>
      </c>
      <c r="BF247">
        <v>0</v>
      </c>
      <c r="BG247" s="1"/>
      <c r="BH247" s="1" t="s">
        <v>394</v>
      </c>
      <c r="BI247">
        <v>50</v>
      </c>
      <c r="BJ247" s="1" t="s">
        <v>1530</v>
      </c>
      <c r="BL247" s="1"/>
      <c r="BN247" s="1"/>
      <c r="BO247">
        <v>186</v>
      </c>
      <c r="BP247">
        <v>260953.83</v>
      </c>
      <c r="BQ247">
        <v>260953.83</v>
      </c>
    </row>
    <row r="248" spans="1:69" x14ac:dyDescent="0.35">
      <c r="A248" s="1" t="s">
        <v>68</v>
      </c>
      <c r="B248" s="1" t="s">
        <v>69</v>
      </c>
      <c r="C248" s="1" t="s">
        <v>70</v>
      </c>
      <c r="D248">
        <v>1</v>
      </c>
      <c r="E248">
        <v>1</v>
      </c>
      <c r="F248" s="2">
        <v>43584.863483796296</v>
      </c>
      <c r="G248" s="3">
        <v>40909</v>
      </c>
      <c r="H248" s="3">
        <v>41274</v>
      </c>
      <c r="I248" s="1" t="s">
        <v>71</v>
      </c>
      <c r="J248">
        <v>4521</v>
      </c>
      <c r="K248">
        <v>0</v>
      </c>
      <c r="L248" s="1" t="s">
        <v>384</v>
      </c>
      <c r="M248" s="1" t="s">
        <v>72</v>
      </c>
      <c r="N248" s="1" t="s">
        <v>134</v>
      </c>
      <c r="O248" s="1" t="s">
        <v>385</v>
      </c>
      <c r="P248" s="1" t="s">
        <v>386</v>
      </c>
      <c r="Q248" s="1" t="s">
        <v>387</v>
      </c>
      <c r="R248">
        <v>103</v>
      </c>
      <c r="S248" s="1" t="s">
        <v>135</v>
      </c>
      <c r="T248" s="1" t="s">
        <v>388</v>
      </c>
      <c r="U248" s="1" t="s">
        <v>135</v>
      </c>
      <c r="V248" s="1"/>
      <c r="W248" s="1"/>
      <c r="X248" s="1"/>
      <c r="Y248" s="1"/>
      <c r="AA248" s="1"/>
      <c r="AC248" s="1"/>
      <c r="AD248" s="1"/>
      <c r="AE248" s="1"/>
      <c r="AN248" s="1"/>
      <c r="AP248" s="1"/>
      <c r="AQ248" s="1"/>
      <c r="AR248" s="1"/>
      <c r="AS248" s="1"/>
      <c r="AT248" s="3"/>
      <c r="AU248" s="3"/>
      <c r="AV248" s="3"/>
      <c r="AW248" s="1"/>
      <c r="AX248" s="1"/>
      <c r="AZ248">
        <v>76</v>
      </c>
      <c r="BA248">
        <v>260953.83</v>
      </c>
      <c r="BB248" s="1" t="s">
        <v>74</v>
      </c>
      <c r="BC248">
        <v>100</v>
      </c>
      <c r="BD248" s="1" t="s">
        <v>1388</v>
      </c>
      <c r="BE248" s="1" t="s">
        <v>482</v>
      </c>
      <c r="BF248">
        <v>50</v>
      </c>
      <c r="BG248" s="1" t="s">
        <v>1530</v>
      </c>
      <c r="BH248" s="1" t="s">
        <v>99</v>
      </c>
      <c r="BI248">
        <v>0</v>
      </c>
      <c r="BJ248" s="1"/>
      <c r="BL248" s="1"/>
      <c r="BN248" s="1"/>
      <c r="BO248">
        <v>186</v>
      </c>
      <c r="BP248">
        <v>260953.83</v>
      </c>
      <c r="BQ248">
        <v>260953.83</v>
      </c>
    </row>
    <row r="249" spans="1:69" x14ac:dyDescent="0.35">
      <c r="A249" s="1" t="s">
        <v>68</v>
      </c>
      <c r="B249" s="1" t="s">
        <v>69</v>
      </c>
      <c r="C249" s="1" t="s">
        <v>70</v>
      </c>
      <c r="D249">
        <v>1</v>
      </c>
      <c r="E249">
        <v>1</v>
      </c>
      <c r="F249" s="2">
        <v>43584.863483796296</v>
      </c>
      <c r="G249" s="3">
        <v>40909</v>
      </c>
      <c r="H249" s="3">
        <v>41274</v>
      </c>
      <c r="I249" s="1" t="s">
        <v>71</v>
      </c>
      <c r="J249">
        <v>4521</v>
      </c>
      <c r="K249">
        <v>0</v>
      </c>
      <c r="L249" s="1" t="s">
        <v>384</v>
      </c>
      <c r="M249" s="1" t="s">
        <v>72</v>
      </c>
      <c r="N249" s="1" t="s">
        <v>134</v>
      </c>
      <c r="O249" s="1" t="s">
        <v>385</v>
      </c>
      <c r="P249" s="1" t="s">
        <v>386</v>
      </c>
      <c r="Q249" s="1" t="s">
        <v>387</v>
      </c>
      <c r="R249">
        <v>103</v>
      </c>
      <c r="S249" s="1" t="s">
        <v>135</v>
      </c>
      <c r="T249" s="1" t="s">
        <v>388</v>
      </c>
      <c r="U249" s="1" t="s">
        <v>135</v>
      </c>
      <c r="V249" s="1"/>
      <c r="W249" s="1"/>
      <c r="X249" s="1"/>
      <c r="Y249" s="1"/>
      <c r="AA249" s="1"/>
      <c r="AC249" s="1"/>
      <c r="AD249" s="1"/>
      <c r="AE249" s="1"/>
      <c r="AN249" s="1"/>
      <c r="AP249" s="1"/>
      <c r="AQ249" s="1"/>
      <c r="AR249" s="1"/>
      <c r="AS249" s="1"/>
      <c r="AT249" s="3"/>
      <c r="AU249" s="3"/>
      <c r="AV249" s="3"/>
      <c r="AW249" s="1"/>
      <c r="AX249" s="1"/>
      <c r="AZ249">
        <v>76</v>
      </c>
      <c r="BA249">
        <v>260953.83</v>
      </c>
      <c r="BB249" s="1" t="s">
        <v>74</v>
      </c>
      <c r="BC249">
        <v>101</v>
      </c>
      <c r="BD249" s="1" t="s">
        <v>1388</v>
      </c>
      <c r="BE249" s="1" t="s">
        <v>99</v>
      </c>
      <c r="BF249">
        <v>0</v>
      </c>
      <c r="BG249" s="1"/>
      <c r="BH249" s="1" t="s">
        <v>136</v>
      </c>
      <c r="BI249">
        <v>50</v>
      </c>
      <c r="BJ249" s="1" t="s">
        <v>1530</v>
      </c>
      <c r="BL249" s="1"/>
      <c r="BN249" s="1"/>
      <c r="BO249">
        <v>186</v>
      </c>
      <c r="BP249">
        <v>260953.83</v>
      </c>
      <c r="BQ249">
        <v>260953.83</v>
      </c>
    </row>
    <row r="250" spans="1:69" x14ac:dyDescent="0.35">
      <c r="A250" s="1" t="s">
        <v>68</v>
      </c>
      <c r="B250" s="1" t="s">
        <v>69</v>
      </c>
      <c r="C250" s="1" t="s">
        <v>70</v>
      </c>
      <c r="D250">
        <v>1</v>
      </c>
      <c r="E250">
        <v>1</v>
      </c>
      <c r="F250" s="2">
        <v>43584.863483796296</v>
      </c>
      <c r="G250" s="3">
        <v>40909</v>
      </c>
      <c r="H250" s="3">
        <v>41274</v>
      </c>
      <c r="I250" s="1" t="s">
        <v>71</v>
      </c>
      <c r="J250">
        <v>4521</v>
      </c>
      <c r="K250">
        <v>0</v>
      </c>
      <c r="L250" s="1" t="s">
        <v>384</v>
      </c>
      <c r="M250" s="1" t="s">
        <v>72</v>
      </c>
      <c r="N250" s="1" t="s">
        <v>134</v>
      </c>
      <c r="O250" s="1" t="s">
        <v>385</v>
      </c>
      <c r="P250" s="1" t="s">
        <v>386</v>
      </c>
      <c r="Q250" s="1" t="s">
        <v>387</v>
      </c>
      <c r="R250">
        <v>103</v>
      </c>
      <c r="S250" s="1" t="s">
        <v>135</v>
      </c>
      <c r="T250" s="1" t="s">
        <v>388</v>
      </c>
      <c r="U250" s="1" t="s">
        <v>135</v>
      </c>
      <c r="V250" s="1"/>
      <c r="W250" s="1"/>
      <c r="X250" s="1"/>
      <c r="Y250" s="1"/>
      <c r="AA250" s="1"/>
      <c r="AC250" s="1"/>
      <c r="AD250" s="1"/>
      <c r="AE250" s="1"/>
      <c r="AN250" s="1"/>
      <c r="AP250" s="1"/>
      <c r="AQ250" s="1"/>
      <c r="AR250" s="1"/>
      <c r="AS250" s="1"/>
      <c r="AT250" s="3"/>
      <c r="AU250" s="3"/>
      <c r="AV250" s="3"/>
      <c r="AW250" s="1"/>
      <c r="AX250" s="1"/>
      <c r="AZ250">
        <v>76</v>
      </c>
      <c r="BA250">
        <v>260953.83</v>
      </c>
      <c r="BB250" s="1" t="s">
        <v>74</v>
      </c>
      <c r="BC250">
        <v>102</v>
      </c>
      <c r="BD250" s="1" t="s">
        <v>1389</v>
      </c>
      <c r="BE250" s="1" t="s">
        <v>407</v>
      </c>
      <c r="BF250">
        <v>292.5</v>
      </c>
      <c r="BG250" s="1" t="s">
        <v>619</v>
      </c>
      <c r="BH250" s="1" t="s">
        <v>99</v>
      </c>
      <c r="BI250">
        <v>0</v>
      </c>
      <c r="BJ250" s="1"/>
      <c r="BL250" s="1"/>
      <c r="BN250" s="1"/>
      <c r="BO250">
        <v>186</v>
      </c>
      <c r="BP250">
        <v>260953.83</v>
      </c>
      <c r="BQ250">
        <v>260953.83</v>
      </c>
    </row>
    <row r="251" spans="1:69" x14ac:dyDescent="0.35">
      <c r="A251" s="1" t="s">
        <v>68</v>
      </c>
      <c r="B251" s="1" t="s">
        <v>69</v>
      </c>
      <c r="C251" s="1" t="s">
        <v>70</v>
      </c>
      <c r="D251">
        <v>1</v>
      </c>
      <c r="E251">
        <v>1</v>
      </c>
      <c r="F251" s="2">
        <v>43584.863483796296</v>
      </c>
      <c r="G251" s="3">
        <v>40909</v>
      </c>
      <c r="H251" s="3">
        <v>41274</v>
      </c>
      <c r="I251" s="1" t="s">
        <v>71</v>
      </c>
      <c r="J251">
        <v>4521</v>
      </c>
      <c r="K251">
        <v>0</v>
      </c>
      <c r="L251" s="1" t="s">
        <v>384</v>
      </c>
      <c r="M251" s="1" t="s">
        <v>72</v>
      </c>
      <c r="N251" s="1" t="s">
        <v>134</v>
      </c>
      <c r="O251" s="1" t="s">
        <v>385</v>
      </c>
      <c r="P251" s="1" t="s">
        <v>386</v>
      </c>
      <c r="Q251" s="1" t="s">
        <v>387</v>
      </c>
      <c r="R251">
        <v>103</v>
      </c>
      <c r="S251" s="1" t="s">
        <v>135</v>
      </c>
      <c r="T251" s="1" t="s">
        <v>388</v>
      </c>
      <c r="U251" s="1" t="s">
        <v>135</v>
      </c>
      <c r="V251" s="1"/>
      <c r="W251" s="1"/>
      <c r="X251" s="1"/>
      <c r="Y251" s="1"/>
      <c r="AA251" s="1"/>
      <c r="AC251" s="1"/>
      <c r="AD251" s="1"/>
      <c r="AE251" s="1"/>
      <c r="AN251" s="1"/>
      <c r="AP251" s="1"/>
      <c r="AQ251" s="1"/>
      <c r="AR251" s="1"/>
      <c r="AS251" s="1"/>
      <c r="AT251" s="3"/>
      <c r="AU251" s="3"/>
      <c r="AV251" s="3"/>
      <c r="AW251" s="1"/>
      <c r="AX251" s="1"/>
      <c r="AZ251">
        <v>76</v>
      </c>
      <c r="BA251">
        <v>260953.83</v>
      </c>
      <c r="BB251" s="1" t="s">
        <v>74</v>
      </c>
      <c r="BC251">
        <v>103</v>
      </c>
      <c r="BD251" s="1" t="s">
        <v>1389</v>
      </c>
      <c r="BE251" s="1" t="s">
        <v>99</v>
      </c>
      <c r="BF251">
        <v>0</v>
      </c>
      <c r="BG251" s="1"/>
      <c r="BH251" s="1" t="s">
        <v>489</v>
      </c>
      <c r="BI251">
        <v>250</v>
      </c>
      <c r="BJ251" s="1" t="s">
        <v>619</v>
      </c>
      <c r="BL251" s="1"/>
      <c r="BN251" s="1"/>
      <c r="BO251">
        <v>186</v>
      </c>
      <c r="BP251">
        <v>260953.83</v>
      </c>
      <c r="BQ251">
        <v>260953.83</v>
      </c>
    </row>
    <row r="252" spans="1:69" x14ac:dyDescent="0.35">
      <c r="A252" s="1" t="s">
        <v>68</v>
      </c>
      <c r="B252" s="1" t="s">
        <v>69</v>
      </c>
      <c r="C252" s="1" t="s">
        <v>70</v>
      </c>
      <c r="D252">
        <v>1</v>
      </c>
      <c r="E252">
        <v>1</v>
      </c>
      <c r="F252" s="2">
        <v>43584.863483796296</v>
      </c>
      <c r="G252" s="3">
        <v>40909</v>
      </c>
      <c r="H252" s="3">
        <v>41274</v>
      </c>
      <c r="I252" s="1" t="s">
        <v>71</v>
      </c>
      <c r="J252">
        <v>4521</v>
      </c>
      <c r="K252">
        <v>0</v>
      </c>
      <c r="L252" s="1" t="s">
        <v>384</v>
      </c>
      <c r="M252" s="1" t="s">
        <v>72</v>
      </c>
      <c r="N252" s="1" t="s">
        <v>134</v>
      </c>
      <c r="O252" s="1" t="s">
        <v>385</v>
      </c>
      <c r="P252" s="1" t="s">
        <v>386</v>
      </c>
      <c r="Q252" s="1" t="s">
        <v>387</v>
      </c>
      <c r="R252">
        <v>103</v>
      </c>
      <c r="S252" s="1" t="s">
        <v>135</v>
      </c>
      <c r="T252" s="1" t="s">
        <v>388</v>
      </c>
      <c r="U252" s="1" t="s">
        <v>135</v>
      </c>
      <c r="V252" s="1"/>
      <c r="W252" s="1"/>
      <c r="X252" s="1"/>
      <c r="Y252" s="1"/>
      <c r="AA252" s="1"/>
      <c r="AC252" s="1"/>
      <c r="AD252" s="1"/>
      <c r="AE252" s="1"/>
      <c r="AN252" s="1"/>
      <c r="AP252" s="1"/>
      <c r="AQ252" s="1"/>
      <c r="AR252" s="1"/>
      <c r="AS252" s="1"/>
      <c r="AT252" s="3"/>
      <c r="AU252" s="3"/>
      <c r="AV252" s="3"/>
      <c r="AW252" s="1"/>
      <c r="AX252" s="1"/>
      <c r="AZ252">
        <v>76</v>
      </c>
      <c r="BA252">
        <v>260953.83</v>
      </c>
      <c r="BB252" s="1" t="s">
        <v>74</v>
      </c>
      <c r="BC252">
        <v>104</v>
      </c>
      <c r="BD252" s="1" t="s">
        <v>1389</v>
      </c>
      <c r="BE252" s="1" t="s">
        <v>99</v>
      </c>
      <c r="BF252">
        <v>0</v>
      </c>
      <c r="BG252" s="1"/>
      <c r="BH252" s="1" t="s">
        <v>451</v>
      </c>
      <c r="BI252">
        <v>42.5</v>
      </c>
      <c r="BJ252" s="1" t="s">
        <v>619</v>
      </c>
      <c r="BL252" s="1"/>
      <c r="BN252" s="1"/>
      <c r="BO252">
        <v>186</v>
      </c>
      <c r="BP252">
        <v>260953.83</v>
      </c>
      <c r="BQ252">
        <v>260953.83</v>
      </c>
    </row>
    <row r="253" spans="1:69" x14ac:dyDescent="0.35">
      <c r="A253" s="1" t="s">
        <v>68</v>
      </c>
      <c r="B253" s="1" t="s">
        <v>69</v>
      </c>
      <c r="C253" s="1" t="s">
        <v>70</v>
      </c>
      <c r="D253">
        <v>1</v>
      </c>
      <c r="E253">
        <v>1</v>
      </c>
      <c r="F253" s="2">
        <v>43584.863483796296</v>
      </c>
      <c r="G253" s="3">
        <v>40909</v>
      </c>
      <c r="H253" s="3">
        <v>41274</v>
      </c>
      <c r="I253" s="1" t="s">
        <v>71</v>
      </c>
      <c r="J253">
        <v>4521</v>
      </c>
      <c r="K253">
        <v>0</v>
      </c>
      <c r="L253" s="1" t="s">
        <v>384</v>
      </c>
      <c r="M253" s="1" t="s">
        <v>72</v>
      </c>
      <c r="N253" s="1" t="s">
        <v>134</v>
      </c>
      <c r="O253" s="1" t="s">
        <v>385</v>
      </c>
      <c r="P253" s="1" t="s">
        <v>386</v>
      </c>
      <c r="Q253" s="1" t="s">
        <v>387</v>
      </c>
      <c r="R253">
        <v>103</v>
      </c>
      <c r="S253" s="1" t="s">
        <v>135</v>
      </c>
      <c r="T253" s="1" t="s">
        <v>388</v>
      </c>
      <c r="U253" s="1" t="s">
        <v>135</v>
      </c>
      <c r="V253" s="1"/>
      <c r="W253" s="1"/>
      <c r="X253" s="1"/>
      <c r="Y253" s="1"/>
      <c r="AA253" s="1"/>
      <c r="AC253" s="1"/>
      <c r="AD253" s="1"/>
      <c r="AE253" s="1"/>
      <c r="AN253" s="1"/>
      <c r="AP253" s="1"/>
      <c r="AQ253" s="1"/>
      <c r="AR253" s="1"/>
      <c r="AS253" s="1"/>
      <c r="AT253" s="3"/>
      <c r="AU253" s="3"/>
      <c r="AV253" s="3"/>
      <c r="AW253" s="1"/>
      <c r="AX253" s="1"/>
      <c r="AZ253">
        <v>76</v>
      </c>
      <c r="BA253">
        <v>260953.83</v>
      </c>
      <c r="BB253" s="1" t="s">
        <v>74</v>
      </c>
      <c r="BC253">
        <v>105</v>
      </c>
      <c r="BD253" s="1" t="s">
        <v>1390</v>
      </c>
      <c r="BE253" s="1" t="s">
        <v>404</v>
      </c>
      <c r="BF253">
        <v>8480.33</v>
      </c>
      <c r="BG253" s="1" t="s">
        <v>1437</v>
      </c>
      <c r="BH253" s="1" t="s">
        <v>99</v>
      </c>
      <c r="BI253">
        <v>0</v>
      </c>
      <c r="BJ253" s="1"/>
      <c r="BL253" s="1"/>
      <c r="BN253" s="1"/>
      <c r="BO253">
        <v>186</v>
      </c>
      <c r="BP253">
        <v>260953.83</v>
      </c>
      <c r="BQ253">
        <v>260953.83</v>
      </c>
    </row>
    <row r="254" spans="1:69" x14ac:dyDescent="0.35">
      <c r="A254" s="1" t="s">
        <v>68</v>
      </c>
      <c r="B254" s="1" t="s">
        <v>69</v>
      </c>
      <c r="C254" s="1" t="s">
        <v>70</v>
      </c>
      <c r="D254">
        <v>1</v>
      </c>
      <c r="E254">
        <v>1</v>
      </c>
      <c r="F254" s="2">
        <v>43584.863483796296</v>
      </c>
      <c r="G254" s="3">
        <v>40909</v>
      </c>
      <c r="H254" s="3">
        <v>41274</v>
      </c>
      <c r="I254" s="1" t="s">
        <v>71</v>
      </c>
      <c r="J254">
        <v>4521</v>
      </c>
      <c r="K254">
        <v>0</v>
      </c>
      <c r="L254" s="1" t="s">
        <v>384</v>
      </c>
      <c r="M254" s="1" t="s">
        <v>72</v>
      </c>
      <c r="N254" s="1" t="s">
        <v>134</v>
      </c>
      <c r="O254" s="1" t="s">
        <v>385</v>
      </c>
      <c r="P254" s="1" t="s">
        <v>386</v>
      </c>
      <c r="Q254" s="1" t="s">
        <v>387</v>
      </c>
      <c r="R254">
        <v>103</v>
      </c>
      <c r="S254" s="1" t="s">
        <v>135</v>
      </c>
      <c r="T254" s="1" t="s">
        <v>388</v>
      </c>
      <c r="U254" s="1" t="s">
        <v>135</v>
      </c>
      <c r="V254" s="1"/>
      <c r="W254" s="1"/>
      <c r="X254" s="1"/>
      <c r="Y254" s="1"/>
      <c r="AA254" s="1"/>
      <c r="AC254" s="1"/>
      <c r="AD254" s="1"/>
      <c r="AE254" s="1"/>
      <c r="AN254" s="1"/>
      <c r="AP254" s="1"/>
      <c r="AQ254" s="1"/>
      <c r="AR254" s="1"/>
      <c r="AS254" s="1"/>
      <c r="AT254" s="3"/>
      <c r="AU254" s="3"/>
      <c r="AV254" s="3"/>
      <c r="AW254" s="1"/>
      <c r="AX254" s="1"/>
      <c r="AZ254">
        <v>76</v>
      </c>
      <c r="BA254">
        <v>260953.83</v>
      </c>
      <c r="BB254" s="1" t="s">
        <v>74</v>
      </c>
      <c r="BC254">
        <v>106</v>
      </c>
      <c r="BD254" s="1" t="s">
        <v>1390</v>
      </c>
      <c r="BE254" s="1" t="s">
        <v>99</v>
      </c>
      <c r="BF254">
        <v>0</v>
      </c>
      <c r="BG254" s="1"/>
      <c r="BH254" s="1" t="s">
        <v>1311</v>
      </c>
      <c r="BI254">
        <v>8480.33</v>
      </c>
      <c r="BJ254" s="1" t="s">
        <v>1437</v>
      </c>
      <c r="BL254" s="1"/>
      <c r="BN254" s="1"/>
      <c r="BO254">
        <v>186</v>
      </c>
      <c r="BP254">
        <v>260953.83</v>
      </c>
      <c r="BQ254">
        <v>260953.83</v>
      </c>
    </row>
    <row r="255" spans="1:69" x14ac:dyDescent="0.35">
      <c r="A255" s="1" t="s">
        <v>68</v>
      </c>
      <c r="B255" s="1" t="s">
        <v>69</v>
      </c>
      <c r="C255" s="1" t="s">
        <v>70</v>
      </c>
      <c r="D255">
        <v>1</v>
      </c>
      <c r="E255">
        <v>1</v>
      </c>
      <c r="F255" s="2">
        <v>43584.863483796296</v>
      </c>
      <c r="G255" s="3">
        <v>40909</v>
      </c>
      <c r="H255" s="3">
        <v>41274</v>
      </c>
      <c r="I255" s="1" t="s">
        <v>71</v>
      </c>
      <c r="J255">
        <v>4521</v>
      </c>
      <c r="K255">
        <v>0</v>
      </c>
      <c r="L255" s="1" t="s">
        <v>384</v>
      </c>
      <c r="M255" s="1" t="s">
        <v>72</v>
      </c>
      <c r="N255" s="1" t="s">
        <v>134</v>
      </c>
      <c r="O255" s="1" t="s">
        <v>385</v>
      </c>
      <c r="P255" s="1" t="s">
        <v>386</v>
      </c>
      <c r="Q255" s="1" t="s">
        <v>387</v>
      </c>
      <c r="R255">
        <v>103</v>
      </c>
      <c r="S255" s="1" t="s">
        <v>135</v>
      </c>
      <c r="T255" s="1" t="s">
        <v>388</v>
      </c>
      <c r="U255" s="1" t="s">
        <v>135</v>
      </c>
      <c r="V255" s="1"/>
      <c r="W255" s="1"/>
      <c r="X255" s="1"/>
      <c r="Y255" s="1"/>
      <c r="AA255" s="1"/>
      <c r="AC255" s="1"/>
      <c r="AD255" s="1"/>
      <c r="AE255" s="1"/>
      <c r="AN255" s="1"/>
      <c r="AP255" s="1"/>
      <c r="AQ255" s="1"/>
      <c r="AR255" s="1"/>
      <c r="AS255" s="1"/>
      <c r="AT255" s="3"/>
      <c r="AU255" s="3"/>
      <c r="AV255" s="3"/>
      <c r="AW255" s="1"/>
      <c r="AX255" s="1"/>
      <c r="AZ255">
        <v>76</v>
      </c>
      <c r="BA255">
        <v>260953.83</v>
      </c>
      <c r="BB255" s="1" t="s">
        <v>74</v>
      </c>
      <c r="BC255">
        <v>107</v>
      </c>
      <c r="BD255" s="1" t="s">
        <v>1391</v>
      </c>
      <c r="BE255" s="1" t="s">
        <v>452</v>
      </c>
      <c r="BF255">
        <v>2578.29</v>
      </c>
      <c r="BG255" s="1" t="s">
        <v>1531</v>
      </c>
      <c r="BH255" s="1" t="s">
        <v>99</v>
      </c>
      <c r="BI255">
        <v>0</v>
      </c>
      <c r="BJ255" s="1"/>
      <c r="BL255" s="1"/>
      <c r="BN255" s="1"/>
      <c r="BO255">
        <v>186</v>
      </c>
      <c r="BP255">
        <v>260953.83</v>
      </c>
      <c r="BQ255">
        <v>260953.83</v>
      </c>
    </row>
    <row r="256" spans="1:69" x14ac:dyDescent="0.35">
      <c r="A256" s="1" t="s">
        <v>68</v>
      </c>
      <c r="B256" s="1" t="s">
        <v>69</v>
      </c>
      <c r="C256" s="1" t="s">
        <v>70</v>
      </c>
      <c r="D256">
        <v>1</v>
      </c>
      <c r="E256">
        <v>1</v>
      </c>
      <c r="F256" s="2">
        <v>43584.863483796296</v>
      </c>
      <c r="G256" s="3">
        <v>40909</v>
      </c>
      <c r="H256" s="3">
        <v>41274</v>
      </c>
      <c r="I256" s="1" t="s">
        <v>71</v>
      </c>
      <c r="J256">
        <v>4521</v>
      </c>
      <c r="K256">
        <v>0</v>
      </c>
      <c r="L256" s="1" t="s">
        <v>384</v>
      </c>
      <c r="M256" s="1" t="s">
        <v>72</v>
      </c>
      <c r="N256" s="1" t="s">
        <v>134</v>
      </c>
      <c r="O256" s="1" t="s">
        <v>385</v>
      </c>
      <c r="P256" s="1" t="s">
        <v>386</v>
      </c>
      <c r="Q256" s="1" t="s">
        <v>387</v>
      </c>
      <c r="R256">
        <v>103</v>
      </c>
      <c r="S256" s="1" t="s">
        <v>135</v>
      </c>
      <c r="T256" s="1" t="s">
        <v>388</v>
      </c>
      <c r="U256" s="1" t="s">
        <v>135</v>
      </c>
      <c r="V256" s="1"/>
      <c r="W256" s="1"/>
      <c r="X256" s="1"/>
      <c r="Y256" s="1"/>
      <c r="AA256" s="1"/>
      <c r="AC256" s="1"/>
      <c r="AD256" s="1"/>
      <c r="AE256" s="1"/>
      <c r="AN256" s="1"/>
      <c r="AP256" s="1"/>
      <c r="AQ256" s="1"/>
      <c r="AR256" s="1"/>
      <c r="AS256" s="1"/>
      <c r="AT256" s="3"/>
      <c r="AU256" s="3"/>
      <c r="AV256" s="3"/>
      <c r="AW256" s="1"/>
      <c r="AX256" s="1"/>
      <c r="AZ256">
        <v>76</v>
      </c>
      <c r="BA256">
        <v>260953.83</v>
      </c>
      <c r="BB256" s="1" t="s">
        <v>74</v>
      </c>
      <c r="BC256">
        <v>108</v>
      </c>
      <c r="BD256" s="1" t="s">
        <v>1391</v>
      </c>
      <c r="BE256" s="1" t="s">
        <v>99</v>
      </c>
      <c r="BF256">
        <v>0</v>
      </c>
      <c r="BG256" s="1"/>
      <c r="BH256" s="1" t="s">
        <v>451</v>
      </c>
      <c r="BI256">
        <v>2578.29</v>
      </c>
      <c r="BJ256" s="1" t="s">
        <v>1531</v>
      </c>
      <c r="BL256" s="1"/>
      <c r="BN256" s="1"/>
      <c r="BO256">
        <v>186</v>
      </c>
      <c r="BP256">
        <v>260953.83</v>
      </c>
      <c r="BQ256">
        <v>260953.83</v>
      </c>
    </row>
    <row r="257" spans="1:69" x14ac:dyDescent="0.35">
      <c r="A257" s="1" t="s">
        <v>68</v>
      </c>
      <c r="B257" s="1" t="s">
        <v>69</v>
      </c>
      <c r="C257" s="1" t="s">
        <v>70</v>
      </c>
      <c r="D257">
        <v>1</v>
      </c>
      <c r="E257">
        <v>1</v>
      </c>
      <c r="F257" s="2">
        <v>43584.863483796296</v>
      </c>
      <c r="G257" s="3">
        <v>40909</v>
      </c>
      <c r="H257" s="3">
        <v>41274</v>
      </c>
      <c r="I257" s="1" t="s">
        <v>71</v>
      </c>
      <c r="J257">
        <v>4521</v>
      </c>
      <c r="K257">
        <v>0</v>
      </c>
      <c r="L257" s="1" t="s">
        <v>384</v>
      </c>
      <c r="M257" s="1" t="s">
        <v>72</v>
      </c>
      <c r="N257" s="1" t="s">
        <v>134</v>
      </c>
      <c r="O257" s="1" t="s">
        <v>385</v>
      </c>
      <c r="P257" s="1" t="s">
        <v>386</v>
      </c>
      <c r="Q257" s="1" t="s">
        <v>387</v>
      </c>
      <c r="R257">
        <v>103</v>
      </c>
      <c r="S257" s="1" t="s">
        <v>135</v>
      </c>
      <c r="T257" s="1" t="s">
        <v>388</v>
      </c>
      <c r="U257" s="1" t="s">
        <v>135</v>
      </c>
      <c r="V257" s="1"/>
      <c r="W257" s="1"/>
      <c r="X257" s="1"/>
      <c r="Y257" s="1"/>
      <c r="AA257" s="1"/>
      <c r="AC257" s="1"/>
      <c r="AD257" s="1"/>
      <c r="AE257" s="1"/>
      <c r="AN257" s="1"/>
      <c r="AP257" s="1"/>
      <c r="AQ257" s="1"/>
      <c r="AR257" s="1"/>
      <c r="AS257" s="1"/>
      <c r="AT257" s="3"/>
      <c r="AU257" s="3"/>
      <c r="AV257" s="3"/>
      <c r="AW257" s="1"/>
      <c r="AX257" s="1"/>
      <c r="AZ257">
        <v>76</v>
      </c>
      <c r="BA257">
        <v>260953.83</v>
      </c>
      <c r="BB257" s="1" t="s">
        <v>74</v>
      </c>
      <c r="BC257">
        <v>109</v>
      </c>
      <c r="BD257" s="1" t="s">
        <v>1392</v>
      </c>
      <c r="BE257" s="1" t="s">
        <v>471</v>
      </c>
      <c r="BF257">
        <v>4521</v>
      </c>
      <c r="BG257" s="1" t="s">
        <v>997</v>
      </c>
      <c r="BH257" s="1" t="s">
        <v>99</v>
      </c>
      <c r="BI257">
        <v>0</v>
      </c>
      <c r="BJ257" s="1"/>
      <c r="BL257" s="1"/>
      <c r="BN257" s="1"/>
      <c r="BO257">
        <v>186</v>
      </c>
      <c r="BP257">
        <v>260953.83</v>
      </c>
      <c r="BQ257">
        <v>260953.83</v>
      </c>
    </row>
    <row r="258" spans="1:69" x14ac:dyDescent="0.35">
      <c r="A258" s="1" t="s">
        <v>68</v>
      </c>
      <c r="B258" s="1" t="s">
        <v>69</v>
      </c>
      <c r="C258" s="1" t="s">
        <v>70</v>
      </c>
      <c r="D258">
        <v>1</v>
      </c>
      <c r="E258">
        <v>1</v>
      </c>
      <c r="F258" s="2">
        <v>43584.863483796296</v>
      </c>
      <c r="G258" s="3">
        <v>40909</v>
      </c>
      <c r="H258" s="3">
        <v>41274</v>
      </c>
      <c r="I258" s="1" t="s">
        <v>71</v>
      </c>
      <c r="J258">
        <v>4521</v>
      </c>
      <c r="K258">
        <v>0</v>
      </c>
      <c r="L258" s="1" t="s">
        <v>384</v>
      </c>
      <c r="M258" s="1" t="s">
        <v>72</v>
      </c>
      <c r="N258" s="1" t="s">
        <v>134</v>
      </c>
      <c r="O258" s="1" t="s">
        <v>385</v>
      </c>
      <c r="P258" s="1" t="s">
        <v>386</v>
      </c>
      <c r="Q258" s="1" t="s">
        <v>387</v>
      </c>
      <c r="R258">
        <v>103</v>
      </c>
      <c r="S258" s="1" t="s">
        <v>135</v>
      </c>
      <c r="T258" s="1" t="s">
        <v>388</v>
      </c>
      <c r="U258" s="1" t="s">
        <v>135</v>
      </c>
      <c r="V258" s="1"/>
      <c r="W258" s="1"/>
      <c r="X258" s="1"/>
      <c r="Y258" s="1"/>
      <c r="AA258" s="1"/>
      <c r="AC258" s="1"/>
      <c r="AD258" s="1"/>
      <c r="AE258" s="1"/>
      <c r="AN258" s="1"/>
      <c r="AP258" s="1"/>
      <c r="AQ258" s="1"/>
      <c r="AR258" s="1"/>
      <c r="AS258" s="1"/>
      <c r="AT258" s="3"/>
      <c r="AU258" s="3"/>
      <c r="AV258" s="3"/>
      <c r="AW258" s="1"/>
      <c r="AX258" s="1"/>
      <c r="AZ258">
        <v>76</v>
      </c>
      <c r="BA258">
        <v>260953.83</v>
      </c>
      <c r="BB258" s="1" t="s">
        <v>74</v>
      </c>
      <c r="BC258">
        <v>110</v>
      </c>
      <c r="BD258" s="1" t="s">
        <v>1392</v>
      </c>
      <c r="BE258" s="1" t="s">
        <v>99</v>
      </c>
      <c r="BF258">
        <v>0</v>
      </c>
      <c r="BG258" s="1"/>
      <c r="BH258" s="1" t="s">
        <v>448</v>
      </c>
      <c r="BI258">
        <v>4521</v>
      </c>
      <c r="BJ258" s="1" t="s">
        <v>997</v>
      </c>
      <c r="BL258" s="1"/>
      <c r="BN258" s="1"/>
      <c r="BO258">
        <v>186</v>
      </c>
      <c r="BP258">
        <v>260953.83</v>
      </c>
      <c r="BQ258">
        <v>260953.83</v>
      </c>
    </row>
    <row r="259" spans="1:69" x14ac:dyDescent="0.35">
      <c r="A259" s="1" t="s">
        <v>68</v>
      </c>
      <c r="B259" s="1" t="s">
        <v>69</v>
      </c>
      <c r="C259" s="1" t="s">
        <v>70</v>
      </c>
      <c r="D259">
        <v>1</v>
      </c>
      <c r="E259">
        <v>1</v>
      </c>
      <c r="F259" s="2">
        <v>43584.863483796296</v>
      </c>
      <c r="G259" s="3">
        <v>40909</v>
      </c>
      <c r="H259" s="3">
        <v>41274</v>
      </c>
      <c r="I259" s="1" t="s">
        <v>71</v>
      </c>
      <c r="J259">
        <v>4521</v>
      </c>
      <c r="K259">
        <v>0</v>
      </c>
      <c r="L259" s="1" t="s">
        <v>384</v>
      </c>
      <c r="M259" s="1" t="s">
        <v>72</v>
      </c>
      <c r="N259" s="1" t="s">
        <v>134</v>
      </c>
      <c r="O259" s="1" t="s">
        <v>385</v>
      </c>
      <c r="P259" s="1" t="s">
        <v>386</v>
      </c>
      <c r="Q259" s="1" t="s">
        <v>387</v>
      </c>
      <c r="R259">
        <v>103</v>
      </c>
      <c r="S259" s="1" t="s">
        <v>135</v>
      </c>
      <c r="T259" s="1" t="s">
        <v>388</v>
      </c>
      <c r="U259" s="1" t="s">
        <v>135</v>
      </c>
      <c r="V259" s="1"/>
      <c r="W259" s="1"/>
      <c r="X259" s="1"/>
      <c r="Y259" s="1"/>
      <c r="AA259" s="1"/>
      <c r="AC259" s="1"/>
      <c r="AD259" s="1"/>
      <c r="AE259" s="1"/>
      <c r="AN259" s="1"/>
      <c r="AP259" s="1"/>
      <c r="AQ259" s="1"/>
      <c r="AR259" s="1"/>
      <c r="AS259" s="1"/>
      <c r="AT259" s="3"/>
      <c r="AU259" s="3"/>
      <c r="AV259" s="3"/>
      <c r="AW259" s="1"/>
      <c r="AX259" s="1"/>
      <c r="AZ259">
        <v>76</v>
      </c>
      <c r="BA259">
        <v>260953.83</v>
      </c>
      <c r="BB259" s="1" t="s">
        <v>74</v>
      </c>
      <c r="BC259">
        <v>111</v>
      </c>
      <c r="BD259" s="1" t="s">
        <v>1393</v>
      </c>
      <c r="BE259" s="1" t="s">
        <v>469</v>
      </c>
      <c r="BF259">
        <v>25</v>
      </c>
      <c r="BG259" s="1" t="s">
        <v>1439</v>
      </c>
      <c r="BH259" s="1" t="s">
        <v>99</v>
      </c>
      <c r="BI259">
        <v>0</v>
      </c>
      <c r="BJ259" s="1"/>
      <c r="BL259" s="1"/>
      <c r="BN259" s="1"/>
      <c r="BO259">
        <v>186</v>
      </c>
      <c r="BP259">
        <v>260953.83</v>
      </c>
      <c r="BQ259">
        <v>260953.83</v>
      </c>
    </row>
    <row r="260" spans="1:69" x14ac:dyDescent="0.35">
      <c r="A260" s="1" t="s">
        <v>68</v>
      </c>
      <c r="B260" s="1" t="s">
        <v>69</v>
      </c>
      <c r="C260" s="1" t="s">
        <v>70</v>
      </c>
      <c r="D260">
        <v>1</v>
      </c>
      <c r="E260">
        <v>1</v>
      </c>
      <c r="F260" s="2">
        <v>43584.863483796296</v>
      </c>
      <c r="G260" s="3">
        <v>40909</v>
      </c>
      <c r="H260" s="3">
        <v>41274</v>
      </c>
      <c r="I260" s="1" t="s">
        <v>71</v>
      </c>
      <c r="J260">
        <v>4521</v>
      </c>
      <c r="K260">
        <v>0</v>
      </c>
      <c r="L260" s="1" t="s">
        <v>384</v>
      </c>
      <c r="M260" s="1" t="s">
        <v>72</v>
      </c>
      <c r="N260" s="1" t="s">
        <v>134</v>
      </c>
      <c r="O260" s="1" t="s">
        <v>385</v>
      </c>
      <c r="P260" s="1" t="s">
        <v>386</v>
      </c>
      <c r="Q260" s="1" t="s">
        <v>387</v>
      </c>
      <c r="R260">
        <v>103</v>
      </c>
      <c r="S260" s="1" t="s">
        <v>135</v>
      </c>
      <c r="T260" s="1" t="s">
        <v>388</v>
      </c>
      <c r="U260" s="1" t="s">
        <v>135</v>
      </c>
      <c r="V260" s="1"/>
      <c r="W260" s="1"/>
      <c r="X260" s="1"/>
      <c r="Y260" s="1"/>
      <c r="AA260" s="1"/>
      <c r="AC260" s="1"/>
      <c r="AD260" s="1"/>
      <c r="AE260" s="1"/>
      <c r="AN260" s="1"/>
      <c r="AP260" s="1"/>
      <c r="AQ260" s="1"/>
      <c r="AR260" s="1"/>
      <c r="AS260" s="1"/>
      <c r="AT260" s="3"/>
      <c r="AU260" s="3"/>
      <c r="AV260" s="3"/>
      <c r="AW260" s="1"/>
      <c r="AX260" s="1"/>
      <c r="AZ260">
        <v>76</v>
      </c>
      <c r="BA260">
        <v>260953.83</v>
      </c>
      <c r="BB260" s="1" t="s">
        <v>74</v>
      </c>
      <c r="BC260">
        <v>112</v>
      </c>
      <c r="BD260" s="1" t="s">
        <v>1393</v>
      </c>
      <c r="BE260" s="1" t="s">
        <v>99</v>
      </c>
      <c r="BF260">
        <v>0</v>
      </c>
      <c r="BG260" s="1"/>
      <c r="BH260" s="1" t="s">
        <v>491</v>
      </c>
      <c r="BI260">
        <v>25</v>
      </c>
      <c r="BJ260" s="1" t="s">
        <v>1439</v>
      </c>
      <c r="BL260" s="1"/>
      <c r="BN260" s="1"/>
      <c r="BO260">
        <v>186</v>
      </c>
      <c r="BP260">
        <v>260953.83</v>
      </c>
      <c r="BQ260">
        <v>260953.83</v>
      </c>
    </row>
    <row r="261" spans="1:69" x14ac:dyDescent="0.35">
      <c r="A261" s="1" t="s">
        <v>68</v>
      </c>
      <c r="B261" s="1" t="s">
        <v>69</v>
      </c>
      <c r="C261" s="1" t="s">
        <v>70</v>
      </c>
      <c r="D261">
        <v>1</v>
      </c>
      <c r="E261">
        <v>1</v>
      </c>
      <c r="F261" s="2">
        <v>43584.863483796296</v>
      </c>
      <c r="G261" s="3">
        <v>40909</v>
      </c>
      <c r="H261" s="3">
        <v>41274</v>
      </c>
      <c r="I261" s="1" t="s">
        <v>71</v>
      </c>
      <c r="J261">
        <v>4521</v>
      </c>
      <c r="K261">
        <v>0</v>
      </c>
      <c r="L261" s="1" t="s">
        <v>384</v>
      </c>
      <c r="M261" s="1" t="s">
        <v>72</v>
      </c>
      <c r="N261" s="1" t="s">
        <v>134</v>
      </c>
      <c r="O261" s="1" t="s">
        <v>385</v>
      </c>
      <c r="P261" s="1" t="s">
        <v>386</v>
      </c>
      <c r="Q261" s="1" t="s">
        <v>387</v>
      </c>
      <c r="R261">
        <v>103</v>
      </c>
      <c r="S261" s="1" t="s">
        <v>135</v>
      </c>
      <c r="T261" s="1" t="s">
        <v>388</v>
      </c>
      <c r="U261" s="1" t="s">
        <v>135</v>
      </c>
      <c r="V261" s="1"/>
      <c r="W261" s="1"/>
      <c r="X261" s="1"/>
      <c r="Y261" s="1"/>
      <c r="AA261" s="1"/>
      <c r="AC261" s="1"/>
      <c r="AD261" s="1"/>
      <c r="AE261" s="1"/>
      <c r="AN261" s="1"/>
      <c r="AP261" s="1"/>
      <c r="AQ261" s="1"/>
      <c r="AR261" s="1"/>
      <c r="AS261" s="1"/>
      <c r="AT261" s="3"/>
      <c r="AU261" s="3"/>
      <c r="AV261" s="3"/>
      <c r="AW261" s="1"/>
      <c r="AX261" s="1"/>
      <c r="AZ261">
        <v>76</v>
      </c>
      <c r="BA261">
        <v>260953.83</v>
      </c>
      <c r="BB261" s="1" t="s">
        <v>74</v>
      </c>
      <c r="BC261">
        <v>113</v>
      </c>
      <c r="BD261" s="1" t="s">
        <v>1394</v>
      </c>
      <c r="BE261" s="1" t="s">
        <v>443</v>
      </c>
      <c r="BF261">
        <v>1158.9000000000001</v>
      </c>
      <c r="BG261" s="1" t="s">
        <v>1440</v>
      </c>
      <c r="BH261" s="1" t="s">
        <v>99</v>
      </c>
      <c r="BI261">
        <v>0</v>
      </c>
      <c r="BJ261" s="1"/>
      <c r="BK261">
        <v>242.89</v>
      </c>
      <c r="BL261" s="1" t="s">
        <v>1296</v>
      </c>
      <c r="BN261" s="1"/>
      <c r="BO261">
        <v>186</v>
      </c>
      <c r="BP261">
        <v>260953.83</v>
      </c>
      <c r="BQ261">
        <v>260953.83</v>
      </c>
    </row>
    <row r="262" spans="1:69" x14ac:dyDescent="0.35">
      <c r="A262" s="1" t="s">
        <v>68</v>
      </c>
      <c r="B262" s="1" t="s">
        <v>69</v>
      </c>
      <c r="C262" s="1" t="s">
        <v>70</v>
      </c>
      <c r="D262">
        <v>1</v>
      </c>
      <c r="E262">
        <v>1</v>
      </c>
      <c r="F262" s="2">
        <v>43584.863483796296</v>
      </c>
      <c r="G262" s="3">
        <v>40909</v>
      </c>
      <c r="H262" s="3">
        <v>41274</v>
      </c>
      <c r="I262" s="1" t="s">
        <v>71</v>
      </c>
      <c r="J262">
        <v>4521</v>
      </c>
      <c r="K262">
        <v>0</v>
      </c>
      <c r="L262" s="1" t="s">
        <v>384</v>
      </c>
      <c r="M262" s="1" t="s">
        <v>72</v>
      </c>
      <c r="N262" s="1" t="s">
        <v>134</v>
      </c>
      <c r="O262" s="1" t="s">
        <v>385</v>
      </c>
      <c r="P262" s="1" t="s">
        <v>386</v>
      </c>
      <c r="Q262" s="1" t="s">
        <v>387</v>
      </c>
      <c r="R262">
        <v>103</v>
      </c>
      <c r="S262" s="1" t="s">
        <v>135</v>
      </c>
      <c r="T262" s="1" t="s">
        <v>388</v>
      </c>
      <c r="U262" s="1" t="s">
        <v>135</v>
      </c>
      <c r="V262" s="1"/>
      <c r="W262" s="1"/>
      <c r="X262" s="1"/>
      <c r="Y262" s="1"/>
      <c r="AA262" s="1"/>
      <c r="AC262" s="1"/>
      <c r="AD262" s="1"/>
      <c r="AE262" s="1"/>
      <c r="AN262" s="1"/>
      <c r="AP262" s="1"/>
      <c r="AQ262" s="1"/>
      <c r="AR262" s="1"/>
      <c r="AS262" s="1"/>
      <c r="AT262" s="3"/>
      <c r="AU262" s="3"/>
      <c r="AV262" s="3"/>
      <c r="AW262" s="1"/>
      <c r="AX262" s="1"/>
      <c r="AZ262">
        <v>76</v>
      </c>
      <c r="BA262">
        <v>260953.83</v>
      </c>
      <c r="BB262" s="1" t="s">
        <v>74</v>
      </c>
      <c r="BC262">
        <v>114</v>
      </c>
      <c r="BD262" s="1" t="s">
        <v>1394</v>
      </c>
      <c r="BE262" s="1" t="s">
        <v>99</v>
      </c>
      <c r="BF262">
        <v>0</v>
      </c>
      <c r="BG262" s="1"/>
      <c r="BH262" s="1" t="s">
        <v>489</v>
      </c>
      <c r="BI262">
        <v>1158.9000000000001</v>
      </c>
      <c r="BJ262" s="1" t="s">
        <v>1440</v>
      </c>
      <c r="BL262" s="1"/>
      <c r="BM262">
        <v>242.89</v>
      </c>
      <c r="BN262" s="1" t="s">
        <v>1296</v>
      </c>
      <c r="BO262">
        <v>186</v>
      </c>
      <c r="BP262">
        <v>260953.83</v>
      </c>
      <c r="BQ262">
        <v>260953.83</v>
      </c>
    </row>
    <row r="263" spans="1:69" x14ac:dyDescent="0.35">
      <c r="A263" s="1" t="s">
        <v>68</v>
      </c>
      <c r="B263" s="1" t="s">
        <v>69</v>
      </c>
      <c r="C263" s="1" t="s">
        <v>70</v>
      </c>
      <c r="D263">
        <v>1</v>
      </c>
      <c r="E263">
        <v>1</v>
      </c>
      <c r="F263" s="2">
        <v>43584.863483796296</v>
      </c>
      <c r="G263" s="3">
        <v>40909</v>
      </c>
      <c r="H263" s="3">
        <v>41274</v>
      </c>
      <c r="I263" s="1" t="s">
        <v>71</v>
      </c>
      <c r="J263">
        <v>4521</v>
      </c>
      <c r="K263">
        <v>0</v>
      </c>
      <c r="L263" s="1" t="s">
        <v>384</v>
      </c>
      <c r="M263" s="1" t="s">
        <v>72</v>
      </c>
      <c r="N263" s="1" t="s">
        <v>134</v>
      </c>
      <c r="O263" s="1" t="s">
        <v>385</v>
      </c>
      <c r="P263" s="1" t="s">
        <v>386</v>
      </c>
      <c r="Q263" s="1" t="s">
        <v>387</v>
      </c>
      <c r="R263">
        <v>103</v>
      </c>
      <c r="S263" s="1" t="s">
        <v>135</v>
      </c>
      <c r="T263" s="1" t="s">
        <v>388</v>
      </c>
      <c r="U263" s="1" t="s">
        <v>135</v>
      </c>
      <c r="V263" s="1"/>
      <c r="W263" s="1"/>
      <c r="X263" s="1"/>
      <c r="Y263" s="1"/>
      <c r="AA263" s="1"/>
      <c r="AC263" s="1"/>
      <c r="AD263" s="1"/>
      <c r="AE263" s="1"/>
      <c r="AN263" s="1"/>
      <c r="AP263" s="1"/>
      <c r="AQ263" s="1"/>
      <c r="AR263" s="1"/>
      <c r="AS263" s="1"/>
      <c r="AT263" s="3"/>
      <c r="AU263" s="3"/>
      <c r="AV263" s="3"/>
      <c r="AW263" s="1"/>
      <c r="AX263" s="1"/>
      <c r="AZ263">
        <v>76</v>
      </c>
      <c r="BA263">
        <v>260953.83</v>
      </c>
      <c r="BB263" s="1" t="s">
        <v>74</v>
      </c>
      <c r="BC263">
        <v>115</v>
      </c>
      <c r="BD263" s="1" t="s">
        <v>1395</v>
      </c>
      <c r="BE263" s="1" t="s">
        <v>1302</v>
      </c>
      <c r="BF263">
        <v>10500</v>
      </c>
      <c r="BG263" s="1" t="s">
        <v>1441</v>
      </c>
      <c r="BH263" s="1" t="s">
        <v>99</v>
      </c>
      <c r="BI263">
        <v>0</v>
      </c>
      <c r="BJ263" s="1"/>
      <c r="BL263" s="1"/>
      <c r="BN263" s="1"/>
      <c r="BO263">
        <v>186</v>
      </c>
      <c r="BP263">
        <v>260953.83</v>
      </c>
      <c r="BQ263">
        <v>260953.83</v>
      </c>
    </row>
    <row r="264" spans="1:69" x14ac:dyDescent="0.35">
      <c r="A264" s="1" t="s">
        <v>68</v>
      </c>
      <c r="B264" s="1" t="s">
        <v>69</v>
      </c>
      <c r="C264" s="1" t="s">
        <v>70</v>
      </c>
      <c r="D264">
        <v>1</v>
      </c>
      <c r="E264">
        <v>1</v>
      </c>
      <c r="F264" s="2">
        <v>43584.863483796296</v>
      </c>
      <c r="G264" s="3">
        <v>40909</v>
      </c>
      <c r="H264" s="3">
        <v>41274</v>
      </c>
      <c r="I264" s="1" t="s">
        <v>71</v>
      </c>
      <c r="J264">
        <v>4521</v>
      </c>
      <c r="K264">
        <v>0</v>
      </c>
      <c r="L264" s="1" t="s">
        <v>384</v>
      </c>
      <c r="M264" s="1" t="s">
        <v>72</v>
      </c>
      <c r="N264" s="1" t="s">
        <v>134</v>
      </c>
      <c r="O264" s="1" t="s">
        <v>385</v>
      </c>
      <c r="P264" s="1" t="s">
        <v>386</v>
      </c>
      <c r="Q264" s="1" t="s">
        <v>387</v>
      </c>
      <c r="R264">
        <v>103</v>
      </c>
      <c r="S264" s="1" t="s">
        <v>135</v>
      </c>
      <c r="T264" s="1" t="s">
        <v>388</v>
      </c>
      <c r="U264" s="1" t="s">
        <v>135</v>
      </c>
      <c r="V264" s="1"/>
      <c r="W264" s="1"/>
      <c r="X264" s="1"/>
      <c r="Y264" s="1"/>
      <c r="AA264" s="1"/>
      <c r="AC264" s="1"/>
      <c r="AD264" s="1"/>
      <c r="AE264" s="1"/>
      <c r="AN264" s="1"/>
      <c r="AP264" s="1"/>
      <c r="AQ264" s="1"/>
      <c r="AR264" s="1"/>
      <c r="AS264" s="1"/>
      <c r="AT264" s="3"/>
      <c r="AU264" s="3"/>
      <c r="AV264" s="3"/>
      <c r="AW264" s="1"/>
      <c r="AX264" s="1"/>
      <c r="AZ264">
        <v>76</v>
      </c>
      <c r="BA264">
        <v>260953.83</v>
      </c>
      <c r="BB264" s="1" t="s">
        <v>74</v>
      </c>
      <c r="BC264">
        <v>116</v>
      </c>
      <c r="BD264" s="1" t="s">
        <v>1395</v>
      </c>
      <c r="BE264" s="1" t="s">
        <v>99</v>
      </c>
      <c r="BF264">
        <v>0</v>
      </c>
      <c r="BG264" s="1"/>
      <c r="BH264" s="1" t="s">
        <v>1310</v>
      </c>
      <c r="BI264">
        <v>10000</v>
      </c>
      <c r="BJ264" s="1" t="s">
        <v>1441</v>
      </c>
      <c r="BL264" s="1"/>
      <c r="BN264" s="1"/>
      <c r="BO264">
        <v>186</v>
      </c>
      <c r="BP264">
        <v>260953.83</v>
      </c>
      <c r="BQ264">
        <v>260953.83</v>
      </c>
    </row>
    <row r="265" spans="1:69" x14ac:dyDescent="0.35">
      <c r="A265" s="1" t="s">
        <v>68</v>
      </c>
      <c r="B265" s="1" t="s">
        <v>69</v>
      </c>
      <c r="C265" s="1" t="s">
        <v>70</v>
      </c>
      <c r="D265">
        <v>1</v>
      </c>
      <c r="E265">
        <v>1</v>
      </c>
      <c r="F265" s="2">
        <v>43584.863483796296</v>
      </c>
      <c r="G265" s="3">
        <v>40909</v>
      </c>
      <c r="H265" s="3">
        <v>41274</v>
      </c>
      <c r="I265" s="1" t="s">
        <v>71</v>
      </c>
      <c r="J265">
        <v>4521</v>
      </c>
      <c r="K265">
        <v>0</v>
      </c>
      <c r="L265" s="1" t="s">
        <v>384</v>
      </c>
      <c r="M265" s="1" t="s">
        <v>72</v>
      </c>
      <c r="N265" s="1" t="s">
        <v>134</v>
      </c>
      <c r="O265" s="1" t="s">
        <v>385</v>
      </c>
      <c r="P265" s="1" t="s">
        <v>386</v>
      </c>
      <c r="Q265" s="1" t="s">
        <v>387</v>
      </c>
      <c r="R265">
        <v>103</v>
      </c>
      <c r="S265" s="1" t="s">
        <v>135</v>
      </c>
      <c r="T265" s="1" t="s">
        <v>388</v>
      </c>
      <c r="U265" s="1" t="s">
        <v>135</v>
      </c>
      <c r="V265" s="1"/>
      <c r="W265" s="1"/>
      <c r="X265" s="1"/>
      <c r="Y265" s="1"/>
      <c r="AA265" s="1"/>
      <c r="AC265" s="1"/>
      <c r="AD265" s="1"/>
      <c r="AE265" s="1"/>
      <c r="AN265" s="1"/>
      <c r="AP265" s="1"/>
      <c r="AQ265" s="1"/>
      <c r="AR265" s="1"/>
      <c r="AS265" s="1"/>
      <c r="AT265" s="3"/>
      <c r="AU265" s="3"/>
      <c r="AV265" s="3"/>
      <c r="AW265" s="1"/>
      <c r="AX265" s="1"/>
      <c r="AZ265">
        <v>76</v>
      </c>
      <c r="BA265">
        <v>260953.83</v>
      </c>
      <c r="BB265" s="1" t="s">
        <v>74</v>
      </c>
      <c r="BC265">
        <v>117</v>
      </c>
      <c r="BD265" s="1" t="s">
        <v>1395</v>
      </c>
      <c r="BE265" s="1" t="s">
        <v>99</v>
      </c>
      <c r="BF265">
        <v>0</v>
      </c>
      <c r="BG265" s="1"/>
      <c r="BH265" s="1" t="s">
        <v>1308</v>
      </c>
      <c r="BI265">
        <v>500</v>
      </c>
      <c r="BJ265" s="1" t="s">
        <v>1441</v>
      </c>
      <c r="BL265" s="1"/>
      <c r="BN265" s="1"/>
      <c r="BO265">
        <v>186</v>
      </c>
      <c r="BP265">
        <v>260953.83</v>
      </c>
      <c r="BQ265">
        <v>260953.83</v>
      </c>
    </row>
    <row r="266" spans="1:69" x14ac:dyDescent="0.35">
      <c r="A266" s="1" t="s">
        <v>68</v>
      </c>
      <c r="B266" s="1" t="s">
        <v>69</v>
      </c>
      <c r="C266" s="1" t="s">
        <v>70</v>
      </c>
      <c r="D266">
        <v>1</v>
      </c>
      <c r="E266">
        <v>1</v>
      </c>
      <c r="F266" s="2">
        <v>43584.863483796296</v>
      </c>
      <c r="G266" s="3">
        <v>40909</v>
      </c>
      <c r="H266" s="3">
        <v>41274</v>
      </c>
      <c r="I266" s="1" t="s">
        <v>71</v>
      </c>
      <c r="J266">
        <v>4521</v>
      </c>
      <c r="K266">
        <v>0</v>
      </c>
      <c r="L266" s="1" t="s">
        <v>384</v>
      </c>
      <c r="M266" s="1" t="s">
        <v>72</v>
      </c>
      <c r="N266" s="1" t="s">
        <v>134</v>
      </c>
      <c r="O266" s="1" t="s">
        <v>385</v>
      </c>
      <c r="P266" s="1" t="s">
        <v>386</v>
      </c>
      <c r="Q266" s="1" t="s">
        <v>387</v>
      </c>
      <c r="R266">
        <v>103</v>
      </c>
      <c r="S266" s="1" t="s">
        <v>135</v>
      </c>
      <c r="T266" s="1" t="s">
        <v>388</v>
      </c>
      <c r="U266" s="1" t="s">
        <v>135</v>
      </c>
      <c r="V266" s="1"/>
      <c r="W266" s="1"/>
      <c r="X266" s="1"/>
      <c r="Y266" s="1"/>
      <c r="AA266" s="1"/>
      <c r="AC266" s="1"/>
      <c r="AD266" s="1"/>
      <c r="AE266" s="1"/>
      <c r="AN266" s="1"/>
      <c r="AP266" s="1"/>
      <c r="AQ266" s="1"/>
      <c r="AR266" s="1"/>
      <c r="AS266" s="1"/>
      <c r="AT266" s="3"/>
      <c r="AU266" s="3"/>
      <c r="AV266" s="3"/>
      <c r="AW266" s="1"/>
      <c r="AX266" s="1"/>
      <c r="AZ266">
        <v>76</v>
      </c>
      <c r="BA266">
        <v>260953.83</v>
      </c>
      <c r="BB266" s="1" t="s">
        <v>74</v>
      </c>
      <c r="BC266">
        <v>118</v>
      </c>
      <c r="BD266" s="1" t="s">
        <v>1396</v>
      </c>
      <c r="BE266" s="1" t="s">
        <v>473</v>
      </c>
      <c r="BF266">
        <v>11626.86</v>
      </c>
      <c r="BG266" s="1" t="s">
        <v>1442</v>
      </c>
      <c r="BH266" s="1" t="s">
        <v>99</v>
      </c>
      <c r="BI266">
        <v>0</v>
      </c>
      <c r="BJ266" s="1"/>
      <c r="BK266">
        <v>2820</v>
      </c>
      <c r="BL266" s="1" t="s">
        <v>1295</v>
      </c>
      <c r="BN266" s="1"/>
      <c r="BO266">
        <v>186</v>
      </c>
      <c r="BP266">
        <v>260953.83</v>
      </c>
      <c r="BQ266">
        <v>260953.83</v>
      </c>
    </row>
    <row r="267" spans="1:69" x14ac:dyDescent="0.35">
      <c r="A267" s="1" t="s">
        <v>68</v>
      </c>
      <c r="B267" s="1" t="s">
        <v>69</v>
      </c>
      <c r="C267" s="1" t="s">
        <v>70</v>
      </c>
      <c r="D267">
        <v>1</v>
      </c>
      <c r="E267">
        <v>1</v>
      </c>
      <c r="F267" s="2">
        <v>43584.863483796296</v>
      </c>
      <c r="G267" s="3">
        <v>40909</v>
      </c>
      <c r="H267" s="3">
        <v>41274</v>
      </c>
      <c r="I267" s="1" t="s">
        <v>71</v>
      </c>
      <c r="J267">
        <v>4521</v>
      </c>
      <c r="K267">
        <v>0</v>
      </c>
      <c r="L267" s="1" t="s">
        <v>384</v>
      </c>
      <c r="M267" s="1" t="s">
        <v>72</v>
      </c>
      <c r="N267" s="1" t="s">
        <v>134</v>
      </c>
      <c r="O267" s="1" t="s">
        <v>385</v>
      </c>
      <c r="P267" s="1" t="s">
        <v>386</v>
      </c>
      <c r="Q267" s="1" t="s">
        <v>387</v>
      </c>
      <c r="R267">
        <v>103</v>
      </c>
      <c r="S267" s="1" t="s">
        <v>135</v>
      </c>
      <c r="T267" s="1" t="s">
        <v>388</v>
      </c>
      <c r="U267" s="1" t="s">
        <v>135</v>
      </c>
      <c r="V267" s="1"/>
      <c r="W267" s="1"/>
      <c r="X267" s="1"/>
      <c r="Y267" s="1"/>
      <c r="AA267" s="1"/>
      <c r="AC267" s="1"/>
      <c r="AD267" s="1"/>
      <c r="AE267" s="1"/>
      <c r="AN267" s="1"/>
      <c r="AP267" s="1"/>
      <c r="AQ267" s="1"/>
      <c r="AR267" s="1"/>
      <c r="AS267" s="1"/>
      <c r="AT267" s="3"/>
      <c r="AU267" s="3"/>
      <c r="AV267" s="3"/>
      <c r="AW267" s="1"/>
      <c r="AX267" s="1"/>
      <c r="AZ267">
        <v>76</v>
      </c>
      <c r="BA267">
        <v>260953.83</v>
      </c>
      <c r="BB267" s="1" t="s">
        <v>74</v>
      </c>
      <c r="BC267">
        <v>119</v>
      </c>
      <c r="BD267" s="1" t="s">
        <v>1396</v>
      </c>
      <c r="BE267" s="1" t="s">
        <v>99</v>
      </c>
      <c r="BF267">
        <v>0</v>
      </c>
      <c r="BG267" s="1"/>
      <c r="BH267" s="1" t="s">
        <v>446</v>
      </c>
      <c r="BI267">
        <v>11626.86</v>
      </c>
      <c r="BJ267" s="1" t="s">
        <v>1442</v>
      </c>
      <c r="BL267" s="1"/>
      <c r="BM267">
        <v>2820</v>
      </c>
      <c r="BN267" s="1" t="s">
        <v>1295</v>
      </c>
      <c r="BO267">
        <v>186</v>
      </c>
      <c r="BP267">
        <v>260953.83</v>
      </c>
      <c r="BQ267">
        <v>260953.83</v>
      </c>
    </row>
    <row r="268" spans="1:69" x14ac:dyDescent="0.35">
      <c r="A268" s="1" t="s">
        <v>68</v>
      </c>
      <c r="B268" s="1" t="s">
        <v>69</v>
      </c>
      <c r="C268" s="1" t="s">
        <v>70</v>
      </c>
      <c r="D268">
        <v>1</v>
      </c>
      <c r="E268">
        <v>1</v>
      </c>
      <c r="F268" s="2">
        <v>43584.863483796296</v>
      </c>
      <c r="G268" s="3">
        <v>40909</v>
      </c>
      <c r="H268" s="3">
        <v>41274</v>
      </c>
      <c r="I268" s="1" t="s">
        <v>71</v>
      </c>
      <c r="J268">
        <v>4521</v>
      </c>
      <c r="K268">
        <v>0</v>
      </c>
      <c r="L268" s="1" t="s">
        <v>384</v>
      </c>
      <c r="M268" s="1" t="s">
        <v>72</v>
      </c>
      <c r="N268" s="1" t="s">
        <v>134</v>
      </c>
      <c r="O268" s="1" t="s">
        <v>385</v>
      </c>
      <c r="P268" s="1" t="s">
        <v>386</v>
      </c>
      <c r="Q268" s="1" t="s">
        <v>387</v>
      </c>
      <c r="R268">
        <v>103</v>
      </c>
      <c r="S268" s="1" t="s">
        <v>135</v>
      </c>
      <c r="T268" s="1" t="s">
        <v>388</v>
      </c>
      <c r="U268" s="1" t="s">
        <v>135</v>
      </c>
      <c r="V268" s="1"/>
      <c r="W268" s="1"/>
      <c r="X268" s="1"/>
      <c r="Y268" s="1"/>
      <c r="AA268" s="1"/>
      <c r="AC268" s="1"/>
      <c r="AD268" s="1"/>
      <c r="AE268" s="1"/>
      <c r="AN268" s="1"/>
      <c r="AP268" s="1"/>
      <c r="AQ268" s="1"/>
      <c r="AR268" s="1"/>
      <c r="AS268" s="1"/>
      <c r="AT268" s="3"/>
      <c r="AU268" s="3"/>
      <c r="AV268" s="3"/>
      <c r="AW268" s="1"/>
      <c r="AX268" s="1"/>
      <c r="AZ268">
        <v>76</v>
      </c>
      <c r="BA268">
        <v>260953.83</v>
      </c>
      <c r="BB268" s="1" t="s">
        <v>74</v>
      </c>
      <c r="BC268">
        <v>120</v>
      </c>
      <c r="BD268" s="1" t="s">
        <v>1397</v>
      </c>
      <c r="BE268" s="1" t="s">
        <v>480</v>
      </c>
      <c r="BF268">
        <v>11626.86</v>
      </c>
      <c r="BG268" s="1" t="s">
        <v>1442</v>
      </c>
      <c r="BH268" s="1" t="s">
        <v>99</v>
      </c>
      <c r="BI268">
        <v>0</v>
      </c>
      <c r="BJ268" s="1"/>
      <c r="BK268">
        <v>2820</v>
      </c>
      <c r="BL268" s="1" t="s">
        <v>1295</v>
      </c>
      <c r="BN268" s="1"/>
      <c r="BO268">
        <v>186</v>
      </c>
      <c r="BP268">
        <v>260953.83</v>
      </c>
      <c r="BQ268">
        <v>260953.83</v>
      </c>
    </row>
    <row r="269" spans="1:69" x14ac:dyDescent="0.35">
      <c r="A269" s="1" t="s">
        <v>68</v>
      </c>
      <c r="B269" s="1" t="s">
        <v>69</v>
      </c>
      <c r="C269" s="1" t="s">
        <v>70</v>
      </c>
      <c r="D269">
        <v>1</v>
      </c>
      <c r="E269">
        <v>1</v>
      </c>
      <c r="F269" s="2">
        <v>43584.863483796296</v>
      </c>
      <c r="G269" s="3">
        <v>40909</v>
      </c>
      <c r="H269" s="3">
        <v>41274</v>
      </c>
      <c r="I269" s="1" t="s">
        <v>71</v>
      </c>
      <c r="J269">
        <v>4521</v>
      </c>
      <c r="K269">
        <v>0</v>
      </c>
      <c r="L269" s="1" t="s">
        <v>384</v>
      </c>
      <c r="M269" s="1" t="s">
        <v>72</v>
      </c>
      <c r="N269" s="1" t="s">
        <v>134</v>
      </c>
      <c r="O269" s="1" t="s">
        <v>385</v>
      </c>
      <c r="P269" s="1" t="s">
        <v>386</v>
      </c>
      <c r="Q269" s="1" t="s">
        <v>387</v>
      </c>
      <c r="R269">
        <v>103</v>
      </c>
      <c r="S269" s="1" t="s">
        <v>135</v>
      </c>
      <c r="T269" s="1" t="s">
        <v>388</v>
      </c>
      <c r="U269" s="1" t="s">
        <v>135</v>
      </c>
      <c r="V269" s="1"/>
      <c r="W269" s="1"/>
      <c r="X269" s="1"/>
      <c r="Y269" s="1"/>
      <c r="AA269" s="1"/>
      <c r="AC269" s="1"/>
      <c r="AD269" s="1"/>
      <c r="AE269" s="1"/>
      <c r="AN269" s="1"/>
      <c r="AP269" s="1"/>
      <c r="AQ269" s="1"/>
      <c r="AR269" s="1"/>
      <c r="AS269" s="1"/>
      <c r="AT269" s="3"/>
      <c r="AU269" s="3"/>
      <c r="AV269" s="3"/>
      <c r="AW269" s="1"/>
      <c r="AX269" s="1"/>
      <c r="AZ269">
        <v>76</v>
      </c>
      <c r="BA269">
        <v>260953.83</v>
      </c>
      <c r="BB269" s="1" t="s">
        <v>74</v>
      </c>
      <c r="BC269">
        <v>121</v>
      </c>
      <c r="BD269" s="1" t="s">
        <v>1397</v>
      </c>
      <c r="BE269" s="1" t="s">
        <v>99</v>
      </c>
      <c r="BF269">
        <v>0</v>
      </c>
      <c r="BG269" s="1"/>
      <c r="BH269" s="1" t="s">
        <v>136</v>
      </c>
      <c r="BI269">
        <v>11626.86</v>
      </c>
      <c r="BJ269" s="1" t="s">
        <v>1442</v>
      </c>
      <c r="BL269" s="1"/>
      <c r="BM269">
        <v>2820</v>
      </c>
      <c r="BN269" s="1" t="s">
        <v>1295</v>
      </c>
      <c r="BO269">
        <v>186</v>
      </c>
      <c r="BP269">
        <v>260953.83</v>
      </c>
      <c r="BQ269">
        <v>260953.83</v>
      </c>
    </row>
    <row r="270" spans="1:69" x14ac:dyDescent="0.35">
      <c r="A270" s="1" t="s">
        <v>68</v>
      </c>
      <c r="B270" s="1" t="s">
        <v>69</v>
      </c>
      <c r="C270" s="1" t="s">
        <v>70</v>
      </c>
      <c r="D270">
        <v>1</v>
      </c>
      <c r="E270">
        <v>1</v>
      </c>
      <c r="F270" s="2">
        <v>43584.863483796296</v>
      </c>
      <c r="G270" s="3">
        <v>40909</v>
      </c>
      <c r="H270" s="3">
        <v>41274</v>
      </c>
      <c r="I270" s="1" t="s">
        <v>71</v>
      </c>
      <c r="J270">
        <v>4521</v>
      </c>
      <c r="K270">
        <v>0</v>
      </c>
      <c r="L270" s="1" t="s">
        <v>384</v>
      </c>
      <c r="M270" s="1" t="s">
        <v>72</v>
      </c>
      <c r="N270" s="1" t="s">
        <v>134</v>
      </c>
      <c r="O270" s="1" t="s">
        <v>385</v>
      </c>
      <c r="P270" s="1" t="s">
        <v>386</v>
      </c>
      <c r="Q270" s="1" t="s">
        <v>387</v>
      </c>
      <c r="R270">
        <v>103</v>
      </c>
      <c r="S270" s="1" t="s">
        <v>135</v>
      </c>
      <c r="T270" s="1" t="s">
        <v>388</v>
      </c>
      <c r="U270" s="1" t="s">
        <v>135</v>
      </c>
      <c r="V270" s="1"/>
      <c r="W270" s="1"/>
      <c r="X270" s="1"/>
      <c r="Y270" s="1"/>
      <c r="AA270" s="1"/>
      <c r="AC270" s="1"/>
      <c r="AD270" s="1"/>
      <c r="AE270" s="1"/>
      <c r="AN270" s="1"/>
      <c r="AP270" s="1"/>
      <c r="AQ270" s="1"/>
      <c r="AR270" s="1"/>
      <c r="AS270" s="1"/>
      <c r="AT270" s="3"/>
      <c r="AU270" s="3"/>
      <c r="AV270" s="3"/>
      <c r="AW270" s="1"/>
      <c r="AX270" s="1"/>
      <c r="AZ270">
        <v>76</v>
      </c>
      <c r="BA270">
        <v>260953.83</v>
      </c>
      <c r="BB270" s="1" t="s">
        <v>74</v>
      </c>
      <c r="BC270">
        <v>122</v>
      </c>
      <c r="BD270" s="1" t="s">
        <v>1398</v>
      </c>
      <c r="BE270" s="1" t="s">
        <v>452</v>
      </c>
      <c r="BF270">
        <v>13000</v>
      </c>
      <c r="BG270" s="1" t="s">
        <v>999</v>
      </c>
      <c r="BH270" s="1" t="s">
        <v>99</v>
      </c>
      <c r="BI270">
        <v>0</v>
      </c>
      <c r="BJ270" s="1"/>
      <c r="BL270" s="1"/>
      <c r="BN270" s="1"/>
      <c r="BO270">
        <v>186</v>
      </c>
      <c r="BP270">
        <v>260953.83</v>
      </c>
      <c r="BQ270">
        <v>260953.83</v>
      </c>
    </row>
    <row r="271" spans="1:69" x14ac:dyDescent="0.35">
      <c r="A271" s="1" t="s">
        <v>68</v>
      </c>
      <c r="B271" s="1" t="s">
        <v>69</v>
      </c>
      <c r="C271" s="1" t="s">
        <v>70</v>
      </c>
      <c r="D271">
        <v>1</v>
      </c>
      <c r="E271">
        <v>1</v>
      </c>
      <c r="F271" s="2">
        <v>43584.863483796296</v>
      </c>
      <c r="G271" s="3">
        <v>40909</v>
      </c>
      <c r="H271" s="3">
        <v>41274</v>
      </c>
      <c r="I271" s="1" t="s">
        <v>71</v>
      </c>
      <c r="J271">
        <v>4521</v>
      </c>
      <c r="K271">
        <v>0</v>
      </c>
      <c r="L271" s="1" t="s">
        <v>384</v>
      </c>
      <c r="M271" s="1" t="s">
        <v>72</v>
      </c>
      <c r="N271" s="1" t="s">
        <v>134</v>
      </c>
      <c r="O271" s="1" t="s">
        <v>385</v>
      </c>
      <c r="P271" s="1" t="s">
        <v>386</v>
      </c>
      <c r="Q271" s="1" t="s">
        <v>387</v>
      </c>
      <c r="R271">
        <v>103</v>
      </c>
      <c r="S271" s="1" t="s">
        <v>135</v>
      </c>
      <c r="T271" s="1" t="s">
        <v>388</v>
      </c>
      <c r="U271" s="1" t="s">
        <v>135</v>
      </c>
      <c r="V271" s="1"/>
      <c r="W271" s="1"/>
      <c r="X271" s="1"/>
      <c r="Y271" s="1"/>
      <c r="AA271" s="1"/>
      <c r="AC271" s="1"/>
      <c r="AD271" s="1"/>
      <c r="AE271" s="1"/>
      <c r="AN271" s="1"/>
      <c r="AP271" s="1"/>
      <c r="AQ271" s="1"/>
      <c r="AR271" s="1"/>
      <c r="AS271" s="1"/>
      <c r="AT271" s="3"/>
      <c r="AU271" s="3"/>
      <c r="AV271" s="3"/>
      <c r="AW271" s="1"/>
      <c r="AX271" s="1"/>
      <c r="AZ271">
        <v>76</v>
      </c>
      <c r="BA271">
        <v>260953.83</v>
      </c>
      <c r="BB271" s="1" t="s">
        <v>74</v>
      </c>
      <c r="BC271">
        <v>123</v>
      </c>
      <c r="BD271" s="1" t="s">
        <v>1398</v>
      </c>
      <c r="BE271" s="1" t="s">
        <v>99</v>
      </c>
      <c r="BF271">
        <v>0</v>
      </c>
      <c r="BG271" s="1"/>
      <c r="BH271" s="1" t="s">
        <v>451</v>
      </c>
      <c r="BI271">
        <v>13000</v>
      </c>
      <c r="BJ271" s="1" t="s">
        <v>999</v>
      </c>
      <c r="BL271" s="1"/>
      <c r="BN271" s="1"/>
      <c r="BO271">
        <v>186</v>
      </c>
      <c r="BP271">
        <v>260953.83</v>
      </c>
      <c r="BQ271">
        <v>260953.83</v>
      </c>
    </row>
    <row r="272" spans="1:69" x14ac:dyDescent="0.35">
      <c r="A272" s="1" t="s">
        <v>68</v>
      </c>
      <c r="B272" s="1" t="s">
        <v>69</v>
      </c>
      <c r="C272" s="1" t="s">
        <v>70</v>
      </c>
      <c r="D272">
        <v>1</v>
      </c>
      <c r="E272">
        <v>1</v>
      </c>
      <c r="F272" s="2">
        <v>43584.863483796296</v>
      </c>
      <c r="G272" s="3">
        <v>40909</v>
      </c>
      <c r="H272" s="3">
        <v>41274</v>
      </c>
      <c r="I272" s="1" t="s">
        <v>71</v>
      </c>
      <c r="J272">
        <v>4521</v>
      </c>
      <c r="K272">
        <v>0</v>
      </c>
      <c r="L272" s="1" t="s">
        <v>384</v>
      </c>
      <c r="M272" s="1" t="s">
        <v>72</v>
      </c>
      <c r="N272" s="1" t="s">
        <v>134</v>
      </c>
      <c r="O272" s="1" t="s">
        <v>385</v>
      </c>
      <c r="P272" s="1" t="s">
        <v>386</v>
      </c>
      <c r="Q272" s="1" t="s">
        <v>387</v>
      </c>
      <c r="R272">
        <v>103</v>
      </c>
      <c r="S272" s="1" t="s">
        <v>135</v>
      </c>
      <c r="T272" s="1" t="s">
        <v>388</v>
      </c>
      <c r="U272" s="1" t="s">
        <v>135</v>
      </c>
      <c r="V272" s="1"/>
      <c r="W272" s="1"/>
      <c r="X272" s="1"/>
      <c r="Y272" s="1"/>
      <c r="AA272" s="1"/>
      <c r="AC272" s="1"/>
      <c r="AD272" s="1"/>
      <c r="AE272" s="1"/>
      <c r="AN272" s="1"/>
      <c r="AP272" s="1"/>
      <c r="AQ272" s="1"/>
      <c r="AR272" s="1"/>
      <c r="AS272" s="1"/>
      <c r="AT272" s="3"/>
      <c r="AU272" s="3"/>
      <c r="AV272" s="3"/>
      <c r="AW272" s="1"/>
      <c r="AX272" s="1"/>
      <c r="AZ272">
        <v>76</v>
      </c>
      <c r="BA272">
        <v>260953.83</v>
      </c>
      <c r="BB272" s="1" t="s">
        <v>74</v>
      </c>
      <c r="BC272">
        <v>124</v>
      </c>
      <c r="BD272" s="1" t="s">
        <v>1399</v>
      </c>
      <c r="BE272" s="1" t="s">
        <v>466</v>
      </c>
      <c r="BF272">
        <v>2575.25</v>
      </c>
      <c r="BG272" s="1" t="s">
        <v>1443</v>
      </c>
      <c r="BH272" s="1" t="s">
        <v>99</v>
      </c>
      <c r="BI272">
        <v>0</v>
      </c>
      <c r="BJ272" s="1"/>
      <c r="BK272">
        <v>500</v>
      </c>
      <c r="BL272" s="1" t="s">
        <v>1296</v>
      </c>
      <c r="BN272" s="1"/>
      <c r="BO272">
        <v>186</v>
      </c>
      <c r="BP272">
        <v>260953.83</v>
      </c>
      <c r="BQ272">
        <v>260953.83</v>
      </c>
    </row>
    <row r="273" spans="1:69" x14ac:dyDescent="0.35">
      <c r="A273" s="1" t="s">
        <v>68</v>
      </c>
      <c r="B273" s="1" t="s">
        <v>69</v>
      </c>
      <c r="C273" s="1" t="s">
        <v>70</v>
      </c>
      <c r="D273">
        <v>1</v>
      </c>
      <c r="E273">
        <v>1</v>
      </c>
      <c r="F273" s="2">
        <v>43584.863483796296</v>
      </c>
      <c r="G273" s="3">
        <v>40909</v>
      </c>
      <c r="H273" s="3">
        <v>41274</v>
      </c>
      <c r="I273" s="1" t="s">
        <v>71</v>
      </c>
      <c r="J273">
        <v>4521</v>
      </c>
      <c r="K273">
        <v>0</v>
      </c>
      <c r="L273" s="1" t="s">
        <v>384</v>
      </c>
      <c r="M273" s="1" t="s">
        <v>72</v>
      </c>
      <c r="N273" s="1" t="s">
        <v>134</v>
      </c>
      <c r="O273" s="1" t="s">
        <v>385</v>
      </c>
      <c r="P273" s="1" t="s">
        <v>386</v>
      </c>
      <c r="Q273" s="1" t="s">
        <v>387</v>
      </c>
      <c r="R273">
        <v>103</v>
      </c>
      <c r="S273" s="1" t="s">
        <v>135</v>
      </c>
      <c r="T273" s="1" t="s">
        <v>388</v>
      </c>
      <c r="U273" s="1" t="s">
        <v>135</v>
      </c>
      <c r="V273" s="1"/>
      <c r="W273" s="1"/>
      <c r="X273" s="1"/>
      <c r="Y273" s="1"/>
      <c r="AA273" s="1"/>
      <c r="AC273" s="1"/>
      <c r="AD273" s="1"/>
      <c r="AE273" s="1"/>
      <c r="AN273" s="1"/>
      <c r="AP273" s="1"/>
      <c r="AQ273" s="1"/>
      <c r="AR273" s="1"/>
      <c r="AS273" s="1"/>
      <c r="AT273" s="3"/>
      <c r="AU273" s="3"/>
      <c r="AV273" s="3"/>
      <c r="AW273" s="1"/>
      <c r="AX273" s="1"/>
      <c r="AZ273">
        <v>76</v>
      </c>
      <c r="BA273">
        <v>260953.83</v>
      </c>
      <c r="BB273" s="1" t="s">
        <v>74</v>
      </c>
      <c r="BC273">
        <v>125</v>
      </c>
      <c r="BD273" s="1" t="s">
        <v>1399</v>
      </c>
      <c r="BE273" s="1" t="s">
        <v>99</v>
      </c>
      <c r="BF273">
        <v>0</v>
      </c>
      <c r="BG273" s="1"/>
      <c r="BH273" s="1" t="s">
        <v>448</v>
      </c>
      <c r="BI273">
        <v>2575.25</v>
      </c>
      <c r="BJ273" s="1" t="s">
        <v>1443</v>
      </c>
      <c r="BL273" s="1"/>
      <c r="BM273">
        <v>500</v>
      </c>
      <c r="BN273" s="1" t="s">
        <v>1296</v>
      </c>
      <c r="BO273">
        <v>186</v>
      </c>
      <c r="BP273">
        <v>260953.83</v>
      </c>
      <c r="BQ273">
        <v>260953.83</v>
      </c>
    </row>
    <row r="274" spans="1:69" x14ac:dyDescent="0.35">
      <c r="A274" s="1" t="s">
        <v>68</v>
      </c>
      <c r="B274" s="1" t="s">
        <v>69</v>
      </c>
      <c r="C274" s="1" t="s">
        <v>70</v>
      </c>
      <c r="D274">
        <v>1</v>
      </c>
      <c r="E274">
        <v>1</v>
      </c>
      <c r="F274" s="2">
        <v>43584.863483796296</v>
      </c>
      <c r="G274" s="3">
        <v>40909</v>
      </c>
      <c r="H274" s="3">
        <v>41274</v>
      </c>
      <c r="I274" s="1" t="s">
        <v>71</v>
      </c>
      <c r="J274">
        <v>4521</v>
      </c>
      <c r="K274">
        <v>0</v>
      </c>
      <c r="L274" s="1" t="s">
        <v>384</v>
      </c>
      <c r="M274" s="1" t="s">
        <v>72</v>
      </c>
      <c r="N274" s="1" t="s">
        <v>134</v>
      </c>
      <c r="O274" s="1" t="s">
        <v>385</v>
      </c>
      <c r="P274" s="1" t="s">
        <v>386</v>
      </c>
      <c r="Q274" s="1" t="s">
        <v>387</v>
      </c>
      <c r="R274">
        <v>103</v>
      </c>
      <c r="S274" s="1" t="s">
        <v>135</v>
      </c>
      <c r="T274" s="1" t="s">
        <v>388</v>
      </c>
      <c r="U274" s="1" t="s">
        <v>135</v>
      </c>
      <c r="V274" s="1"/>
      <c r="W274" s="1"/>
      <c r="X274" s="1"/>
      <c r="Y274" s="1"/>
      <c r="AA274" s="1"/>
      <c r="AC274" s="1"/>
      <c r="AD274" s="1"/>
      <c r="AE274" s="1"/>
      <c r="AN274" s="1"/>
      <c r="AP274" s="1"/>
      <c r="AQ274" s="1"/>
      <c r="AR274" s="1"/>
      <c r="AS274" s="1"/>
      <c r="AT274" s="3"/>
      <c r="AU274" s="3"/>
      <c r="AV274" s="3"/>
      <c r="AW274" s="1"/>
      <c r="AX274" s="1"/>
      <c r="AZ274">
        <v>76</v>
      </c>
      <c r="BA274">
        <v>260953.83</v>
      </c>
      <c r="BB274" s="1" t="s">
        <v>74</v>
      </c>
      <c r="BC274">
        <v>126</v>
      </c>
      <c r="BD274" s="1" t="s">
        <v>1400</v>
      </c>
      <c r="BE274" s="1" t="s">
        <v>452</v>
      </c>
      <c r="BF274">
        <v>4000</v>
      </c>
      <c r="BG274" s="1" t="s">
        <v>1444</v>
      </c>
      <c r="BH274" s="1" t="s">
        <v>99</v>
      </c>
      <c r="BI274">
        <v>0</v>
      </c>
      <c r="BJ274" s="1"/>
      <c r="BL274" s="1"/>
      <c r="BN274" s="1"/>
      <c r="BO274">
        <v>186</v>
      </c>
      <c r="BP274">
        <v>260953.83</v>
      </c>
      <c r="BQ274">
        <v>260953.83</v>
      </c>
    </row>
    <row r="275" spans="1:69" x14ac:dyDescent="0.35">
      <c r="A275" s="1" t="s">
        <v>68</v>
      </c>
      <c r="B275" s="1" t="s">
        <v>69</v>
      </c>
      <c r="C275" s="1" t="s">
        <v>70</v>
      </c>
      <c r="D275">
        <v>1</v>
      </c>
      <c r="E275">
        <v>1</v>
      </c>
      <c r="F275" s="2">
        <v>43584.863483796296</v>
      </c>
      <c r="G275" s="3">
        <v>40909</v>
      </c>
      <c r="H275" s="3">
        <v>41274</v>
      </c>
      <c r="I275" s="1" t="s">
        <v>71</v>
      </c>
      <c r="J275">
        <v>4521</v>
      </c>
      <c r="K275">
        <v>0</v>
      </c>
      <c r="L275" s="1" t="s">
        <v>384</v>
      </c>
      <c r="M275" s="1" t="s">
        <v>72</v>
      </c>
      <c r="N275" s="1" t="s">
        <v>134</v>
      </c>
      <c r="O275" s="1" t="s">
        <v>385</v>
      </c>
      <c r="P275" s="1" t="s">
        <v>386</v>
      </c>
      <c r="Q275" s="1" t="s">
        <v>387</v>
      </c>
      <c r="R275">
        <v>103</v>
      </c>
      <c r="S275" s="1" t="s">
        <v>135</v>
      </c>
      <c r="T275" s="1" t="s">
        <v>388</v>
      </c>
      <c r="U275" s="1" t="s">
        <v>135</v>
      </c>
      <c r="V275" s="1"/>
      <c r="W275" s="1"/>
      <c r="X275" s="1"/>
      <c r="Y275" s="1"/>
      <c r="AA275" s="1"/>
      <c r="AC275" s="1"/>
      <c r="AD275" s="1"/>
      <c r="AE275" s="1"/>
      <c r="AN275" s="1"/>
      <c r="AP275" s="1"/>
      <c r="AQ275" s="1"/>
      <c r="AR275" s="1"/>
      <c r="AS275" s="1"/>
      <c r="AT275" s="3"/>
      <c r="AU275" s="3"/>
      <c r="AV275" s="3"/>
      <c r="AW275" s="1"/>
      <c r="AX275" s="1"/>
      <c r="AZ275">
        <v>76</v>
      </c>
      <c r="BA275">
        <v>260953.83</v>
      </c>
      <c r="BB275" s="1" t="s">
        <v>74</v>
      </c>
      <c r="BC275">
        <v>127</v>
      </c>
      <c r="BD275" s="1" t="s">
        <v>1400</v>
      </c>
      <c r="BE275" s="1" t="s">
        <v>99</v>
      </c>
      <c r="BF275">
        <v>0</v>
      </c>
      <c r="BG275" s="1"/>
      <c r="BH275" s="1" t="s">
        <v>451</v>
      </c>
      <c r="BI275">
        <v>4000</v>
      </c>
      <c r="BJ275" s="1" t="s">
        <v>1444</v>
      </c>
      <c r="BL275" s="1"/>
      <c r="BN275" s="1"/>
      <c r="BO275">
        <v>186</v>
      </c>
      <c r="BP275">
        <v>260953.83</v>
      </c>
      <c r="BQ275">
        <v>260953.83</v>
      </c>
    </row>
    <row r="276" spans="1:69" x14ac:dyDescent="0.35">
      <c r="A276" s="1" t="s">
        <v>68</v>
      </c>
      <c r="B276" s="1" t="s">
        <v>69</v>
      </c>
      <c r="C276" s="1" t="s">
        <v>70</v>
      </c>
      <c r="D276">
        <v>1</v>
      </c>
      <c r="E276">
        <v>1</v>
      </c>
      <c r="F276" s="2">
        <v>43584.863483796296</v>
      </c>
      <c r="G276" s="3">
        <v>40909</v>
      </c>
      <c r="H276" s="3">
        <v>41274</v>
      </c>
      <c r="I276" s="1" t="s">
        <v>71</v>
      </c>
      <c r="J276">
        <v>4521</v>
      </c>
      <c r="K276">
        <v>0</v>
      </c>
      <c r="L276" s="1" t="s">
        <v>384</v>
      </c>
      <c r="M276" s="1" t="s">
        <v>72</v>
      </c>
      <c r="N276" s="1" t="s">
        <v>134</v>
      </c>
      <c r="O276" s="1" t="s">
        <v>385</v>
      </c>
      <c r="P276" s="1" t="s">
        <v>386</v>
      </c>
      <c r="Q276" s="1" t="s">
        <v>387</v>
      </c>
      <c r="R276">
        <v>103</v>
      </c>
      <c r="S276" s="1" t="s">
        <v>135</v>
      </c>
      <c r="T276" s="1" t="s">
        <v>388</v>
      </c>
      <c r="U276" s="1" t="s">
        <v>135</v>
      </c>
      <c r="V276" s="1"/>
      <c r="W276" s="1"/>
      <c r="X276" s="1"/>
      <c r="Y276" s="1"/>
      <c r="AA276" s="1"/>
      <c r="AC276" s="1"/>
      <c r="AD276" s="1"/>
      <c r="AE276" s="1"/>
      <c r="AN276" s="1"/>
      <c r="AP276" s="1"/>
      <c r="AQ276" s="1"/>
      <c r="AR276" s="1"/>
      <c r="AS276" s="1"/>
      <c r="AT276" s="3"/>
      <c r="AU276" s="3"/>
      <c r="AV276" s="3"/>
      <c r="AW276" s="1"/>
      <c r="AX276" s="1"/>
      <c r="AZ276">
        <v>76</v>
      </c>
      <c r="BA276">
        <v>260953.83</v>
      </c>
      <c r="BB276" s="1" t="s">
        <v>74</v>
      </c>
      <c r="BC276">
        <v>128</v>
      </c>
      <c r="BD276" s="1" t="s">
        <v>1401</v>
      </c>
      <c r="BE276" s="1" t="s">
        <v>414</v>
      </c>
      <c r="BF276">
        <v>1430.5</v>
      </c>
      <c r="BG276" s="1" t="s">
        <v>1445</v>
      </c>
      <c r="BH276" s="1" t="s">
        <v>99</v>
      </c>
      <c r="BI276">
        <v>0</v>
      </c>
      <c r="BJ276" s="1"/>
      <c r="BL276" s="1"/>
      <c r="BN276" s="1"/>
      <c r="BO276">
        <v>186</v>
      </c>
      <c r="BP276">
        <v>260953.83</v>
      </c>
      <c r="BQ276">
        <v>260953.83</v>
      </c>
    </row>
    <row r="277" spans="1:69" x14ac:dyDescent="0.35">
      <c r="A277" s="1" t="s">
        <v>68</v>
      </c>
      <c r="B277" s="1" t="s">
        <v>69</v>
      </c>
      <c r="C277" s="1" t="s">
        <v>70</v>
      </c>
      <c r="D277">
        <v>1</v>
      </c>
      <c r="E277">
        <v>1</v>
      </c>
      <c r="F277" s="2">
        <v>43584.863483796296</v>
      </c>
      <c r="G277" s="3">
        <v>40909</v>
      </c>
      <c r="H277" s="3">
        <v>41274</v>
      </c>
      <c r="I277" s="1" t="s">
        <v>71</v>
      </c>
      <c r="J277">
        <v>4521</v>
      </c>
      <c r="K277">
        <v>0</v>
      </c>
      <c r="L277" s="1" t="s">
        <v>384</v>
      </c>
      <c r="M277" s="1" t="s">
        <v>72</v>
      </c>
      <c r="N277" s="1" t="s">
        <v>134</v>
      </c>
      <c r="O277" s="1" t="s">
        <v>385</v>
      </c>
      <c r="P277" s="1" t="s">
        <v>386</v>
      </c>
      <c r="Q277" s="1" t="s">
        <v>387</v>
      </c>
      <c r="R277">
        <v>103</v>
      </c>
      <c r="S277" s="1" t="s">
        <v>135</v>
      </c>
      <c r="T277" s="1" t="s">
        <v>388</v>
      </c>
      <c r="U277" s="1" t="s">
        <v>135</v>
      </c>
      <c r="V277" s="1"/>
      <c r="W277" s="1"/>
      <c r="X277" s="1"/>
      <c r="Y277" s="1"/>
      <c r="AA277" s="1"/>
      <c r="AC277" s="1"/>
      <c r="AD277" s="1"/>
      <c r="AE277" s="1"/>
      <c r="AN277" s="1"/>
      <c r="AP277" s="1"/>
      <c r="AQ277" s="1"/>
      <c r="AR277" s="1"/>
      <c r="AS277" s="1"/>
      <c r="AT277" s="3"/>
      <c r="AU277" s="3"/>
      <c r="AV277" s="3"/>
      <c r="AW277" s="1"/>
      <c r="AX277" s="1"/>
      <c r="AZ277">
        <v>76</v>
      </c>
      <c r="BA277">
        <v>260953.83</v>
      </c>
      <c r="BB277" s="1" t="s">
        <v>74</v>
      </c>
      <c r="BC277">
        <v>129</v>
      </c>
      <c r="BD277" s="1" t="s">
        <v>1401</v>
      </c>
      <c r="BE277" s="1" t="s">
        <v>99</v>
      </c>
      <c r="BF277">
        <v>0</v>
      </c>
      <c r="BG277" s="1"/>
      <c r="BH277" s="1" t="s">
        <v>1309</v>
      </c>
      <c r="BI277">
        <v>1350</v>
      </c>
      <c r="BJ277" s="1" t="s">
        <v>1445</v>
      </c>
      <c r="BL277" s="1"/>
      <c r="BN277" s="1"/>
      <c r="BO277">
        <v>186</v>
      </c>
      <c r="BP277">
        <v>260953.83</v>
      </c>
      <c r="BQ277">
        <v>260953.83</v>
      </c>
    </row>
    <row r="278" spans="1:69" x14ac:dyDescent="0.35">
      <c r="A278" s="1" t="s">
        <v>68</v>
      </c>
      <c r="B278" s="1" t="s">
        <v>69</v>
      </c>
      <c r="C278" s="1" t="s">
        <v>70</v>
      </c>
      <c r="D278">
        <v>1</v>
      </c>
      <c r="E278">
        <v>1</v>
      </c>
      <c r="F278" s="2">
        <v>43584.863483796296</v>
      </c>
      <c r="G278" s="3">
        <v>40909</v>
      </c>
      <c r="H278" s="3">
        <v>41274</v>
      </c>
      <c r="I278" s="1" t="s">
        <v>71</v>
      </c>
      <c r="J278">
        <v>4521</v>
      </c>
      <c r="K278">
        <v>0</v>
      </c>
      <c r="L278" s="1" t="s">
        <v>384</v>
      </c>
      <c r="M278" s="1" t="s">
        <v>72</v>
      </c>
      <c r="N278" s="1" t="s">
        <v>134</v>
      </c>
      <c r="O278" s="1" t="s">
        <v>385</v>
      </c>
      <c r="P278" s="1" t="s">
        <v>386</v>
      </c>
      <c r="Q278" s="1" t="s">
        <v>387</v>
      </c>
      <c r="R278">
        <v>103</v>
      </c>
      <c r="S278" s="1" t="s">
        <v>135</v>
      </c>
      <c r="T278" s="1" t="s">
        <v>388</v>
      </c>
      <c r="U278" s="1" t="s">
        <v>135</v>
      </c>
      <c r="V278" s="1"/>
      <c r="W278" s="1"/>
      <c r="X278" s="1"/>
      <c r="Y278" s="1"/>
      <c r="AA278" s="1"/>
      <c r="AC278" s="1"/>
      <c r="AD278" s="1"/>
      <c r="AE278" s="1"/>
      <c r="AN278" s="1"/>
      <c r="AP278" s="1"/>
      <c r="AQ278" s="1"/>
      <c r="AR278" s="1"/>
      <c r="AS278" s="1"/>
      <c r="AT278" s="3"/>
      <c r="AU278" s="3"/>
      <c r="AV278" s="3"/>
      <c r="AW278" s="1"/>
      <c r="AX278" s="1"/>
      <c r="AZ278">
        <v>76</v>
      </c>
      <c r="BA278">
        <v>260953.83</v>
      </c>
      <c r="BB278" s="1" t="s">
        <v>74</v>
      </c>
      <c r="BC278">
        <v>130</v>
      </c>
      <c r="BD278" s="1" t="s">
        <v>1401</v>
      </c>
      <c r="BE278" s="1" t="s">
        <v>99</v>
      </c>
      <c r="BF278">
        <v>0</v>
      </c>
      <c r="BG278" s="1"/>
      <c r="BH278" s="1" t="s">
        <v>451</v>
      </c>
      <c r="BI278">
        <v>80.5</v>
      </c>
      <c r="BJ278" s="1" t="s">
        <v>1445</v>
      </c>
      <c r="BL278" s="1"/>
      <c r="BN278" s="1"/>
      <c r="BO278">
        <v>186</v>
      </c>
      <c r="BP278">
        <v>260953.83</v>
      </c>
      <c r="BQ278">
        <v>260953.83</v>
      </c>
    </row>
    <row r="279" spans="1:69" x14ac:dyDescent="0.35">
      <c r="A279" s="1" t="s">
        <v>68</v>
      </c>
      <c r="B279" s="1" t="s">
        <v>69</v>
      </c>
      <c r="C279" s="1" t="s">
        <v>70</v>
      </c>
      <c r="D279">
        <v>1</v>
      </c>
      <c r="E279">
        <v>1</v>
      </c>
      <c r="F279" s="2">
        <v>43584.863483796296</v>
      </c>
      <c r="G279" s="3">
        <v>40909</v>
      </c>
      <c r="H279" s="3">
        <v>41274</v>
      </c>
      <c r="I279" s="1" t="s">
        <v>71</v>
      </c>
      <c r="J279">
        <v>4521</v>
      </c>
      <c r="K279">
        <v>0</v>
      </c>
      <c r="L279" s="1" t="s">
        <v>384</v>
      </c>
      <c r="M279" s="1" t="s">
        <v>72</v>
      </c>
      <c r="N279" s="1" t="s">
        <v>134</v>
      </c>
      <c r="O279" s="1" t="s">
        <v>385</v>
      </c>
      <c r="P279" s="1" t="s">
        <v>386</v>
      </c>
      <c r="Q279" s="1" t="s">
        <v>387</v>
      </c>
      <c r="R279">
        <v>103</v>
      </c>
      <c r="S279" s="1" t="s">
        <v>135</v>
      </c>
      <c r="T279" s="1" t="s">
        <v>388</v>
      </c>
      <c r="U279" s="1" t="s">
        <v>135</v>
      </c>
      <c r="V279" s="1"/>
      <c r="W279" s="1"/>
      <c r="X279" s="1"/>
      <c r="Y279" s="1"/>
      <c r="AA279" s="1"/>
      <c r="AC279" s="1"/>
      <c r="AD279" s="1"/>
      <c r="AE279" s="1"/>
      <c r="AN279" s="1"/>
      <c r="AP279" s="1"/>
      <c r="AQ279" s="1"/>
      <c r="AR279" s="1"/>
      <c r="AS279" s="1"/>
      <c r="AT279" s="3"/>
      <c r="AU279" s="3"/>
      <c r="AV279" s="3"/>
      <c r="AW279" s="1"/>
      <c r="AX279" s="1"/>
      <c r="AZ279">
        <v>76</v>
      </c>
      <c r="BA279">
        <v>260953.83</v>
      </c>
      <c r="BB279" s="1" t="s">
        <v>74</v>
      </c>
      <c r="BC279">
        <v>131</v>
      </c>
      <c r="BD279" s="1" t="s">
        <v>1402</v>
      </c>
      <c r="BE279" s="1" t="s">
        <v>1305</v>
      </c>
      <c r="BF279">
        <v>1537.5</v>
      </c>
      <c r="BG279" s="1" t="s">
        <v>1532</v>
      </c>
      <c r="BH279" s="1" t="s">
        <v>99</v>
      </c>
      <c r="BI279">
        <v>0</v>
      </c>
      <c r="BJ279" s="1"/>
      <c r="BL279" s="1"/>
      <c r="BN279" s="1"/>
      <c r="BO279">
        <v>186</v>
      </c>
      <c r="BP279">
        <v>260953.83</v>
      </c>
      <c r="BQ279">
        <v>260953.83</v>
      </c>
    </row>
    <row r="280" spans="1:69" x14ac:dyDescent="0.35">
      <c r="A280" s="1" t="s">
        <v>68</v>
      </c>
      <c r="B280" s="1" t="s">
        <v>69</v>
      </c>
      <c r="C280" s="1" t="s">
        <v>70</v>
      </c>
      <c r="D280">
        <v>1</v>
      </c>
      <c r="E280">
        <v>1</v>
      </c>
      <c r="F280" s="2">
        <v>43584.863483796296</v>
      </c>
      <c r="G280" s="3">
        <v>40909</v>
      </c>
      <c r="H280" s="3">
        <v>41274</v>
      </c>
      <c r="I280" s="1" t="s">
        <v>71</v>
      </c>
      <c r="J280">
        <v>4521</v>
      </c>
      <c r="K280">
        <v>0</v>
      </c>
      <c r="L280" s="1" t="s">
        <v>384</v>
      </c>
      <c r="M280" s="1" t="s">
        <v>72</v>
      </c>
      <c r="N280" s="1" t="s">
        <v>134</v>
      </c>
      <c r="O280" s="1" t="s">
        <v>385</v>
      </c>
      <c r="P280" s="1" t="s">
        <v>386</v>
      </c>
      <c r="Q280" s="1" t="s">
        <v>387</v>
      </c>
      <c r="R280">
        <v>103</v>
      </c>
      <c r="S280" s="1" t="s">
        <v>135</v>
      </c>
      <c r="T280" s="1" t="s">
        <v>388</v>
      </c>
      <c r="U280" s="1" t="s">
        <v>135</v>
      </c>
      <c r="V280" s="1"/>
      <c r="W280" s="1"/>
      <c r="X280" s="1"/>
      <c r="Y280" s="1"/>
      <c r="AA280" s="1"/>
      <c r="AC280" s="1"/>
      <c r="AD280" s="1"/>
      <c r="AE280" s="1"/>
      <c r="AN280" s="1"/>
      <c r="AP280" s="1"/>
      <c r="AQ280" s="1"/>
      <c r="AR280" s="1"/>
      <c r="AS280" s="1"/>
      <c r="AT280" s="3"/>
      <c r="AU280" s="3"/>
      <c r="AV280" s="3"/>
      <c r="AW280" s="1"/>
      <c r="AX280" s="1"/>
      <c r="AZ280">
        <v>76</v>
      </c>
      <c r="BA280">
        <v>260953.83</v>
      </c>
      <c r="BB280" s="1" t="s">
        <v>74</v>
      </c>
      <c r="BC280">
        <v>132</v>
      </c>
      <c r="BD280" s="1" t="s">
        <v>1402</v>
      </c>
      <c r="BE280" s="1" t="s">
        <v>99</v>
      </c>
      <c r="BF280">
        <v>0</v>
      </c>
      <c r="BG280" s="1"/>
      <c r="BH280" s="1" t="s">
        <v>493</v>
      </c>
      <c r="BI280">
        <v>1250</v>
      </c>
      <c r="BJ280" s="1" t="s">
        <v>1532</v>
      </c>
      <c r="BL280" s="1"/>
      <c r="BN280" s="1"/>
      <c r="BO280">
        <v>186</v>
      </c>
      <c r="BP280">
        <v>260953.83</v>
      </c>
      <c r="BQ280">
        <v>260953.83</v>
      </c>
    </row>
    <row r="281" spans="1:69" x14ac:dyDescent="0.35">
      <c r="A281" s="1" t="s">
        <v>68</v>
      </c>
      <c r="B281" s="1" t="s">
        <v>69</v>
      </c>
      <c r="C281" s="1" t="s">
        <v>70</v>
      </c>
      <c r="D281">
        <v>1</v>
      </c>
      <c r="E281">
        <v>1</v>
      </c>
      <c r="F281" s="2">
        <v>43584.863483796296</v>
      </c>
      <c r="G281" s="3">
        <v>40909</v>
      </c>
      <c r="H281" s="3">
        <v>41274</v>
      </c>
      <c r="I281" s="1" t="s">
        <v>71</v>
      </c>
      <c r="J281">
        <v>4521</v>
      </c>
      <c r="K281">
        <v>0</v>
      </c>
      <c r="L281" s="1" t="s">
        <v>384</v>
      </c>
      <c r="M281" s="1" t="s">
        <v>72</v>
      </c>
      <c r="N281" s="1" t="s">
        <v>134</v>
      </c>
      <c r="O281" s="1" t="s">
        <v>385</v>
      </c>
      <c r="P281" s="1" t="s">
        <v>386</v>
      </c>
      <c r="Q281" s="1" t="s">
        <v>387</v>
      </c>
      <c r="R281">
        <v>103</v>
      </c>
      <c r="S281" s="1" t="s">
        <v>135</v>
      </c>
      <c r="T281" s="1" t="s">
        <v>388</v>
      </c>
      <c r="U281" s="1" t="s">
        <v>135</v>
      </c>
      <c r="V281" s="1"/>
      <c r="W281" s="1"/>
      <c r="X281" s="1"/>
      <c r="Y281" s="1"/>
      <c r="AA281" s="1"/>
      <c r="AC281" s="1"/>
      <c r="AD281" s="1"/>
      <c r="AE281" s="1"/>
      <c r="AN281" s="1"/>
      <c r="AP281" s="1"/>
      <c r="AQ281" s="1"/>
      <c r="AR281" s="1"/>
      <c r="AS281" s="1"/>
      <c r="AT281" s="3"/>
      <c r="AU281" s="3"/>
      <c r="AV281" s="3"/>
      <c r="AW281" s="1"/>
      <c r="AX281" s="1"/>
      <c r="AZ281">
        <v>76</v>
      </c>
      <c r="BA281">
        <v>260953.83</v>
      </c>
      <c r="BB281" s="1" t="s">
        <v>74</v>
      </c>
      <c r="BC281">
        <v>133</v>
      </c>
      <c r="BD281" s="1" t="s">
        <v>1402</v>
      </c>
      <c r="BE281" s="1" t="s">
        <v>99</v>
      </c>
      <c r="BF281">
        <v>0</v>
      </c>
      <c r="BG281" s="1"/>
      <c r="BH281" s="1" t="s">
        <v>451</v>
      </c>
      <c r="BI281">
        <v>287.5</v>
      </c>
      <c r="BJ281" s="1" t="s">
        <v>1532</v>
      </c>
      <c r="BL281" s="1"/>
      <c r="BN281" s="1"/>
      <c r="BO281">
        <v>186</v>
      </c>
      <c r="BP281">
        <v>260953.83</v>
      </c>
      <c r="BQ281">
        <v>260953.83</v>
      </c>
    </row>
    <row r="282" spans="1:69" x14ac:dyDescent="0.35">
      <c r="A282" s="1" t="s">
        <v>68</v>
      </c>
      <c r="B282" s="1" t="s">
        <v>69</v>
      </c>
      <c r="C282" s="1" t="s">
        <v>70</v>
      </c>
      <c r="D282">
        <v>1</v>
      </c>
      <c r="E282">
        <v>1</v>
      </c>
      <c r="F282" s="2">
        <v>43584.863483796296</v>
      </c>
      <c r="G282" s="3">
        <v>40909</v>
      </c>
      <c r="H282" s="3">
        <v>41274</v>
      </c>
      <c r="I282" s="1" t="s">
        <v>71</v>
      </c>
      <c r="J282">
        <v>4521</v>
      </c>
      <c r="K282">
        <v>0</v>
      </c>
      <c r="L282" s="1" t="s">
        <v>384</v>
      </c>
      <c r="M282" s="1" t="s">
        <v>72</v>
      </c>
      <c r="N282" s="1" t="s">
        <v>134</v>
      </c>
      <c r="O282" s="1" t="s">
        <v>385</v>
      </c>
      <c r="P282" s="1" t="s">
        <v>386</v>
      </c>
      <c r="Q282" s="1" t="s">
        <v>387</v>
      </c>
      <c r="R282">
        <v>103</v>
      </c>
      <c r="S282" s="1" t="s">
        <v>135</v>
      </c>
      <c r="T282" s="1" t="s">
        <v>388</v>
      </c>
      <c r="U282" s="1" t="s">
        <v>135</v>
      </c>
      <c r="V282" s="1"/>
      <c r="W282" s="1"/>
      <c r="X282" s="1"/>
      <c r="Y282" s="1"/>
      <c r="AA282" s="1"/>
      <c r="AC282" s="1"/>
      <c r="AD282" s="1"/>
      <c r="AE282" s="1"/>
      <c r="AN282" s="1"/>
      <c r="AP282" s="1"/>
      <c r="AQ282" s="1"/>
      <c r="AR282" s="1"/>
      <c r="AS282" s="1"/>
      <c r="AT282" s="3"/>
      <c r="AU282" s="3"/>
      <c r="AV282" s="3"/>
      <c r="AW282" s="1"/>
      <c r="AX282" s="1"/>
      <c r="AZ282">
        <v>76</v>
      </c>
      <c r="BA282">
        <v>260953.83</v>
      </c>
      <c r="BB282" s="1" t="s">
        <v>74</v>
      </c>
      <c r="BC282">
        <v>134</v>
      </c>
      <c r="BD282" s="1" t="s">
        <v>1403</v>
      </c>
      <c r="BE282" s="1" t="s">
        <v>465</v>
      </c>
      <c r="BF282">
        <v>245</v>
      </c>
      <c r="BG282" s="1" t="s">
        <v>987</v>
      </c>
      <c r="BH282" s="1" t="s">
        <v>99</v>
      </c>
      <c r="BI282">
        <v>0</v>
      </c>
      <c r="BJ282" s="1"/>
      <c r="BL282" s="1"/>
      <c r="BN282" s="1"/>
      <c r="BO282">
        <v>186</v>
      </c>
      <c r="BP282">
        <v>260953.83</v>
      </c>
      <c r="BQ282">
        <v>260953.83</v>
      </c>
    </row>
    <row r="283" spans="1:69" x14ac:dyDescent="0.35">
      <c r="A283" s="1" t="s">
        <v>68</v>
      </c>
      <c r="B283" s="1" t="s">
        <v>69</v>
      </c>
      <c r="C283" s="1" t="s">
        <v>70</v>
      </c>
      <c r="D283">
        <v>1</v>
      </c>
      <c r="E283">
        <v>1</v>
      </c>
      <c r="F283" s="2">
        <v>43584.863483796296</v>
      </c>
      <c r="G283" s="3">
        <v>40909</v>
      </c>
      <c r="H283" s="3">
        <v>41274</v>
      </c>
      <c r="I283" s="1" t="s">
        <v>71</v>
      </c>
      <c r="J283">
        <v>4521</v>
      </c>
      <c r="K283">
        <v>0</v>
      </c>
      <c r="L283" s="1" t="s">
        <v>384</v>
      </c>
      <c r="M283" s="1" t="s">
        <v>72</v>
      </c>
      <c r="N283" s="1" t="s">
        <v>134</v>
      </c>
      <c r="O283" s="1" t="s">
        <v>385</v>
      </c>
      <c r="P283" s="1" t="s">
        <v>386</v>
      </c>
      <c r="Q283" s="1" t="s">
        <v>387</v>
      </c>
      <c r="R283">
        <v>103</v>
      </c>
      <c r="S283" s="1" t="s">
        <v>135</v>
      </c>
      <c r="T283" s="1" t="s">
        <v>388</v>
      </c>
      <c r="U283" s="1" t="s">
        <v>135</v>
      </c>
      <c r="V283" s="1"/>
      <c r="W283" s="1"/>
      <c r="X283" s="1"/>
      <c r="Y283" s="1"/>
      <c r="AA283" s="1"/>
      <c r="AC283" s="1"/>
      <c r="AD283" s="1"/>
      <c r="AE283" s="1"/>
      <c r="AN283" s="1"/>
      <c r="AP283" s="1"/>
      <c r="AQ283" s="1"/>
      <c r="AR283" s="1"/>
      <c r="AS283" s="1"/>
      <c r="AT283" s="3"/>
      <c r="AU283" s="3"/>
      <c r="AV283" s="3"/>
      <c r="AW283" s="1"/>
      <c r="AX283" s="1"/>
      <c r="AZ283">
        <v>76</v>
      </c>
      <c r="BA283">
        <v>260953.83</v>
      </c>
      <c r="BB283" s="1" t="s">
        <v>74</v>
      </c>
      <c r="BC283">
        <v>135</v>
      </c>
      <c r="BD283" s="1" t="s">
        <v>1403</v>
      </c>
      <c r="BE283" s="1" t="s">
        <v>99</v>
      </c>
      <c r="BF283">
        <v>0</v>
      </c>
      <c r="BG283" s="1"/>
      <c r="BH283" s="1" t="s">
        <v>439</v>
      </c>
      <c r="BI283">
        <v>257.25</v>
      </c>
      <c r="BJ283" s="1" t="s">
        <v>987</v>
      </c>
      <c r="BL283" s="1"/>
      <c r="BN283" s="1"/>
      <c r="BO283">
        <v>186</v>
      </c>
      <c r="BP283">
        <v>260953.83</v>
      </c>
      <c r="BQ283">
        <v>260953.83</v>
      </c>
    </row>
    <row r="284" spans="1:69" x14ac:dyDescent="0.35">
      <c r="A284" s="1" t="s">
        <v>68</v>
      </c>
      <c r="B284" s="1" t="s">
        <v>69</v>
      </c>
      <c r="C284" s="1" t="s">
        <v>70</v>
      </c>
      <c r="D284">
        <v>1</v>
      </c>
      <c r="E284">
        <v>1</v>
      </c>
      <c r="F284" s="2">
        <v>43584.863483796296</v>
      </c>
      <c r="G284" s="3">
        <v>40909</v>
      </c>
      <c r="H284" s="3">
        <v>41274</v>
      </c>
      <c r="I284" s="1" t="s">
        <v>71</v>
      </c>
      <c r="J284">
        <v>4521</v>
      </c>
      <c r="K284">
        <v>0</v>
      </c>
      <c r="L284" s="1" t="s">
        <v>384</v>
      </c>
      <c r="M284" s="1" t="s">
        <v>72</v>
      </c>
      <c r="N284" s="1" t="s">
        <v>134</v>
      </c>
      <c r="O284" s="1" t="s">
        <v>385</v>
      </c>
      <c r="P284" s="1" t="s">
        <v>386</v>
      </c>
      <c r="Q284" s="1" t="s">
        <v>387</v>
      </c>
      <c r="R284">
        <v>103</v>
      </c>
      <c r="S284" s="1" t="s">
        <v>135</v>
      </c>
      <c r="T284" s="1" t="s">
        <v>388</v>
      </c>
      <c r="U284" s="1" t="s">
        <v>135</v>
      </c>
      <c r="V284" s="1"/>
      <c r="W284" s="1"/>
      <c r="X284" s="1"/>
      <c r="Y284" s="1"/>
      <c r="AA284" s="1"/>
      <c r="AC284" s="1"/>
      <c r="AD284" s="1"/>
      <c r="AE284" s="1"/>
      <c r="AN284" s="1"/>
      <c r="AP284" s="1"/>
      <c r="AQ284" s="1"/>
      <c r="AR284" s="1"/>
      <c r="AS284" s="1"/>
      <c r="AT284" s="3"/>
      <c r="AU284" s="3"/>
      <c r="AV284" s="3"/>
      <c r="AW284" s="1"/>
      <c r="AX284" s="1"/>
      <c r="AZ284">
        <v>76</v>
      </c>
      <c r="BA284">
        <v>260953.83</v>
      </c>
      <c r="BB284" s="1" t="s">
        <v>74</v>
      </c>
      <c r="BC284">
        <v>136</v>
      </c>
      <c r="BD284" s="1" t="s">
        <v>1403</v>
      </c>
      <c r="BE284" s="1" t="s">
        <v>452</v>
      </c>
      <c r="BF284">
        <v>12.25</v>
      </c>
      <c r="BG284" s="1" t="s">
        <v>987</v>
      </c>
      <c r="BH284" s="1" t="s">
        <v>99</v>
      </c>
      <c r="BI284">
        <v>0</v>
      </c>
      <c r="BJ284" s="1"/>
      <c r="BL284" s="1"/>
      <c r="BN284" s="1"/>
      <c r="BO284">
        <v>186</v>
      </c>
      <c r="BP284">
        <v>260953.83</v>
      </c>
      <c r="BQ284">
        <v>260953.83</v>
      </c>
    </row>
    <row r="285" spans="1:69" x14ac:dyDescent="0.35">
      <c r="A285" s="1" t="s">
        <v>68</v>
      </c>
      <c r="B285" s="1" t="s">
        <v>69</v>
      </c>
      <c r="C285" s="1" t="s">
        <v>70</v>
      </c>
      <c r="D285">
        <v>1</v>
      </c>
      <c r="E285">
        <v>1</v>
      </c>
      <c r="F285" s="2">
        <v>43584.863483796296</v>
      </c>
      <c r="G285" s="3">
        <v>40909</v>
      </c>
      <c r="H285" s="3">
        <v>41274</v>
      </c>
      <c r="I285" s="1" t="s">
        <v>71</v>
      </c>
      <c r="J285">
        <v>4521</v>
      </c>
      <c r="K285">
        <v>0</v>
      </c>
      <c r="L285" s="1" t="s">
        <v>384</v>
      </c>
      <c r="M285" s="1" t="s">
        <v>72</v>
      </c>
      <c r="N285" s="1" t="s">
        <v>134</v>
      </c>
      <c r="O285" s="1" t="s">
        <v>385</v>
      </c>
      <c r="P285" s="1" t="s">
        <v>386</v>
      </c>
      <c r="Q285" s="1" t="s">
        <v>387</v>
      </c>
      <c r="R285">
        <v>103</v>
      </c>
      <c r="S285" s="1" t="s">
        <v>135</v>
      </c>
      <c r="T285" s="1" t="s">
        <v>388</v>
      </c>
      <c r="U285" s="1" t="s">
        <v>135</v>
      </c>
      <c r="V285" s="1"/>
      <c r="W285" s="1"/>
      <c r="X285" s="1"/>
      <c r="Y285" s="1"/>
      <c r="AA285" s="1"/>
      <c r="AC285" s="1"/>
      <c r="AD285" s="1"/>
      <c r="AE285" s="1"/>
      <c r="AN285" s="1"/>
      <c r="AP285" s="1"/>
      <c r="AQ285" s="1"/>
      <c r="AR285" s="1"/>
      <c r="AS285" s="1"/>
      <c r="AT285" s="3"/>
      <c r="AU285" s="3"/>
      <c r="AV285" s="3"/>
      <c r="AW285" s="1"/>
      <c r="AX285" s="1"/>
      <c r="AZ285">
        <v>76</v>
      </c>
      <c r="BA285">
        <v>260953.83</v>
      </c>
      <c r="BB285" s="1" t="s">
        <v>74</v>
      </c>
      <c r="BC285">
        <v>137</v>
      </c>
      <c r="BD285" s="1" t="s">
        <v>1404</v>
      </c>
      <c r="BE285" s="1" t="s">
        <v>1314</v>
      </c>
      <c r="BF285">
        <v>922.5</v>
      </c>
      <c r="BG285" s="1" t="s">
        <v>1533</v>
      </c>
      <c r="BH285" s="1" t="s">
        <v>99</v>
      </c>
      <c r="BI285">
        <v>0</v>
      </c>
      <c r="BJ285" s="1"/>
      <c r="BL285" s="1"/>
      <c r="BN285" s="1"/>
      <c r="BO285">
        <v>186</v>
      </c>
      <c r="BP285">
        <v>260953.83</v>
      </c>
      <c r="BQ285">
        <v>260953.83</v>
      </c>
    </row>
    <row r="286" spans="1:69" x14ac:dyDescent="0.35">
      <c r="A286" s="1" t="s">
        <v>68</v>
      </c>
      <c r="B286" s="1" t="s">
        <v>69</v>
      </c>
      <c r="C286" s="1" t="s">
        <v>70</v>
      </c>
      <c r="D286">
        <v>1</v>
      </c>
      <c r="E286">
        <v>1</v>
      </c>
      <c r="F286" s="2">
        <v>43584.863483796296</v>
      </c>
      <c r="G286" s="3">
        <v>40909</v>
      </c>
      <c r="H286" s="3">
        <v>41274</v>
      </c>
      <c r="I286" s="1" t="s">
        <v>71</v>
      </c>
      <c r="J286">
        <v>4521</v>
      </c>
      <c r="K286">
        <v>0</v>
      </c>
      <c r="L286" s="1" t="s">
        <v>384</v>
      </c>
      <c r="M286" s="1" t="s">
        <v>72</v>
      </c>
      <c r="N286" s="1" t="s">
        <v>134</v>
      </c>
      <c r="O286" s="1" t="s">
        <v>385</v>
      </c>
      <c r="P286" s="1" t="s">
        <v>386</v>
      </c>
      <c r="Q286" s="1" t="s">
        <v>387</v>
      </c>
      <c r="R286">
        <v>103</v>
      </c>
      <c r="S286" s="1" t="s">
        <v>135</v>
      </c>
      <c r="T286" s="1" t="s">
        <v>388</v>
      </c>
      <c r="U286" s="1" t="s">
        <v>135</v>
      </c>
      <c r="V286" s="1"/>
      <c r="W286" s="1"/>
      <c r="X286" s="1"/>
      <c r="Y286" s="1"/>
      <c r="AA286" s="1"/>
      <c r="AC286" s="1"/>
      <c r="AD286" s="1"/>
      <c r="AE286" s="1"/>
      <c r="AN286" s="1"/>
      <c r="AP286" s="1"/>
      <c r="AQ286" s="1"/>
      <c r="AR286" s="1"/>
      <c r="AS286" s="1"/>
      <c r="AT286" s="3"/>
      <c r="AU286" s="3"/>
      <c r="AV286" s="3"/>
      <c r="AW286" s="1"/>
      <c r="AX286" s="1"/>
      <c r="AZ286">
        <v>76</v>
      </c>
      <c r="BA286">
        <v>260953.83</v>
      </c>
      <c r="BB286" s="1" t="s">
        <v>74</v>
      </c>
      <c r="BC286">
        <v>138</v>
      </c>
      <c r="BD286" s="1" t="s">
        <v>1404</v>
      </c>
      <c r="BE286" s="1" t="s">
        <v>99</v>
      </c>
      <c r="BF286">
        <v>0</v>
      </c>
      <c r="BG286" s="1"/>
      <c r="BH286" s="1" t="s">
        <v>1313</v>
      </c>
      <c r="BI286">
        <v>750</v>
      </c>
      <c r="BJ286" s="1" t="s">
        <v>1533</v>
      </c>
      <c r="BL286" s="1"/>
      <c r="BN286" s="1"/>
      <c r="BO286">
        <v>186</v>
      </c>
      <c r="BP286">
        <v>260953.83</v>
      </c>
      <c r="BQ286">
        <v>260953.83</v>
      </c>
    </row>
    <row r="287" spans="1:69" x14ac:dyDescent="0.35">
      <c r="A287" s="1" t="s">
        <v>68</v>
      </c>
      <c r="B287" s="1" t="s">
        <v>69</v>
      </c>
      <c r="C287" s="1" t="s">
        <v>70</v>
      </c>
      <c r="D287">
        <v>1</v>
      </c>
      <c r="E287">
        <v>1</v>
      </c>
      <c r="F287" s="2">
        <v>43584.863483796296</v>
      </c>
      <c r="G287" s="3">
        <v>40909</v>
      </c>
      <c r="H287" s="3">
        <v>41274</v>
      </c>
      <c r="I287" s="1" t="s">
        <v>71</v>
      </c>
      <c r="J287">
        <v>4521</v>
      </c>
      <c r="K287">
        <v>0</v>
      </c>
      <c r="L287" s="1" t="s">
        <v>384</v>
      </c>
      <c r="M287" s="1" t="s">
        <v>72</v>
      </c>
      <c r="N287" s="1" t="s">
        <v>134</v>
      </c>
      <c r="O287" s="1" t="s">
        <v>385</v>
      </c>
      <c r="P287" s="1" t="s">
        <v>386</v>
      </c>
      <c r="Q287" s="1" t="s">
        <v>387</v>
      </c>
      <c r="R287">
        <v>103</v>
      </c>
      <c r="S287" s="1" t="s">
        <v>135</v>
      </c>
      <c r="T287" s="1" t="s">
        <v>388</v>
      </c>
      <c r="U287" s="1" t="s">
        <v>135</v>
      </c>
      <c r="V287" s="1"/>
      <c r="W287" s="1"/>
      <c r="X287" s="1"/>
      <c r="Y287" s="1"/>
      <c r="AA287" s="1"/>
      <c r="AC287" s="1"/>
      <c r="AD287" s="1"/>
      <c r="AE287" s="1"/>
      <c r="AN287" s="1"/>
      <c r="AP287" s="1"/>
      <c r="AQ287" s="1"/>
      <c r="AR287" s="1"/>
      <c r="AS287" s="1"/>
      <c r="AT287" s="3"/>
      <c r="AU287" s="3"/>
      <c r="AV287" s="3"/>
      <c r="AW287" s="1"/>
      <c r="AX287" s="1"/>
      <c r="AZ287">
        <v>76</v>
      </c>
      <c r="BA287">
        <v>260953.83</v>
      </c>
      <c r="BB287" s="1" t="s">
        <v>74</v>
      </c>
      <c r="BC287">
        <v>139</v>
      </c>
      <c r="BD287" s="1" t="s">
        <v>1404</v>
      </c>
      <c r="BE287" s="1" t="s">
        <v>99</v>
      </c>
      <c r="BF287">
        <v>0</v>
      </c>
      <c r="BG287" s="1"/>
      <c r="BH287" s="1" t="s">
        <v>451</v>
      </c>
      <c r="BI287">
        <v>172.5</v>
      </c>
      <c r="BJ287" s="1" t="s">
        <v>1533</v>
      </c>
      <c r="BL287" s="1"/>
      <c r="BN287" s="1"/>
      <c r="BO287">
        <v>186</v>
      </c>
      <c r="BP287">
        <v>260953.83</v>
      </c>
      <c r="BQ287">
        <v>260953.83</v>
      </c>
    </row>
    <row r="288" spans="1:69" x14ac:dyDescent="0.35">
      <c r="A288" s="1" t="s">
        <v>68</v>
      </c>
      <c r="B288" s="1" t="s">
        <v>69</v>
      </c>
      <c r="C288" s="1" t="s">
        <v>70</v>
      </c>
      <c r="D288">
        <v>1</v>
      </c>
      <c r="E288">
        <v>1</v>
      </c>
      <c r="F288" s="2">
        <v>43584.863483796296</v>
      </c>
      <c r="G288" s="3">
        <v>40909</v>
      </c>
      <c r="H288" s="3">
        <v>41274</v>
      </c>
      <c r="I288" s="1" t="s">
        <v>71</v>
      </c>
      <c r="J288">
        <v>4521</v>
      </c>
      <c r="K288">
        <v>0</v>
      </c>
      <c r="L288" s="1" t="s">
        <v>384</v>
      </c>
      <c r="M288" s="1" t="s">
        <v>72</v>
      </c>
      <c r="N288" s="1" t="s">
        <v>134</v>
      </c>
      <c r="O288" s="1" t="s">
        <v>385</v>
      </c>
      <c r="P288" s="1" t="s">
        <v>386</v>
      </c>
      <c r="Q288" s="1" t="s">
        <v>387</v>
      </c>
      <c r="R288">
        <v>103</v>
      </c>
      <c r="S288" s="1" t="s">
        <v>135</v>
      </c>
      <c r="T288" s="1" t="s">
        <v>388</v>
      </c>
      <c r="U288" s="1" t="s">
        <v>135</v>
      </c>
      <c r="V288" s="1"/>
      <c r="W288" s="1"/>
      <c r="X288" s="1"/>
      <c r="Y288" s="1"/>
      <c r="AA288" s="1"/>
      <c r="AC288" s="1"/>
      <c r="AD288" s="1"/>
      <c r="AE288" s="1"/>
      <c r="AN288" s="1"/>
      <c r="AP288" s="1"/>
      <c r="AQ288" s="1"/>
      <c r="AR288" s="1"/>
      <c r="AS288" s="1"/>
      <c r="AT288" s="3"/>
      <c r="AU288" s="3"/>
      <c r="AV288" s="3"/>
      <c r="AW288" s="1"/>
      <c r="AX288" s="1"/>
      <c r="AZ288">
        <v>76</v>
      </c>
      <c r="BA288">
        <v>260953.83</v>
      </c>
      <c r="BB288" s="1" t="s">
        <v>74</v>
      </c>
      <c r="BC288">
        <v>140</v>
      </c>
      <c r="BD288" s="1" t="s">
        <v>1405</v>
      </c>
      <c r="BE288" s="1" t="s">
        <v>1314</v>
      </c>
      <c r="BF288">
        <v>-1220</v>
      </c>
      <c r="BG288" s="1" t="s">
        <v>1533</v>
      </c>
      <c r="BH288" s="1" t="s">
        <v>99</v>
      </c>
      <c r="BI288">
        <v>0</v>
      </c>
      <c r="BJ288" s="1"/>
      <c r="BL288" s="1"/>
      <c r="BN288" s="1"/>
      <c r="BO288">
        <v>186</v>
      </c>
      <c r="BP288">
        <v>260953.83</v>
      </c>
      <c r="BQ288">
        <v>260953.83</v>
      </c>
    </row>
    <row r="289" spans="1:69" x14ac:dyDescent="0.35">
      <c r="A289" s="1" t="s">
        <v>68</v>
      </c>
      <c r="B289" s="1" t="s">
        <v>69</v>
      </c>
      <c r="C289" s="1" t="s">
        <v>70</v>
      </c>
      <c r="D289">
        <v>1</v>
      </c>
      <c r="E289">
        <v>1</v>
      </c>
      <c r="F289" s="2">
        <v>43584.863483796296</v>
      </c>
      <c r="G289" s="3">
        <v>40909</v>
      </c>
      <c r="H289" s="3">
        <v>41274</v>
      </c>
      <c r="I289" s="1" t="s">
        <v>71</v>
      </c>
      <c r="J289">
        <v>4521</v>
      </c>
      <c r="K289">
        <v>0</v>
      </c>
      <c r="L289" s="1" t="s">
        <v>384</v>
      </c>
      <c r="M289" s="1" t="s">
        <v>72</v>
      </c>
      <c r="N289" s="1" t="s">
        <v>134</v>
      </c>
      <c r="O289" s="1" t="s">
        <v>385</v>
      </c>
      <c r="P289" s="1" t="s">
        <v>386</v>
      </c>
      <c r="Q289" s="1" t="s">
        <v>387</v>
      </c>
      <c r="R289">
        <v>103</v>
      </c>
      <c r="S289" s="1" t="s">
        <v>135</v>
      </c>
      <c r="T289" s="1" t="s">
        <v>388</v>
      </c>
      <c r="U289" s="1" t="s">
        <v>135</v>
      </c>
      <c r="V289" s="1"/>
      <c r="W289" s="1"/>
      <c r="X289" s="1"/>
      <c r="Y289" s="1"/>
      <c r="AA289" s="1"/>
      <c r="AC289" s="1"/>
      <c r="AD289" s="1"/>
      <c r="AE289" s="1"/>
      <c r="AN289" s="1"/>
      <c r="AP289" s="1"/>
      <c r="AQ289" s="1"/>
      <c r="AR289" s="1"/>
      <c r="AS289" s="1"/>
      <c r="AT289" s="3"/>
      <c r="AU289" s="3"/>
      <c r="AV289" s="3"/>
      <c r="AW289" s="1"/>
      <c r="AX289" s="1"/>
      <c r="AZ289">
        <v>76</v>
      </c>
      <c r="BA289">
        <v>260953.83</v>
      </c>
      <c r="BB289" s="1" t="s">
        <v>74</v>
      </c>
      <c r="BC289">
        <v>141</v>
      </c>
      <c r="BD289" s="1" t="s">
        <v>1405</v>
      </c>
      <c r="BE289" s="1" t="s">
        <v>99</v>
      </c>
      <c r="BF289">
        <v>0</v>
      </c>
      <c r="BG289" s="1"/>
      <c r="BH289" s="1" t="s">
        <v>1313</v>
      </c>
      <c r="BI289">
        <v>-1220</v>
      </c>
      <c r="BJ289" s="1" t="s">
        <v>1533</v>
      </c>
      <c r="BL289" s="1"/>
      <c r="BN289" s="1"/>
      <c r="BO289">
        <v>186</v>
      </c>
      <c r="BP289">
        <v>260953.83</v>
      </c>
      <c r="BQ289">
        <v>260953.83</v>
      </c>
    </row>
    <row r="290" spans="1:69" x14ac:dyDescent="0.35">
      <c r="A290" s="1" t="s">
        <v>68</v>
      </c>
      <c r="B290" s="1" t="s">
        <v>69</v>
      </c>
      <c r="C290" s="1" t="s">
        <v>70</v>
      </c>
      <c r="D290">
        <v>1</v>
      </c>
      <c r="E290">
        <v>1</v>
      </c>
      <c r="F290" s="2">
        <v>43584.863483796296</v>
      </c>
      <c r="G290" s="3">
        <v>40909</v>
      </c>
      <c r="H290" s="3">
        <v>41274</v>
      </c>
      <c r="I290" s="1" t="s">
        <v>71</v>
      </c>
      <c r="J290">
        <v>4521</v>
      </c>
      <c r="K290">
        <v>0</v>
      </c>
      <c r="L290" s="1" t="s">
        <v>384</v>
      </c>
      <c r="M290" s="1" t="s">
        <v>72</v>
      </c>
      <c r="N290" s="1" t="s">
        <v>134</v>
      </c>
      <c r="O290" s="1" t="s">
        <v>385</v>
      </c>
      <c r="P290" s="1" t="s">
        <v>386</v>
      </c>
      <c r="Q290" s="1" t="s">
        <v>387</v>
      </c>
      <c r="R290">
        <v>103</v>
      </c>
      <c r="S290" s="1" t="s">
        <v>135</v>
      </c>
      <c r="T290" s="1" t="s">
        <v>388</v>
      </c>
      <c r="U290" s="1" t="s">
        <v>135</v>
      </c>
      <c r="V290" s="1"/>
      <c r="W290" s="1"/>
      <c r="X290" s="1"/>
      <c r="Y290" s="1"/>
      <c r="AA290" s="1"/>
      <c r="AC290" s="1"/>
      <c r="AD290" s="1"/>
      <c r="AE290" s="1"/>
      <c r="AN290" s="1"/>
      <c r="AP290" s="1"/>
      <c r="AQ290" s="1"/>
      <c r="AR290" s="1"/>
      <c r="AS290" s="1"/>
      <c r="AT290" s="3"/>
      <c r="AU290" s="3"/>
      <c r="AV290" s="3"/>
      <c r="AW290" s="1"/>
      <c r="AX290" s="1"/>
      <c r="AZ290">
        <v>76</v>
      </c>
      <c r="BA290">
        <v>260953.83</v>
      </c>
      <c r="BB290" s="1" t="s">
        <v>74</v>
      </c>
      <c r="BC290">
        <v>142</v>
      </c>
      <c r="BD290" s="1" t="s">
        <v>1406</v>
      </c>
      <c r="BE290" s="1" t="s">
        <v>434</v>
      </c>
      <c r="BF290">
        <v>260</v>
      </c>
      <c r="BG290" s="1" t="s">
        <v>1448</v>
      </c>
      <c r="BH290" s="1" t="s">
        <v>99</v>
      </c>
      <c r="BI290">
        <v>0</v>
      </c>
      <c r="BJ290" s="1"/>
      <c r="BL290" s="1"/>
      <c r="BN290" s="1"/>
      <c r="BO290">
        <v>186</v>
      </c>
      <c r="BP290">
        <v>260953.83</v>
      </c>
      <c r="BQ290">
        <v>260953.83</v>
      </c>
    </row>
    <row r="291" spans="1:69" x14ac:dyDescent="0.35">
      <c r="A291" s="1" t="s">
        <v>68</v>
      </c>
      <c r="B291" s="1" t="s">
        <v>69</v>
      </c>
      <c r="C291" s="1" t="s">
        <v>70</v>
      </c>
      <c r="D291">
        <v>1</v>
      </c>
      <c r="E291">
        <v>1</v>
      </c>
      <c r="F291" s="2">
        <v>43584.863483796296</v>
      </c>
      <c r="G291" s="3">
        <v>40909</v>
      </c>
      <c r="H291" s="3">
        <v>41274</v>
      </c>
      <c r="I291" s="1" t="s">
        <v>71</v>
      </c>
      <c r="J291">
        <v>4521</v>
      </c>
      <c r="K291">
        <v>0</v>
      </c>
      <c r="L291" s="1" t="s">
        <v>384</v>
      </c>
      <c r="M291" s="1" t="s">
        <v>72</v>
      </c>
      <c r="N291" s="1" t="s">
        <v>134</v>
      </c>
      <c r="O291" s="1" t="s">
        <v>385</v>
      </c>
      <c r="P291" s="1" t="s">
        <v>386</v>
      </c>
      <c r="Q291" s="1" t="s">
        <v>387</v>
      </c>
      <c r="R291">
        <v>103</v>
      </c>
      <c r="S291" s="1" t="s">
        <v>135</v>
      </c>
      <c r="T291" s="1" t="s">
        <v>388</v>
      </c>
      <c r="U291" s="1" t="s">
        <v>135</v>
      </c>
      <c r="V291" s="1"/>
      <c r="W291" s="1"/>
      <c r="X291" s="1"/>
      <c r="Y291" s="1"/>
      <c r="AA291" s="1"/>
      <c r="AC291" s="1"/>
      <c r="AD291" s="1"/>
      <c r="AE291" s="1"/>
      <c r="AN291" s="1"/>
      <c r="AP291" s="1"/>
      <c r="AQ291" s="1"/>
      <c r="AR291" s="1"/>
      <c r="AS291" s="1"/>
      <c r="AT291" s="3"/>
      <c r="AU291" s="3"/>
      <c r="AV291" s="3"/>
      <c r="AW291" s="1"/>
      <c r="AX291" s="1"/>
      <c r="AZ291">
        <v>76</v>
      </c>
      <c r="BA291">
        <v>260953.83</v>
      </c>
      <c r="BB291" s="1" t="s">
        <v>74</v>
      </c>
      <c r="BC291">
        <v>143</v>
      </c>
      <c r="BD291" s="1" t="s">
        <v>1406</v>
      </c>
      <c r="BE291" s="1" t="s">
        <v>99</v>
      </c>
      <c r="BF291">
        <v>0</v>
      </c>
      <c r="BG291" s="1"/>
      <c r="BH291" s="1" t="s">
        <v>394</v>
      </c>
      <c r="BI291">
        <v>260</v>
      </c>
      <c r="BJ291" s="1" t="s">
        <v>1448</v>
      </c>
      <c r="BL291" s="1"/>
      <c r="BN291" s="1"/>
      <c r="BO291">
        <v>186</v>
      </c>
      <c r="BP291">
        <v>260953.83</v>
      </c>
      <c r="BQ291">
        <v>260953.83</v>
      </c>
    </row>
    <row r="292" spans="1:69" x14ac:dyDescent="0.35">
      <c r="A292" s="1" t="s">
        <v>68</v>
      </c>
      <c r="B292" s="1" t="s">
        <v>69</v>
      </c>
      <c r="C292" s="1" t="s">
        <v>70</v>
      </c>
      <c r="D292">
        <v>1</v>
      </c>
      <c r="E292">
        <v>1</v>
      </c>
      <c r="F292" s="2">
        <v>43584.863483796296</v>
      </c>
      <c r="G292" s="3">
        <v>40909</v>
      </c>
      <c r="H292" s="3">
        <v>41274</v>
      </c>
      <c r="I292" s="1" t="s">
        <v>71</v>
      </c>
      <c r="J292">
        <v>4521</v>
      </c>
      <c r="K292">
        <v>0</v>
      </c>
      <c r="L292" s="1" t="s">
        <v>384</v>
      </c>
      <c r="M292" s="1" t="s">
        <v>72</v>
      </c>
      <c r="N292" s="1" t="s">
        <v>134</v>
      </c>
      <c r="O292" s="1" t="s">
        <v>385</v>
      </c>
      <c r="P292" s="1" t="s">
        <v>386</v>
      </c>
      <c r="Q292" s="1" t="s">
        <v>387</v>
      </c>
      <c r="R292">
        <v>103</v>
      </c>
      <c r="S292" s="1" t="s">
        <v>135</v>
      </c>
      <c r="T292" s="1" t="s">
        <v>388</v>
      </c>
      <c r="U292" s="1" t="s">
        <v>135</v>
      </c>
      <c r="V292" s="1"/>
      <c r="W292" s="1"/>
      <c r="X292" s="1"/>
      <c r="Y292" s="1"/>
      <c r="AA292" s="1"/>
      <c r="AC292" s="1"/>
      <c r="AD292" s="1"/>
      <c r="AE292" s="1"/>
      <c r="AN292" s="1"/>
      <c r="AP292" s="1"/>
      <c r="AQ292" s="1"/>
      <c r="AR292" s="1"/>
      <c r="AS292" s="1"/>
      <c r="AT292" s="3"/>
      <c r="AU292" s="3"/>
      <c r="AV292" s="3"/>
      <c r="AW292" s="1"/>
      <c r="AX292" s="1"/>
      <c r="AZ292">
        <v>76</v>
      </c>
      <c r="BA292">
        <v>260953.83</v>
      </c>
      <c r="BB292" s="1" t="s">
        <v>74</v>
      </c>
      <c r="BC292">
        <v>144</v>
      </c>
      <c r="BD292" s="1" t="s">
        <v>1407</v>
      </c>
      <c r="BE292" s="1" t="s">
        <v>413</v>
      </c>
      <c r="BF292">
        <v>688.8</v>
      </c>
      <c r="BG292" s="1" t="s">
        <v>983</v>
      </c>
      <c r="BH292" s="1" t="s">
        <v>99</v>
      </c>
      <c r="BI292">
        <v>0</v>
      </c>
      <c r="BJ292" s="1"/>
      <c r="BL292" s="1"/>
      <c r="BN292" s="1"/>
      <c r="BO292">
        <v>186</v>
      </c>
      <c r="BP292">
        <v>260953.83</v>
      </c>
      <c r="BQ292">
        <v>260953.83</v>
      </c>
    </row>
    <row r="293" spans="1:69" x14ac:dyDescent="0.35">
      <c r="A293" s="1" t="s">
        <v>68</v>
      </c>
      <c r="B293" s="1" t="s">
        <v>69</v>
      </c>
      <c r="C293" s="1" t="s">
        <v>70</v>
      </c>
      <c r="D293">
        <v>1</v>
      </c>
      <c r="E293">
        <v>1</v>
      </c>
      <c r="F293" s="2">
        <v>43584.863483796296</v>
      </c>
      <c r="G293" s="3">
        <v>40909</v>
      </c>
      <c r="H293" s="3">
        <v>41274</v>
      </c>
      <c r="I293" s="1" t="s">
        <v>71</v>
      </c>
      <c r="J293">
        <v>4521</v>
      </c>
      <c r="K293">
        <v>0</v>
      </c>
      <c r="L293" s="1" t="s">
        <v>384</v>
      </c>
      <c r="M293" s="1" t="s">
        <v>72</v>
      </c>
      <c r="N293" s="1" t="s">
        <v>134</v>
      </c>
      <c r="O293" s="1" t="s">
        <v>385</v>
      </c>
      <c r="P293" s="1" t="s">
        <v>386</v>
      </c>
      <c r="Q293" s="1" t="s">
        <v>387</v>
      </c>
      <c r="R293">
        <v>103</v>
      </c>
      <c r="S293" s="1" t="s">
        <v>135</v>
      </c>
      <c r="T293" s="1" t="s">
        <v>388</v>
      </c>
      <c r="U293" s="1" t="s">
        <v>135</v>
      </c>
      <c r="V293" s="1"/>
      <c r="W293" s="1"/>
      <c r="X293" s="1"/>
      <c r="Y293" s="1"/>
      <c r="AA293" s="1"/>
      <c r="AC293" s="1"/>
      <c r="AD293" s="1"/>
      <c r="AE293" s="1"/>
      <c r="AN293" s="1"/>
      <c r="AP293" s="1"/>
      <c r="AQ293" s="1"/>
      <c r="AR293" s="1"/>
      <c r="AS293" s="1"/>
      <c r="AT293" s="3"/>
      <c r="AU293" s="3"/>
      <c r="AV293" s="3"/>
      <c r="AW293" s="1"/>
      <c r="AX293" s="1"/>
      <c r="AZ293">
        <v>76</v>
      </c>
      <c r="BA293">
        <v>260953.83</v>
      </c>
      <c r="BB293" s="1" t="s">
        <v>74</v>
      </c>
      <c r="BC293">
        <v>145</v>
      </c>
      <c r="BD293" s="1" t="s">
        <v>1407</v>
      </c>
      <c r="BE293" s="1" t="s">
        <v>99</v>
      </c>
      <c r="BF293">
        <v>0</v>
      </c>
      <c r="BG293" s="1"/>
      <c r="BH293" s="1" t="s">
        <v>489</v>
      </c>
      <c r="BI293">
        <v>560</v>
      </c>
      <c r="BJ293" s="1" t="s">
        <v>983</v>
      </c>
      <c r="BL293" s="1"/>
      <c r="BN293" s="1"/>
      <c r="BO293">
        <v>186</v>
      </c>
      <c r="BP293">
        <v>260953.83</v>
      </c>
      <c r="BQ293">
        <v>260953.83</v>
      </c>
    </row>
    <row r="294" spans="1:69" x14ac:dyDescent="0.35">
      <c r="A294" s="1" t="s">
        <v>68</v>
      </c>
      <c r="B294" s="1" t="s">
        <v>69</v>
      </c>
      <c r="C294" s="1" t="s">
        <v>70</v>
      </c>
      <c r="D294">
        <v>1</v>
      </c>
      <c r="E294">
        <v>1</v>
      </c>
      <c r="F294" s="2">
        <v>43584.863483796296</v>
      </c>
      <c r="G294" s="3">
        <v>40909</v>
      </c>
      <c r="H294" s="3">
        <v>41274</v>
      </c>
      <c r="I294" s="1" t="s">
        <v>71</v>
      </c>
      <c r="J294">
        <v>4521</v>
      </c>
      <c r="K294">
        <v>0</v>
      </c>
      <c r="L294" s="1" t="s">
        <v>384</v>
      </c>
      <c r="M294" s="1" t="s">
        <v>72</v>
      </c>
      <c r="N294" s="1" t="s">
        <v>134</v>
      </c>
      <c r="O294" s="1" t="s">
        <v>385</v>
      </c>
      <c r="P294" s="1" t="s">
        <v>386</v>
      </c>
      <c r="Q294" s="1" t="s">
        <v>387</v>
      </c>
      <c r="R294">
        <v>103</v>
      </c>
      <c r="S294" s="1" t="s">
        <v>135</v>
      </c>
      <c r="T294" s="1" t="s">
        <v>388</v>
      </c>
      <c r="U294" s="1" t="s">
        <v>135</v>
      </c>
      <c r="V294" s="1"/>
      <c r="W294" s="1"/>
      <c r="X294" s="1"/>
      <c r="Y294" s="1"/>
      <c r="AA294" s="1"/>
      <c r="AC294" s="1"/>
      <c r="AD294" s="1"/>
      <c r="AE294" s="1"/>
      <c r="AN294" s="1"/>
      <c r="AP294" s="1"/>
      <c r="AQ294" s="1"/>
      <c r="AR294" s="1"/>
      <c r="AS294" s="1"/>
      <c r="AT294" s="3"/>
      <c r="AU294" s="3"/>
      <c r="AV294" s="3"/>
      <c r="AW294" s="1"/>
      <c r="AX294" s="1"/>
      <c r="AZ294">
        <v>76</v>
      </c>
      <c r="BA294">
        <v>260953.83</v>
      </c>
      <c r="BB294" s="1" t="s">
        <v>74</v>
      </c>
      <c r="BC294">
        <v>146</v>
      </c>
      <c r="BD294" s="1" t="s">
        <v>1407</v>
      </c>
      <c r="BE294" s="1" t="s">
        <v>99</v>
      </c>
      <c r="BF294">
        <v>0</v>
      </c>
      <c r="BG294" s="1"/>
      <c r="BH294" s="1" t="s">
        <v>451</v>
      </c>
      <c r="BI294">
        <v>128.80000000000001</v>
      </c>
      <c r="BJ294" s="1" t="s">
        <v>983</v>
      </c>
      <c r="BL294" s="1"/>
      <c r="BN294" s="1"/>
      <c r="BO294">
        <v>186</v>
      </c>
      <c r="BP294">
        <v>260953.83</v>
      </c>
      <c r="BQ294">
        <v>260953.83</v>
      </c>
    </row>
    <row r="295" spans="1:69" x14ac:dyDescent="0.35">
      <c r="A295" s="1" t="s">
        <v>68</v>
      </c>
      <c r="B295" s="1" t="s">
        <v>69</v>
      </c>
      <c r="C295" s="1" t="s">
        <v>70</v>
      </c>
      <c r="D295">
        <v>1</v>
      </c>
      <c r="E295">
        <v>1</v>
      </c>
      <c r="F295" s="2">
        <v>43584.863483796296</v>
      </c>
      <c r="G295" s="3">
        <v>40909</v>
      </c>
      <c r="H295" s="3">
        <v>41274</v>
      </c>
      <c r="I295" s="1" t="s">
        <v>71</v>
      </c>
      <c r="J295">
        <v>4521</v>
      </c>
      <c r="K295">
        <v>0</v>
      </c>
      <c r="L295" s="1" t="s">
        <v>384</v>
      </c>
      <c r="M295" s="1" t="s">
        <v>72</v>
      </c>
      <c r="N295" s="1" t="s">
        <v>134</v>
      </c>
      <c r="O295" s="1" t="s">
        <v>385</v>
      </c>
      <c r="P295" s="1" t="s">
        <v>386</v>
      </c>
      <c r="Q295" s="1" t="s">
        <v>387</v>
      </c>
      <c r="R295">
        <v>103</v>
      </c>
      <c r="S295" s="1" t="s">
        <v>135</v>
      </c>
      <c r="T295" s="1" t="s">
        <v>388</v>
      </c>
      <c r="U295" s="1" t="s">
        <v>135</v>
      </c>
      <c r="V295" s="1"/>
      <c r="W295" s="1"/>
      <c r="X295" s="1"/>
      <c r="Y295" s="1"/>
      <c r="AA295" s="1"/>
      <c r="AC295" s="1"/>
      <c r="AD295" s="1"/>
      <c r="AE295" s="1"/>
      <c r="AN295" s="1"/>
      <c r="AP295" s="1"/>
      <c r="AQ295" s="1"/>
      <c r="AR295" s="1"/>
      <c r="AS295" s="1"/>
      <c r="AT295" s="3"/>
      <c r="AU295" s="3"/>
      <c r="AV295" s="3"/>
      <c r="AW295" s="1"/>
      <c r="AX295" s="1"/>
      <c r="AZ295">
        <v>76</v>
      </c>
      <c r="BA295">
        <v>260953.83</v>
      </c>
      <c r="BB295" s="1" t="s">
        <v>74</v>
      </c>
      <c r="BC295">
        <v>147</v>
      </c>
      <c r="BD295" s="1" t="s">
        <v>1408</v>
      </c>
      <c r="BE295" s="1" t="s">
        <v>413</v>
      </c>
      <c r="BF295">
        <v>-688.8</v>
      </c>
      <c r="BG295" s="1" t="s">
        <v>1449</v>
      </c>
      <c r="BH295" s="1" t="s">
        <v>99</v>
      </c>
      <c r="BI295">
        <v>0</v>
      </c>
      <c r="BJ295" s="1"/>
      <c r="BL295" s="1"/>
      <c r="BN295" s="1"/>
      <c r="BO295">
        <v>186</v>
      </c>
      <c r="BP295">
        <v>260953.83</v>
      </c>
      <c r="BQ295">
        <v>260953.83</v>
      </c>
    </row>
    <row r="296" spans="1:69" x14ac:dyDescent="0.35">
      <c r="A296" s="1" t="s">
        <v>68</v>
      </c>
      <c r="B296" s="1" t="s">
        <v>69</v>
      </c>
      <c r="C296" s="1" t="s">
        <v>70</v>
      </c>
      <c r="D296">
        <v>1</v>
      </c>
      <c r="E296">
        <v>1</v>
      </c>
      <c r="F296" s="2">
        <v>43584.863483796296</v>
      </c>
      <c r="G296" s="3">
        <v>40909</v>
      </c>
      <c r="H296" s="3">
        <v>41274</v>
      </c>
      <c r="I296" s="1" t="s">
        <v>71</v>
      </c>
      <c r="J296">
        <v>4521</v>
      </c>
      <c r="K296">
        <v>0</v>
      </c>
      <c r="L296" s="1" t="s">
        <v>384</v>
      </c>
      <c r="M296" s="1" t="s">
        <v>72</v>
      </c>
      <c r="N296" s="1" t="s">
        <v>134</v>
      </c>
      <c r="O296" s="1" t="s">
        <v>385</v>
      </c>
      <c r="P296" s="1" t="s">
        <v>386</v>
      </c>
      <c r="Q296" s="1" t="s">
        <v>387</v>
      </c>
      <c r="R296">
        <v>103</v>
      </c>
      <c r="S296" s="1" t="s">
        <v>135</v>
      </c>
      <c r="T296" s="1" t="s">
        <v>388</v>
      </c>
      <c r="U296" s="1" t="s">
        <v>135</v>
      </c>
      <c r="V296" s="1"/>
      <c r="W296" s="1"/>
      <c r="X296" s="1"/>
      <c r="Y296" s="1"/>
      <c r="AA296" s="1"/>
      <c r="AC296" s="1"/>
      <c r="AD296" s="1"/>
      <c r="AE296" s="1"/>
      <c r="AN296" s="1"/>
      <c r="AP296" s="1"/>
      <c r="AQ296" s="1"/>
      <c r="AR296" s="1"/>
      <c r="AS296" s="1"/>
      <c r="AT296" s="3"/>
      <c r="AU296" s="3"/>
      <c r="AV296" s="3"/>
      <c r="AW296" s="1"/>
      <c r="AX296" s="1"/>
      <c r="AZ296">
        <v>76</v>
      </c>
      <c r="BA296">
        <v>260953.83</v>
      </c>
      <c r="BB296" s="1" t="s">
        <v>74</v>
      </c>
      <c r="BC296">
        <v>148</v>
      </c>
      <c r="BD296" s="1" t="s">
        <v>1408</v>
      </c>
      <c r="BE296" s="1" t="s">
        <v>99</v>
      </c>
      <c r="BF296">
        <v>0</v>
      </c>
      <c r="BG296" s="1"/>
      <c r="BH296" s="1" t="s">
        <v>489</v>
      </c>
      <c r="BI296">
        <v>-560</v>
      </c>
      <c r="BJ296" s="1" t="s">
        <v>1449</v>
      </c>
      <c r="BL296" s="1"/>
      <c r="BN296" s="1"/>
      <c r="BO296">
        <v>186</v>
      </c>
      <c r="BP296">
        <v>260953.83</v>
      </c>
      <c r="BQ296">
        <v>260953.83</v>
      </c>
    </row>
    <row r="297" spans="1:69" x14ac:dyDescent="0.35">
      <c r="A297" s="1" t="s">
        <v>68</v>
      </c>
      <c r="B297" s="1" t="s">
        <v>69</v>
      </c>
      <c r="C297" s="1" t="s">
        <v>70</v>
      </c>
      <c r="D297">
        <v>1</v>
      </c>
      <c r="E297">
        <v>1</v>
      </c>
      <c r="F297" s="2">
        <v>43584.863483796296</v>
      </c>
      <c r="G297" s="3">
        <v>40909</v>
      </c>
      <c r="H297" s="3">
        <v>41274</v>
      </c>
      <c r="I297" s="1" t="s">
        <v>71</v>
      </c>
      <c r="J297">
        <v>4521</v>
      </c>
      <c r="K297">
        <v>0</v>
      </c>
      <c r="L297" s="1" t="s">
        <v>384</v>
      </c>
      <c r="M297" s="1" t="s">
        <v>72</v>
      </c>
      <c r="N297" s="1" t="s">
        <v>134</v>
      </c>
      <c r="O297" s="1" t="s">
        <v>385</v>
      </c>
      <c r="P297" s="1" t="s">
        <v>386</v>
      </c>
      <c r="Q297" s="1" t="s">
        <v>387</v>
      </c>
      <c r="R297">
        <v>103</v>
      </c>
      <c r="S297" s="1" t="s">
        <v>135</v>
      </c>
      <c r="T297" s="1" t="s">
        <v>388</v>
      </c>
      <c r="U297" s="1" t="s">
        <v>135</v>
      </c>
      <c r="V297" s="1"/>
      <c r="W297" s="1"/>
      <c r="X297" s="1"/>
      <c r="Y297" s="1"/>
      <c r="AA297" s="1"/>
      <c r="AC297" s="1"/>
      <c r="AD297" s="1"/>
      <c r="AE297" s="1"/>
      <c r="AN297" s="1"/>
      <c r="AP297" s="1"/>
      <c r="AQ297" s="1"/>
      <c r="AR297" s="1"/>
      <c r="AS297" s="1"/>
      <c r="AT297" s="3"/>
      <c r="AU297" s="3"/>
      <c r="AV297" s="3"/>
      <c r="AW297" s="1"/>
      <c r="AX297" s="1"/>
      <c r="AZ297">
        <v>76</v>
      </c>
      <c r="BA297">
        <v>260953.83</v>
      </c>
      <c r="BB297" s="1" t="s">
        <v>74</v>
      </c>
      <c r="BC297">
        <v>149</v>
      </c>
      <c r="BD297" s="1" t="s">
        <v>1408</v>
      </c>
      <c r="BE297" s="1" t="s">
        <v>99</v>
      </c>
      <c r="BF297">
        <v>0</v>
      </c>
      <c r="BG297" s="1"/>
      <c r="BH297" s="1" t="s">
        <v>451</v>
      </c>
      <c r="BI297">
        <v>-128.80000000000001</v>
      </c>
      <c r="BJ297" s="1" t="s">
        <v>1449</v>
      </c>
      <c r="BL297" s="1"/>
      <c r="BN297" s="1"/>
      <c r="BO297">
        <v>186</v>
      </c>
      <c r="BP297">
        <v>260953.83</v>
      </c>
      <c r="BQ297">
        <v>260953.83</v>
      </c>
    </row>
    <row r="298" spans="1:69" x14ac:dyDescent="0.35">
      <c r="A298" s="1" t="s">
        <v>68</v>
      </c>
      <c r="B298" s="1" t="s">
        <v>69</v>
      </c>
      <c r="C298" s="1" t="s">
        <v>70</v>
      </c>
      <c r="D298">
        <v>1</v>
      </c>
      <c r="E298">
        <v>1</v>
      </c>
      <c r="F298" s="2">
        <v>43584.863483796296</v>
      </c>
      <c r="G298" s="3">
        <v>40909</v>
      </c>
      <c r="H298" s="3">
        <v>41274</v>
      </c>
      <c r="I298" s="1" t="s">
        <v>71</v>
      </c>
      <c r="J298">
        <v>4521</v>
      </c>
      <c r="K298">
        <v>0</v>
      </c>
      <c r="L298" s="1" t="s">
        <v>384</v>
      </c>
      <c r="M298" s="1" t="s">
        <v>72</v>
      </c>
      <c r="N298" s="1" t="s">
        <v>134</v>
      </c>
      <c r="O298" s="1" t="s">
        <v>385</v>
      </c>
      <c r="P298" s="1" t="s">
        <v>386</v>
      </c>
      <c r="Q298" s="1" t="s">
        <v>387</v>
      </c>
      <c r="R298">
        <v>103</v>
      </c>
      <c r="S298" s="1" t="s">
        <v>135</v>
      </c>
      <c r="T298" s="1" t="s">
        <v>388</v>
      </c>
      <c r="U298" s="1" t="s">
        <v>135</v>
      </c>
      <c r="V298" s="1"/>
      <c r="W298" s="1"/>
      <c r="X298" s="1"/>
      <c r="Y298" s="1"/>
      <c r="AA298" s="1"/>
      <c r="AC298" s="1"/>
      <c r="AD298" s="1"/>
      <c r="AE298" s="1"/>
      <c r="AN298" s="1"/>
      <c r="AP298" s="1"/>
      <c r="AQ298" s="1"/>
      <c r="AR298" s="1"/>
      <c r="AS298" s="1"/>
      <c r="AT298" s="3"/>
      <c r="AU298" s="3"/>
      <c r="AV298" s="3"/>
      <c r="AW298" s="1"/>
      <c r="AX298" s="1"/>
      <c r="AZ298">
        <v>76</v>
      </c>
      <c r="BA298">
        <v>260953.83</v>
      </c>
      <c r="BB298" s="1" t="s">
        <v>74</v>
      </c>
      <c r="BC298">
        <v>150</v>
      </c>
      <c r="BD298" s="1" t="s">
        <v>1409</v>
      </c>
      <c r="BE298" s="1" t="s">
        <v>1303</v>
      </c>
      <c r="BF298">
        <v>412.3</v>
      </c>
      <c r="BG298" s="1" t="s">
        <v>1450</v>
      </c>
      <c r="BH298" s="1" t="s">
        <v>99</v>
      </c>
      <c r="BI298">
        <v>0</v>
      </c>
      <c r="BJ298" s="1"/>
      <c r="BK298">
        <v>100</v>
      </c>
      <c r="BL298" s="1" t="s">
        <v>1295</v>
      </c>
      <c r="BN298" s="1"/>
      <c r="BO298">
        <v>186</v>
      </c>
      <c r="BP298">
        <v>260953.83</v>
      </c>
      <c r="BQ298">
        <v>260953.83</v>
      </c>
    </row>
    <row r="299" spans="1:69" x14ac:dyDescent="0.35">
      <c r="A299" s="1" t="s">
        <v>68</v>
      </c>
      <c r="B299" s="1" t="s">
        <v>69</v>
      </c>
      <c r="C299" s="1" t="s">
        <v>70</v>
      </c>
      <c r="D299">
        <v>1</v>
      </c>
      <c r="E299">
        <v>1</v>
      </c>
      <c r="F299" s="2">
        <v>43584.863483796296</v>
      </c>
      <c r="G299" s="3">
        <v>40909</v>
      </c>
      <c r="H299" s="3">
        <v>41274</v>
      </c>
      <c r="I299" s="1" t="s">
        <v>71</v>
      </c>
      <c r="J299">
        <v>4521</v>
      </c>
      <c r="K299">
        <v>0</v>
      </c>
      <c r="L299" s="1" t="s">
        <v>384</v>
      </c>
      <c r="M299" s="1" t="s">
        <v>72</v>
      </c>
      <c r="N299" s="1" t="s">
        <v>134</v>
      </c>
      <c r="O299" s="1" t="s">
        <v>385</v>
      </c>
      <c r="P299" s="1" t="s">
        <v>386</v>
      </c>
      <c r="Q299" s="1" t="s">
        <v>387</v>
      </c>
      <c r="R299">
        <v>103</v>
      </c>
      <c r="S299" s="1" t="s">
        <v>135</v>
      </c>
      <c r="T299" s="1" t="s">
        <v>388</v>
      </c>
      <c r="U299" s="1" t="s">
        <v>135</v>
      </c>
      <c r="V299" s="1"/>
      <c r="W299" s="1"/>
      <c r="X299" s="1"/>
      <c r="Y299" s="1"/>
      <c r="AA299" s="1"/>
      <c r="AC299" s="1"/>
      <c r="AD299" s="1"/>
      <c r="AE299" s="1"/>
      <c r="AN299" s="1"/>
      <c r="AP299" s="1"/>
      <c r="AQ299" s="1"/>
      <c r="AR299" s="1"/>
      <c r="AS299" s="1"/>
      <c r="AT299" s="3"/>
      <c r="AU299" s="3"/>
      <c r="AV299" s="3"/>
      <c r="AW299" s="1"/>
      <c r="AX299" s="1"/>
      <c r="AZ299">
        <v>76</v>
      </c>
      <c r="BA299">
        <v>260953.83</v>
      </c>
      <c r="BB299" s="1" t="s">
        <v>74</v>
      </c>
      <c r="BC299">
        <v>151</v>
      </c>
      <c r="BD299" s="1" t="s">
        <v>1409</v>
      </c>
      <c r="BE299" s="1" t="s">
        <v>99</v>
      </c>
      <c r="BF299">
        <v>0</v>
      </c>
      <c r="BG299" s="1"/>
      <c r="BH299" s="1" t="s">
        <v>489</v>
      </c>
      <c r="BI299">
        <v>412.3</v>
      </c>
      <c r="BJ299" s="1" t="s">
        <v>1450</v>
      </c>
      <c r="BL299" s="1"/>
      <c r="BM299">
        <v>100</v>
      </c>
      <c r="BN299" s="1" t="s">
        <v>1295</v>
      </c>
      <c r="BO299">
        <v>186</v>
      </c>
      <c r="BP299">
        <v>260953.83</v>
      </c>
      <c r="BQ299">
        <v>260953.83</v>
      </c>
    </row>
    <row r="300" spans="1:69" x14ac:dyDescent="0.35">
      <c r="A300" s="1" t="s">
        <v>68</v>
      </c>
      <c r="B300" s="1" t="s">
        <v>69</v>
      </c>
      <c r="C300" s="1" t="s">
        <v>70</v>
      </c>
      <c r="D300">
        <v>1</v>
      </c>
      <c r="E300">
        <v>1</v>
      </c>
      <c r="F300" s="2">
        <v>43584.863483796296</v>
      </c>
      <c r="G300" s="3">
        <v>40909</v>
      </c>
      <c r="H300" s="3">
        <v>41274</v>
      </c>
      <c r="I300" s="1" t="s">
        <v>71</v>
      </c>
      <c r="J300">
        <v>4521</v>
      </c>
      <c r="K300">
        <v>0</v>
      </c>
      <c r="L300" s="1" t="s">
        <v>384</v>
      </c>
      <c r="M300" s="1" t="s">
        <v>72</v>
      </c>
      <c r="N300" s="1" t="s">
        <v>134</v>
      </c>
      <c r="O300" s="1" t="s">
        <v>385</v>
      </c>
      <c r="P300" s="1" t="s">
        <v>386</v>
      </c>
      <c r="Q300" s="1" t="s">
        <v>387</v>
      </c>
      <c r="R300">
        <v>103</v>
      </c>
      <c r="S300" s="1" t="s">
        <v>135</v>
      </c>
      <c r="T300" s="1" t="s">
        <v>388</v>
      </c>
      <c r="U300" s="1" t="s">
        <v>135</v>
      </c>
      <c r="V300" s="1"/>
      <c r="W300" s="1"/>
      <c r="X300" s="1"/>
      <c r="Y300" s="1"/>
      <c r="AA300" s="1"/>
      <c r="AC300" s="1"/>
      <c r="AD300" s="1"/>
      <c r="AE300" s="1"/>
      <c r="AN300" s="1"/>
      <c r="AP300" s="1"/>
      <c r="AQ300" s="1"/>
      <c r="AR300" s="1"/>
      <c r="AS300" s="1"/>
      <c r="AT300" s="3"/>
      <c r="AU300" s="3"/>
      <c r="AV300" s="3"/>
      <c r="AW300" s="1"/>
      <c r="AX300" s="1"/>
      <c r="AZ300">
        <v>76</v>
      </c>
      <c r="BA300">
        <v>260953.83</v>
      </c>
      <c r="BB300" s="1" t="s">
        <v>74</v>
      </c>
      <c r="BC300">
        <v>152</v>
      </c>
      <c r="BD300" s="1" t="s">
        <v>1410</v>
      </c>
      <c r="BE300" s="1" t="s">
        <v>401</v>
      </c>
      <c r="BF300">
        <v>704.79</v>
      </c>
      <c r="BG300" s="1" t="s">
        <v>1451</v>
      </c>
      <c r="BH300" s="1" t="s">
        <v>99</v>
      </c>
      <c r="BI300">
        <v>0</v>
      </c>
      <c r="BJ300" s="1"/>
      <c r="BL300" s="1"/>
      <c r="BN300" s="1"/>
      <c r="BO300">
        <v>186</v>
      </c>
      <c r="BP300">
        <v>260953.83</v>
      </c>
      <c r="BQ300">
        <v>260953.83</v>
      </c>
    </row>
    <row r="301" spans="1:69" x14ac:dyDescent="0.35">
      <c r="A301" s="1" t="s">
        <v>68</v>
      </c>
      <c r="B301" s="1" t="s">
        <v>69</v>
      </c>
      <c r="C301" s="1" t="s">
        <v>70</v>
      </c>
      <c r="D301">
        <v>1</v>
      </c>
      <c r="E301">
        <v>1</v>
      </c>
      <c r="F301" s="2">
        <v>43584.863483796296</v>
      </c>
      <c r="G301" s="3">
        <v>40909</v>
      </c>
      <c r="H301" s="3">
        <v>41274</v>
      </c>
      <c r="I301" s="1" t="s">
        <v>71</v>
      </c>
      <c r="J301">
        <v>4521</v>
      </c>
      <c r="K301">
        <v>0</v>
      </c>
      <c r="L301" s="1" t="s">
        <v>384</v>
      </c>
      <c r="M301" s="1" t="s">
        <v>72</v>
      </c>
      <c r="N301" s="1" t="s">
        <v>134</v>
      </c>
      <c r="O301" s="1" t="s">
        <v>385</v>
      </c>
      <c r="P301" s="1" t="s">
        <v>386</v>
      </c>
      <c r="Q301" s="1" t="s">
        <v>387</v>
      </c>
      <c r="R301">
        <v>103</v>
      </c>
      <c r="S301" s="1" t="s">
        <v>135</v>
      </c>
      <c r="T301" s="1" t="s">
        <v>388</v>
      </c>
      <c r="U301" s="1" t="s">
        <v>135</v>
      </c>
      <c r="V301" s="1"/>
      <c r="W301" s="1"/>
      <c r="X301" s="1"/>
      <c r="Y301" s="1"/>
      <c r="AA301" s="1"/>
      <c r="AC301" s="1"/>
      <c r="AD301" s="1"/>
      <c r="AE301" s="1"/>
      <c r="AN301" s="1"/>
      <c r="AP301" s="1"/>
      <c r="AQ301" s="1"/>
      <c r="AR301" s="1"/>
      <c r="AS301" s="1"/>
      <c r="AT301" s="3"/>
      <c r="AU301" s="3"/>
      <c r="AV301" s="3"/>
      <c r="AW301" s="1"/>
      <c r="AX301" s="1"/>
      <c r="AZ301">
        <v>76</v>
      </c>
      <c r="BA301">
        <v>260953.83</v>
      </c>
      <c r="BB301" s="1" t="s">
        <v>74</v>
      </c>
      <c r="BC301">
        <v>153</v>
      </c>
      <c r="BD301" s="1" t="s">
        <v>1410</v>
      </c>
      <c r="BE301" s="1" t="s">
        <v>99</v>
      </c>
      <c r="BF301">
        <v>0</v>
      </c>
      <c r="BG301" s="1"/>
      <c r="BH301" s="1" t="s">
        <v>489</v>
      </c>
      <c r="BI301">
        <v>573</v>
      </c>
      <c r="BJ301" s="1" t="s">
        <v>1451</v>
      </c>
      <c r="BL301" s="1"/>
      <c r="BN301" s="1"/>
      <c r="BO301">
        <v>186</v>
      </c>
      <c r="BP301">
        <v>260953.83</v>
      </c>
      <c r="BQ301">
        <v>260953.83</v>
      </c>
    </row>
    <row r="302" spans="1:69" x14ac:dyDescent="0.35">
      <c r="A302" s="1" t="s">
        <v>68</v>
      </c>
      <c r="B302" s="1" t="s">
        <v>69</v>
      </c>
      <c r="C302" s="1" t="s">
        <v>70</v>
      </c>
      <c r="D302">
        <v>1</v>
      </c>
      <c r="E302">
        <v>1</v>
      </c>
      <c r="F302" s="2">
        <v>43584.863483796296</v>
      </c>
      <c r="G302" s="3">
        <v>40909</v>
      </c>
      <c r="H302" s="3">
        <v>41274</v>
      </c>
      <c r="I302" s="1" t="s">
        <v>71</v>
      </c>
      <c r="J302">
        <v>4521</v>
      </c>
      <c r="K302">
        <v>0</v>
      </c>
      <c r="L302" s="1" t="s">
        <v>384</v>
      </c>
      <c r="M302" s="1" t="s">
        <v>72</v>
      </c>
      <c r="N302" s="1" t="s">
        <v>134</v>
      </c>
      <c r="O302" s="1" t="s">
        <v>385</v>
      </c>
      <c r="P302" s="1" t="s">
        <v>386</v>
      </c>
      <c r="Q302" s="1" t="s">
        <v>387</v>
      </c>
      <c r="R302">
        <v>103</v>
      </c>
      <c r="S302" s="1" t="s">
        <v>135</v>
      </c>
      <c r="T302" s="1" t="s">
        <v>388</v>
      </c>
      <c r="U302" s="1" t="s">
        <v>135</v>
      </c>
      <c r="V302" s="1"/>
      <c r="W302" s="1"/>
      <c r="X302" s="1"/>
      <c r="Y302" s="1"/>
      <c r="AA302" s="1"/>
      <c r="AC302" s="1"/>
      <c r="AD302" s="1"/>
      <c r="AE302" s="1"/>
      <c r="AN302" s="1"/>
      <c r="AP302" s="1"/>
      <c r="AQ302" s="1"/>
      <c r="AR302" s="1"/>
      <c r="AS302" s="1"/>
      <c r="AT302" s="3"/>
      <c r="AU302" s="3"/>
      <c r="AV302" s="3"/>
      <c r="AW302" s="1"/>
      <c r="AX302" s="1"/>
      <c r="AZ302">
        <v>76</v>
      </c>
      <c r="BA302">
        <v>260953.83</v>
      </c>
      <c r="BB302" s="1" t="s">
        <v>74</v>
      </c>
      <c r="BC302">
        <v>154</v>
      </c>
      <c r="BD302" s="1" t="s">
        <v>1410</v>
      </c>
      <c r="BE302" s="1" t="s">
        <v>99</v>
      </c>
      <c r="BF302">
        <v>0</v>
      </c>
      <c r="BG302" s="1"/>
      <c r="BH302" s="1" t="s">
        <v>451</v>
      </c>
      <c r="BI302">
        <v>131.79</v>
      </c>
      <c r="BJ302" s="1" t="s">
        <v>1451</v>
      </c>
      <c r="BL302" s="1"/>
      <c r="BN302" s="1"/>
      <c r="BO302">
        <v>186</v>
      </c>
      <c r="BP302">
        <v>260953.83</v>
      </c>
      <c r="BQ302">
        <v>260953.83</v>
      </c>
    </row>
    <row r="303" spans="1:69" x14ac:dyDescent="0.35">
      <c r="A303" s="1" t="s">
        <v>68</v>
      </c>
      <c r="B303" s="1" t="s">
        <v>69</v>
      </c>
      <c r="C303" s="1" t="s">
        <v>70</v>
      </c>
      <c r="D303">
        <v>1</v>
      </c>
      <c r="E303">
        <v>1</v>
      </c>
      <c r="F303" s="2">
        <v>43584.863483796296</v>
      </c>
      <c r="G303" s="3">
        <v>40909</v>
      </c>
      <c r="H303" s="3">
        <v>41274</v>
      </c>
      <c r="I303" s="1" t="s">
        <v>71</v>
      </c>
      <c r="J303">
        <v>4521</v>
      </c>
      <c r="K303">
        <v>0</v>
      </c>
      <c r="L303" s="1" t="s">
        <v>384</v>
      </c>
      <c r="M303" s="1" t="s">
        <v>72</v>
      </c>
      <c r="N303" s="1" t="s">
        <v>134</v>
      </c>
      <c r="O303" s="1" t="s">
        <v>385</v>
      </c>
      <c r="P303" s="1" t="s">
        <v>386</v>
      </c>
      <c r="Q303" s="1" t="s">
        <v>387</v>
      </c>
      <c r="R303">
        <v>103</v>
      </c>
      <c r="S303" s="1" t="s">
        <v>135</v>
      </c>
      <c r="T303" s="1" t="s">
        <v>388</v>
      </c>
      <c r="U303" s="1" t="s">
        <v>135</v>
      </c>
      <c r="V303" s="1"/>
      <c r="W303" s="1"/>
      <c r="X303" s="1"/>
      <c r="Y303" s="1"/>
      <c r="AA303" s="1"/>
      <c r="AC303" s="1"/>
      <c r="AD303" s="1"/>
      <c r="AE303" s="1"/>
      <c r="AN303" s="1"/>
      <c r="AP303" s="1"/>
      <c r="AQ303" s="1"/>
      <c r="AR303" s="1"/>
      <c r="AS303" s="1"/>
      <c r="AT303" s="3"/>
      <c r="AU303" s="3"/>
      <c r="AV303" s="3"/>
      <c r="AW303" s="1"/>
      <c r="AX303" s="1"/>
      <c r="AZ303">
        <v>76</v>
      </c>
      <c r="BA303">
        <v>260953.83</v>
      </c>
      <c r="BB303" s="1" t="s">
        <v>74</v>
      </c>
      <c r="BC303">
        <v>155</v>
      </c>
      <c r="BD303" s="1" t="s">
        <v>1411</v>
      </c>
      <c r="BE303" s="1" t="s">
        <v>410</v>
      </c>
      <c r="BF303">
        <v>3000</v>
      </c>
      <c r="BG303" s="1" t="s">
        <v>1452</v>
      </c>
      <c r="BH303" s="1" t="s">
        <v>99</v>
      </c>
      <c r="BI303">
        <v>0</v>
      </c>
      <c r="BJ303" s="1"/>
      <c r="BL303" s="1"/>
      <c r="BN303" s="1"/>
      <c r="BO303">
        <v>186</v>
      </c>
      <c r="BP303">
        <v>260953.83</v>
      </c>
      <c r="BQ303">
        <v>260953.83</v>
      </c>
    </row>
    <row r="304" spans="1:69" x14ac:dyDescent="0.35">
      <c r="A304" s="1" t="s">
        <v>68</v>
      </c>
      <c r="B304" s="1" t="s">
        <v>69</v>
      </c>
      <c r="C304" s="1" t="s">
        <v>70</v>
      </c>
      <c r="D304">
        <v>1</v>
      </c>
      <c r="E304">
        <v>1</v>
      </c>
      <c r="F304" s="2">
        <v>43584.863483796296</v>
      </c>
      <c r="G304" s="3">
        <v>40909</v>
      </c>
      <c r="H304" s="3">
        <v>41274</v>
      </c>
      <c r="I304" s="1" t="s">
        <v>71</v>
      </c>
      <c r="J304">
        <v>4521</v>
      </c>
      <c r="K304">
        <v>0</v>
      </c>
      <c r="L304" s="1" t="s">
        <v>384</v>
      </c>
      <c r="M304" s="1" t="s">
        <v>72</v>
      </c>
      <c r="N304" s="1" t="s">
        <v>134</v>
      </c>
      <c r="O304" s="1" t="s">
        <v>385</v>
      </c>
      <c r="P304" s="1" t="s">
        <v>386</v>
      </c>
      <c r="Q304" s="1" t="s">
        <v>387</v>
      </c>
      <c r="R304">
        <v>103</v>
      </c>
      <c r="S304" s="1" t="s">
        <v>135</v>
      </c>
      <c r="T304" s="1" t="s">
        <v>388</v>
      </c>
      <c r="U304" s="1" t="s">
        <v>135</v>
      </c>
      <c r="V304" s="1"/>
      <c r="W304" s="1"/>
      <c r="X304" s="1"/>
      <c r="Y304" s="1"/>
      <c r="AA304" s="1"/>
      <c r="AC304" s="1"/>
      <c r="AD304" s="1"/>
      <c r="AE304" s="1"/>
      <c r="AN304" s="1"/>
      <c r="AP304" s="1"/>
      <c r="AQ304" s="1"/>
      <c r="AR304" s="1"/>
      <c r="AS304" s="1"/>
      <c r="AT304" s="3"/>
      <c r="AU304" s="3"/>
      <c r="AV304" s="3"/>
      <c r="AW304" s="1"/>
      <c r="AX304" s="1"/>
      <c r="AZ304">
        <v>76</v>
      </c>
      <c r="BA304">
        <v>260953.83</v>
      </c>
      <c r="BB304" s="1" t="s">
        <v>74</v>
      </c>
      <c r="BC304">
        <v>156</v>
      </c>
      <c r="BD304" s="1" t="s">
        <v>1411</v>
      </c>
      <c r="BE304" s="1" t="s">
        <v>99</v>
      </c>
      <c r="BF304">
        <v>0</v>
      </c>
      <c r="BG304" s="1"/>
      <c r="BH304" s="1" t="s">
        <v>394</v>
      </c>
      <c r="BI304">
        <v>3000</v>
      </c>
      <c r="BJ304" s="1" t="s">
        <v>1452</v>
      </c>
      <c r="BL304" s="1"/>
      <c r="BN304" s="1"/>
      <c r="BO304">
        <v>186</v>
      </c>
      <c r="BP304">
        <v>260953.83</v>
      </c>
      <c r="BQ304">
        <v>260953.83</v>
      </c>
    </row>
    <row r="305" spans="1:69" x14ac:dyDescent="0.35">
      <c r="A305" s="1" t="s">
        <v>68</v>
      </c>
      <c r="B305" s="1" t="s">
        <v>69</v>
      </c>
      <c r="C305" s="1" t="s">
        <v>70</v>
      </c>
      <c r="D305">
        <v>1</v>
      </c>
      <c r="E305">
        <v>1</v>
      </c>
      <c r="F305" s="2">
        <v>43584.863483796296</v>
      </c>
      <c r="G305" s="3">
        <v>40909</v>
      </c>
      <c r="H305" s="3">
        <v>41274</v>
      </c>
      <c r="I305" s="1" t="s">
        <v>71</v>
      </c>
      <c r="J305">
        <v>4521</v>
      </c>
      <c r="K305">
        <v>0</v>
      </c>
      <c r="L305" s="1" t="s">
        <v>384</v>
      </c>
      <c r="M305" s="1" t="s">
        <v>72</v>
      </c>
      <c r="N305" s="1" t="s">
        <v>134</v>
      </c>
      <c r="O305" s="1" t="s">
        <v>385</v>
      </c>
      <c r="P305" s="1" t="s">
        <v>386</v>
      </c>
      <c r="Q305" s="1" t="s">
        <v>387</v>
      </c>
      <c r="R305">
        <v>103</v>
      </c>
      <c r="S305" s="1" t="s">
        <v>135</v>
      </c>
      <c r="T305" s="1" t="s">
        <v>388</v>
      </c>
      <c r="U305" s="1" t="s">
        <v>135</v>
      </c>
      <c r="V305" s="1"/>
      <c r="W305" s="1"/>
      <c r="X305" s="1"/>
      <c r="Y305" s="1"/>
      <c r="AA305" s="1"/>
      <c r="AC305" s="1"/>
      <c r="AD305" s="1"/>
      <c r="AE305" s="1"/>
      <c r="AN305" s="1"/>
      <c r="AP305" s="1"/>
      <c r="AQ305" s="1"/>
      <c r="AR305" s="1"/>
      <c r="AS305" s="1"/>
      <c r="AT305" s="3"/>
      <c r="AU305" s="3"/>
      <c r="AV305" s="3"/>
      <c r="AW305" s="1"/>
      <c r="AX305" s="1"/>
      <c r="AZ305">
        <v>76</v>
      </c>
      <c r="BA305">
        <v>260953.83</v>
      </c>
      <c r="BB305" s="1" t="s">
        <v>74</v>
      </c>
      <c r="BC305">
        <v>157</v>
      </c>
      <c r="BD305" s="1" t="s">
        <v>1412</v>
      </c>
      <c r="BE305" s="1" t="s">
        <v>416</v>
      </c>
      <c r="BF305">
        <v>1943.4</v>
      </c>
      <c r="BG305" s="1" t="s">
        <v>1453</v>
      </c>
      <c r="BH305" s="1" t="s">
        <v>99</v>
      </c>
      <c r="BI305">
        <v>0</v>
      </c>
      <c r="BJ305" s="1"/>
      <c r="BL305" s="1"/>
      <c r="BN305" s="1"/>
      <c r="BO305">
        <v>186</v>
      </c>
      <c r="BP305">
        <v>260953.83</v>
      </c>
      <c r="BQ305">
        <v>260953.83</v>
      </c>
    </row>
    <row r="306" spans="1:69" x14ac:dyDescent="0.35">
      <c r="A306" s="1" t="s">
        <v>68</v>
      </c>
      <c r="B306" s="1" t="s">
        <v>69</v>
      </c>
      <c r="C306" s="1" t="s">
        <v>70</v>
      </c>
      <c r="D306">
        <v>1</v>
      </c>
      <c r="E306">
        <v>1</v>
      </c>
      <c r="F306" s="2">
        <v>43584.863483796296</v>
      </c>
      <c r="G306" s="3">
        <v>40909</v>
      </c>
      <c r="H306" s="3">
        <v>41274</v>
      </c>
      <c r="I306" s="1" t="s">
        <v>71</v>
      </c>
      <c r="J306">
        <v>4521</v>
      </c>
      <c r="K306">
        <v>0</v>
      </c>
      <c r="L306" s="1" t="s">
        <v>384</v>
      </c>
      <c r="M306" s="1" t="s">
        <v>72</v>
      </c>
      <c r="N306" s="1" t="s">
        <v>134</v>
      </c>
      <c r="O306" s="1" t="s">
        <v>385</v>
      </c>
      <c r="P306" s="1" t="s">
        <v>386</v>
      </c>
      <c r="Q306" s="1" t="s">
        <v>387</v>
      </c>
      <c r="R306">
        <v>103</v>
      </c>
      <c r="S306" s="1" t="s">
        <v>135</v>
      </c>
      <c r="T306" s="1" t="s">
        <v>388</v>
      </c>
      <c r="U306" s="1" t="s">
        <v>135</v>
      </c>
      <c r="V306" s="1"/>
      <c r="W306" s="1"/>
      <c r="X306" s="1"/>
      <c r="Y306" s="1"/>
      <c r="AA306" s="1"/>
      <c r="AC306" s="1"/>
      <c r="AD306" s="1"/>
      <c r="AE306" s="1"/>
      <c r="AN306" s="1"/>
      <c r="AP306" s="1"/>
      <c r="AQ306" s="1"/>
      <c r="AR306" s="1"/>
      <c r="AS306" s="1"/>
      <c r="AT306" s="3"/>
      <c r="AU306" s="3"/>
      <c r="AV306" s="3"/>
      <c r="AW306" s="1"/>
      <c r="AX306" s="1"/>
      <c r="AZ306">
        <v>76</v>
      </c>
      <c r="BA306">
        <v>260953.83</v>
      </c>
      <c r="BB306" s="1" t="s">
        <v>74</v>
      </c>
      <c r="BC306">
        <v>158</v>
      </c>
      <c r="BD306" s="1" t="s">
        <v>1412</v>
      </c>
      <c r="BE306" s="1" t="s">
        <v>99</v>
      </c>
      <c r="BF306">
        <v>0</v>
      </c>
      <c r="BG306" s="1"/>
      <c r="BH306" s="1" t="s">
        <v>394</v>
      </c>
      <c r="BI306">
        <v>1943.4</v>
      </c>
      <c r="BJ306" s="1" t="s">
        <v>1453</v>
      </c>
      <c r="BL306" s="1"/>
      <c r="BN306" s="1"/>
      <c r="BO306">
        <v>186</v>
      </c>
      <c r="BP306">
        <v>260953.83</v>
      </c>
      <c r="BQ306">
        <v>260953.83</v>
      </c>
    </row>
    <row r="307" spans="1:69" x14ac:dyDescent="0.35">
      <c r="A307" s="1" t="s">
        <v>68</v>
      </c>
      <c r="B307" s="1" t="s">
        <v>69</v>
      </c>
      <c r="C307" s="1" t="s">
        <v>70</v>
      </c>
      <c r="D307">
        <v>1</v>
      </c>
      <c r="E307">
        <v>1</v>
      </c>
      <c r="F307" s="2">
        <v>43584.863483796296</v>
      </c>
      <c r="G307" s="3">
        <v>40909</v>
      </c>
      <c r="H307" s="3">
        <v>41274</v>
      </c>
      <c r="I307" s="1" t="s">
        <v>71</v>
      </c>
      <c r="J307">
        <v>4521</v>
      </c>
      <c r="K307">
        <v>0</v>
      </c>
      <c r="L307" s="1" t="s">
        <v>384</v>
      </c>
      <c r="M307" s="1" t="s">
        <v>72</v>
      </c>
      <c r="N307" s="1" t="s">
        <v>134</v>
      </c>
      <c r="O307" s="1" t="s">
        <v>385</v>
      </c>
      <c r="P307" s="1" t="s">
        <v>386</v>
      </c>
      <c r="Q307" s="1" t="s">
        <v>387</v>
      </c>
      <c r="R307">
        <v>103</v>
      </c>
      <c r="S307" s="1" t="s">
        <v>135</v>
      </c>
      <c r="T307" s="1" t="s">
        <v>388</v>
      </c>
      <c r="U307" s="1" t="s">
        <v>135</v>
      </c>
      <c r="V307" s="1"/>
      <c r="W307" s="1"/>
      <c r="X307" s="1"/>
      <c r="Y307" s="1"/>
      <c r="AA307" s="1"/>
      <c r="AC307" s="1"/>
      <c r="AD307" s="1"/>
      <c r="AE307" s="1"/>
      <c r="AN307" s="1"/>
      <c r="AP307" s="1"/>
      <c r="AQ307" s="1"/>
      <c r="AR307" s="1"/>
      <c r="AS307" s="1"/>
      <c r="AT307" s="3"/>
      <c r="AU307" s="3"/>
      <c r="AV307" s="3"/>
      <c r="AW307" s="1"/>
      <c r="AX307" s="1"/>
      <c r="AZ307">
        <v>76</v>
      </c>
      <c r="BA307">
        <v>260953.83</v>
      </c>
      <c r="BB307" s="1" t="s">
        <v>74</v>
      </c>
      <c r="BC307">
        <v>159</v>
      </c>
      <c r="BD307" s="1" t="s">
        <v>1413</v>
      </c>
      <c r="BE307" s="1" t="s">
        <v>466</v>
      </c>
      <c r="BF307">
        <v>132</v>
      </c>
      <c r="BG307" s="1" t="s">
        <v>1454</v>
      </c>
      <c r="BH307" s="1" t="s">
        <v>99</v>
      </c>
      <c r="BI307">
        <v>0</v>
      </c>
      <c r="BJ307" s="1"/>
      <c r="BL307" s="1"/>
      <c r="BN307" s="1"/>
      <c r="BO307">
        <v>186</v>
      </c>
      <c r="BP307">
        <v>260953.83</v>
      </c>
      <c r="BQ307">
        <v>260953.83</v>
      </c>
    </row>
    <row r="308" spans="1:69" x14ac:dyDescent="0.35">
      <c r="A308" s="1" t="s">
        <v>68</v>
      </c>
      <c r="B308" s="1" t="s">
        <v>69</v>
      </c>
      <c r="C308" s="1" t="s">
        <v>70</v>
      </c>
      <c r="D308">
        <v>1</v>
      </c>
      <c r="E308">
        <v>1</v>
      </c>
      <c r="F308" s="2">
        <v>43584.863483796296</v>
      </c>
      <c r="G308" s="3">
        <v>40909</v>
      </c>
      <c r="H308" s="3">
        <v>41274</v>
      </c>
      <c r="I308" s="1" t="s">
        <v>71</v>
      </c>
      <c r="J308">
        <v>4521</v>
      </c>
      <c r="K308">
        <v>0</v>
      </c>
      <c r="L308" s="1" t="s">
        <v>384</v>
      </c>
      <c r="M308" s="1" t="s">
        <v>72</v>
      </c>
      <c r="N308" s="1" t="s">
        <v>134</v>
      </c>
      <c r="O308" s="1" t="s">
        <v>385</v>
      </c>
      <c r="P308" s="1" t="s">
        <v>386</v>
      </c>
      <c r="Q308" s="1" t="s">
        <v>387</v>
      </c>
      <c r="R308">
        <v>103</v>
      </c>
      <c r="S308" s="1" t="s">
        <v>135</v>
      </c>
      <c r="T308" s="1" t="s">
        <v>388</v>
      </c>
      <c r="U308" s="1" t="s">
        <v>135</v>
      </c>
      <c r="V308" s="1"/>
      <c r="W308" s="1"/>
      <c r="X308" s="1"/>
      <c r="Y308" s="1"/>
      <c r="AA308" s="1"/>
      <c r="AC308" s="1"/>
      <c r="AD308" s="1"/>
      <c r="AE308" s="1"/>
      <c r="AN308" s="1"/>
      <c r="AP308" s="1"/>
      <c r="AQ308" s="1"/>
      <c r="AR308" s="1"/>
      <c r="AS308" s="1"/>
      <c r="AT308" s="3"/>
      <c r="AU308" s="3"/>
      <c r="AV308" s="3"/>
      <c r="AW308" s="1"/>
      <c r="AX308" s="1"/>
      <c r="AZ308">
        <v>76</v>
      </c>
      <c r="BA308">
        <v>260953.83</v>
      </c>
      <c r="BB308" s="1" t="s">
        <v>74</v>
      </c>
      <c r="BC308">
        <v>160</v>
      </c>
      <c r="BD308" s="1" t="s">
        <v>1413</v>
      </c>
      <c r="BE308" s="1" t="s">
        <v>99</v>
      </c>
      <c r="BF308">
        <v>0</v>
      </c>
      <c r="BG308" s="1"/>
      <c r="BH308" s="1" t="s">
        <v>1301</v>
      </c>
      <c r="BI308">
        <v>162.36000000000001</v>
      </c>
      <c r="BJ308" s="1" t="s">
        <v>1454</v>
      </c>
      <c r="BL308" s="1"/>
      <c r="BN308" s="1"/>
      <c r="BO308">
        <v>186</v>
      </c>
      <c r="BP308">
        <v>260953.83</v>
      </c>
      <c r="BQ308">
        <v>260953.83</v>
      </c>
    </row>
    <row r="309" spans="1:69" x14ac:dyDescent="0.35">
      <c r="A309" s="1" t="s">
        <v>68</v>
      </c>
      <c r="B309" s="1" t="s">
        <v>69</v>
      </c>
      <c r="C309" s="1" t="s">
        <v>70</v>
      </c>
      <c r="D309">
        <v>1</v>
      </c>
      <c r="E309">
        <v>1</v>
      </c>
      <c r="F309" s="2">
        <v>43584.863483796296</v>
      </c>
      <c r="G309" s="3">
        <v>40909</v>
      </c>
      <c r="H309" s="3">
        <v>41274</v>
      </c>
      <c r="I309" s="1" t="s">
        <v>71</v>
      </c>
      <c r="J309">
        <v>4521</v>
      </c>
      <c r="K309">
        <v>0</v>
      </c>
      <c r="L309" s="1" t="s">
        <v>384</v>
      </c>
      <c r="M309" s="1" t="s">
        <v>72</v>
      </c>
      <c r="N309" s="1" t="s">
        <v>134</v>
      </c>
      <c r="O309" s="1" t="s">
        <v>385</v>
      </c>
      <c r="P309" s="1" t="s">
        <v>386</v>
      </c>
      <c r="Q309" s="1" t="s">
        <v>387</v>
      </c>
      <c r="R309">
        <v>103</v>
      </c>
      <c r="S309" s="1" t="s">
        <v>135</v>
      </c>
      <c r="T309" s="1" t="s">
        <v>388</v>
      </c>
      <c r="U309" s="1" t="s">
        <v>135</v>
      </c>
      <c r="V309" s="1"/>
      <c r="W309" s="1"/>
      <c r="X309" s="1"/>
      <c r="Y309" s="1"/>
      <c r="AA309" s="1"/>
      <c r="AC309" s="1"/>
      <c r="AD309" s="1"/>
      <c r="AE309" s="1"/>
      <c r="AN309" s="1"/>
      <c r="AP309" s="1"/>
      <c r="AQ309" s="1"/>
      <c r="AR309" s="1"/>
      <c r="AS309" s="1"/>
      <c r="AT309" s="3"/>
      <c r="AU309" s="3"/>
      <c r="AV309" s="3"/>
      <c r="AW309" s="1"/>
      <c r="AX309" s="1"/>
      <c r="AZ309">
        <v>76</v>
      </c>
      <c r="BA309">
        <v>260953.83</v>
      </c>
      <c r="BB309" s="1" t="s">
        <v>74</v>
      </c>
      <c r="BC309">
        <v>161</v>
      </c>
      <c r="BD309" s="1" t="s">
        <v>1413</v>
      </c>
      <c r="BE309" s="1" t="s">
        <v>452</v>
      </c>
      <c r="BF309">
        <v>30.36</v>
      </c>
      <c r="BG309" s="1" t="s">
        <v>1454</v>
      </c>
      <c r="BH309" s="1" t="s">
        <v>99</v>
      </c>
      <c r="BI309">
        <v>0</v>
      </c>
      <c r="BJ309" s="1"/>
      <c r="BL309" s="1"/>
      <c r="BN309" s="1"/>
      <c r="BO309">
        <v>186</v>
      </c>
      <c r="BP309">
        <v>260953.83</v>
      </c>
      <c r="BQ309">
        <v>260953.83</v>
      </c>
    </row>
    <row r="310" spans="1:69" x14ac:dyDescent="0.35">
      <c r="A310" s="1" t="s">
        <v>68</v>
      </c>
      <c r="B310" s="1" t="s">
        <v>69</v>
      </c>
      <c r="C310" s="1" t="s">
        <v>70</v>
      </c>
      <c r="D310">
        <v>1</v>
      </c>
      <c r="E310">
        <v>1</v>
      </c>
      <c r="F310" s="2">
        <v>43584.863483796296</v>
      </c>
      <c r="G310" s="3">
        <v>40909</v>
      </c>
      <c r="H310" s="3">
        <v>41274</v>
      </c>
      <c r="I310" s="1" t="s">
        <v>71</v>
      </c>
      <c r="J310">
        <v>4521</v>
      </c>
      <c r="K310">
        <v>0</v>
      </c>
      <c r="L310" s="1" t="s">
        <v>384</v>
      </c>
      <c r="M310" s="1" t="s">
        <v>72</v>
      </c>
      <c r="N310" s="1" t="s">
        <v>134</v>
      </c>
      <c r="O310" s="1" t="s">
        <v>385</v>
      </c>
      <c r="P310" s="1" t="s">
        <v>386</v>
      </c>
      <c r="Q310" s="1" t="s">
        <v>387</v>
      </c>
      <c r="R310">
        <v>103</v>
      </c>
      <c r="S310" s="1" t="s">
        <v>135</v>
      </c>
      <c r="T310" s="1" t="s">
        <v>388</v>
      </c>
      <c r="U310" s="1" t="s">
        <v>135</v>
      </c>
      <c r="V310" s="1"/>
      <c r="W310" s="1"/>
      <c r="X310" s="1"/>
      <c r="Y310" s="1"/>
      <c r="AA310" s="1"/>
      <c r="AC310" s="1"/>
      <c r="AD310" s="1"/>
      <c r="AE310" s="1"/>
      <c r="AN310" s="1"/>
      <c r="AP310" s="1"/>
      <c r="AQ310" s="1"/>
      <c r="AR310" s="1"/>
      <c r="AS310" s="1"/>
      <c r="AT310" s="3"/>
      <c r="AU310" s="3"/>
      <c r="AV310" s="3"/>
      <c r="AW310" s="1"/>
      <c r="AX310" s="1"/>
      <c r="AZ310">
        <v>76</v>
      </c>
      <c r="BA310">
        <v>260953.83</v>
      </c>
      <c r="BB310" s="1" t="s">
        <v>74</v>
      </c>
      <c r="BC310">
        <v>162</v>
      </c>
      <c r="BD310" s="1" t="s">
        <v>1537</v>
      </c>
      <c r="BE310" s="1" t="s">
        <v>466</v>
      </c>
      <c r="BF310">
        <v>980</v>
      </c>
      <c r="BG310" s="1" t="s">
        <v>1428</v>
      </c>
      <c r="BH310" s="1" t="s">
        <v>99</v>
      </c>
      <c r="BI310">
        <v>0</v>
      </c>
      <c r="BJ310" s="1"/>
      <c r="BL310" s="1"/>
      <c r="BN310" s="1"/>
      <c r="BO310">
        <v>186</v>
      </c>
      <c r="BP310">
        <v>260953.83</v>
      </c>
      <c r="BQ310">
        <v>260953.83</v>
      </c>
    </row>
    <row r="311" spans="1:69" x14ac:dyDescent="0.35">
      <c r="A311" s="1" t="s">
        <v>68</v>
      </c>
      <c r="B311" s="1" t="s">
        <v>69</v>
      </c>
      <c r="C311" s="1" t="s">
        <v>70</v>
      </c>
      <c r="D311">
        <v>1</v>
      </c>
      <c r="E311">
        <v>1</v>
      </c>
      <c r="F311" s="2">
        <v>43584.863483796296</v>
      </c>
      <c r="G311" s="3">
        <v>40909</v>
      </c>
      <c r="H311" s="3">
        <v>41274</v>
      </c>
      <c r="I311" s="1" t="s">
        <v>71</v>
      </c>
      <c r="J311">
        <v>4521</v>
      </c>
      <c r="K311">
        <v>0</v>
      </c>
      <c r="L311" s="1" t="s">
        <v>384</v>
      </c>
      <c r="M311" s="1" t="s">
        <v>72</v>
      </c>
      <c r="N311" s="1" t="s">
        <v>134</v>
      </c>
      <c r="O311" s="1" t="s">
        <v>385</v>
      </c>
      <c r="P311" s="1" t="s">
        <v>386</v>
      </c>
      <c r="Q311" s="1" t="s">
        <v>387</v>
      </c>
      <c r="R311">
        <v>103</v>
      </c>
      <c r="S311" s="1" t="s">
        <v>135</v>
      </c>
      <c r="T311" s="1" t="s">
        <v>388</v>
      </c>
      <c r="U311" s="1" t="s">
        <v>135</v>
      </c>
      <c r="V311" s="1"/>
      <c r="W311" s="1"/>
      <c r="X311" s="1"/>
      <c r="Y311" s="1"/>
      <c r="AA311" s="1"/>
      <c r="AC311" s="1"/>
      <c r="AD311" s="1"/>
      <c r="AE311" s="1"/>
      <c r="AN311" s="1"/>
      <c r="AP311" s="1"/>
      <c r="AQ311" s="1"/>
      <c r="AR311" s="1"/>
      <c r="AS311" s="1"/>
      <c r="AT311" s="3"/>
      <c r="AU311" s="3"/>
      <c r="AV311" s="3"/>
      <c r="AW311" s="1"/>
      <c r="AX311" s="1"/>
      <c r="AZ311">
        <v>76</v>
      </c>
      <c r="BA311">
        <v>260953.83</v>
      </c>
      <c r="BB311" s="1" t="s">
        <v>74</v>
      </c>
      <c r="BC311">
        <v>163</v>
      </c>
      <c r="BD311" s="1" t="s">
        <v>1537</v>
      </c>
      <c r="BE311" s="1" t="s">
        <v>99</v>
      </c>
      <c r="BF311">
        <v>0</v>
      </c>
      <c r="BG311" s="1"/>
      <c r="BH311" s="1" t="s">
        <v>429</v>
      </c>
      <c r="BI311">
        <v>1205.4000000000001</v>
      </c>
      <c r="BJ311" s="1" t="s">
        <v>1428</v>
      </c>
      <c r="BL311" s="1"/>
      <c r="BN311" s="1"/>
      <c r="BO311">
        <v>186</v>
      </c>
      <c r="BP311">
        <v>260953.83</v>
      </c>
      <c r="BQ311">
        <v>260953.83</v>
      </c>
    </row>
    <row r="312" spans="1:69" x14ac:dyDescent="0.35">
      <c r="A312" s="1" t="s">
        <v>68</v>
      </c>
      <c r="B312" s="1" t="s">
        <v>69</v>
      </c>
      <c r="C312" s="1" t="s">
        <v>70</v>
      </c>
      <c r="D312">
        <v>1</v>
      </c>
      <c r="E312">
        <v>1</v>
      </c>
      <c r="F312" s="2">
        <v>43584.863483796296</v>
      </c>
      <c r="G312" s="3">
        <v>40909</v>
      </c>
      <c r="H312" s="3">
        <v>41274</v>
      </c>
      <c r="I312" s="1" t="s">
        <v>71</v>
      </c>
      <c r="J312">
        <v>4521</v>
      </c>
      <c r="K312">
        <v>0</v>
      </c>
      <c r="L312" s="1" t="s">
        <v>384</v>
      </c>
      <c r="M312" s="1" t="s">
        <v>72</v>
      </c>
      <c r="N312" s="1" t="s">
        <v>134</v>
      </c>
      <c r="O312" s="1" t="s">
        <v>385</v>
      </c>
      <c r="P312" s="1" t="s">
        <v>386</v>
      </c>
      <c r="Q312" s="1" t="s">
        <v>387</v>
      </c>
      <c r="R312">
        <v>103</v>
      </c>
      <c r="S312" s="1" t="s">
        <v>135</v>
      </c>
      <c r="T312" s="1" t="s">
        <v>388</v>
      </c>
      <c r="U312" s="1" t="s">
        <v>135</v>
      </c>
      <c r="V312" s="1"/>
      <c r="W312" s="1"/>
      <c r="X312" s="1"/>
      <c r="Y312" s="1"/>
      <c r="AA312" s="1"/>
      <c r="AC312" s="1"/>
      <c r="AD312" s="1"/>
      <c r="AE312" s="1"/>
      <c r="AN312" s="1"/>
      <c r="AP312" s="1"/>
      <c r="AQ312" s="1"/>
      <c r="AR312" s="1"/>
      <c r="AS312" s="1"/>
      <c r="AT312" s="3"/>
      <c r="AU312" s="3"/>
      <c r="AV312" s="3"/>
      <c r="AW312" s="1"/>
      <c r="AX312" s="1"/>
      <c r="AZ312">
        <v>76</v>
      </c>
      <c r="BA312">
        <v>260953.83</v>
      </c>
      <c r="BB312" s="1" t="s">
        <v>74</v>
      </c>
      <c r="BC312">
        <v>164</v>
      </c>
      <c r="BD312" s="1" t="s">
        <v>1537</v>
      </c>
      <c r="BE312" s="1" t="s">
        <v>452</v>
      </c>
      <c r="BF312">
        <v>225.4</v>
      </c>
      <c r="BG312" s="1" t="s">
        <v>1428</v>
      </c>
      <c r="BH312" s="1" t="s">
        <v>99</v>
      </c>
      <c r="BI312">
        <v>0</v>
      </c>
      <c r="BJ312" s="1"/>
      <c r="BL312" s="1"/>
      <c r="BN312" s="1"/>
      <c r="BO312">
        <v>186</v>
      </c>
      <c r="BP312">
        <v>260953.83</v>
      </c>
      <c r="BQ312">
        <v>260953.83</v>
      </c>
    </row>
    <row r="313" spans="1:69" x14ac:dyDescent="0.35">
      <c r="A313" s="1" t="s">
        <v>68</v>
      </c>
      <c r="B313" s="1" t="s">
        <v>69</v>
      </c>
      <c r="C313" s="1" t="s">
        <v>70</v>
      </c>
      <c r="D313">
        <v>1</v>
      </c>
      <c r="E313">
        <v>1</v>
      </c>
      <c r="F313" s="2">
        <v>43584.863483796296</v>
      </c>
      <c r="G313" s="3">
        <v>40909</v>
      </c>
      <c r="H313" s="3">
        <v>41274</v>
      </c>
      <c r="I313" s="1" t="s">
        <v>71</v>
      </c>
      <c r="J313">
        <v>4521</v>
      </c>
      <c r="K313">
        <v>0</v>
      </c>
      <c r="L313" s="1" t="s">
        <v>384</v>
      </c>
      <c r="M313" s="1" t="s">
        <v>72</v>
      </c>
      <c r="N313" s="1" t="s">
        <v>134</v>
      </c>
      <c r="O313" s="1" t="s">
        <v>385</v>
      </c>
      <c r="P313" s="1" t="s">
        <v>386</v>
      </c>
      <c r="Q313" s="1" t="s">
        <v>387</v>
      </c>
      <c r="R313">
        <v>103</v>
      </c>
      <c r="S313" s="1" t="s">
        <v>135</v>
      </c>
      <c r="T313" s="1" t="s">
        <v>388</v>
      </c>
      <c r="U313" s="1" t="s">
        <v>135</v>
      </c>
      <c r="V313" s="1"/>
      <c r="W313" s="1"/>
      <c r="X313" s="1"/>
      <c r="Y313" s="1"/>
      <c r="AA313" s="1"/>
      <c r="AC313" s="1"/>
      <c r="AD313" s="1"/>
      <c r="AE313" s="1"/>
      <c r="AN313" s="1"/>
      <c r="AP313" s="1"/>
      <c r="AQ313" s="1"/>
      <c r="AR313" s="1"/>
      <c r="AS313" s="1"/>
      <c r="AT313" s="3"/>
      <c r="AU313" s="3"/>
      <c r="AV313" s="3"/>
      <c r="AW313" s="1"/>
      <c r="AX313" s="1"/>
      <c r="AZ313">
        <v>76</v>
      </c>
      <c r="BA313">
        <v>260953.83</v>
      </c>
      <c r="BB313" s="1" t="s">
        <v>74</v>
      </c>
      <c r="BC313">
        <v>165</v>
      </c>
      <c r="BD313" s="1" t="s">
        <v>1538</v>
      </c>
      <c r="BE313" s="1" t="s">
        <v>466</v>
      </c>
      <c r="BF313">
        <v>980</v>
      </c>
      <c r="BG313" s="1" t="s">
        <v>1428</v>
      </c>
      <c r="BH313" s="1" t="s">
        <v>99</v>
      </c>
      <c r="BI313">
        <v>0</v>
      </c>
      <c r="BJ313" s="1"/>
      <c r="BL313" s="1"/>
      <c r="BN313" s="1"/>
      <c r="BO313">
        <v>186</v>
      </c>
      <c r="BP313">
        <v>260953.83</v>
      </c>
      <c r="BQ313">
        <v>260953.83</v>
      </c>
    </row>
    <row r="314" spans="1:69" x14ac:dyDescent="0.35">
      <c r="A314" s="1" t="s">
        <v>68</v>
      </c>
      <c r="B314" s="1" t="s">
        <v>69</v>
      </c>
      <c r="C314" s="1" t="s">
        <v>70</v>
      </c>
      <c r="D314">
        <v>1</v>
      </c>
      <c r="E314">
        <v>1</v>
      </c>
      <c r="F314" s="2">
        <v>43584.863483796296</v>
      </c>
      <c r="G314" s="3">
        <v>40909</v>
      </c>
      <c r="H314" s="3">
        <v>41274</v>
      </c>
      <c r="I314" s="1" t="s">
        <v>71</v>
      </c>
      <c r="J314">
        <v>4521</v>
      </c>
      <c r="K314">
        <v>0</v>
      </c>
      <c r="L314" s="1" t="s">
        <v>384</v>
      </c>
      <c r="M314" s="1" t="s">
        <v>72</v>
      </c>
      <c r="N314" s="1" t="s">
        <v>134</v>
      </c>
      <c r="O314" s="1" t="s">
        <v>385</v>
      </c>
      <c r="P314" s="1" t="s">
        <v>386</v>
      </c>
      <c r="Q314" s="1" t="s">
        <v>387</v>
      </c>
      <c r="R314">
        <v>103</v>
      </c>
      <c r="S314" s="1" t="s">
        <v>135</v>
      </c>
      <c r="T314" s="1" t="s">
        <v>388</v>
      </c>
      <c r="U314" s="1" t="s">
        <v>135</v>
      </c>
      <c r="V314" s="1"/>
      <c r="W314" s="1"/>
      <c r="X314" s="1"/>
      <c r="Y314" s="1"/>
      <c r="AA314" s="1"/>
      <c r="AC314" s="1"/>
      <c r="AD314" s="1"/>
      <c r="AE314" s="1"/>
      <c r="AN314" s="1"/>
      <c r="AP314" s="1"/>
      <c r="AQ314" s="1"/>
      <c r="AR314" s="1"/>
      <c r="AS314" s="1"/>
      <c r="AT314" s="3"/>
      <c r="AU314" s="3"/>
      <c r="AV314" s="3"/>
      <c r="AW314" s="1"/>
      <c r="AX314" s="1"/>
      <c r="AZ314">
        <v>76</v>
      </c>
      <c r="BA314">
        <v>260953.83</v>
      </c>
      <c r="BB314" s="1" t="s">
        <v>74</v>
      </c>
      <c r="BC314">
        <v>166</v>
      </c>
      <c r="BD314" s="1" t="s">
        <v>1538</v>
      </c>
      <c r="BE314" s="1" t="s">
        <v>99</v>
      </c>
      <c r="BF314">
        <v>0</v>
      </c>
      <c r="BG314" s="1"/>
      <c r="BH314" s="1" t="s">
        <v>429</v>
      </c>
      <c r="BI314">
        <v>1205.4000000000001</v>
      </c>
      <c r="BJ314" s="1" t="s">
        <v>1428</v>
      </c>
      <c r="BL314" s="1"/>
      <c r="BN314" s="1"/>
      <c r="BO314">
        <v>186</v>
      </c>
      <c r="BP314">
        <v>260953.83</v>
      </c>
      <c r="BQ314">
        <v>260953.83</v>
      </c>
    </row>
    <row r="315" spans="1:69" x14ac:dyDescent="0.35">
      <c r="A315" s="1" t="s">
        <v>68</v>
      </c>
      <c r="B315" s="1" t="s">
        <v>69</v>
      </c>
      <c r="C315" s="1" t="s">
        <v>70</v>
      </c>
      <c r="D315">
        <v>1</v>
      </c>
      <c r="E315">
        <v>1</v>
      </c>
      <c r="F315" s="2">
        <v>43584.863483796296</v>
      </c>
      <c r="G315" s="3">
        <v>40909</v>
      </c>
      <c r="H315" s="3">
        <v>41274</v>
      </c>
      <c r="I315" s="1" t="s">
        <v>71</v>
      </c>
      <c r="J315">
        <v>4521</v>
      </c>
      <c r="K315">
        <v>0</v>
      </c>
      <c r="L315" s="1" t="s">
        <v>384</v>
      </c>
      <c r="M315" s="1" t="s">
        <v>72</v>
      </c>
      <c r="N315" s="1" t="s">
        <v>134</v>
      </c>
      <c r="O315" s="1" t="s">
        <v>385</v>
      </c>
      <c r="P315" s="1" t="s">
        <v>386</v>
      </c>
      <c r="Q315" s="1" t="s">
        <v>387</v>
      </c>
      <c r="R315">
        <v>103</v>
      </c>
      <c r="S315" s="1" t="s">
        <v>135</v>
      </c>
      <c r="T315" s="1" t="s">
        <v>388</v>
      </c>
      <c r="U315" s="1" t="s">
        <v>135</v>
      </c>
      <c r="V315" s="1"/>
      <c r="W315" s="1"/>
      <c r="X315" s="1"/>
      <c r="Y315" s="1"/>
      <c r="AA315" s="1"/>
      <c r="AC315" s="1"/>
      <c r="AD315" s="1"/>
      <c r="AE315" s="1"/>
      <c r="AN315" s="1"/>
      <c r="AP315" s="1"/>
      <c r="AQ315" s="1"/>
      <c r="AR315" s="1"/>
      <c r="AS315" s="1"/>
      <c r="AT315" s="3"/>
      <c r="AU315" s="3"/>
      <c r="AV315" s="3"/>
      <c r="AW315" s="1"/>
      <c r="AX315" s="1"/>
      <c r="AZ315">
        <v>76</v>
      </c>
      <c r="BA315">
        <v>260953.83</v>
      </c>
      <c r="BB315" s="1" t="s">
        <v>74</v>
      </c>
      <c r="BC315">
        <v>167</v>
      </c>
      <c r="BD315" s="1" t="s">
        <v>1538</v>
      </c>
      <c r="BE315" s="1" t="s">
        <v>452</v>
      </c>
      <c r="BF315">
        <v>225.4</v>
      </c>
      <c r="BG315" s="1" t="s">
        <v>1428</v>
      </c>
      <c r="BH315" s="1" t="s">
        <v>99</v>
      </c>
      <c r="BI315">
        <v>0</v>
      </c>
      <c r="BJ315" s="1"/>
      <c r="BL315" s="1"/>
      <c r="BN315" s="1"/>
      <c r="BO315">
        <v>186</v>
      </c>
      <c r="BP315">
        <v>260953.83</v>
      </c>
      <c r="BQ315">
        <v>260953.83</v>
      </c>
    </row>
    <row r="316" spans="1:69" x14ac:dyDescent="0.35">
      <c r="A316" s="1" t="s">
        <v>68</v>
      </c>
      <c r="B316" s="1" t="s">
        <v>69</v>
      </c>
      <c r="C316" s="1" t="s">
        <v>70</v>
      </c>
      <c r="D316">
        <v>1</v>
      </c>
      <c r="E316">
        <v>1</v>
      </c>
      <c r="F316" s="2">
        <v>43584.863483796296</v>
      </c>
      <c r="G316" s="3">
        <v>40909</v>
      </c>
      <c r="H316" s="3">
        <v>41274</v>
      </c>
      <c r="I316" s="1" t="s">
        <v>71</v>
      </c>
      <c r="J316">
        <v>4521</v>
      </c>
      <c r="K316">
        <v>0</v>
      </c>
      <c r="L316" s="1" t="s">
        <v>384</v>
      </c>
      <c r="M316" s="1" t="s">
        <v>72</v>
      </c>
      <c r="N316" s="1" t="s">
        <v>134</v>
      </c>
      <c r="O316" s="1" t="s">
        <v>385</v>
      </c>
      <c r="P316" s="1" t="s">
        <v>386</v>
      </c>
      <c r="Q316" s="1" t="s">
        <v>387</v>
      </c>
      <c r="R316">
        <v>103</v>
      </c>
      <c r="S316" s="1" t="s">
        <v>135</v>
      </c>
      <c r="T316" s="1" t="s">
        <v>388</v>
      </c>
      <c r="U316" s="1" t="s">
        <v>135</v>
      </c>
      <c r="V316" s="1"/>
      <c r="W316" s="1"/>
      <c r="X316" s="1"/>
      <c r="Y316" s="1"/>
      <c r="AA316" s="1"/>
      <c r="AC316" s="1"/>
      <c r="AD316" s="1"/>
      <c r="AE316" s="1"/>
      <c r="AN316" s="1"/>
      <c r="AP316" s="1"/>
      <c r="AQ316" s="1"/>
      <c r="AR316" s="1"/>
      <c r="AS316" s="1"/>
      <c r="AT316" s="3"/>
      <c r="AU316" s="3"/>
      <c r="AV316" s="3"/>
      <c r="AW316" s="1"/>
      <c r="AX316" s="1"/>
      <c r="AZ316">
        <v>76</v>
      </c>
      <c r="BA316">
        <v>260953.83</v>
      </c>
      <c r="BB316" s="1" t="s">
        <v>74</v>
      </c>
      <c r="BC316">
        <v>168</v>
      </c>
      <c r="BD316" s="1" t="s">
        <v>1539</v>
      </c>
      <c r="BE316" s="1" t="s">
        <v>467</v>
      </c>
      <c r="BF316">
        <v>221</v>
      </c>
      <c r="BG316" s="1" t="s">
        <v>982</v>
      </c>
      <c r="BH316" s="1" t="s">
        <v>99</v>
      </c>
      <c r="BI316">
        <v>0</v>
      </c>
      <c r="BJ316" s="1"/>
      <c r="BL316" s="1"/>
      <c r="BN316" s="1"/>
      <c r="BO316">
        <v>186</v>
      </c>
      <c r="BP316">
        <v>260953.83</v>
      </c>
      <c r="BQ316">
        <v>260953.83</v>
      </c>
    </row>
    <row r="317" spans="1:69" x14ac:dyDescent="0.35">
      <c r="A317" s="1" t="s">
        <v>68</v>
      </c>
      <c r="B317" s="1" t="s">
        <v>69</v>
      </c>
      <c r="C317" s="1" t="s">
        <v>70</v>
      </c>
      <c r="D317">
        <v>1</v>
      </c>
      <c r="E317">
        <v>1</v>
      </c>
      <c r="F317" s="2">
        <v>43584.863483796296</v>
      </c>
      <c r="G317" s="3">
        <v>40909</v>
      </c>
      <c r="H317" s="3">
        <v>41274</v>
      </c>
      <c r="I317" s="1" t="s">
        <v>71</v>
      </c>
      <c r="J317">
        <v>4521</v>
      </c>
      <c r="K317">
        <v>0</v>
      </c>
      <c r="L317" s="1" t="s">
        <v>384</v>
      </c>
      <c r="M317" s="1" t="s">
        <v>72</v>
      </c>
      <c r="N317" s="1" t="s">
        <v>134</v>
      </c>
      <c r="O317" s="1" t="s">
        <v>385</v>
      </c>
      <c r="P317" s="1" t="s">
        <v>386</v>
      </c>
      <c r="Q317" s="1" t="s">
        <v>387</v>
      </c>
      <c r="R317">
        <v>103</v>
      </c>
      <c r="S317" s="1" t="s">
        <v>135</v>
      </c>
      <c r="T317" s="1" t="s">
        <v>388</v>
      </c>
      <c r="U317" s="1" t="s">
        <v>135</v>
      </c>
      <c r="V317" s="1"/>
      <c r="W317" s="1"/>
      <c r="X317" s="1"/>
      <c r="Y317" s="1"/>
      <c r="AA317" s="1"/>
      <c r="AC317" s="1"/>
      <c r="AD317" s="1"/>
      <c r="AE317" s="1"/>
      <c r="AN317" s="1"/>
      <c r="AP317" s="1"/>
      <c r="AQ317" s="1"/>
      <c r="AR317" s="1"/>
      <c r="AS317" s="1"/>
      <c r="AT317" s="3"/>
      <c r="AU317" s="3"/>
      <c r="AV317" s="3"/>
      <c r="AW317" s="1"/>
      <c r="AX317" s="1"/>
      <c r="AZ317">
        <v>76</v>
      </c>
      <c r="BA317">
        <v>260953.83</v>
      </c>
      <c r="BB317" s="1" t="s">
        <v>74</v>
      </c>
      <c r="BC317">
        <v>169</v>
      </c>
      <c r="BD317" s="1" t="s">
        <v>1539</v>
      </c>
      <c r="BE317" s="1" t="s">
        <v>99</v>
      </c>
      <c r="BF317">
        <v>0</v>
      </c>
      <c r="BG317" s="1"/>
      <c r="BH317" s="1" t="s">
        <v>434</v>
      </c>
      <c r="BI317">
        <v>260</v>
      </c>
      <c r="BJ317" s="1" t="s">
        <v>982</v>
      </c>
      <c r="BL317" s="1"/>
      <c r="BN317" s="1"/>
      <c r="BO317">
        <v>186</v>
      </c>
      <c r="BP317">
        <v>260953.83</v>
      </c>
      <c r="BQ317">
        <v>260953.83</v>
      </c>
    </row>
    <row r="318" spans="1:69" x14ac:dyDescent="0.35">
      <c r="A318" s="1" t="s">
        <v>68</v>
      </c>
      <c r="B318" s="1" t="s">
        <v>69</v>
      </c>
      <c r="C318" s="1" t="s">
        <v>70</v>
      </c>
      <c r="D318">
        <v>1</v>
      </c>
      <c r="E318">
        <v>1</v>
      </c>
      <c r="F318" s="2">
        <v>43584.863483796296</v>
      </c>
      <c r="G318" s="3">
        <v>40909</v>
      </c>
      <c r="H318" s="3">
        <v>41274</v>
      </c>
      <c r="I318" s="1" t="s">
        <v>71</v>
      </c>
      <c r="J318">
        <v>4521</v>
      </c>
      <c r="K318">
        <v>0</v>
      </c>
      <c r="L318" s="1" t="s">
        <v>384</v>
      </c>
      <c r="M318" s="1" t="s">
        <v>72</v>
      </c>
      <c r="N318" s="1" t="s">
        <v>134</v>
      </c>
      <c r="O318" s="1" t="s">
        <v>385</v>
      </c>
      <c r="P318" s="1" t="s">
        <v>386</v>
      </c>
      <c r="Q318" s="1" t="s">
        <v>387</v>
      </c>
      <c r="R318">
        <v>103</v>
      </c>
      <c r="S318" s="1" t="s">
        <v>135</v>
      </c>
      <c r="T318" s="1" t="s">
        <v>388</v>
      </c>
      <c r="U318" s="1" t="s">
        <v>135</v>
      </c>
      <c r="V318" s="1"/>
      <c r="W318" s="1"/>
      <c r="X318" s="1"/>
      <c r="Y318" s="1"/>
      <c r="AA318" s="1"/>
      <c r="AC318" s="1"/>
      <c r="AD318" s="1"/>
      <c r="AE318" s="1"/>
      <c r="AN318" s="1"/>
      <c r="AP318" s="1"/>
      <c r="AQ318" s="1"/>
      <c r="AR318" s="1"/>
      <c r="AS318" s="1"/>
      <c r="AT318" s="3"/>
      <c r="AU318" s="3"/>
      <c r="AV318" s="3"/>
      <c r="AW318" s="1"/>
      <c r="AX318" s="1"/>
      <c r="AZ318">
        <v>76</v>
      </c>
      <c r="BA318">
        <v>260953.83</v>
      </c>
      <c r="BB318" s="1" t="s">
        <v>74</v>
      </c>
      <c r="BC318">
        <v>170</v>
      </c>
      <c r="BD318" s="1" t="s">
        <v>1539</v>
      </c>
      <c r="BE318" s="1" t="s">
        <v>452</v>
      </c>
      <c r="BF318">
        <v>39</v>
      </c>
      <c r="BG318" s="1" t="s">
        <v>982</v>
      </c>
      <c r="BH318" s="1" t="s">
        <v>99</v>
      </c>
      <c r="BI318">
        <v>0</v>
      </c>
      <c r="BJ318" s="1"/>
      <c r="BL318" s="1"/>
      <c r="BN318" s="1"/>
      <c r="BO318">
        <v>186</v>
      </c>
      <c r="BP318">
        <v>260953.83</v>
      </c>
      <c r="BQ318">
        <v>260953.83</v>
      </c>
    </row>
    <row r="319" spans="1:69" x14ac:dyDescent="0.35">
      <c r="A319" s="1" t="s">
        <v>68</v>
      </c>
      <c r="B319" s="1" t="s">
        <v>69</v>
      </c>
      <c r="C319" s="1" t="s">
        <v>70</v>
      </c>
      <c r="D319">
        <v>1</v>
      </c>
      <c r="E319">
        <v>1</v>
      </c>
      <c r="F319" s="2">
        <v>43584.863483796296</v>
      </c>
      <c r="G319" s="3">
        <v>40909</v>
      </c>
      <c r="H319" s="3">
        <v>41274</v>
      </c>
      <c r="I319" s="1" t="s">
        <v>71</v>
      </c>
      <c r="J319">
        <v>4521</v>
      </c>
      <c r="K319">
        <v>0</v>
      </c>
      <c r="L319" s="1" t="s">
        <v>384</v>
      </c>
      <c r="M319" s="1" t="s">
        <v>72</v>
      </c>
      <c r="N319" s="1" t="s">
        <v>134</v>
      </c>
      <c r="O319" s="1" t="s">
        <v>385</v>
      </c>
      <c r="P319" s="1" t="s">
        <v>386</v>
      </c>
      <c r="Q319" s="1" t="s">
        <v>387</v>
      </c>
      <c r="R319">
        <v>103</v>
      </c>
      <c r="S319" s="1" t="s">
        <v>135</v>
      </c>
      <c r="T319" s="1" t="s">
        <v>388</v>
      </c>
      <c r="U319" s="1" t="s">
        <v>135</v>
      </c>
      <c r="V319" s="1"/>
      <c r="W319" s="1"/>
      <c r="X319" s="1"/>
      <c r="Y319" s="1"/>
      <c r="AA319" s="1"/>
      <c r="AC319" s="1"/>
      <c r="AD319" s="1"/>
      <c r="AE319" s="1"/>
      <c r="AN319" s="1"/>
      <c r="AP319" s="1"/>
      <c r="AQ319" s="1"/>
      <c r="AR319" s="1"/>
      <c r="AS319" s="1"/>
      <c r="AT319" s="3"/>
      <c r="AU319" s="3"/>
      <c r="AV319" s="3"/>
      <c r="AW319" s="1"/>
      <c r="AX319" s="1"/>
      <c r="AZ319">
        <v>76</v>
      </c>
      <c r="BA319">
        <v>260953.83</v>
      </c>
      <c r="BB319" s="1" t="s">
        <v>74</v>
      </c>
      <c r="BC319">
        <v>171</v>
      </c>
      <c r="BD319" s="1" t="s">
        <v>1540</v>
      </c>
      <c r="BE319" s="1" t="s">
        <v>392</v>
      </c>
      <c r="BF319">
        <v>520</v>
      </c>
      <c r="BG319" s="1" t="s">
        <v>1534</v>
      </c>
      <c r="BH319" s="1" t="s">
        <v>99</v>
      </c>
      <c r="BI319">
        <v>0</v>
      </c>
      <c r="BJ319" s="1"/>
      <c r="BL319" s="1"/>
      <c r="BN319" s="1"/>
      <c r="BO319">
        <v>186</v>
      </c>
      <c r="BP319">
        <v>260953.83</v>
      </c>
      <c r="BQ319">
        <v>260953.83</v>
      </c>
    </row>
    <row r="320" spans="1:69" x14ac:dyDescent="0.35">
      <c r="A320" s="1" t="s">
        <v>68</v>
      </c>
      <c r="B320" s="1" t="s">
        <v>69</v>
      </c>
      <c r="C320" s="1" t="s">
        <v>70</v>
      </c>
      <c r="D320">
        <v>1</v>
      </c>
      <c r="E320">
        <v>1</v>
      </c>
      <c r="F320" s="2">
        <v>43584.863483796296</v>
      </c>
      <c r="G320" s="3">
        <v>40909</v>
      </c>
      <c r="H320" s="3">
        <v>41274</v>
      </c>
      <c r="I320" s="1" t="s">
        <v>71</v>
      </c>
      <c r="J320">
        <v>4521</v>
      </c>
      <c r="K320">
        <v>0</v>
      </c>
      <c r="L320" s="1" t="s">
        <v>384</v>
      </c>
      <c r="M320" s="1" t="s">
        <v>72</v>
      </c>
      <c r="N320" s="1" t="s">
        <v>134</v>
      </c>
      <c r="O320" s="1" t="s">
        <v>385</v>
      </c>
      <c r="P320" s="1" t="s">
        <v>386</v>
      </c>
      <c r="Q320" s="1" t="s">
        <v>387</v>
      </c>
      <c r="R320">
        <v>103</v>
      </c>
      <c r="S320" s="1" t="s">
        <v>135</v>
      </c>
      <c r="T320" s="1" t="s">
        <v>388</v>
      </c>
      <c r="U320" s="1" t="s">
        <v>135</v>
      </c>
      <c r="V320" s="1"/>
      <c r="W320" s="1"/>
      <c r="X320" s="1"/>
      <c r="Y320" s="1"/>
      <c r="AA320" s="1"/>
      <c r="AC320" s="1"/>
      <c r="AD320" s="1"/>
      <c r="AE320" s="1"/>
      <c r="AN320" s="1"/>
      <c r="AP320" s="1"/>
      <c r="AQ320" s="1"/>
      <c r="AR320" s="1"/>
      <c r="AS320" s="1"/>
      <c r="AT320" s="3"/>
      <c r="AU320" s="3"/>
      <c r="AV320" s="3"/>
      <c r="AW320" s="1"/>
      <c r="AX320" s="1"/>
      <c r="AZ320">
        <v>76</v>
      </c>
      <c r="BA320">
        <v>260953.83</v>
      </c>
      <c r="BB320" s="1" t="s">
        <v>74</v>
      </c>
      <c r="BC320">
        <v>172</v>
      </c>
      <c r="BD320" s="1" t="s">
        <v>1540</v>
      </c>
      <c r="BE320" s="1" t="s">
        <v>99</v>
      </c>
      <c r="BF320">
        <v>0</v>
      </c>
      <c r="BG320" s="1"/>
      <c r="BH320" s="1" t="s">
        <v>1297</v>
      </c>
      <c r="BI320">
        <v>520</v>
      </c>
      <c r="BJ320" s="1" t="s">
        <v>1534</v>
      </c>
      <c r="BL320" s="1"/>
      <c r="BN320" s="1"/>
      <c r="BO320">
        <v>186</v>
      </c>
      <c r="BP320">
        <v>260953.83</v>
      </c>
      <c r="BQ320">
        <v>260953.83</v>
      </c>
    </row>
    <row r="321" spans="1:69" x14ac:dyDescent="0.35">
      <c r="A321" s="1" t="s">
        <v>68</v>
      </c>
      <c r="B321" s="1" t="s">
        <v>69</v>
      </c>
      <c r="C321" s="1" t="s">
        <v>70</v>
      </c>
      <c r="D321">
        <v>1</v>
      </c>
      <c r="E321">
        <v>1</v>
      </c>
      <c r="F321" s="2">
        <v>43584.863483796296</v>
      </c>
      <c r="G321" s="3">
        <v>40909</v>
      </c>
      <c r="H321" s="3">
        <v>41274</v>
      </c>
      <c r="I321" s="1" t="s">
        <v>71</v>
      </c>
      <c r="J321">
        <v>4521</v>
      </c>
      <c r="K321">
        <v>0</v>
      </c>
      <c r="L321" s="1" t="s">
        <v>384</v>
      </c>
      <c r="M321" s="1" t="s">
        <v>72</v>
      </c>
      <c r="N321" s="1" t="s">
        <v>134</v>
      </c>
      <c r="O321" s="1" t="s">
        <v>385</v>
      </c>
      <c r="P321" s="1" t="s">
        <v>386</v>
      </c>
      <c r="Q321" s="1" t="s">
        <v>387</v>
      </c>
      <c r="R321">
        <v>103</v>
      </c>
      <c r="S321" s="1" t="s">
        <v>135</v>
      </c>
      <c r="T321" s="1" t="s">
        <v>388</v>
      </c>
      <c r="U321" s="1" t="s">
        <v>135</v>
      </c>
      <c r="V321" s="1"/>
      <c r="W321" s="1"/>
      <c r="X321" s="1"/>
      <c r="Y321" s="1"/>
      <c r="AA321" s="1"/>
      <c r="AC321" s="1"/>
      <c r="AD321" s="1"/>
      <c r="AE321" s="1"/>
      <c r="AN321" s="1"/>
      <c r="AP321" s="1"/>
      <c r="AQ321" s="1"/>
      <c r="AR321" s="1"/>
      <c r="AS321" s="1"/>
      <c r="AT321" s="3"/>
      <c r="AU321" s="3"/>
      <c r="AV321" s="3"/>
      <c r="AW321" s="1"/>
      <c r="AX321" s="1"/>
      <c r="AZ321">
        <v>76</v>
      </c>
      <c r="BA321">
        <v>260953.83</v>
      </c>
      <c r="BB321" s="1" t="s">
        <v>74</v>
      </c>
      <c r="BC321">
        <v>173</v>
      </c>
      <c r="BD321" s="1" t="s">
        <v>1541</v>
      </c>
      <c r="BE321" s="1" t="s">
        <v>1297</v>
      </c>
      <c r="BF321">
        <v>2515.0300000000002</v>
      </c>
      <c r="BG321" s="1" t="s">
        <v>1535</v>
      </c>
      <c r="BH321" s="1" t="s">
        <v>99</v>
      </c>
      <c r="BI321">
        <v>0</v>
      </c>
      <c r="BJ321" s="1"/>
      <c r="BK321">
        <v>610</v>
      </c>
      <c r="BL321" s="1" t="s">
        <v>1295</v>
      </c>
      <c r="BN321" s="1"/>
      <c r="BO321">
        <v>186</v>
      </c>
      <c r="BP321">
        <v>260953.83</v>
      </c>
      <c r="BQ321">
        <v>260953.83</v>
      </c>
    </row>
    <row r="322" spans="1:69" x14ac:dyDescent="0.35">
      <c r="A322" s="1" t="s">
        <v>68</v>
      </c>
      <c r="B322" s="1" t="s">
        <v>69</v>
      </c>
      <c r="C322" s="1" t="s">
        <v>70</v>
      </c>
      <c r="D322">
        <v>1</v>
      </c>
      <c r="E322">
        <v>1</v>
      </c>
      <c r="F322" s="2">
        <v>43584.863483796296</v>
      </c>
      <c r="G322" s="3">
        <v>40909</v>
      </c>
      <c r="H322" s="3">
        <v>41274</v>
      </c>
      <c r="I322" s="1" t="s">
        <v>71</v>
      </c>
      <c r="J322">
        <v>4521</v>
      </c>
      <c r="K322">
        <v>0</v>
      </c>
      <c r="L322" s="1" t="s">
        <v>384</v>
      </c>
      <c r="M322" s="1" t="s">
        <v>72</v>
      </c>
      <c r="N322" s="1" t="s">
        <v>134</v>
      </c>
      <c r="O322" s="1" t="s">
        <v>385</v>
      </c>
      <c r="P322" s="1" t="s">
        <v>386</v>
      </c>
      <c r="Q322" s="1" t="s">
        <v>387</v>
      </c>
      <c r="R322">
        <v>103</v>
      </c>
      <c r="S322" s="1" t="s">
        <v>135</v>
      </c>
      <c r="T322" s="1" t="s">
        <v>388</v>
      </c>
      <c r="U322" s="1" t="s">
        <v>135</v>
      </c>
      <c r="V322" s="1"/>
      <c r="W322" s="1"/>
      <c r="X322" s="1"/>
      <c r="Y322" s="1"/>
      <c r="AA322" s="1"/>
      <c r="AC322" s="1"/>
      <c r="AD322" s="1"/>
      <c r="AE322" s="1"/>
      <c r="AN322" s="1"/>
      <c r="AP322" s="1"/>
      <c r="AQ322" s="1"/>
      <c r="AR322" s="1"/>
      <c r="AS322" s="1"/>
      <c r="AT322" s="3"/>
      <c r="AU322" s="3"/>
      <c r="AV322" s="3"/>
      <c r="AW322" s="1"/>
      <c r="AX322" s="1"/>
      <c r="AZ322">
        <v>76</v>
      </c>
      <c r="BA322">
        <v>260953.83</v>
      </c>
      <c r="BB322" s="1" t="s">
        <v>74</v>
      </c>
      <c r="BC322">
        <v>174</v>
      </c>
      <c r="BD322" s="1" t="s">
        <v>1541</v>
      </c>
      <c r="BE322" s="1" t="s">
        <v>99</v>
      </c>
      <c r="BF322">
        <v>0</v>
      </c>
      <c r="BG322" s="1"/>
      <c r="BH322" s="1" t="s">
        <v>398</v>
      </c>
      <c r="BI322">
        <v>2515.0300000000002</v>
      </c>
      <c r="BJ322" s="1" t="s">
        <v>1535</v>
      </c>
      <c r="BL322" s="1"/>
      <c r="BM322">
        <v>610</v>
      </c>
      <c r="BN322" s="1" t="s">
        <v>1295</v>
      </c>
      <c r="BO322">
        <v>186</v>
      </c>
      <c r="BP322">
        <v>260953.83</v>
      </c>
      <c r="BQ322">
        <v>260953.83</v>
      </c>
    </row>
    <row r="323" spans="1:69" x14ac:dyDescent="0.35">
      <c r="A323" s="1" t="s">
        <v>68</v>
      </c>
      <c r="B323" s="1" t="s">
        <v>69</v>
      </c>
      <c r="C323" s="1" t="s">
        <v>70</v>
      </c>
      <c r="D323">
        <v>1</v>
      </c>
      <c r="E323">
        <v>1</v>
      </c>
      <c r="F323" s="2">
        <v>43584.863483796296</v>
      </c>
      <c r="G323" s="3">
        <v>40909</v>
      </c>
      <c r="H323" s="3">
        <v>41274</v>
      </c>
      <c r="I323" s="1" t="s">
        <v>71</v>
      </c>
      <c r="J323">
        <v>4521</v>
      </c>
      <c r="K323">
        <v>0</v>
      </c>
      <c r="L323" s="1" t="s">
        <v>384</v>
      </c>
      <c r="M323" s="1" t="s">
        <v>72</v>
      </c>
      <c r="N323" s="1" t="s">
        <v>134</v>
      </c>
      <c r="O323" s="1" t="s">
        <v>385</v>
      </c>
      <c r="P323" s="1" t="s">
        <v>386</v>
      </c>
      <c r="Q323" s="1" t="s">
        <v>387</v>
      </c>
      <c r="R323">
        <v>103</v>
      </c>
      <c r="S323" s="1" t="s">
        <v>135</v>
      </c>
      <c r="T323" s="1" t="s">
        <v>388</v>
      </c>
      <c r="U323" s="1" t="s">
        <v>135</v>
      </c>
      <c r="V323" s="1"/>
      <c r="W323" s="1"/>
      <c r="X323" s="1"/>
      <c r="Y323" s="1"/>
      <c r="AA323" s="1"/>
      <c r="AC323" s="1"/>
      <c r="AD323" s="1"/>
      <c r="AE323" s="1"/>
      <c r="AN323" s="1"/>
      <c r="AP323" s="1"/>
      <c r="AQ323" s="1"/>
      <c r="AR323" s="1"/>
      <c r="AS323" s="1"/>
      <c r="AT323" s="3"/>
      <c r="AU323" s="3"/>
      <c r="AV323" s="3"/>
      <c r="AW323" s="1"/>
      <c r="AX323" s="1"/>
      <c r="AZ323">
        <v>76</v>
      </c>
      <c r="BA323">
        <v>260953.83</v>
      </c>
      <c r="BB323" s="1" t="s">
        <v>74</v>
      </c>
      <c r="BC323">
        <v>175</v>
      </c>
      <c r="BD323" s="1" t="s">
        <v>1542</v>
      </c>
      <c r="BE323" s="1" t="s">
        <v>402</v>
      </c>
      <c r="BF323">
        <v>1480</v>
      </c>
      <c r="BG323" s="1" t="s">
        <v>1536</v>
      </c>
      <c r="BH323" s="1" t="s">
        <v>99</v>
      </c>
      <c r="BI323">
        <v>0</v>
      </c>
      <c r="BJ323" s="1"/>
      <c r="BL323" s="1"/>
      <c r="BN323" s="1"/>
      <c r="BO323">
        <v>186</v>
      </c>
      <c r="BP323">
        <v>260953.83</v>
      </c>
      <c r="BQ323">
        <v>260953.83</v>
      </c>
    </row>
    <row r="324" spans="1:69" x14ac:dyDescent="0.35">
      <c r="A324" s="1" t="s">
        <v>68</v>
      </c>
      <c r="B324" s="1" t="s">
        <v>69</v>
      </c>
      <c r="C324" s="1" t="s">
        <v>70</v>
      </c>
      <c r="D324">
        <v>1</v>
      </c>
      <c r="E324">
        <v>1</v>
      </c>
      <c r="F324" s="2">
        <v>43584.863483796296</v>
      </c>
      <c r="G324" s="3">
        <v>40909</v>
      </c>
      <c r="H324" s="3">
        <v>41274</v>
      </c>
      <c r="I324" s="1" t="s">
        <v>71</v>
      </c>
      <c r="J324">
        <v>4521</v>
      </c>
      <c r="K324">
        <v>0</v>
      </c>
      <c r="L324" s="1" t="s">
        <v>384</v>
      </c>
      <c r="M324" s="1" t="s">
        <v>72</v>
      </c>
      <c r="N324" s="1" t="s">
        <v>134</v>
      </c>
      <c r="O324" s="1" t="s">
        <v>385</v>
      </c>
      <c r="P324" s="1" t="s">
        <v>386</v>
      </c>
      <c r="Q324" s="1" t="s">
        <v>387</v>
      </c>
      <c r="R324">
        <v>103</v>
      </c>
      <c r="S324" s="1" t="s">
        <v>135</v>
      </c>
      <c r="T324" s="1" t="s">
        <v>388</v>
      </c>
      <c r="U324" s="1" t="s">
        <v>135</v>
      </c>
      <c r="V324" s="1"/>
      <c r="W324" s="1"/>
      <c r="X324" s="1"/>
      <c r="Y324" s="1"/>
      <c r="AA324" s="1"/>
      <c r="AC324" s="1"/>
      <c r="AD324" s="1"/>
      <c r="AE324" s="1"/>
      <c r="AN324" s="1"/>
      <c r="AP324" s="1"/>
      <c r="AQ324" s="1"/>
      <c r="AR324" s="1"/>
      <c r="AS324" s="1"/>
      <c r="AT324" s="3"/>
      <c r="AU324" s="3"/>
      <c r="AV324" s="3"/>
      <c r="AW324" s="1"/>
      <c r="AX324" s="1"/>
      <c r="AZ324">
        <v>76</v>
      </c>
      <c r="BA324">
        <v>260953.83</v>
      </c>
      <c r="BB324" s="1" t="s">
        <v>74</v>
      </c>
      <c r="BC324">
        <v>176</v>
      </c>
      <c r="BD324" s="1" t="s">
        <v>1542</v>
      </c>
      <c r="BE324" s="1" t="s">
        <v>99</v>
      </c>
      <c r="BF324">
        <v>0</v>
      </c>
      <c r="BG324" s="1"/>
      <c r="BH324" s="1" t="s">
        <v>75</v>
      </c>
      <c r="BI324">
        <v>1480</v>
      </c>
      <c r="BJ324" s="1" t="s">
        <v>1536</v>
      </c>
      <c r="BL324" s="1"/>
      <c r="BN324" s="1"/>
      <c r="BO324">
        <v>186</v>
      </c>
      <c r="BP324">
        <v>260953.83</v>
      </c>
      <c r="BQ324">
        <v>260953.83</v>
      </c>
    </row>
    <row r="325" spans="1:69" x14ac:dyDescent="0.35">
      <c r="A325" s="1" t="s">
        <v>68</v>
      </c>
      <c r="B325" s="1" t="s">
        <v>69</v>
      </c>
      <c r="C325" s="1" t="s">
        <v>70</v>
      </c>
      <c r="D325">
        <v>1</v>
      </c>
      <c r="E325">
        <v>1</v>
      </c>
      <c r="F325" s="2">
        <v>43584.863483796296</v>
      </c>
      <c r="G325" s="3">
        <v>40909</v>
      </c>
      <c r="H325" s="3">
        <v>41274</v>
      </c>
      <c r="I325" s="1" t="s">
        <v>71</v>
      </c>
      <c r="J325">
        <v>4521</v>
      </c>
      <c r="K325">
        <v>0</v>
      </c>
      <c r="L325" s="1" t="s">
        <v>384</v>
      </c>
      <c r="M325" s="1" t="s">
        <v>72</v>
      </c>
      <c r="N325" s="1" t="s">
        <v>134</v>
      </c>
      <c r="O325" s="1" t="s">
        <v>385</v>
      </c>
      <c r="P325" s="1" t="s">
        <v>386</v>
      </c>
      <c r="Q325" s="1" t="s">
        <v>387</v>
      </c>
      <c r="R325">
        <v>103</v>
      </c>
      <c r="S325" s="1" t="s">
        <v>135</v>
      </c>
      <c r="T325" s="1" t="s">
        <v>388</v>
      </c>
      <c r="U325" s="1" t="s">
        <v>135</v>
      </c>
      <c r="V325" s="1"/>
      <c r="W325" s="1"/>
      <c r="X325" s="1"/>
      <c r="Y325" s="1"/>
      <c r="AA325" s="1"/>
      <c r="AC325" s="1"/>
      <c r="AD325" s="1"/>
      <c r="AE325" s="1"/>
      <c r="AN325" s="1"/>
      <c r="AP325" s="1"/>
      <c r="AQ325" s="1"/>
      <c r="AR325" s="1"/>
      <c r="AS325" s="1"/>
      <c r="AT325" s="3"/>
      <c r="AU325" s="3"/>
      <c r="AV325" s="3"/>
      <c r="AW325" s="1"/>
      <c r="AX325" s="1"/>
      <c r="AZ325">
        <v>76</v>
      </c>
      <c r="BA325">
        <v>260953.83</v>
      </c>
      <c r="BB325" s="1" t="s">
        <v>74</v>
      </c>
      <c r="BC325">
        <v>177</v>
      </c>
      <c r="BD325" s="1" t="s">
        <v>1414</v>
      </c>
      <c r="BE325" s="1" t="s">
        <v>1298</v>
      </c>
      <c r="BF325">
        <v>450</v>
      </c>
      <c r="BG325" s="1" t="s">
        <v>1455</v>
      </c>
      <c r="BH325" s="1" t="s">
        <v>99</v>
      </c>
      <c r="BI325">
        <v>0</v>
      </c>
      <c r="BJ325" s="1"/>
      <c r="BL325" s="1"/>
      <c r="BN325" s="1"/>
      <c r="BO325">
        <v>186</v>
      </c>
      <c r="BP325">
        <v>260953.83</v>
      </c>
      <c r="BQ325">
        <v>260953.83</v>
      </c>
    </row>
    <row r="326" spans="1:69" x14ac:dyDescent="0.35">
      <c r="A326" s="1" t="s">
        <v>68</v>
      </c>
      <c r="B326" s="1" t="s">
        <v>69</v>
      </c>
      <c r="C326" s="1" t="s">
        <v>70</v>
      </c>
      <c r="D326">
        <v>1</v>
      </c>
      <c r="E326">
        <v>1</v>
      </c>
      <c r="F326" s="2">
        <v>43584.863483796296</v>
      </c>
      <c r="G326" s="3">
        <v>40909</v>
      </c>
      <c r="H326" s="3">
        <v>41274</v>
      </c>
      <c r="I326" s="1" t="s">
        <v>71</v>
      </c>
      <c r="J326">
        <v>4521</v>
      </c>
      <c r="K326">
        <v>0</v>
      </c>
      <c r="L326" s="1" t="s">
        <v>384</v>
      </c>
      <c r="M326" s="1" t="s">
        <v>72</v>
      </c>
      <c r="N326" s="1" t="s">
        <v>134</v>
      </c>
      <c r="O326" s="1" t="s">
        <v>385</v>
      </c>
      <c r="P326" s="1" t="s">
        <v>386</v>
      </c>
      <c r="Q326" s="1" t="s">
        <v>387</v>
      </c>
      <c r="R326">
        <v>103</v>
      </c>
      <c r="S326" s="1" t="s">
        <v>135</v>
      </c>
      <c r="T326" s="1" t="s">
        <v>388</v>
      </c>
      <c r="U326" s="1" t="s">
        <v>135</v>
      </c>
      <c r="V326" s="1"/>
      <c r="W326" s="1"/>
      <c r="X326" s="1"/>
      <c r="Y326" s="1"/>
      <c r="AA326" s="1"/>
      <c r="AC326" s="1"/>
      <c r="AD326" s="1"/>
      <c r="AE326" s="1"/>
      <c r="AN326" s="1"/>
      <c r="AP326" s="1"/>
      <c r="AQ326" s="1"/>
      <c r="AR326" s="1"/>
      <c r="AS326" s="1"/>
      <c r="AT326" s="3"/>
      <c r="AU326" s="3"/>
      <c r="AV326" s="3"/>
      <c r="AW326" s="1"/>
      <c r="AX326" s="1"/>
      <c r="AZ326">
        <v>76</v>
      </c>
      <c r="BA326">
        <v>260953.83</v>
      </c>
      <c r="BB326" s="1" t="s">
        <v>74</v>
      </c>
      <c r="BC326">
        <v>178</v>
      </c>
      <c r="BD326" s="1" t="s">
        <v>1414</v>
      </c>
      <c r="BE326" s="1" t="s">
        <v>99</v>
      </c>
      <c r="BF326">
        <v>0</v>
      </c>
      <c r="BG326" s="1"/>
      <c r="BH326" s="1" t="s">
        <v>75</v>
      </c>
      <c r="BI326">
        <v>450</v>
      </c>
      <c r="BJ326" s="1" t="s">
        <v>1455</v>
      </c>
      <c r="BL326" s="1"/>
      <c r="BN326" s="1"/>
      <c r="BO326">
        <v>186</v>
      </c>
      <c r="BP326">
        <v>260953.83</v>
      </c>
      <c r="BQ326">
        <v>260953.83</v>
      </c>
    </row>
    <row r="327" spans="1:69" x14ac:dyDescent="0.35">
      <c r="A327" s="1" t="s">
        <v>68</v>
      </c>
      <c r="B327" s="1" t="s">
        <v>69</v>
      </c>
      <c r="C327" s="1" t="s">
        <v>70</v>
      </c>
      <c r="D327">
        <v>1</v>
      </c>
      <c r="E327">
        <v>1</v>
      </c>
      <c r="F327" s="2">
        <v>43584.863483796296</v>
      </c>
      <c r="G327" s="3">
        <v>40909</v>
      </c>
      <c r="H327" s="3">
        <v>41274</v>
      </c>
      <c r="I327" s="1" t="s">
        <v>71</v>
      </c>
      <c r="J327">
        <v>4521</v>
      </c>
      <c r="K327">
        <v>0</v>
      </c>
      <c r="L327" s="1" t="s">
        <v>384</v>
      </c>
      <c r="M327" s="1" t="s">
        <v>72</v>
      </c>
      <c r="N327" s="1" t="s">
        <v>134</v>
      </c>
      <c r="O327" s="1" t="s">
        <v>385</v>
      </c>
      <c r="P327" s="1" t="s">
        <v>386</v>
      </c>
      <c r="Q327" s="1" t="s">
        <v>387</v>
      </c>
      <c r="R327">
        <v>103</v>
      </c>
      <c r="S327" s="1" t="s">
        <v>135</v>
      </c>
      <c r="T327" s="1" t="s">
        <v>388</v>
      </c>
      <c r="U327" s="1" t="s">
        <v>135</v>
      </c>
      <c r="V327" s="1"/>
      <c r="W327" s="1"/>
      <c r="X327" s="1"/>
      <c r="Y327" s="1"/>
      <c r="AA327" s="1"/>
      <c r="AC327" s="1"/>
      <c r="AD327" s="1"/>
      <c r="AE327" s="1"/>
      <c r="AN327" s="1"/>
      <c r="AP327" s="1"/>
      <c r="AQ327" s="1"/>
      <c r="AR327" s="1"/>
      <c r="AS327" s="1"/>
      <c r="AT327" s="3"/>
      <c r="AU327" s="3"/>
      <c r="AV327" s="3"/>
      <c r="AW327" s="1"/>
      <c r="AX327" s="1"/>
      <c r="AZ327">
        <v>76</v>
      </c>
      <c r="BA327">
        <v>260953.83</v>
      </c>
      <c r="BB327" s="1" t="s">
        <v>74</v>
      </c>
      <c r="BC327">
        <v>179</v>
      </c>
      <c r="BD327" s="1" t="s">
        <v>1415</v>
      </c>
      <c r="BE327" s="1" t="s">
        <v>1299</v>
      </c>
      <c r="BF327">
        <v>565.79999999999995</v>
      </c>
      <c r="BG327" s="1" t="s">
        <v>1456</v>
      </c>
      <c r="BH327" s="1" t="s">
        <v>99</v>
      </c>
      <c r="BI327">
        <v>0</v>
      </c>
      <c r="BJ327" s="1"/>
      <c r="BL327" s="1"/>
      <c r="BN327" s="1"/>
      <c r="BO327">
        <v>186</v>
      </c>
      <c r="BP327">
        <v>260953.83</v>
      </c>
      <c r="BQ327">
        <v>260953.83</v>
      </c>
    </row>
    <row r="328" spans="1:69" x14ac:dyDescent="0.35">
      <c r="A328" s="1" t="s">
        <v>68</v>
      </c>
      <c r="B328" s="1" t="s">
        <v>69</v>
      </c>
      <c r="C328" s="1" t="s">
        <v>70</v>
      </c>
      <c r="D328">
        <v>1</v>
      </c>
      <c r="E328">
        <v>1</v>
      </c>
      <c r="F328" s="2">
        <v>43584.863483796296</v>
      </c>
      <c r="G328" s="3">
        <v>40909</v>
      </c>
      <c r="H328" s="3">
        <v>41274</v>
      </c>
      <c r="I328" s="1" t="s">
        <v>71</v>
      </c>
      <c r="J328">
        <v>4521</v>
      </c>
      <c r="K328">
        <v>0</v>
      </c>
      <c r="L328" s="1" t="s">
        <v>384</v>
      </c>
      <c r="M328" s="1" t="s">
        <v>72</v>
      </c>
      <c r="N328" s="1" t="s">
        <v>134</v>
      </c>
      <c r="O328" s="1" t="s">
        <v>385</v>
      </c>
      <c r="P328" s="1" t="s">
        <v>386</v>
      </c>
      <c r="Q328" s="1" t="s">
        <v>387</v>
      </c>
      <c r="R328">
        <v>103</v>
      </c>
      <c r="S328" s="1" t="s">
        <v>135</v>
      </c>
      <c r="T328" s="1" t="s">
        <v>388</v>
      </c>
      <c r="U328" s="1" t="s">
        <v>135</v>
      </c>
      <c r="V328" s="1"/>
      <c r="W328" s="1"/>
      <c r="X328" s="1"/>
      <c r="Y328" s="1"/>
      <c r="AA328" s="1"/>
      <c r="AC328" s="1"/>
      <c r="AD328" s="1"/>
      <c r="AE328" s="1"/>
      <c r="AN328" s="1"/>
      <c r="AP328" s="1"/>
      <c r="AQ328" s="1"/>
      <c r="AR328" s="1"/>
      <c r="AS328" s="1"/>
      <c r="AT328" s="3"/>
      <c r="AU328" s="3"/>
      <c r="AV328" s="3"/>
      <c r="AW328" s="1"/>
      <c r="AX328" s="1"/>
      <c r="AZ328">
        <v>76</v>
      </c>
      <c r="BA328">
        <v>260953.83</v>
      </c>
      <c r="BB328" s="1" t="s">
        <v>74</v>
      </c>
      <c r="BC328">
        <v>180</v>
      </c>
      <c r="BD328" s="1" t="s">
        <v>1415</v>
      </c>
      <c r="BE328" s="1" t="s">
        <v>99</v>
      </c>
      <c r="BF328">
        <v>0</v>
      </c>
      <c r="BG328" s="1"/>
      <c r="BH328" s="1" t="s">
        <v>1310</v>
      </c>
      <c r="BI328">
        <v>460</v>
      </c>
      <c r="BJ328" s="1" t="s">
        <v>1456</v>
      </c>
      <c r="BL328" s="1"/>
      <c r="BN328" s="1"/>
      <c r="BO328">
        <v>186</v>
      </c>
      <c r="BP328">
        <v>260953.83</v>
      </c>
      <c r="BQ328">
        <v>260953.83</v>
      </c>
    </row>
    <row r="329" spans="1:69" x14ac:dyDescent="0.35">
      <c r="A329" s="1" t="s">
        <v>68</v>
      </c>
      <c r="B329" s="1" t="s">
        <v>69</v>
      </c>
      <c r="C329" s="1" t="s">
        <v>70</v>
      </c>
      <c r="D329">
        <v>1</v>
      </c>
      <c r="E329">
        <v>1</v>
      </c>
      <c r="F329" s="2">
        <v>43584.863483796296</v>
      </c>
      <c r="G329" s="3">
        <v>40909</v>
      </c>
      <c r="H329" s="3">
        <v>41274</v>
      </c>
      <c r="I329" s="1" t="s">
        <v>71</v>
      </c>
      <c r="J329">
        <v>4521</v>
      </c>
      <c r="K329">
        <v>0</v>
      </c>
      <c r="L329" s="1" t="s">
        <v>384</v>
      </c>
      <c r="M329" s="1" t="s">
        <v>72</v>
      </c>
      <c r="N329" s="1" t="s">
        <v>134</v>
      </c>
      <c r="O329" s="1" t="s">
        <v>385</v>
      </c>
      <c r="P329" s="1" t="s">
        <v>386</v>
      </c>
      <c r="Q329" s="1" t="s">
        <v>387</v>
      </c>
      <c r="R329">
        <v>103</v>
      </c>
      <c r="S329" s="1" t="s">
        <v>135</v>
      </c>
      <c r="T329" s="1" t="s">
        <v>388</v>
      </c>
      <c r="U329" s="1" t="s">
        <v>135</v>
      </c>
      <c r="V329" s="1"/>
      <c r="W329" s="1"/>
      <c r="X329" s="1"/>
      <c r="Y329" s="1"/>
      <c r="AA329" s="1"/>
      <c r="AC329" s="1"/>
      <c r="AD329" s="1"/>
      <c r="AE329" s="1"/>
      <c r="AN329" s="1"/>
      <c r="AP329" s="1"/>
      <c r="AQ329" s="1"/>
      <c r="AR329" s="1"/>
      <c r="AS329" s="1"/>
      <c r="AT329" s="3"/>
      <c r="AU329" s="3"/>
      <c r="AV329" s="3"/>
      <c r="AW329" s="1"/>
      <c r="AX329" s="1"/>
      <c r="AZ329">
        <v>76</v>
      </c>
      <c r="BA329">
        <v>260953.83</v>
      </c>
      <c r="BB329" s="1" t="s">
        <v>74</v>
      </c>
      <c r="BC329">
        <v>181</v>
      </c>
      <c r="BD329" s="1" t="s">
        <v>1415</v>
      </c>
      <c r="BE329" s="1" t="s">
        <v>99</v>
      </c>
      <c r="BF329">
        <v>0</v>
      </c>
      <c r="BG329" s="1"/>
      <c r="BH329" s="1" t="s">
        <v>451</v>
      </c>
      <c r="BI329">
        <v>105.8</v>
      </c>
      <c r="BJ329" s="1" t="s">
        <v>1456</v>
      </c>
      <c r="BL329" s="1"/>
      <c r="BN329" s="1"/>
      <c r="BO329">
        <v>186</v>
      </c>
      <c r="BP329">
        <v>260953.83</v>
      </c>
      <c r="BQ329">
        <v>260953.83</v>
      </c>
    </row>
    <row r="330" spans="1:69" x14ac:dyDescent="0.35">
      <c r="A330" s="1" t="s">
        <v>68</v>
      </c>
      <c r="B330" s="1" t="s">
        <v>69</v>
      </c>
      <c r="C330" s="1" t="s">
        <v>70</v>
      </c>
      <c r="D330">
        <v>1</v>
      </c>
      <c r="E330">
        <v>1</v>
      </c>
      <c r="F330" s="2">
        <v>43584.863483796296</v>
      </c>
      <c r="G330" s="3">
        <v>40909</v>
      </c>
      <c r="H330" s="3">
        <v>41274</v>
      </c>
      <c r="I330" s="1" t="s">
        <v>71</v>
      </c>
      <c r="J330">
        <v>4521</v>
      </c>
      <c r="K330">
        <v>0</v>
      </c>
      <c r="L330" s="1" t="s">
        <v>384</v>
      </c>
      <c r="M330" s="1" t="s">
        <v>72</v>
      </c>
      <c r="N330" s="1" t="s">
        <v>134</v>
      </c>
      <c r="O330" s="1" t="s">
        <v>385</v>
      </c>
      <c r="P330" s="1" t="s">
        <v>386</v>
      </c>
      <c r="Q330" s="1" t="s">
        <v>387</v>
      </c>
      <c r="R330">
        <v>103</v>
      </c>
      <c r="S330" s="1" t="s">
        <v>135</v>
      </c>
      <c r="T330" s="1" t="s">
        <v>388</v>
      </c>
      <c r="U330" s="1" t="s">
        <v>135</v>
      </c>
      <c r="V330" s="1"/>
      <c r="W330" s="1"/>
      <c r="X330" s="1"/>
      <c r="Y330" s="1"/>
      <c r="AA330" s="1"/>
      <c r="AC330" s="1"/>
      <c r="AD330" s="1"/>
      <c r="AE330" s="1"/>
      <c r="AN330" s="1"/>
      <c r="AP330" s="1"/>
      <c r="AQ330" s="1"/>
      <c r="AR330" s="1"/>
      <c r="AS330" s="1"/>
      <c r="AT330" s="3"/>
      <c r="AU330" s="3"/>
      <c r="AV330" s="3"/>
      <c r="AW330" s="1"/>
      <c r="AX330" s="1"/>
      <c r="AZ330">
        <v>76</v>
      </c>
      <c r="BA330">
        <v>260953.83</v>
      </c>
      <c r="BB330" s="1" t="s">
        <v>74</v>
      </c>
      <c r="BC330">
        <v>182</v>
      </c>
      <c r="BD330" s="1" t="s">
        <v>1416</v>
      </c>
      <c r="BE330" s="1" t="s">
        <v>416</v>
      </c>
      <c r="BF330">
        <v>2029.5</v>
      </c>
      <c r="BG330" s="1" t="s">
        <v>1457</v>
      </c>
      <c r="BH330" s="1" t="s">
        <v>99</v>
      </c>
      <c r="BI330">
        <v>0</v>
      </c>
      <c r="BJ330" s="1"/>
      <c r="BL330" s="1"/>
      <c r="BN330" s="1"/>
      <c r="BO330">
        <v>186</v>
      </c>
      <c r="BP330">
        <v>260953.83</v>
      </c>
      <c r="BQ330">
        <v>260953.83</v>
      </c>
    </row>
    <row r="331" spans="1:69" x14ac:dyDescent="0.35">
      <c r="A331" s="1" t="s">
        <v>68</v>
      </c>
      <c r="B331" s="1" t="s">
        <v>69</v>
      </c>
      <c r="C331" s="1" t="s">
        <v>70</v>
      </c>
      <c r="D331">
        <v>1</v>
      </c>
      <c r="E331">
        <v>1</v>
      </c>
      <c r="F331" s="2">
        <v>43584.863483796296</v>
      </c>
      <c r="G331" s="3">
        <v>40909</v>
      </c>
      <c r="H331" s="3">
        <v>41274</v>
      </c>
      <c r="I331" s="1" t="s">
        <v>71</v>
      </c>
      <c r="J331">
        <v>4521</v>
      </c>
      <c r="K331">
        <v>0</v>
      </c>
      <c r="L331" s="1" t="s">
        <v>384</v>
      </c>
      <c r="M331" s="1" t="s">
        <v>72</v>
      </c>
      <c r="N331" s="1" t="s">
        <v>134</v>
      </c>
      <c r="O331" s="1" t="s">
        <v>385</v>
      </c>
      <c r="P331" s="1" t="s">
        <v>386</v>
      </c>
      <c r="Q331" s="1" t="s">
        <v>387</v>
      </c>
      <c r="R331">
        <v>103</v>
      </c>
      <c r="S331" s="1" t="s">
        <v>135</v>
      </c>
      <c r="T331" s="1" t="s">
        <v>388</v>
      </c>
      <c r="U331" s="1" t="s">
        <v>135</v>
      </c>
      <c r="V331" s="1"/>
      <c r="W331" s="1"/>
      <c r="X331" s="1"/>
      <c r="Y331" s="1"/>
      <c r="AA331" s="1"/>
      <c r="AC331" s="1"/>
      <c r="AD331" s="1"/>
      <c r="AE331" s="1"/>
      <c r="AN331" s="1"/>
      <c r="AP331" s="1"/>
      <c r="AQ331" s="1"/>
      <c r="AR331" s="1"/>
      <c r="AS331" s="1"/>
      <c r="AT331" s="3"/>
      <c r="AU331" s="3"/>
      <c r="AV331" s="3"/>
      <c r="AW331" s="1"/>
      <c r="AX331" s="1"/>
      <c r="AZ331">
        <v>76</v>
      </c>
      <c r="BA331">
        <v>260953.83</v>
      </c>
      <c r="BB331" s="1" t="s">
        <v>74</v>
      </c>
      <c r="BC331">
        <v>183</v>
      </c>
      <c r="BD331" s="1" t="s">
        <v>1416</v>
      </c>
      <c r="BE331" s="1" t="s">
        <v>99</v>
      </c>
      <c r="BF331">
        <v>0</v>
      </c>
      <c r="BG331" s="1"/>
      <c r="BH331" s="1" t="s">
        <v>394</v>
      </c>
      <c r="BI331">
        <v>2029.5</v>
      </c>
      <c r="BJ331" s="1" t="s">
        <v>1457</v>
      </c>
      <c r="BL331" s="1"/>
      <c r="BN331" s="1"/>
      <c r="BO331">
        <v>186</v>
      </c>
      <c r="BP331">
        <v>260953.83</v>
      </c>
      <c r="BQ331">
        <v>260953.83</v>
      </c>
    </row>
    <row r="332" spans="1:69" x14ac:dyDescent="0.35">
      <c r="A332" s="1" t="s">
        <v>68</v>
      </c>
      <c r="B332" s="1" t="s">
        <v>69</v>
      </c>
      <c r="C332" s="1" t="s">
        <v>70</v>
      </c>
      <c r="D332">
        <v>1</v>
      </c>
      <c r="E332">
        <v>1</v>
      </c>
      <c r="F332" s="2">
        <v>43584.863483796296</v>
      </c>
      <c r="G332" s="3">
        <v>40909</v>
      </c>
      <c r="H332" s="3">
        <v>41274</v>
      </c>
      <c r="I332" s="1" t="s">
        <v>71</v>
      </c>
      <c r="J332">
        <v>4521</v>
      </c>
      <c r="K332">
        <v>0</v>
      </c>
      <c r="L332" s="1" t="s">
        <v>384</v>
      </c>
      <c r="M332" s="1" t="s">
        <v>72</v>
      </c>
      <c r="N332" s="1" t="s">
        <v>134</v>
      </c>
      <c r="O332" s="1" t="s">
        <v>385</v>
      </c>
      <c r="P332" s="1" t="s">
        <v>386</v>
      </c>
      <c r="Q332" s="1" t="s">
        <v>387</v>
      </c>
      <c r="R332">
        <v>103</v>
      </c>
      <c r="S332" s="1" t="s">
        <v>135</v>
      </c>
      <c r="T332" s="1" t="s">
        <v>388</v>
      </c>
      <c r="U332" s="1" t="s">
        <v>135</v>
      </c>
      <c r="V332" s="1"/>
      <c r="W332" s="1"/>
      <c r="X332" s="1"/>
      <c r="Y332" s="1"/>
      <c r="AA332" s="1"/>
      <c r="AC332" s="1"/>
      <c r="AD332" s="1"/>
      <c r="AE332" s="1"/>
      <c r="AN332" s="1"/>
      <c r="AP332" s="1"/>
      <c r="AQ332" s="1"/>
      <c r="AR332" s="1"/>
      <c r="AS332" s="1"/>
      <c r="AT332" s="3"/>
      <c r="AU332" s="3"/>
      <c r="AV332" s="3"/>
      <c r="AW332" s="1"/>
      <c r="AX332" s="1"/>
      <c r="AZ332">
        <v>76</v>
      </c>
      <c r="BA332">
        <v>260953.83</v>
      </c>
      <c r="BB332" s="1" t="s">
        <v>74</v>
      </c>
      <c r="BC332">
        <v>184</v>
      </c>
      <c r="BD332" s="1" t="s">
        <v>1417</v>
      </c>
      <c r="BE332" s="1" t="s">
        <v>1300</v>
      </c>
      <c r="BF332">
        <v>272.83999999999997</v>
      </c>
      <c r="BG332" s="1" t="s">
        <v>1458</v>
      </c>
      <c r="BH332" s="1" t="s">
        <v>99</v>
      </c>
      <c r="BI332">
        <v>0</v>
      </c>
      <c r="BJ332" s="1"/>
      <c r="BL332" s="1"/>
      <c r="BN332" s="1"/>
      <c r="BO332">
        <v>186</v>
      </c>
      <c r="BP332">
        <v>260953.83</v>
      </c>
      <c r="BQ332">
        <v>260953.83</v>
      </c>
    </row>
    <row r="333" spans="1:69" x14ac:dyDescent="0.35">
      <c r="A333" s="1" t="s">
        <v>68</v>
      </c>
      <c r="B333" s="1" t="s">
        <v>69</v>
      </c>
      <c r="C333" s="1" t="s">
        <v>70</v>
      </c>
      <c r="D333">
        <v>1</v>
      </c>
      <c r="E333">
        <v>1</v>
      </c>
      <c r="F333" s="2">
        <v>43584.863483796296</v>
      </c>
      <c r="G333" s="3">
        <v>40909</v>
      </c>
      <c r="H333" s="3">
        <v>41274</v>
      </c>
      <c r="I333" s="1" t="s">
        <v>71</v>
      </c>
      <c r="J333">
        <v>4521</v>
      </c>
      <c r="K333">
        <v>0</v>
      </c>
      <c r="L333" s="1" t="s">
        <v>384</v>
      </c>
      <c r="M333" s="1" t="s">
        <v>72</v>
      </c>
      <c r="N333" s="1" t="s">
        <v>134</v>
      </c>
      <c r="O333" s="1" t="s">
        <v>385</v>
      </c>
      <c r="P333" s="1" t="s">
        <v>386</v>
      </c>
      <c r="Q333" s="1" t="s">
        <v>387</v>
      </c>
      <c r="R333">
        <v>103</v>
      </c>
      <c r="S333" s="1" t="s">
        <v>135</v>
      </c>
      <c r="T333" s="1" t="s">
        <v>388</v>
      </c>
      <c r="U333" s="1" t="s">
        <v>135</v>
      </c>
      <c r="V333" s="1"/>
      <c r="W333" s="1"/>
      <c r="X333" s="1"/>
      <c r="Y333" s="1"/>
      <c r="AA333" s="1"/>
      <c r="AC333" s="1"/>
      <c r="AD333" s="1"/>
      <c r="AE333" s="1"/>
      <c r="AN333" s="1"/>
      <c r="AP333" s="1"/>
      <c r="AQ333" s="1"/>
      <c r="AR333" s="1"/>
      <c r="AS333" s="1"/>
      <c r="AT333" s="3"/>
      <c r="AU333" s="3"/>
      <c r="AV333" s="3"/>
      <c r="AW333" s="1"/>
      <c r="AX333" s="1"/>
      <c r="AZ333">
        <v>76</v>
      </c>
      <c r="BA333">
        <v>260953.83</v>
      </c>
      <c r="BB333" s="1" t="s">
        <v>74</v>
      </c>
      <c r="BC333">
        <v>185</v>
      </c>
      <c r="BD333" s="1" t="s">
        <v>1417</v>
      </c>
      <c r="BE333" s="1" t="s">
        <v>99</v>
      </c>
      <c r="BF333">
        <v>0</v>
      </c>
      <c r="BG333" s="1"/>
      <c r="BH333" s="1" t="s">
        <v>489</v>
      </c>
      <c r="BI333">
        <v>221.82</v>
      </c>
      <c r="BJ333" s="1" t="s">
        <v>1458</v>
      </c>
      <c r="BL333" s="1"/>
      <c r="BN333" s="1"/>
      <c r="BO333">
        <v>186</v>
      </c>
      <c r="BP333">
        <v>260953.83</v>
      </c>
      <c r="BQ333">
        <v>260953.83</v>
      </c>
    </row>
    <row r="334" spans="1:69" x14ac:dyDescent="0.35">
      <c r="A334" s="1" t="s">
        <v>68</v>
      </c>
      <c r="B334" s="1" t="s">
        <v>69</v>
      </c>
      <c r="C334" s="1" t="s">
        <v>70</v>
      </c>
      <c r="D334">
        <v>1</v>
      </c>
      <c r="E334">
        <v>1</v>
      </c>
      <c r="F334" s="2">
        <v>43584.863483796296</v>
      </c>
      <c r="G334" s="3">
        <v>40909</v>
      </c>
      <c r="H334" s="3">
        <v>41274</v>
      </c>
      <c r="I334" s="1" t="s">
        <v>71</v>
      </c>
      <c r="J334">
        <v>4521</v>
      </c>
      <c r="K334">
        <v>0</v>
      </c>
      <c r="L334" s="1" t="s">
        <v>384</v>
      </c>
      <c r="M334" s="1" t="s">
        <v>72</v>
      </c>
      <c r="N334" s="1" t="s">
        <v>134</v>
      </c>
      <c r="O334" s="1" t="s">
        <v>385</v>
      </c>
      <c r="P334" s="1" t="s">
        <v>386</v>
      </c>
      <c r="Q334" s="1" t="s">
        <v>387</v>
      </c>
      <c r="R334">
        <v>103</v>
      </c>
      <c r="S334" s="1" t="s">
        <v>135</v>
      </c>
      <c r="T334" s="1" t="s">
        <v>388</v>
      </c>
      <c r="U334" s="1" t="s">
        <v>135</v>
      </c>
      <c r="V334" s="1"/>
      <c r="W334" s="1"/>
      <c r="X334" s="1"/>
      <c r="Y334" s="1"/>
      <c r="AA334" s="1"/>
      <c r="AC334" s="1"/>
      <c r="AD334" s="1"/>
      <c r="AE334" s="1"/>
      <c r="AN334" s="1"/>
      <c r="AP334" s="1"/>
      <c r="AQ334" s="1"/>
      <c r="AR334" s="1"/>
      <c r="AS334" s="1"/>
      <c r="AT334" s="3"/>
      <c r="AU334" s="3"/>
      <c r="AV334" s="3"/>
      <c r="AW334" s="1"/>
      <c r="AX334" s="1"/>
      <c r="AZ334">
        <v>76</v>
      </c>
      <c r="BA334">
        <v>260953.83</v>
      </c>
      <c r="BB334" s="1" t="s">
        <v>74</v>
      </c>
      <c r="BC334">
        <v>186</v>
      </c>
      <c r="BD334" s="1" t="s">
        <v>1417</v>
      </c>
      <c r="BE334" s="1" t="s">
        <v>99</v>
      </c>
      <c r="BF334">
        <v>0</v>
      </c>
      <c r="BG334" s="1"/>
      <c r="BH334" s="1" t="s">
        <v>451</v>
      </c>
      <c r="BI334">
        <v>51.02</v>
      </c>
      <c r="BJ334" s="1" t="s">
        <v>1458</v>
      </c>
      <c r="BL334" s="1"/>
      <c r="BN334" s="1"/>
      <c r="BO334">
        <v>186</v>
      </c>
      <c r="BP334">
        <v>260953.83</v>
      </c>
      <c r="BQ334">
        <v>260953.83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1000"/>
  <sheetViews>
    <sheetView workbookViewId="0">
      <pane ySplit="3" topLeftCell="A4" activePane="bottomLeft" state="frozen"/>
      <selection pane="bottomLeft" activeCell="O19" sqref="O19"/>
    </sheetView>
  </sheetViews>
  <sheetFormatPr defaultRowHeight="14" x14ac:dyDescent="0.3"/>
  <cols>
    <col min="1" max="2" width="8.7265625" style="5"/>
    <col min="3" max="3" width="13.08984375" style="24" bestFit="1" customWidth="1"/>
    <col min="4" max="4" width="13.08984375" style="126" bestFit="1" customWidth="1"/>
    <col min="5" max="5" width="9.7265625" style="5" customWidth="1"/>
    <col min="6" max="6" width="10.36328125" style="127" customWidth="1"/>
    <col min="7" max="7" width="13.08984375" style="24" bestFit="1" customWidth="1"/>
    <col min="8" max="8" width="13.08984375" style="126" bestFit="1" customWidth="1"/>
    <col min="9" max="9" width="9.08984375" style="5" customWidth="1"/>
    <col min="10" max="10" width="9.26953125" style="5" customWidth="1"/>
    <col min="11" max="11" width="13.08984375" style="24" bestFit="1" customWidth="1"/>
    <col min="12" max="12" width="13.08984375" style="126" bestFit="1" customWidth="1"/>
    <col min="13" max="15" width="8.7265625" style="5"/>
    <col min="16" max="16" width="14.6328125" style="24" bestFit="1" customWidth="1"/>
    <col min="17" max="17" width="13.08984375" style="126" customWidth="1"/>
    <col min="18" max="18" width="10.453125" style="5" customWidth="1"/>
    <col min="19" max="20" width="13.54296875" style="5" customWidth="1"/>
    <col min="21" max="21" width="14.54296875" style="24" customWidth="1"/>
    <col min="22" max="22" width="13.08984375" style="126" bestFit="1" customWidth="1"/>
    <col min="23" max="16384" width="8.7265625" style="5"/>
  </cols>
  <sheetData>
    <row r="1" spans="1:67" ht="14.5" thickBot="1" x14ac:dyDescent="0.35">
      <c r="A1" s="248" t="s">
        <v>177</v>
      </c>
      <c r="B1" s="248"/>
      <c r="C1" s="248"/>
      <c r="D1" s="248"/>
      <c r="E1" s="248"/>
      <c r="F1" s="248"/>
      <c r="G1" s="248"/>
      <c r="H1" s="249"/>
      <c r="I1" s="245" t="s">
        <v>294</v>
      </c>
      <c r="J1" s="246"/>
      <c r="K1" s="246"/>
      <c r="L1" s="247"/>
      <c r="M1" s="253" t="s">
        <v>372</v>
      </c>
      <c r="N1" s="254"/>
      <c r="O1" s="254"/>
      <c r="P1" s="254"/>
      <c r="Q1" s="255"/>
      <c r="R1" s="250" t="s">
        <v>373</v>
      </c>
      <c r="S1" s="251"/>
      <c r="T1" s="251"/>
      <c r="U1" s="251"/>
      <c r="V1" s="252"/>
    </row>
    <row r="2" spans="1:67" ht="14.5" thickBot="1" x14ac:dyDescent="0.35">
      <c r="A2" s="120" t="s">
        <v>109</v>
      </c>
      <c r="B2" s="121" t="s">
        <v>173</v>
      </c>
      <c r="C2" s="122" t="s">
        <v>174</v>
      </c>
      <c r="D2" s="123" t="s">
        <v>175</v>
      </c>
      <c r="E2" s="124" t="s">
        <v>109</v>
      </c>
      <c r="F2" s="121" t="s">
        <v>173</v>
      </c>
      <c r="G2" s="122" t="s">
        <v>174</v>
      </c>
      <c r="H2" s="123" t="s">
        <v>175</v>
      </c>
      <c r="I2" s="125" t="s">
        <v>109</v>
      </c>
      <c r="J2" s="121" t="s">
        <v>173</v>
      </c>
      <c r="K2" s="122" t="s">
        <v>174</v>
      </c>
      <c r="L2" s="123" t="s">
        <v>175</v>
      </c>
      <c r="M2" s="256" t="s">
        <v>109</v>
      </c>
      <c r="N2" s="258" t="s">
        <v>173</v>
      </c>
      <c r="O2" s="264" t="s">
        <v>1657</v>
      </c>
      <c r="P2" s="260" t="s">
        <v>174</v>
      </c>
      <c r="Q2" s="262" t="s">
        <v>175</v>
      </c>
      <c r="R2" s="124" t="s">
        <v>109</v>
      </c>
      <c r="S2" s="121" t="s">
        <v>173</v>
      </c>
      <c r="T2" s="121" t="s">
        <v>1657</v>
      </c>
      <c r="U2" s="122" t="s">
        <v>174</v>
      </c>
      <c r="V2" s="123" t="s">
        <v>175</v>
      </c>
    </row>
    <row r="3" spans="1:67" ht="15" customHeight="1" thickBot="1" x14ac:dyDescent="0.35">
      <c r="A3" s="241" t="s">
        <v>222</v>
      </c>
      <c r="B3" s="242"/>
      <c r="C3" s="242"/>
      <c r="D3" s="243"/>
      <c r="E3" s="242" t="s">
        <v>231</v>
      </c>
      <c r="F3" s="242"/>
      <c r="G3" s="242"/>
      <c r="H3" s="242"/>
      <c r="I3" s="241" t="str">
        <f>RZiS!C3</f>
        <v>wariant porównawczy</v>
      </c>
      <c r="J3" s="242"/>
      <c r="K3" s="242"/>
      <c r="L3" s="244"/>
      <c r="M3" s="257"/>
      <c r="N3" s="259"/>
      <c r="O3" s="265"/>
      <c r="P3" s="261"/>
      <c r="Q3" s="263"/>
      <c r="R3" s="241" t="s">
        <v>379</v>
      </c>
      <c r="S3" s="242"/>
      <c r="T3" s="242" t="str">
        <f>CF!H4</f>
        <v>bezpośrednia</v>
      </c>
      <c r="U3" s="242"/>
      <c r="V3" s="243"/>
    </row>
    <row r="4" spans="1:67" x14ac:dyDescent="0.3">
      <c r="A4" s="5" t="s">
        <v>1548</v>
      </c>
      <c r="B4" s="5" t="s">
        <v>389</v>
      </c>
      <c r="C4" s="24">
        <f>IF(A4&lt;&gt;"",SUMIFS(JPK_KR!AL:AL,JPK_KR!W:W,B4),"")</f>
        <v>0</v>
      </c>
      <c r="D4" s="126">
        <f>IF(A4&lt;&gt;"",SUMIFS(JPK_KR!AM:AM,JPK_KR!W:W,B4),"")</f>
        <v>7487.88</v>
      </c>
      <c r="E4" s="5" t="s">
        <v>1585</v>
      </c>
      <c r="F4" s="127" t="s">
        <v>1586</v>
      </c>
      <c r="G4" s="24">
        <f>IF(E4&lt;&gt;"",SUMIFS(JPK_KR!AL:AL,JPK_KR!W:W,F4),"")</f>
        <v>0</v>
      </c>
      <c r="H4" s="126">
        <f>IF(E4&lt;&gt;"",SUMIFS(JPK_KR!AM:AM,JPK_KR!W:W,F4),"")</f>
        <v>0</v>
      </c>
      <c r="I4" s="5" t="s">
        <v>383</v>
      </c>
      <c r="J4" s="5" t="s">
        <v>1599</v>
      </c>
      <c r="K4" s="24">
        <f>IF(I4&lt;&gt;"",SUMIFS(JPK_KR!AL:AL,JPK_KR!W:W,J4),"")</f>
        <v>0</v>
      </c>
      <c r="L4" s="126">
        <f>IF(I4&lt;&gt;"",SUMIFS(JPK_KR!AM:AM,JPK_KR!W:W,J4),"")</f>
        <v>4958.2299999999996</v>
      </c>
      <c r="M4" s="183"/>
      <c r="N4" s="169"/>
      <c r="O4" s="171" t="s">
        <v>1661</v>
      </c>
      <c r="P4" s="170" t="str">
        <f>IF(M4&lt;&gt;"",SUMIFS(JPK_KR!AF:AF,JPK_KR!W:W,N4),"")</f>
        <v/>
      </c>
      <c r="Q4" s="170" t="str">
        <f>IF(M4&lt;&gt;"",SUMIFS(JPK_KR!AG:AG,JPK_KR!W:W,N4),"")</f>
        <v/>
      </c>
      <c r="U4" s="24" t="str">
        <f>IF(R4&lt;&gt;"",IF(T4="",SUMIFS(JPK_KR!AL:AL,JPK_KR!W:W,S4),SUMIFS(JPK_KR!BF:BF,JPK_KR!BE:BE,S4,JPK_KR!BG:BG,T4)),"")</f>
        <v/>
      </c>
      <c r="V4" s="126" t="str">
        <f>IF(R4&lt;&gt;"",IF(T4="",SUMIFS(JPK_KR!AM:AM,JPK_KR!W:W,S4),SUMIFS(JPK_KR!BI:BI,JPK_KR!BH:BH,S4,JPK_KR!BJ:BJ,T4)),"")</f>
        <v/>
      </c>
    </row>
    <row r="5" spans="1:67" x14ac:dyDescent="0.3">
      <c r="A5" s="5" t="s">
        <v>1549</v>
      </c>
      <c r="B5" s="5" t="s">
        <v>390</v>
      </c>
      <c r="C5" s="24">
        <f>IF(A5&lt;&gt;"",SUMIFS(JPK_KR!AL:AL,JPK_KR!W:W,B5),"")</f>
        <v>0</v>
      </c>
      <c r="D5" s="126">
        <f>IF(A5&lt;&gt;"",SUMIFS(JPK_KR!AM:AM,JPK_KR!W:W,B5),"")</f>
        <v>4404</v>
      </c>
      <c r="E5" s="5" t="s">
        <v>1587</v>
      </c>
      <c r="F5" s="127" t="s">
        <v>1598</v>
      </c>
      <c r="G5" s="24">
        <f>IF(E5&lt;&gt;"",SUMIFS(JPK_KR!AL:AL,JPK_KR!W:W,F5),"")</f>
        <v>0</v>
      </c>
      <c r="H5" s="126">
        <f>IF(E5&lt;&gt;"",SUMIFS(JPK_KR!AM:AM,JPK_KR!W:W,F5),"")</f>
        <v>600000</v>
      </c>
      <c r="I5" s="5" t="s">
        <v>383</v>
      </c>
      <c r="J5" s="5" t="s">
        <v>1600</v>
      </c>
      <c r="K5" s="24">
        <f>IF(I5&lt;&gt;"",SUMIFS(JPK_KR!AL:AL,JPK_KR!W:W,J5),"")</f>
        <v>0</v>
      </c>
      <c r="L5" s="126">
        <f>IF(I5&lt;&gt;"",SUMIFS(JPK_KR!AM:AM,JPK_KR!W:W,J5),"")</f>
        <v>85774.840000000011</v>
      </c>
      <c r="M5" s="183"/>
      <c r="N5" s="169"/>
      <c r="O5" s="171" t="s">
        <v>1661</v>
      </c>
      <c r="P5" s="170" t="str">
        <f>IF(M5&lt;&gt;"",SUMIFS(JPK_KR!AF:AF,JPK_KR!W:W,N5),"")</f>
        <v/>
      </c>
      <c r="Q5" s="170" t="str">
        <f>IF(M5&lt;&gt;"",SUMIFS(JPK_KR!AG:AG,JPK_KR!W:W,N5),"")</f>
        <v/>
      </c>
      <c r="U5" s="24" t="str">
        <f>IF(R5&lt;&gt;"",SUMIFS(JPK_KR!AL:AL,JPK_KR!W:W,S5),"")</f>
        <v/>
      </c>
      <c r="V5" s="126" t="str">
        <f>IF(R5&lt;&gt;"",SUMIFS(JPK_KR!AM:AM,JPK_KR!W:W,S5),"")</f>
        <v/>
      </c>
      <c r="BN5" s="5" t="s">
        <v>169</v>
      </c>
    </row>
    <row r="6" spans="1:67" x14ac:dyDescent="0.3">
      <c r="A6" s="5" t="s">
        <v>1550</v>
      </c>
      <c r="B6" s="5" t="s">
        <v>391</v>
      </c>
      <c r="C6" s="24">
        <f>IF(A6&lt;&gt;"",SUMIFS(JPK_KR!AL:AL,JPK_KR!W:W,B6),"")</f>
        <v>0</v>
      </c>
      <c r="D6" s="126">
        <f>IF(A6&lt;&gt;"",SUMIFS(JPK_KR!AM:AM,JPK_KR!W:W,B6),"")</f>
        <v>8262.5</v>
      </c>
      <c r="E6" s="5" t="s">
        <v>1622</v>
      </c>
      <c r="F6" s="127" t="s">
        <v>1623</v>
      </c>
      <c r="G6" s="24">
        <f>IF(E6&lt;&gt;"",SUMIFS(JPK_KR!AL:AL,JPK_KR!W:W,F6),"")</f>
        <v>0</v>
      </c>
      <c r="H6" s="126">
        <f>IF(E6&lt;&gt;"",SUMIFS(JPK_KR!AM:AM,JPK_KR!W:W,F6),"")</f>
        <v>25567.14</v>
      </c>
      <c r="I6" s="5" t="s">
        <v>1601</v>
      </c>
      <c r="J6" s="5" t="s">
        <v>1602</v>
      </c>
      <c r="K6" s="24">
        <f>IF(I6&lt;&gt;"",SUMIFS(JPK_KR!AL:AL,JPK_KR!W:W,J6),"")</f>
        <v>0</v>
      </c>
      <c r="L6" s="126">
        <f>IF(I6&lt;&gt;"",SUMIFS(JPK_KR!AM:AM,JPK_KR!W:W,J6),"")</f>
        <v>273937.46999999997</v>
      </c>
      <c r="M6" s="183"/>
      <c r="N6" s="169"/>
      <c r="O6" s="171" t="s">
        <v>1661</v>
      </c>
      <c r="P6" s="170" t="str">
        <f>IF(M6&lt;&gt;"",SUMIFS(JPK_KR!AF:AF,JPK_KR!W:W,N6),"")</f>
        <v/>
      </c>
      <c r="Q6" s="170" t="str">
        <f>IF(M6&lt;&gt;"",SUMIFS(JPK_KR!AG:AG,JPK_KR!W:W,N6),"")</f>
        <v/>
      </c>
      <c r="U6" s="24" t="str">
        <f>IF(R6&lt;&gt;"",SUMIFS(JPK_KR!AL:AL,JPK_KR!W:W,S6),"")</f>
        <v/>
      </c>
      <c r="V6" s="126" t="str">
        <f>IF(R6&lt;&gt;"",SUMIFS(JPK_KR!AM:AM,JPK_KR!W:W,S6),"")</f>
        <v/>
      </c>
      <c r="BN6" s="5" t="s">
        <v>170</v>
      </c>
    </row>
    <row r="7" spans="1:67" x14ac:dyDescent="0.3">
      <c r="A7" s="5" t="s">
        <v>1551</v>
      </c>
      <c r="B7" s="5" t="s">
        <v>1552</v>
      </c>
      <c r="C7" s="24">
        <f>IF(A7&lt;&gt;"",SUMIFS(JPK_KR!AL:AL,JPK_KR!W:W,B7),"")</f>
        <v>33785.81</v>
      </c>
      <c r="D7" s="126">
        <f>IF(A7&lt;&gt;"",SUMIFS(JPK_KR!AM:AM,JPK_KR!W:W,B7),"")</f>
        <v>0</v>
      </c>
      <c r="E7" s="5" t="s">
        <v>1625</v>
      </c>
      <c r="F7" s="127" t="s">
        <v>1624</v>
      </c>
      <c r="G7" s="24">
        <f>IF(E7&lt;&gt;"",SUMIFS(JPK_KR!AL:AL,JPK_KR!W:W,F7),"")</f>
        <v>0</v>
      </c>
      <c r="H7" s="126">
        <f>IF(E7&lt;&gt;"",SUMIFS(JPK_KR!AM:AM,JPK_KR!W:W,F7),"")</f>
        <v>750000</v>
      </c>
      <c r="I7" s="5" t="s">
        <v>1603</v>
      </c>
      <c r="J7" s="5" t="s">
        <v>1604</v>
      </c>
      <c r="K7" s="24">
        <f>IF(I7&lt;&gt;"",SUMIFS(JPK_KR!AL:AL,JPK_KR!W:W,J7),"")</f>
        <v>0</v>
      </c>
      <c r="L7" s="126">
        <f>IF(I7&lt;&gt;"",SUMIFS(JPK_KR!AM:AM,JPK_KR!W:W,J7),"")</f>
        <v>873.85</v>
      </c>
      <c r="M7" s="183"/>
      <c r="N7" s="169"/>
      <c r="O7" s="171" t="s">
        <v>1661</v>
      </c>
      <c r="P7" s="170" t="str">
        <f>IF(M7&lt;&gt;"",SUMIFS(JPK_KR!AF:AF,JPK_KR!W:W,N7),"")</f>
        <v/>
      </c>
      <c r="Q7" s="170" t="str">
        <f>IF(M7&lt;&gt;"",SUMIFS(JPK_KR!AG:AG,JPK_KR!W:W,N7),"")</f>
        <v/>
      </c>
      <c r="U7" s="24" t="str">
        <f>IF(R7&lt;&gt;"",SUMIFS(JPK_KR!AL:AL,JPK_KR!W:W,S7),"")</f>
        <v/>
      </c>
      <c r="V7" s="126" t="str">
        <f>IF(R7&lt;&gt;"",SUMIFS(JPK_KR!AM:AM,JPK_KR!W:W,S7),"")</f>
        <v/>
      </c>
    </row>
    <row r="8" spans="1:67" x14ac:dyDescent="0.3">
      <c r="A8" s="5" t="s">
        <v>1553</v>
      </c>
      <c r="B8" s="5" t="s">
        <v>1554</v>
      </c>
      <c r="C8" s="24">
        <f>IF(A8&lt;&gt;"",SUMIFS(JPK_KR!AL:AL,JPK_KR!W:W,B8),"")</f>
        <v>1070</v>
      </c>
      <c r="D8" s="126">
        <f>IF(A8&lt;&gt;"",SUMIFS(JPK_KR!AM:AM,JPK_KR!W:W,B8),"")</f>
        <v>0</v>
      </c>
      <c r="E8" s="5" t="s">
        <v>1626</v>
      </c>
      <c r="F8" s="127" t="s">
        <v>1560</v>
      </c>
      <c r="G8" s="24">
        <f>IF(E8&lt;&gt;"",SUMIFS(JPK_KR!AL:AL,JPK_KR!W:W,F8),"")</f>
        <v>987.69</v>
      </c>
      <c r="H8" s="126">
        <f>IF(E8&lt;&gt;"",SUMIFS(JPK_KR!AM:AM,JPK_KR!W:W,F8),"")</f>
        <v>4466.2700000000004</v>
      </c>
      <c r="I8" s="5" t="s">
        <v>1658</v>
      </c>
      <c r="J8" s="5" t="s">
        <v>1605</v>
      </c>
      <c r="K8" s="24">
        <f>IF(I8&lt;&gt;"",SUMIFS(JPK_KR!AL:AL,JPK_KR!W:W,J8),"")</f>
        <v>0</v>
      </c>
      <c r="L8" s="126">
        <f>IF(I8&lt;&gt;"",SUMIFS(JPK_KR!AM:AM,JPK_KR!W:W,J8),"")</f>
        <v>4240.0600000000004</v>
      </c>
      <c r="M8" s="183"/>
      <c r="N8" s="169"/>
      <c r="O8" s="171" t="s">
        <v>1661</v>
      </c>
      <c r="P8" s="170" t="str">
        <f>IF(M8&lt;&gt;"",SUMIFS(JPK_KR!AF:AF,JPK_KR!W:W,N8),"")</f>
        <v/>
      </c>
      <c r="Q8" s="170" t="str">
        <f>IF(M8&lt;&gt;"",SUMIFS(JPK_KR!AG:AG,JPK_KR!W:W,N8),"")</f>
        <v/>
      </c>
      <c r="U8" s="24" t="str">
        <f>IF(R8&lt;&gt;"",SUMIFS(JPK_KR!AL:AL,JPK_KR!W:W,S8),"")</f>
        <v/>
      </c>
      <c r="V8" s="126" t="str">
        <f>IF(R8&lt;&gt;"",SUMIFS(JPK_KR!AM:AM,JPK_KR!W:W,S8),"")</f>
        <v/>
      </c>
      <c r="BN8" s="5" t="s">
        <v>324</v>
      </c>
    </row>
    <row r="9" spans="1:67" x14ac:dyDescent="0.3">
      <c r="A9" s="5" t="s">
        <v>1553</v>
      </c>
      <c r="B9" s="5" t="s">
        <v>1555</v>
      </c>
      <c r="C9" s="24">
        <f>IF(A9&lt;&gt;"",SUMIFS(JPK_KR!AL:AL,JPK_KR!W:W,B9),"")</f>
        <v>302276.40000000002</v>
      </c>
      <c r="D9" s="126">
        <f>IF(A9&lt;&gt;"",SUMIFS(JPK_KR!AM:AM,JPK_KR!W:W,B9),"")</f>
        <v>0</v>
      </c>
      <c r="E9" s="5" t="s">
        <v>1626</v>
      </c>
      <c r="F9" s="127" t="s">
        <v>1627</v>
      </c>
      <c r="G9" s="24">
        <f>IF(E9&lt;&gt;"",SUMIFS(JPK_KR!AL:AL,JPK_KR!W:W,F9),"")</f>
        <v>0</v>
      </c>
      <c r="H9" s="126">
        <f>IF(E9&lt;&gt;"",SUMIFS(JPK_KR!AM:AM,JPK_KR!W:W,F9),"")</f>
        <v>243350.5</v>
      </c>
      <c r="I9" s="5" t="s">
        <v>1659</v>
      </c>
      <c r="J9" s="5" t="s">
        <v>1605</v>
      </c>
      <c r="K9" s="24">
        <f>IF(I9&lt;&gt;"",SUMIFS(JPK_KR!AL:AL,JPK_KR!W:W,J9),"")</f>
        <v>0</v>
      </c>
      <c r="L9" s="126">
        <f>IF(I9&lt;&gt;"",SUMIFS(JPK_KR!AM:AM,JPK_KR!W:W,J9),"")</f>
        <v>4240.0600000000004</v>
      </c>
      <c r="M9" s="183"/>
      <c r="N9" s="169"/>
      <c r="O9" s="171" t="s">
        <v>1661</v>
      </c>
      <c r="P9" s="170" t="str">
        <f>IF(M9&lt;&gt;"",SUMIFS(JPK_KR!AF:AF,JPK_KR!W:W,N9),"")</f>
        <v/>
      </c>
      <c r="Q9" s="170" t="str">
        <f>IF(M9&lt;&gt;"",SUMIFS(JPK_KR!AG:AG,JPK_KR!W:W,N9),"")</f>
        <v/>
      </c>
      <c r="U9" s="24" t="str">
        <f>IF(R9&lt;&gt;"",SUMIFS(JPK_KR!AL:AL,JPK_KR!W:W,S9),"")</f>
        <v/>
      </c>
      <c r="V9" s="126" t="str">
        <f>IF(R9&lt;&gt;"",SUMIFS(JPK_KR!AM:AM,JPK_KR!W:W,S9),"")</f>
        <v/>
      </c>
      <c r="BN9" s="5" t="s">
        <v>323</v>
      </c>
    </row>
    <row r="10" spans="1:67" x14ac:dyDescent="0.3">
      <c r="A10" s="5" t="s">
        <v>1553</v>
      </c>
      <c r="B10" s="5" t="s">
        <v>1556</v>
      </c>
      <c r="C10" s="24">
        <f>IF(A10&lt;&gt;"",SUMIFS(JPK_KR!AL:AL,JPK_KR!W:W,B10),"")</f>
        <v>30000</v>
      </c>
      <c r="D10" s="126">
        <f>IF(A10&lt;&gt;"",SUMIFS(JPK_KR!AM:AM,JPK_KR!W:W,B10),"")</f>
        <v>0</v>
      </c>
      <c r="E10" s="5" t="s">
        <v>1629</v>
      </c>
      <c r="F10" s="127" t="s">
        <v>1566</v>
      </c>
      <c r="G10" s="24">
        <f>IF(E10&lt;&gt;"",SUMIFS(JPK_KR!AL:AL,JPK_KR!W:W,F10),"")</f>
        <v>368925.60000000003</v>
      </c>
      <c r="H10" s="126">
        <f>IF(E10&lt;&gt;"",SUMIFS(JPK_KR!AM:AM,JPK_KR!W:W,F10),"")</f>
        <v>12084.01</v>
      </c>
      <c r="I10" s="5" t="s">
        <v>1606</v>
      </c>
      <c r="J10" s="5" t="s">
        <v>1607</v>
      </c>
      <c r="K10" s="24">
        <f>IF(I10&lt;&gt;"",SUMIFS(JPK_KR!AL:AL,JPK_KR!W:W,J10),"")</f>
        <v>0</v>
      </c>
      <c r="L10" s="126">
        <f>IF(I10&lt;&gt;"",SUMIFS(JPK_KR!AM:AM,JPK_KR!W:W,J10),"")</f>
        <v>93.13</v>
      </c>
      <c r="M10" s="183"/>
      <c r="N10" s="169"/>
      <c r="O10" s="171" t="s">
        <v>1661</v>
      </c>
      <c r="P10" s="170" t="str">
        <f>IF(M10&lt;&gt;"",SUMIFS(JPK_KR!AF:AF,JPK_KR!W:W,N10),"")</f>
        <v/>
      </c>
      <c r="Q10" s="170" t="str">
        <f>IF(M10&lt;&gt;"",SUMIFS(JPK_KR!AG:AG,JPK_KR!W:W,N10),"")</f>
        <v/>
      </c>
      <c r="U10" s="24" t="str">
        <f>IF(R10&lt;&gt;"",SUMIFS(JPK_KR!AL:AL,JPK_KR!W:W,S10),"")</f>
        <v/>
      </c>
      <c r="V10" s="126" t="str">
        <f>IF(R10&lt;&gt;"",SUMIFS(JPK_KR!AM:AM,JPK_KR!W:W,S10),"")</f>
        <v/>
      </c>
      <c r="BO10" s="5" t="s">
        <v>380</v>
      </c>
    </row>
    <row r="11" spans="1:67" x14ac:dyDescent="0.3">
      <c r="A11" s="5" t="s">
        <v>1553</v>
      </c>
      <c r="B11" s="5" t="s">
        <v>1557</v>
      </c>
      <c r="C11" s="24">
        <f>IF(A11&lt;&gt;"",SUMIFS(JPK_KR!AL:AL,JPK_KR!W:W,B11),"")</f>
        <v>23652.400000000001</v>
      </c>
      <c r="D11" s="126">
        <f>IF(A11&lt;&gt;"",SUMIFS(JPK_KR!AM:AM,JPK_KR!W:W,B11),"")</f>
        <v>0</v>
      </c>
      <c r="E11" s="5" t="s">
        <v>1629</v>
      </c>
      <c r="F11" s="127" t="s">
        <v>1565</v>
      </c>
      <c r="G11" s="24">
        <f>IF(E11&lt;&gt;"",SUMIFS(JPK_KR!AL:AL,JPK_KR!W:W,F11),"")</f>
        <v>0</v>
      </c>
      <c r="H11" s="126">
        <f>IF(E11&lt;&gt;"",SUMIFS(JPK_KR!AM:AM,JPK_KR!W:W,F11),"")</f>
        <v>241121.29</v>
      </c>
      <c r="I11" s="5" t="s">
        <v>1608</v>
      </c>
      <c r="J11" s="5" t="s">
        <v>1609</v>
      </c>
      <c r="K11" s="24">
        <f>IF(I11&lt;&gt;"",SUMIFS(JPK_KR!AL:AL,JPK_KR!W:W,J11),"")</f>
        <v>20154.38</v>
      </c>
      <c r="L11" s="126">
        <f>IF(I11&lt;&gt;"",SUMIFS(JPK_KR!AM:AM,JPK_KR!W:W,J11),"")</f>
        <v>0</v>
      </c>
      <c r="M11" s="183"/>
      <c r="N11" s="169"/>
      <c r="O11" s="171" t="s">
        <v>1661</v>
      </c>
      <c r="P11" s="170" t="str">
        <f>IF(M11&lt;&gt;"",SUMIFS(JPK_KR!AF:AF,JPK_KR!W:W,N11),"")</f>
        <v/>
      </c>
      <c r="Q11" s="170" t="str">
        <f>IF(M11&lt;&gt;"",SUMIFS(JPK_KR!AG:AG,JPK_KR!W:W,N11),"")</f>
        <v/>
      </c>
      <c r="U11" s="24" t="str">
        <f>IF(R11&lt;&gt;"",SUMIFS(JPK_KR!AL:AL,JPK_KR!W:W,S11),"")</f>
        <v/>
      </c>
      <c r="V11" s="126" t="str">
        <f>IF(R11&lt;&gt;"",SUMIFS(JPK_KR!AM:AM,JPK_KR!W:W,S11),"")</f>
        <v/>
      </c>
      <c r="BO11" s="5" t="s">
        <v>381</v>
      </c>
    </row>
    <row r="12" spans="1:67" x14ac:dyDescent="0.3">
      <c r="A12" s="5" t="s">
        <v>1558</v>
      </c>
      <c r="B12" s="5" t="s">
        <v>1560</v>
      </c>
      <c r="C12" s="24">
        <f>IF(A12&lt;&gt;"",SUMIFS(JPK_KR!AL:AL,JPK_KR!W:W,B12),"")</f>
        <v>987.69</v>
      </c>
      <c r="D12" s="126">
        <f>IF(A12&lt;&gt;"",SUMIFS(JPK_KR!AM:AM,JPK_KR!W:W,B12),"")</f>
        <v>4466.2700000000004</v>
      </c>
      <c r="E12" s="5" t="s">
        <v>1629</v>
      </c>
      <c r="F12" s="127" t="s">
        <v>1567</v>
      </c>
      <c r="G12" s="24">
        <f>IF(E12&lt;&gt;"",SUMIFS(JPK_KR!AL:AL,JPK_KR!W:W,F12),"")</f>
        <v>337519.54000000004</v>
      </c>
      <c r="H12" s="126">
        <f>IF(E12&lt;&gt;"",SUMIFS(JPK_KR!AM:AM,JPK_KR!W:W,F12),"")</f>
        <v>349823.37999999995</v>
      </c>
      <c r="I12" s="5" t="s">
        <v>1610</v>
      </c>
      <c r="J12" s="5" t="s">
        <v>1611</v>
      </c>
      <c r="K12" s="24">
        <f>IF(I12&lt;&gt;"",SUMIFS(JPK_KR!AL:AL,JPK_KR!W:W,J12),"")</f>
        <v>0</v>
      </c>
      <c r="L12" s="126">
        <f>IF(I12&lt;&gt;"",SUMIFS(JPK_KR!AM:AM,JPK_KR!W:W,J12),"")</f>
        <v>0</v>
      </c>
      <c r="M12" s="183"/>
      <c r="N12" s="169"/>
      <c r="O12" s="171" t="s">
        <v>1661</v>
      </c>
      <c r="P12" s="170" t="str">
        <f>IF(M12&lt;&gt;"",SUMIFS(JPK_KR!AF:AF,JPK_KR!W:W,N12),"")</f>
        <v/>
      </c>
      <c r="Q12" s="170" t="str">
        <f>IF(M12&lt;&gt;"",SUMIFS(JPK_KR!AG:AG,JPK_KR!W:W,N12),"")</f>
        <v/>
      </c>
      <c r="U12" s="24" t="str">
        <f>IF(R12&lt;&gt;"",SUMIFS(JPK_KR!AL:AL,JPK_KR!W:W,S12),"")</f>
        <v/>
      </c>
      <c r="V12" s="126" t="str">
        <f>IF(R12&lt;&gt;"",SUMIFS(JPK_KR!AM:AM,JPK_KR!W:W,S12),"")</f>
        <v/>
      </c>
    </row>
    <row r="13" spans="1:67" x14ac:dyDescent="0.3">
      <c r="A13" s="5" t="s">
        <v>1558</v>
      </c>
      <c r="B13" s="5" t="s">
        <v>1559</v>
      </c>
      <c r="C13" s="24">
        <f>IF(A13&lt;&gt;"",SUMIFS(JPK_KR!AL:AL,JPK_KR!W:W,B13),"")</f>
        <v>20240</v>
      </c>
      <c r="D13" s="126">
        <f>IF(A13&lt;&gt;"",SUMIFS(JPK_KR!AM:AM,JPK_KR!W:W,B13),"")</f>
        <v>0</v>
      </c>
      <c r="E13" s="5" t="s">
        <v>1629</v>
      </c>
      <c r="F13" s="127" t="s">
        <v>1628</v>
      </c>
      <c r="G13" s="24">
        <f>IF(E13&lt;&gt;"",SUMIFS(JPK_KR!AL:AL,JPK_KR!W:W,F13),"")</f>
        <v>6018</v>
      </c>
      <c r="H13" s="126">
        <f>IF(E13&lt;&gt;"",SUMIFS(JPK_KR!AM:AM,JPK_KR!W:W,F13),"")</f>
        <v>41422.720000000001</v>
      </c>
      <c r="I13" s="5" t="s">
        <v>1612</v>
      </c>
      <c r="J13" s="5" t="s">
        <v>1613</v>
      </c>
      <c r="K13" s="24">
        <f>IF(I13&lt;&gt;"",SUMIFS(JPK_KR!AL:AL,JPK_KR!W:W,J13),"")</f>
        <v>265482.68</v>
      </c>
      <c r="L13" s="126">
        <f>IF(I13&lt;&gt;"",SUMIFS(JPK_KR!AM:AM,JPK_KR!W:W,J13),"")</f>
        <v>0</v>
      </c>
      <c r="M13" s="183"/>
      <c r="N13" s="169"/>
      <c r="O13" s="171" t="s">
        <v>1661</v>
      </c>
      <c r="P13" s="170" t="str">
        <f>IF(M13&lt;&gt;"",SUMIFS(JPK_KR!AF:AF,JPK_KR!W:W,N13),"")</f>
        <v/>
      </c>
      <c r="Q13" s="170" t="str">
        <f>IF(M13&lt;&gt;"",SUMIFS(JPK_KR!AG:AG,JPK_KR!W:W,N13),"")</f>
        <v/>
      </c>
      <c r="U13" s="24" t="str">
        <f>IF(R13&lt;&gt;"",SUMIFS(JPK_KR!AL:AL,JPK_KR!W:W,S13),"")</f>
        <v/>
      </c>
      <c r="V13" s="126" t="str">
        <f>IF(R13&lt;&gt;"",SUMIFS(JPK_KR!AM:AM,JPK_KR!W:W,S13),"")</f>
        <v/>
      </c>
      <c r="BN13" s="5" t="s">
        <v>174</v>
      </c>
    </row>
    <row r="14" spans="1:67" x14ac:dyDescent="0.3">
      <c r="A14" s="5" t="s">
        <v>1558</v>
      </c>
      <c r="B14" s="5" t="s">
        <v>1561</v>
      </c>
      <c r="C14" s="24">
        <f>IF(A14&lt;&gt;"",SUMIFS(JPK_KR!AL:AL,JPK_KR!W:W,B14),"")</f>
        <v>10912.3</v>
      </c>
      <c r="D14" s="126">
        <f>IF(A14&lt;&gt;"",SUMIFS(JPK_KR!AM:AM,JPK_KR!W:W,B14),"")</f>
        <v>0</v>
      </c>
      <c r="E14" s="5" t="s">
        <v>1630</v>
      </c>
      <c r="F14" s="127" t="s">
        <v>1569</v>
      </c>
      <c r="G14" s="24">
        <f>IF(E14&lt;&gt;"",SUMIFS(JPK_KR!AL:AL,JPK_KR!W:W,F14),"")</f>
        <v>125685.84</v>
      </c>
      <c r="H14" s="126">
        <f>IF(E14&lt;&gt;"",SUMIFS(JPK_KR!AM:AM,JPK_KR!W:W,F14),"")</f>
        <v>96533.72</v>
      </c>
      <c r="I14" s="5" t="s">
        <v>1614</v>
      </c>
      <c r="J14" s="5" t="s">
        <v>1615</v>
      </c>
      <c r="K14" s="24">
        <f>IF(I14&lt;&gt;"",SUMIFS(JPK_KR!AL:AL,JPK_KR!W:W,J14),"")</f>
        <v>50</v>
      </c>
      <c r="L14" s="126">
        <f>IF(I14&lt;&gt;"",SUMIFS(JPK_KR!AM:AM,JPK_KR!W:W,J14),"")</f>
        <v>0</v>
      </c>
      <c r="M14" s="183"/>
      <c r="N14" s="169"/>
      <c r="O14" s="171" t="s">
        <v>1661</v>
      </c>
      <c r="P14" s="170" t="str">
        <f>IF(M14&lt;&gt;"",SUMIFS(JPK_KR!AF:AF,JPK_KR!W:W,N14),"")</f>
        <v/>
      </c>
      <c r="Q14" s="170" t="str">
        <f>IF(M14&lt;&gt;"",SUMIFS(JPK_KR!AG:AG,JPK_KR!W:W,N14),"")</f>
        <v/>
      </c>
      <c r="U14" s="24" t="str">
        <f>IF(R14&lt;&gt;"",SUMIFS(JPK_KR!AL:AL,JPK_KR!W:W,S14),"")</f>
        <v/>
      </c>
      <c r="V14" s="126" t="str">
        <f>IF(R14&lt;&gt;"",SUMIFS(JPK_KR!AM:AM,JPK_KR!W:W,S14),"")</f>
        <v/>
      </c>
      <c r="BN14" s="5" t="s">
        <v>175</v>
      </c>
    </row>
    <row r="15" spans="1:67" x14ac:dyDescent="0.3">
      <c r="A15" s="5" t="s">
        <v>1562</v>
      </c>
      <c r="B15" s="5" t="s">
        <v>1563</v>
      </c>
      <c r="C15" s="24">
        <f>IF(A15&lt;&gt;"",SUMIFS(JPK_KR!AL:AL,JPK_KR!W:W,B15),"")</f>
        <v>7000</v>
      </c>
      <c r="D15" s="126">
        <f>IF(A15&lt;&gt;"",SUMIFS(JPK_KR!AM:AM,JPK_KR!W:W,B15),"")</f>
        <v>0</v>
      </c>
      <c r="E15" s="5" t="s">
        <v>1631</v>
      </c>
      <c r="F15" s="127" t="s">
        <v>1570</v>
      </c>
      <c r="G15" s="24">
        <f>IF(E15&lt;&gt;"",SUMIFS(JPK_KR!AL:AL,JPK_KR!W:W,F15),"")</f>
        <v>13114.119999999999</v>
      </c>
      <c r="H15" s="126">
        <f>IF(E15&lt;&gt;"",SUMIFS(JPK_KR!AM:AM,JPK_KR!W:W,F15),"")</f>
        <v>9203.340000000002</v>
      </c>
      <c r="I15" s="5" t="s">
        <v>1616</v>
      </c>
      <c r="J15" s="5" t="s">
        <v>1617</v>
      </c>
      <c r="K15" s="24">
        <f>IF(I15&lt;&gt;"",SUMIFS(JPK_KR!AL:AL,JPK_KR!W:W,J15),"")</f>
        <v>5598</v>
      </c>
      <c r="L15" s="126">
        <f>IF(I15&lt;&gt;"",SUMIFS(JPK_KR!AM:AM,JPK_KR!W:W,J15),"")</f>
        <v>0</v>
      </c>
      <c r="M15" s="183"/>
      <c r="N15" s="169"/>
      <c r="O15" s="171" t="s">
        <v>1661</v>
      </c>
      <c r="P15" s="170" t="str">
        <f>IF(M15&lt;&gt;"",SUMIFS(JPK_KR!AF:AF,JPK_KR!W:W,N15),"")</f>
        <v/>
      </c>
      <c r="Q15" s="170" t="str">
        <f>IF(M15&lt;&gt;"",SUMIFS(JPK_KR!AG:AG,JPK_KR!W:W,N15),"")</f>
        <v/>
      </c>
      <c r="U15" s="24" t="str">
        <f>IF(R15&lt;&gt;"",SUMIFS(JPK_KR!AL:AL,JPK_KR!W:W,S15),"")</f>
        <v/>
      </c>
      <c r="V15" s="126" t="str">
        <f>IF(R15&lt;&gt;"",SUMIFS(JPK_KR!AM:AM,JPK_KR!W:W,S15),"")</f>
        <v/>
      </c>
      <c r="BN15" s="5" t="s">
        <v>1635</v>
      </c>
    </row>
    <row r="16" spans="1:67" x14ac:dyDescent="0.3">
      <c r="A16" s="5" t="s">
        <v>1564</v>
      </c>
      <c r="B16" s="5" t="s">
        <v>1565</v>
      </c>
      <c r="C16" s="24">
        <f>IF(A16&lt;&gt;"",SUMIFS(JPK_KR!AL:AL,JPK_KR!W:W,B16),"")</f>
        <v>0</v>
      </c>
      <c r="D16" s="126">
        <f>IF(A16&lt;&gt;"",SUMIFS(JPK_KR!AM:AM,JPK_KR!W:W,B16),"")</f>
        <v>241121.29</v>
      </c>
      <c r="E16" s="5" t="s">
        <v>1632</v>
      </c>
      <c r="F16" s="127" t="s">
        <v>1633</v>
      </c>
      <c r="G16" s="24">
        <f>IF(E16&lt;&gt;"",SUMIFS(JPK_KR!AL:AL,JPK_KR!W:W,F16),"")</f>
        <v>0</v>
      </c>
      <c r="H16" s="126">
        <f>IF(E16&lt;&gt;"",SUMIFS(JPK_KR!AM:AM,JPK_KR!W:W,F16),"")</f>
        <v>840.16</v>
      </c>
      <c r="I16" s="5" t="s">
        <v>1618</v>
      </c>
      <c r="J16" s="5" t="s">
        <v>1619</v>
      </c>
      <c r="K16" s="24">
        <f>IF(I16&lt;&gt;"",SUMIFS(JPK_KR!AL:AL,JPK_KR!W:W,J16),"")</f>
        <v>0</v>
      </c>
      <c r="L16" s="126">
        <f>IF(I16&lt;&gt;"",SUMIFS(JPK_KR!AM:AM,JPK_KR!W:W,J16),"")</f>
        <v>303984.06</v>
      </c>
      <c r="M16" s="183"/>
      <c r="N16" s="169"/>
      <c r="O16" s="171" t="s">
        <v>1661</v>
      </c>
      <c r="P16" s="170" t="str">
        <f>IF(M16&lt;&gt;"",SUMIFS(JPK_KR!AF:AF,JPK_KR!W:W,N16),"")</f>
        <v/>
      </c>
      <c r="Q16" s="170" t="str">
        <f>IF(M16&lt;&gt;"",SUMIFS(JPK_KR!AG:AG,JPK_KR!W:W,N16),"")</f>
        <v/>
      </c>
      <c r="U16" s="24" t="str">
        <f>IF(R16&lt;&gt;"",SUMIFS(JPK_KR!AL:AL,JPK_KR!W:W,S16),"")</f>
        <v/>
      </c>
      <c r="V16" s="126" t="str">
        <f>IF(R16&lt;&gt;"",SUMIFS(JPK_KR!AM:AM,JPK_KR!W:W,S16),"")</f>
        <v/>
      </c>
      <c r="BN16" s="5" t="s">
        <v>1636</v>
      </c>
    </row>
    <row r="17" spans="1:22" x14ac:dyDescent="0.3">
      <c r="A17" s="5" t="s">
        <v>1580</v>
      </c>
      <c r="B17" s="5" t="s">
        <v>1566</v>
      </c>
      <c r="C17" s="24">
        <f>IF(A17&lt;&gt;"",SUMIFS(JPK_KR!AL:AL,JPK_KR!W:W,B17),"")</f>
        <v>368925.60000000003</v>
      </c>
      <c r="D17" s="126">
        <f>IF(A17&lt;&gt;"",SUMIFS(JPK_KR!AM:AM,JPK_KR!W:W,B17),"")</f>
        <v>12084.01</v>
      </c>
      <c r="E17" s="5" t="s">
        <v>1632</v>
      </c>
      <c r="F17" s="127" t="s">
        <v>1634</v>
      </c>
      <c r="G17" s="24">
        <f>IF(E17&lt;&gt;"",SUMIFS(JPK_KR!AL:AL,JPK_KR!W:W,F17),"")</f>
        <v>0</v>
      </c>
      <c r="H17" s="126">
        <f>IF(E17&lt;&gt;"",SUMIFS(JPK_KR!AM:AM,JPK_KR!W:W,F17),"")</f>
        <v>297.5</v>
      </c>
      <c r="I17" s="5" t="s">
        <v>1618</v>
      </c>
      <c r="J17" s="5" t="s">
        <v>1620</v>
      </c>
      <c r="K17" s="24">
        <f>IF(I17&lt;&gt;"",SUMIFS(JPK_KR!AL:AL,JPK_KR!W:W,J17),"")</f>
        <v>303984.06</v>
      </c>
      <c r="L17" s="126">
        <f>IF(I17&lt;&gt;"",SUMIFS(JPK_KR!AM:AM,JPK_KR!W:W,J17),"")</f>
        <v>0</v>
      </c>
      <c r="M17" s="183"/>
      <c r="N17" s="169"/>
      <c r="O17" s="171" t="s">
        <v>1661</v>
      </c>
      <c r="P17" s="170" t="str">
        <f>IF(M17&lt;&gt;"",SUMIFS(JPK_KR!AF:AF,JPK_KR!W:W,N17),"")</f>
        <v/>
      </c>
      <c r="Q17" s="170" t="str">
        <f>IF(M17&lt;&gt;"",SUMIFS(JPK_KR!AG:AG,JPK_KR!W:W,N17),"")</f>
        <v/>
      </c>
      <c r="U17" s="24" t="str">
        <f>IF(R17&lt;&gt;"",SUMIFS(JPK_KR!AL:AL,JPK_KR!W:W,S17),"")</f>
        <v/>
      </c>
      <c r="V17" s="126" t="str">
        <f>IF(R17&lt;&gt;"",SUMIFS(JPK_KR!AM:AM,JPK_KR!W:W,S17),"")</f>
        <v/>
      </c>
    </row>
    <row r="18" spans="1:22" x14ac:dyDescent="0.3">
      <c r="A18" s="5" t="s">
        <v>1580</v>
      </c>
      <c r="B18" s="5" t="s">
        <v>1567</v>
      </c>
      <c r="C18" s="24">
        <f>IF(A18&lt;&gt;"",SUMIFS(JPK_KR!AL:AL,JPK_KR!W:W,B18),"")</f>
        <v>337519.54000000004</v>
      </c>
      <c r="D18" s="126">
        <f>IF(A18&lt;&gt;"",SUMIFS(JPK_KR!AM:AM,JPK_KR!W:W,B18),"")</f>
        <v>349823.37999999995</v>
      </c>
      <c r="G18" s="24" t="str">
        <f>IF(E18&lt;&gt;"",SUMIFS(JPK_KR!AL:AL,JPK_KR!W:W,F18),"")</f>
        <v/>
      </c>
      <c r="H18" s="126" t="str">
        <f>IF(E18&lt;&gt;"",SUMIFS(JPK_KR!AM:AM,JPK_KR!W:W,F18),"")</f>
        <v/>
      </c>
      <c r="I18" s="5" t="s">
        <v>1653</v>
      </c>
      <c r="J18" s="5" t="s">
        <v>1654</v>
      </c>
      <c r="K18" s="24">
        <f>IF(I18&lt;&gt;"",SUMIFS(JPK_KR!AL:AL,JPK_KR!W:W,J18),"")</f>
        <v>0</v>
      </c>
      <c r="L18" s="126">
        <f>IF(I18&lt;&gt;"",SUMIFS(JPK_KR!AM:AM,JPK_KR!W:W,J18),"")</f>
        <v>0</v>
      </c>
      <c r="M18" s="183"/>
      <c r="N18" s="169"/>
      <c r="O18" s="171" t="s">
        <v>1661</v>
      </c>
      <c r="P18" s="170" t="str">
        <f>IF(M18&lt;&gt;"",SUMIFS(JPK_KR!AF:AF,JPK_KR!W:W,N18),"")</f>
        <v/>
      </c>
      <c r="Q18" s="170" t="str">
        <f>IF(M18&lt;&gt;"",SUMIFS(JPK_KR!AG:AG,JPK_KR!W:W,N18),"")</f>
        <v/>
      </c>
      <c r="U18" s="24" t="str">
        <f>IF(R18&lt;&gt;"",SUMIFS(JPK_KR!AL:AL,JPK_KR!W:W,S18),"")</f>
        <v/>
      </c>
      <c r="V18" s="126" t="str">
        <f>IF(R18&lt;&gt;"",SUMIFS(JPK_KR!AM:AM,JPK_KR!W:W,S18),"")</f>
        <v/>
      </c>
    </row>
    <row r="19" spans="1:22" x14ac:dyDescent="0.3">
      <c r="A19" s="5" t="s">
        <v>1580</v>
      </c>
      <c r="B19" s="5" t="s">
        <v>1568</v>
      </c>
      <c r="C19" s="24">
        <f>IF(A19&lt;&gt;"",SUMIFS(JPK_KR!AL:AL,JPK_KR!W:W,B19),"")</f>
        <v>45141.08</v>
      </c>
      <c r="D19" s="126">
        <f>IF(A19&lt;&gt;"",SUMIFS(JPK_KR!AM:AM,JPK_KR!W:W,B19),"")</f>
        <v>0</v>
      </c>
      <c r="G19" s="24" t="str">
        <f>IF(E19&lt;&gt;"",SUMIFS(JPK_KR!AL:AL,JPK_KR!W:W,F19),"")</f>
        <v/>
      </c>
      <c r="H19" s="126" t="str">
        <f>IF(E19&lt;&gt;"",SUMIFS(JPK_KR!AM:AM,JPK_KR!W:W,F19),"")</f>
        <v/>
      </c>
      <c r="I19" s="5" t="s">
        <v>1606</v>
      </c>
      <c r="J19" s="5" t="s">
        <v>1655</v>
      </c>
      <c r="K19" s="24">
        <f>IF(I19&lt;&gt;"",SUMIFS(JPK_KR!AL:AL,JPK_KR!W:W,J19),"")</f>
        <v>0</v>
      </c>
      <c r="L19" s="126">
        <f>IF(I19&lt;&gt;"",SUMIFS(JPK_KR!AM:AM,JPK_KR!W:W,J19),"")</f>
        <v>0</v>
      </c>
      <c r="P19" s="24" t="str">
        <f>IF(M19&lt;&gt;"",IF(O19="",SUMIFS(JPK_KR!AL:AL,JPK_KR!W:W,N19),SUMIFS(JPK_KR!BF:BF,JPK_KR!BE:BE,N19,JPK_KR!BG:BG,O19)),"")</f>
        <v/>
      </c>
      <c r="Q19" s="126" t="str">
        <f>IF(M19&lt;&gt;"",IF(O19="",SUMIFS(JPK_KR!AM:AM,JPK_KR!W:W,N19),SUMIFS(JPK_KR!BI:BI,JPK_KR!BH:BH,N19,JPK_KR!BJ:BJ,O19)),"")</f>
        <v/>
      </c>
      <c r="U19" s="24" t="str">
        <f>IF(R19&lt;&gt;"",SUMIFS(JPK_KR!AL:AL,JPK_KR!W:W,S19),"")</f>
        <v/>
      </c>
      <c r="V19" s="126" t="str">
        <f>IF(R19&lt;&gt;"",SUMIFS(JPK_KR!AM:AM,JPK_KR!W:W,S19),"")</f>
        <v/>
      </c>
    </row>
    <row r="20" spans="1:22" x14ac:dyDescent="0.3">
      <c r="A20" s="5" t="s">
        <v>1578</v>
      </c>
      <c r="B20" s="5" t="s">
        <v>1569</v>
      </c>
      <c r="C20" s="24">
        <f>IF(A20&lt;&gt;"",SUMIFS(JPK_KR!AL:AL,JPK_KR!W:W,B20),"")</f>
        <v>125685.84</v>
      </c>
      <c r="D20" s="126">
        <f>IF(A20&lt;&gt;"",SUMIFS(JPK_KR!AM:AM,JPK_KR!W:W,B20),"")</f>
        <v>96533.72</v>
      </c>
      <c r="G20" s="24" t="str">
        <f>IF(E20&lt;&gt;"",SUMIFS(JPK_KR!AL:AL,JPK_KR!W:W,F20),"")</f>
        <v/>
      </c>
      <c r="H20" s="126" t="str">
        <f>IF(E20&lt;&gt;"",SUMIFS(JPK_KR!AM:AM,JPK_KR!W:W,F20),"")</f>
        <v/>
      </c>
      <c r="I20" s="5" t="s">
        <v>1656</v>
      </c>
      <c r="J20" s="5" t="s">
        <v>1311</v>
      </c>
      <c r="K20" s="24">
        <f>IF(I20&lt;&gt;"",SUMIFS(JPK_KR!AL:AL,JPK_KR!W:W,J20),"")</f>
        <v>0</v>
      </c>
      <c r="L20" s="126">
        <f>IF(I20&lt;&gt;"",SUMIFS(JPK_KR!AM:AM,JPK_KR!W:W,J20),"")</f>
        <v>0</v>
      </c>
      <c r="P20" s="24" t="str">
        <f>IF(M20&lt;&gt;"",IF(O20="",SUMIFS(JPK_KR!AL:AL,JPK_KR!W:W,N20),SUMIFS(JPK_KR!BF:BF,JPK_KR!BE:BE,N20,JPK_KR!BG:BG,O20)),"")</f>
        <v/>
      </c>
      <c r="Q20" s="126" t="str">
        <f>IF(M20&lt;&gt;"",IF(O20="",SUMIFS(JPK_KR!AM:AM,JPK_KR!W:W,N20),SUMIFS(JPK_KR!BI:BI,JPK_KR!BH:BH,N20,JPK_KR!BJ:BJ,O20)),"")</f>
        <v/>
      </c>
      <c r="U20" s="24" t="str">
        <f>IF(R20&lt;&gt;"",SUMIFS(JPK_KR!AL:AL,JPK_KR!W:W,S20),"")</f>
        <v/>
      </c>
      <c r="V20" s="126" t="str">
        <f>IF(R20&lt;&gt;"",SUMIFS(JPK_KR!AM:AM,JPK_KR!W:W,S20),"")</f>
        <v/>
      </c>
    </row>
    <row r="21" spans="1:22" x14ac:dyDescent="0.3">
      <c r="A21" s="5" t="s">
        <v>1579</v>
      </c>
      <c r="B21" s="5" t="s">
        <v>1570</v>
      </c>
      <c r="C21" s="24">
        <f>IF(A21&lt;&gt;"",SUMIFS(JPK_KR!AL:AL,JPK_KR!W:W,B21),"")</f>
        <v>13114.119999999999</v>
      </c>
      <c r="D21" s="126">
        <f>IF(A21&lt;&gt;"",SUMIFS(JPK_KR!AM:AM,JPK_KR!W:W,B21),"")</f>
        <v>9203.340000000002</v>
      </c>
      <c r="G21" s="24" t="str">
        <f>IF(E21&lt;&gt;"",SUMIFS(JPK_KR!AL:AL,JPK_KR!W:W,F21),"")</f>
        <v/>
      </c>
      <c r="H21" s="126" t="str">
        <f>IF(E21&lt;&gt;"",SUMIFS(JPK_KR!AM:AM,JPK_KR!W:W,F21),"")</f>
        <v/>
      </c>
      <c r="K21" s="24" t="str">
        <f>IF(I21&lt;&gt;"",SUMIFS(JPK_KR!AL:AL,JPK_KR!W:W,J21),"")</f>
        <v/>
      </c>
      <c r="L21" s="126" t="str">
        <f>IF(I21&lt;&gt;"",SUMIFS(JPK_KR!AM:AM,JPK_KR!W:W,J21),"")</f>
        <v/>
      </c>
      <c r="P21" s="24" t="str">
        <f>IF(M21&lt;&gt;"",IF(O21="",SUMIFS(JPK_KR!AL:AL,JPK_KR!W:W,N21),SUMIFS(JPK_KR!BF:BF,JPK_KR!BE:BE,N21,JPK_KR!BG:BG,O21)),"")</f>
        <v/>
      </c>
      <c r="Q21" s="126" t="str">
        <f>IF(M21&lt;&gt;"",IF(O21="",SUMIFS(JPK_KR!AM:AM,JPK_KR!W:W,N21),SUMIFS(JPK_KR!BI:BI,JPK_KR!BH:BH,N21,JPK_KR!BJ:BJ,O21)),"")</f>
        <v/>
      </c>
      <c r="U21" s="24" t="str">
        <f>IF(R21&lt;&gt;"",SUMIFS(JPK_KR!AL:AL,JPK_KR!W:W,S21),"")</f>
        <v/>
      </c>
      <c r="V21" s="126" t="str">
        <f>IF(R21&lt;&gt;"",SUMIFS(JPK_KR!AM:AM,JPK_KR!W:W,S21),"")</f>
        <v/>
      </c>
    </row>
    <row r="22" spans="1:22" x14ac:dyDescent="0.3">
      <c r="A22" s="5" t="s">
        <v>1571</v>
      </c>
      <c r="B22" s="5" t="s">
        <v>1572</v>
      </c>
      <c r="C22" s="24">
        <f>IF(A22&lt;&gt;"",SUMIFS(JPK_KR!AL:AL,JPK_KR!W:W,B22),"")</f>
        <v>28349.350000000002</v>
      </c>
      <c r="D22" s="126">
        <f>IF(A22&lt;&gt;"",SUMIFS(JPK_KR!AM:AM,JPK_KR!W:W,B22),"")</f>
        <v>0</v>
      </c>
      <c r="G22" s="24" t="str">
        <f>IF(E22&lt;&gt;"",SUMIFS(JPK_KR!AL:AL,JPK_KR!W:W,F22),"")</f>
        <v/>
      </c>
      <c r="H22" s="126" t="str">
        <f>IF(E22&lt;&gt;"",SUMIFS(JPK_KR!AM:AM,JPK_KR!W:W,F22),"")</f>
        <v/>
      </c>
      <c r="K22" s="24" t="str">
        <f>IF(I22&lt;&gt;"",SUMIFS(JPK_KR!AL:AL,JPK_KR!W:W,J22),"")</f>
        <v/>
      </c>
      <c r="L22" s="126" t="str">
        <f>IF(I22&lt;&gt;"",SUMIFS(JPK_KR!AM:AM,JPK_KR!W:W,J22),"")</f>
        <v/>
      </c>
      <c r="P22" s="24" t="str">
        <f>IF(M22&lt;&gt;"",IF(O22="",SUMIFS(JPK_KR!AL:AL,JPK_KR!W:W,N22),SUMIFS(JPK_KR!BF:BF,JPK_KR!BE:BE,N22,JPK_KR!BG:BG,O22)),"")</f>
        <v/>
      </c>
      <c r="Q22" s="126" t="str">
        <f>IF(M22&lt;&gt;"",IF(O22="",SUMIFS(JPK_KR!AM:AM,JPK_KR!W:W,N22),SUMIFS(JPK_KR!BI:BI,JPK_KR!BH:BH,N22,JPK_KR!BJ:BJ,O22)),"")</f>
        <v/>
      </c>
      <c r="U22" s="24" t="str">
        <f>IF(R22&lt;&gt;"",SUMIFS(JPK_KR!AL:AL,JPK_KR!W:W,S22),"")</f>
        <v/>
      </c>
      <c r="V22" s="126" t="str">
        <f>IF(R22&lt;&gt;"",SUMIFS(JPK_KR!AM:AM,JPK_KR!W:W,S22),"")</f>
        <v/>
      </c>
    </row>
    <row r="23" spans="1:22" x14ac:dyDescent="0.3">
      <c r="A23" s="5" t="s">
        <v>1571</v>
      </c>
      <c r="B23" s="5" t="s">
        <v>1573</v>
      </c>
      <c r="C23" s="24">
        <f>IF(A23&lt;&gt;"",SUMIFS(JPK_KR!AL:AL,JPK_KR!W:W,B23),"")</f>
        <v>519626.1</v>
      </c>
      <c r="D23" s="126">
        <f>IF(A23&lt;&gt;"",SUMIFS(JPK_KR!AM:AM,JPK_KR!W:W,B23),"")</f>
        <v>6289.8</v>
      </c>
      <c r="G23" s="24" t="str">
        <f>IF(E23&lt;&gt;"",SUMIFS(JPK_KR!AL:AL,JPK_KR!W:W,F23),"")</f>
        <v/>
      </c>
      <c r="H23" s="126" t="str">
        <f>IF(E23&lt;&gt;"",SUMIFS(JPK_KR!AM:AM,JPK_KR!W:W,F23),"")</f>
        <v/>
      </c>
      <c r="K23" s="24" t="str">
        <f>IF(I23&lt;&gt;"",SUMIFS(JPK_KR!AL:AL,JPK_KR!W:W,J23),"")</f>
        <v/>
      </c>
      <c r="L23" s="126" t="str">
        <f>IF(I23&lt;&gt;"",SUMIFS(JPK_KR!AM:AM,JPK_KR!W:W,J23),"")</f>
        <v/>
      </c>
      <c r="P23" s="24" t="str">
        <f>IF(M23&lt;&gt;"",IF(O23="",SUMIFS(JPK_KR!AL:AL,JPK_KR!W:W,N23),SUMIFS(JPK_KR!BF:BF,JPK_KR!BE:BE,N23,JPK_KR!BG:BG,O23)),"")</f>
        <v/>
      </c>
      <c r="Q23" s="126" t="str">
        <f>IF(M23&lt;&gt;"",IF(O23="",SUMIFS(JPK_KR!AM:AM,JPK_KR!W:W,N23),SUMIFS(JPK_KR!BI:BI,JPK_KR!BH:BH,N23,JPK_KR!BJ:BJ,O23)),"")</f>
        <v/>
      </c>
      <c r="U23" s="24" t="str">
        <f>IF(R23&lt;&gt;"",SUMIFS(JPK_KR!AL:AL,JPK_KR!W:W,S23),"")</f>
        <v/>
      </c>
      <c r="V23" s="126" t="str">
        <f>IF(R23&lt;&gt;"",SUMIFS(JPK_KR!AM:AM,JPK_KR!W:W,S23),"")</f>
        <v/>
      </c>
    </row>
    <row r="24" spans="1:22" x14ac:dyDescent="0.3">
      <c r="A24" s="5" t="s">
        <v>1574</v>
      </c>
      <c r="B24" s="5" t="s">
        <v>1575</v>
      </c>
      <c r="C24" s="24">
        <f>IF(A24&lt;&gt;"",SUMIFS(JPK_KR!AL:AL,JPK_KR!W:W,B24),"")</f>
        <v>73681</v>
      </c>
      <c r="D24" s="126">
        <f>IF(A24&lt;&gt;"",SUMIFS(JPK_KR!AM:AM,JPK_KR!W:W,B24),"")</f>
        <v>0</v>
      </c>
      <c r="G24" s="24" t="str">
        <f>IF(E24&lt;&gt;"",SUMIFS(JPK_KR!AL:AL,JPK_KR!W:W,F24),"")</f>
        <v/>
      </c>
      <c r="H24" s="126" t="str">
        <f>IF(E24&lt;&gt;"",SUMIFS(JPK_KR!AM:AM,JPK_KR!W:W,F24),"")</f>
        <v/>
      </c>
      <c r="K24" s="24" t="str">
        <f>IF(I24&lt;&gt;"",SUMIFS(JPK_KR!AL:AL,JPK_KR!W:W,J24),"")</f>
        <v/>
      </c>
      <c r="L24" s="126" t="str">
        <f>IF(I24&lt;&gt;"",SUMIFS(JPK_KR!AM:AM,JPK_KR!W:W,J24),"")</f>
        <v/>
      </c>
      <c r="P24" s="24" t="str">
        <f>IF(M24&lt;&gt;"",IF(O24="",SUMIFS(JPK_KR!AL:AL,JPK_KR!W:W,N24),SUMIFS(JPK_KR!BF:BF,JPK_KR!BE:BE,N24,JPK_KR!BG:BG,O24)),"")</f>
        <v/>
      </c>
      <c r="Q24" s="126" t="str">
        <f>IF(M24&lt;&gt;"",IF(O24="",SUMIFS(JPK_KR!AM:AM,JPK_KR!W:W,N24),SUMIFS(JPK_KR!BI:BI,JPK_KR!BH:BH,N24,JPK_KR!BJ:BJ,O24)),"")</f>
        <v/>
      </c>
      <c r="U24" s="24" t="str">
        <f>IF(R24&lt;&gt;"",SUMIFS(JPK_KR!AL:AL,JPK_KR!W:W,S24),"")</f>
        <v/>
      </c>
      <c r="V24" s="126" t="str">
        <f>IF(R24&lt;&gt;"",SUMIFS(JPK_KR!AM:AM,JPK_KR!W:W,S24),"")</f>
        <v/>
      </c>
    </row>
    <row r="25" spans="1:22" x14ac:dyDescent="0.3">
      <c r="A25" s="5" t="s">
        <v>1576</v>
      </c>
      <c r="B25" s="5" t="s">
        <v>1577</v>
      </c>
      <c r="C25" s="24">
        <f>IF(A25&lt;&gt;"",SUMIFS(JPK_KR!AL:AL,JPK_KR!W:W,B25),"")</f>
        <v>528</v>
      </c>
      <c r="D25" s="126">
        <f>IF(A25&lt;&gt;"",SUMIFS(JPK_KR!AM:AM,JPK_KR!W:W,B25),"")</f>
        <v>0</v>
      </c>
      <c r="G25" s="24" t="str">
        <f>IF(E25&lt;&gt;"",SUMIFS(JPK_KR!AL:AL,JPK_KR!W:W,F25),"")</f>
        <v/>
      </c>
      <c r="H25" s="126" t="str">
        <f>IF(E25&lt;&gt;"",SUMIFS(JPK_KR!AM:AM,JPK_KR!W:W,F25),"")</f>
        <v/>
      </c>
      <c r="K25" s="24" t="str">
        <f>IF(I25&lt;&gt;"",SUMIFS(JPK_KR!AL:AL,JPK_KR!W:W,J25),"")</f>
        <v/>
      </c>
      <c r="L25" s="126" t="str">
        <f>IF(I25&lt;&gt;"",SUMIFS(JPK_KR!AM:AM,JPK_KR!W:W,J25),"")</f>
        <v/>
      </c>
      <c r="P25" s="24" t="str">
        <f>IF(M25&lt;&gt;"",IF(O25="",SUMIFS(JPK_KR!AL:AL,JPK_KR!W:W,N25),SUMIFS(JPK_KR!BF:BF,JPK_KR!BE:BE,N25,JPK_KR!BG:BG,O25)),"")</f>
        <v/>
      </c>
      <c r="Q25" s="126" t="str">
        <f>IF(M25&lt;&gt;"",IF(O25="",SUMIFS(JPK_KR!AM:AM,JPK_KR!W:W,N25),SUMIFS(JPK_KR!BI:BI,JPK_KR!BH:BH,N25,JPK_KR!BJ:BJ,O25)),"")</f>
        <v/>
      </c>
      <c r="U25" s="24" t="str">
        <f>IF(R25&lt;&gt;"",SUMIFS(JPK_KR!AL:AL,JPK_KR!W:W,S25),"")</f>
        <v/>
      </c>
      <c r="V25" s="126" t="str">
        <f>IF(R25&lt;&gt;"",SUMIFS(JPK_KR!AM:AM,JPK_KR!W:W,S25),"")</f>
        <v/>
      </c>
    </row>
    <row r="26" spans="1:22" x14ac:dyDescent="0.3">
      <c r="A26" s="5" t="s">
        <v>1581</v>
      </c>
      <c r="B26" s="5" t="s">
        <v>1582</v>
      </c>
      <c r="C26" s="24">
        <f>IF(A26&lt;&gt;"",SUMIFS(JPK_KR!AL:AL,JPK_KR!W:W,B26),"")</f>
        <v>294000</v>
      </c>
      <c r="D26" s="126">
        <f>IF(A26&lt;&gt;"",SUMIFS(JPK_KR!AM:AM,JPK_KR!W:W,B26),"")</f>
        <v>0</v>
      </c>
      <c r="G26" s="24" t="str">
        <f>IF(E26&lt;&gt;"",SUMIFS(JPK_KR!AL:AL,JPK_KR!W:W,F26),"")</f>
        <v/>
      </c>
      <c r="H26" s="126" t="str">
        <f>IF(E26&lt;&gt;"",SUMIFS(JPK_KR!AM:AM,JPK_KR!W:W,F26),"")</f>
        <v/>
      </c>
      <c r="K26" s="24" t="str">
        <f>IF(I26&lt;&gt;"",SUMIFS(JPK_KR!AL:AL,JPK_KR!W:W,J26),"")</f>
        <v/>
      </c>
      <c r="L26" s="126" t="str">
        <f>IF(I26&lt;&gt;"",SUMIFS(JPK_KR!AM:AM,JPK_KR!W:W,J26),"")</f>
        <v/>
      </c>
      <c r="P26" s="24" t="str">
        <f>IF(M26&lt;&gt;"",IF(O26="",SUMIFS(JPK_KR!AL:AL,JPK_KR!W:W,N26),SUMIFS(JPK_KR!BF:BF,JPK_KR!BE:BE,N26,JPK_KR!BG:BG,O26)),"")</f>
        <v/>
      </c>
      <c r="Q26" s="126" t="str">
        <f>IF(M26&lt;&gt;"",IF(O26="",SUMIFS(JPK_KR!AM:AM,JPK_KR!W:W,N26),SUMIFS(JPK_KR!BI:BI,JPK_KR!BH:BH,N26,JPK_KR!BJ:BJ,O26)),"")</f>
        <v/>
      </c>
      <c r="U26" s="24" t="str">
        <f>IF(R26&lt;&gt;"",SUMIFS(JPK_KR!AL:AL,JPK_KR!W:W,S26),"")</f>
        <v/>
      </c>
      <c r="V26" s="126" t="str">
        <f>IF(R26&lt;&gt;"",SUMIFS(JPK_KR!AM:AM,JPK_KR!W:W,S26),"")</f>
        <v/>
      </c>
    </row>
    <row r="27" spans="1:22" x14ac:dyDescent="0.3">
      <c r="A27" s="5" t="str">
        <f>IF(kokpit!A22&lt;&gt;"",kokpit!A22,"")</f>
        <v>ABIII1c1</v>
      </c>
      <c r="B27" s="5" t="s">
        <v>1583</v>
      </c>
      <c r="C27" s="24">
        <f>IF(A27&lt;&gt;"",SUMIFS(JPK_KR!AL:AL,JPK_KR!W:W,B27),"")</f>
        <v>0</v>
      </c>
      <c r="D27" s="126">
        <f>IF(A27&lt;&gt;"",SUMIFS(JPK_KR!AM:AM,JPK_KR!W:W,B27),"")</f>
        <v>0</v>
      </c>
      <c r="G27" s="24" t="str">
        <f>IF(E27&lt;&gt;"",SUMIFS(JPK_KR!AL:AL,JPK_KR!W:W,F27),"")</f>
        <v/>
      </c>
      <c r="H27" s="126" t="str">
        <f>IF(E27&lt;&gt;"",SUMIFS(JPK_KR!AM:AM,JPK_KR!W:W,F27),"")</f>
        <v/>
      </c>
      <c r="K27" s="24" t="str">
        <f>IF(I27&lt;&gt;"",SUMIFS(JPK_KR!AL:AL,JPK_KR!W:W,J27),"")</f>
        <v/>
      </c>
      <c r="L27" s="126" t="str">
        <f>IF(I27&lt;&gt;"",SUMIFS(JPK_KR!AM:AM,JPK_KR!W:W,J27),"")</f>
        <v/>
      </c>
      <c r="P27" s="24" t="str">
        <f>IF(M27&lt;&gt;"",IF(O27="",SUMIFS(JPK_KR!AL:AL,JPK_KR!W:W,N27),SUMIFS(JPK_KR!BF:BF,JPK_KR!BE:BE,N27,JPK_KR!BG:BG,O27)),"")</f>
        <v/>
      </c>
      <c r="Q27" s="126" t="str">
        <f>IF(M27&lt;&gt;"",IF(O27="",SUMIFS(JPK_KR!AM:AM,JPK_KR!W:W,N27),SUMIFS(JPK_KR!BI:BI,JPK_KR!BH:BH,N27,JPK_KR!BJ:BJ,O27)),"")</f>
        <v/>
      </c>
      <c r="U27" s="24" t="str">
        <f>IF(R27&lt;&gt;"",SUMIFS(JPK_KR!AL:AL,JPK_KR!W:W,S27),"")</f>
        <v/>
      </c>
      <c r="V27" s="126" t="str">
        <f>IF(R27&lt;&gt;"",SUMIFS(JPK_KR!AM:AM,JPK_KR!W:W,S27),"")</f>
        <v/>
      </c>
    </row>
    <row r="28" spans="1:22" x14ac:dyDescent="0.3">
      <c r="A28" s="5" t="s">
        <v>1579</v>
      </c>
      <c r="B28" s="5" t="s">
        <v>1584</v>
      </c>
      <c r="C28" s="24">
        <f>IF(A28&lt;&gt;"",SUMIFS(JPK_KR!AL:AL,JPK_KR!W:W,B28),"")</f>
        <v>1537.5</v>
      </c>
      <c r="D28" s="126">
        <f>IF(A28&lt;&gt;"",SUMIFS(JPK_KR!AM:AM,JPK_KR!W:W,B28),"")</f>
        <v>0</v>
      </c>
      <c r="G28" s="24" t="str">
        <f>IF(E28&lt;&gt;"",SUMIFS(JPK_KR!AL:AL,JPK_KR!W:W,F28),"")</f>
        <v/>
      </c>
      <c r="H28" s="126" t="str">
        <f>IF(E28&lt;&gt;"",SUMIFS(JPK_KR!AM:AM,JPK_KR!W:W,F28),"")</f>
        <v/>
      </c>
      <c r="K28" s="24" t="str">
        <f>IF(I28&lt;&gt;"",SUMIFS(JPK_KR!AL:AL,JPK_KR!W:W,J28),"")</f>
        <v/>
      </c>
      <c r="L28" s="126" t="str">
        <f>IF(I28&lt;&gt;"",SUMIFS(JPK_KR!AM:AM,JPK_KR!W:W,J28),"")</f>
        <v/>
      </c>
      <c r="P28" s="24" t="str">
        <f>IF(M28&lt;&gt;"",IF(O28="",SUMIFS(JPK_KR!AL:AL,JPK_KR!W:W,N28),SUMIFS(JPK_KR!BF:BF,JPK_KR!BE:BE,N28,JPK_KR!BG:BG,O28)),"")</f>
        <v/>
      </c>
      <c r="Q28" s="126" t="str">
        <f>IF(M28&lt;&gt;"",IF(O28="",SUMIFS(JPK_KR!AM:AM,JPK_KR!W:W,N28),SUMIFS(JPK_KR!BI:BI,JPK_KR!BH:BH,N28,JPK_KR!BJ:BJ,O28)),"")</f>
        <v/>
      </c>
      <c r="U28" s="24" t="str">
        <f>IF(R28&lt;&gt;"",SUMIFS(JPK_KR!AL:AL,JPK_KR!W:W,S28),"")</f>
        <v/>
      </c>
      <c r="V28" s="126" t="str">
        <f>IF(R28&lt;&gt;"",SUMIFS(JPK_KR!AM:AM,JPK_KR!W:W,S28),"")</f>
        <v/>
      </c>
    </row>
    <row r="29" spans="1:22" x14ac:dyDescent="0.3">
      <c r="A29" s="5" t="s">
        <v>1580</v>
      </c>
      <c r="B29" s="5" t="s">
        <v>1628</v>
      </c>
      <c r="C29" s="24">
        <f>IF(A29&lt;&gt;"",SUMIFS(JPK_KR!AL:AL,JPK_KR!W:W,B29),"")</f>
        <v>6018</v>
      </c>
      <c r="D29" s="126">
        <f>IF(A29&lt;&gt;"",SUMIFS(JPK_KR!AM:AM,JPK_KR!W:W,B29),"")</f>
        <v>41422.720000000001</v>
      </c>
      <c r="G29" s="24" t="str">
        <f>IF(E29&lt;&gt;"",SUMIFS(JPK_KR!AL:AL,JPK_KR!W:W,F29),"")</f>
        <v/>
      </c>
      <c r="H29" s="126" t="str">
        <f>IF(E29&lt;&gt;"",SUMIFS(JPK_KR!AM:AM,JPK_KR!W:W,F29),"")</f>
        <v/>
      </c>
      <c r="K29" s="24" t="str">
        <f>IF(I29&lt;&gt;"",SUMIFS(JPK_KR!AL:AL,JPK_KR!W:W,J29),"")</f>
        <v/>
      </c>
      <c r="L29" s="126" t="str">
        <f>IF(I29&lt;&gt;"",SUMIFS(JPK_KR!AM:AM,JPK_KR!W:W,J29),"")</f>
        <v/>
      </c>
      <c r="P29" s="24" t="str">
        <f>IF(M29&lt;&gt;"",IF(O29="",SUMIFS(JPK_KR!AL:AL,JPK_KR!W:W,N29),SUMIFS(JPK_KR!BF:BF,JPK_KR!BE:BE,N29,JPK_KR!BG:BG,O29)),"")</f>
        <v/>
      </c>
      <c r="Q29" s="126" t="str">
        <f>IF(M29&lt;&gt;"",IF(O29="",SUMIFS(JPK_KR!AM:AM,JPK_KR!W:W,N29),SUMIFS(JPK_KR!BI:BI,JPK_KR!BH:BH,N29,JPK_KR!BJ:BJ,O29)),"")</f>
        <v/>
      </c>
      <c r="U29" s="24" t="str">
        <f>IF(R29&lt;&gt;"",SUMIFS(JPK_KR!AL:AL,JPK_KR!W:W,S29),"")</f>
        <v/>
      </c>
      <c r="V29" s="126" t="str">
        <f>IF(R29&lt;&gt;"",SUMIFS(JPK_KR!AM:AM,JPK_KR!W:W,S29),"")</f>
        <v/>
      </c>
    </row>
    <row r="30" spans="1:22" x14ac:dyDescent="0.3">
      <c r="A30" s="5" t="s">
        <v>1548</v>
      </c>
      <c r="B30" s="5" t="s">
        <v>1651</v>
      </c>
      <c r="C30" s="24">
        <f>IF(A30&lt;&gt;"",SUMIFS(JPK_KR!AL:AL,JPK_KR!W:W,B30),"")</f>
        <v>120560</v>
      </c>
      <c r="D30" s="126">
        <f>IF(A30&lt;&gt;"",SUMIFS(JPK_KR!AM:AM,JPK_KR!W:W,B30),"")</f>
        <v>0</v>
      </c>
      <c r="G30" s="24" t="str">
        <f>IF(E30&lt;&gt;"",SUMIFS(JPK_KR!AL:AL,JPK_KR!W:W,F30),"")</f>
        <v/>
      </c>
      <c r="H30" s="126" t="str">
        <f>IF(E30&lt;&gt;"",SUMIFS(JPK_KR!AM:AM,JPK_KR!W:W,F30),"")</f>
        <v/>
      </c>
      <c r="K30" s="24" t="str">
        <f>IF(I30&lt;&gt;"",SUMIFS(JPK_KR!AL:AL,JPK_KR!W:W,J30),"")</f>
        <v/>
      </c>
      <c r="L30" s="126" t="str">
        <f>IF(I30&lt;&gt;"",SUMIFS(JPK_KR!AM:AM,JPK_KR!W:W,J30),"")</f>
        <v/>
      </c>
      <c r="P30" s="24" t="str">
        <f>IF(M30&lt;&gt;"",IF(O30="",SUMIFS(JPK_KR!AL:AL,JPK_KR!W:W,N30),SUMIFS(JPK_KR!BF:BF,JPK_KR!BE:BE,N30,JPK_KR!BG:BG,O30)),"")</f>
        <v/>
      </c>
      <c r="Q30" s="126" t="str">
        <f>IF(M30&lt;&gt;"",IF(O30="",SUMIFS(JPK_KR!AM:AM,JPK_KR!W:W,N30),SUMIFS(JPK_KR!BI:BI,JPK_KR!BH:BH,N30,JPK_KR!BJ:BJ,O30)),"")</f>
        <v/>
      </c>
      <c r="U30" s="24" t="str">
        <f>IF(R30&lt;&gt;"",SUMIFS(JPK_KR!AL:AL,JPK_KR!W:W,S30),"")</f>
        <v/>
      </c>
      <c r="V30" s="126" t="str">
        <f>IF(R30&lt;&gt;"",SUMIFS(JPK_KR!AM:AM,JPK_KR!W:W,S30),"")</f>
        <v/>
      </c>
    </row>
    <row r="31" spans="1:22" x14ac:dyDescent="0.3">
      <c r="A31" s="5" t="s">
        <v>1549</v>
      </c>
      <c r="B31" s="5" t="s">
        <v>1652</v>
      </c>
      <c r="C31" s="24">
        <f>IF(A31&lt;&gt;"",SUMIFS(JPK_KR!AL:AL,JPK_KR!W:W,B31),"")</f>
        <v>75900</v>
      </c>
      <c r="D31" s="126">
        <f>IF(A31&lt;&gt;"",SUMIFS(JPK_KR!AM:AM,JPK_KR!W:W,B31),"")</f>
        <v>0</v>
      </c>
      <c r="G31" s="24" t="str">
        <f>IF(E31&lt;&gt;"",SUMIFS(JPK_KR!AL:AL,JPK_KR!W:W,F31),"")</f>
        <v/>
      </c>
      <c r="H31" s="126" t="str">
        <f>IF(E31&lt;&gt;"",SUMIFS(JPK_KR!AM:AM,JPK_KR!W:W,F31),"")</f>
        <v/>
      </c>
      <c r="K31" s="24" t="str">
        <f>IF(I31&lt;&gt;"",SUMIFS(JPK_KR!AL:AL,JPK_KR!W:W,J31),"")</f>
        <v/>
      </c>
      <c r="L31" s="126" t="str">
        <f>IF(I31&lt;&gt;"",SUMIFS(JPK_KR!AM:AM,JPK_KR!W:W,J31),"")</f>
        <v/>
      </c>
      <c r="P31" s="24" t="str">
        <f>IF(M31&lt;&gt;"",IF(O31="",SUMIFS(JPK_KR!AL:AL,JPK_KR!W:W,N31),SUMIFS(JPK_KR!BF:BF,JPK_KR!BE:BE,N31,JPK_KR!BG:BG,O31)),"")</f>
        <v/>
      </c>
      <c r="Q31" s="126" t="str">
        <f>IF(M31&lt;&gt;"",IF(O31="",SUMIFS(JPK_KR!AM:AM,JPK_KR!W:W,N31),SUMIFS(JPK_KR!BI:BI,JPK_KR!BH:BH,N31,JPK_KR!BJ:BJ,O31)),"")</f>
        <v/>
      </c>
      <c r="U31" s="24" t="str">
        <f>IF(R31&lt;&gt;"",SUMIFS(JPK_KR!AL:AL,JPK_KR!W:W,S31),"")</f>
        <v/>
      </c>
      <c r="V31" s="126" t="str">
        <f>IF(R31&lt;&gt;"",SUMIFS(JPK_KR!AM:AM,JPK_KR!W:W,S31),"")</f>
        <v/>
      </c>
    </row>
    <row r="32" spans="1:22" x14ac:dyDescent="0.3">
      <c r="A32" s="5" t="s">
        <v>1550</v>
      </c>
      <c r="B32" s="5" t="s">
        <v>1642</v>
      </c>
      <c r="C32" s="24">
        <f>IF(A32&lt;&gt;"",SUMIFS(JPK_KR!AL:AL,JPK_KR!W:W,B32),"")</f>
        <v>39236</v>
      </c>
      <c r="D32" s="126">
        <f>IF(A32&lt;&gt;"",SUMIFS(JPK_KR!AM:AM,JPK_KR!W:W,B32),"")</f>
        <v>0</v>
      </c>
      <c r="G32" s="24" t="str">
        <f>IF(E32&lt;&gt;"",SUMIFS(JPK_KR!AL:AL,JPK_KR!W:W,F32),"")</f>
        <v/>
      </c>
      <c r="H32" s="126" t="str">
        <f>IF(E32&lt;&gt;"",SUMIFS(JPK_KR!AM:AM,JPK_KR!W:W,F32),"")</f>
        <v/>
      </c>
      <c r="K32" s="24" t="str">
        <f>IF(I32&lt;&gt;"",SUMIFS(JPK_KR!AL:AL,JPK_KR!W:W,J32),"")</f>
        <v/>
      </c>
      <c r="L32" s="126" t="str">
        <f>IF(I32&lt;&gt;"",SUMIFS(JPK_KR!AM:AM,JPK_KR!W:W,J32),"")</f>
        <v/>
      </c>
      <c r="P32" s="24" t="str">
        <f>IF(M32&lt;&gt;"",IF(O32="",SUMIFS(JPK_KR!AL:AL,JPK_KR!W:W,N32),SUMIFS(JPK_KR!BF:BF,JPK_KR!BE:BE,N32,JPK_KR!BG:BG,O32)),"")</f>
        <v/>
      </c>
      <c r="Q32" s="126" t="str">
        <f>IF(M32&lt;&gt;"",IF(O32="",SUMIFS(JPK_KR!AM:AM,JPK_KR!W:W,N32),SUMIFS(JPK_KR!BI:BI,JPK_KR!BH:BH,N32,JPK_KR!BJ:BJ,O32)),"")</f>
        <v/>
      </c>
      <c r="U32" s="24" t="str">
        <f>IF(R32&lt;&gt;"",SUMIFS(JPK_KR!AL:AL,JPK_KR!W:W,S32),"")</f>
        <v/>
      </c>
      <c r="V32" s="126" t="str">
        <f>IF(R32&lt;&gt;"",SUMIFS(JPK_KR!AM:AM,JPK_KR!W:W,S32),"")</f>
        <v/>
      </c>
    </row>
    <row r="33" spans="3:22" x14ac:dyDescent="0.3">
      <c r="C33" s="24" t="str">
        <f>IF(A33&lt;&gt;"",SUMIFS(JPK_KR!AL:AL,JPK_KR!W:W,B33),"")</f>
        <v/>
      </c>
      <c r="D33" s="126" t="str">
        <f>IF(A33&lt;&gt;"",SUMIFS(JPK_KR!AM:AM,JPK_KR!W:W,B33),"")</f>
        <v/>
      </c>
      <c r="G33" s="24" t="str">
        <f>IF(E33&lt;&gt;"",SUMIFS(JPK_KR!AL:AL,JPK_KR!W:W,F33),"")</f>
        <v/>
      </c>
      <c r="H33" s="126" t="str">
        <f>IF(E33&lt;&gt;"",SUMIFS(JPK_KR!AM:AM,JPK_KR!W:W,F33),"")</f>
        <v/>
      </c>
      <c r="K33" s="24" t="str">
        <f>IF(I33&lt;&gt;"",SUMIFS(JPK_KR!AL:AL,JPK_KR!W:W,J33),"")</f>
        <v/>
      </c>
      <c r="L33" s="126" t="str">
        <f>IF(I33&lt;&gt;"",SUMIFS(JPK_KR!AM:AM,JPK_KR!W:W,J33),"")</f>
        <v/>
      </c>
      <c r="P33" s="24" t="str">
        <f>IF(M33&lt;&gt;"",IF(O33="",SUMIFS(JPK_KR!AL:AL,JPK_KR!W:W,N33),SUMIFS(JPK_KR!BF:BF,JPK_KR!BE:BE,N33,JPK_KR!BG:BG,O33)),"")</f>
        <v/>
      </c>
      <c r="Q33" s="126" t="str">
        <f>IF(M33&lt;&gt;"",IF(O33="",SUMIFS(JPK_KR!AM:AM,JPK_KR!W:W,N33),SUMIFS(JPK_KR!BI:BI,JPK_KR!BH:BH,N33,JPK_KR!BJ:BJ,O33)),"")</f>
        <v/>
      </c>
      <c r="U33" s="24" t="str">
        <f>IF(R33&lt;&gt;"",SUMIFS(JPK_KR!AL:AL,JPK_KR!W:W,S33),"")</f>
        <v/>
      </c>
      <c r="V33" s="126" t="str">
        <f>IF(R33&lt;&gt;"",SUMIFS(JPK_KR!AM:AM,JPK_KR!W:W,S33),"")</f>
        <v/>
      </c>
    </row>
    <row r="34" spans="3:22" x14ac:dyDescent="0.3">
      <c r="C34" s="24" t="str">
        <f>IF(A34&lt;&gt;"",SUMIFS(JPK_KR!AL:AL,JPK_KR!W:W,B34),"")</f>
        <v/>
      </c>
      <c r="D34" s="126" t="str">
        <f>IF(A34&lt;&gt;"",SUMIFS(JPK_KR!AM:AM,JPK_KR!W:W,B34),"")</f>
        <v/>
      </c>
      <c r="G34" s="24" t="str">
        <f>IF(E34&lt;&gt;"",SUMIFS(JPK_KR!AL:AL,JPK_KR!W:W,F34),"")</f>
        <v/>
      </c>
      <c r="H34" s="126" t="str">
        <f>IF(E34&lt;&gt;"",SUMIFS(JPK_KR!AM:AM,JPK_KR!W:W,F34),"")</f>
        <v/>
      </c>
      <c r="K34" s="24" t="str">
        <f>IF(I34&lt;&gt;"",SUMIFS(JPK_KR!AL:AL,JPK_KR!W:W,J34),"")</f>
        <v/>
      </c>
      <c r="L34" s="126" t="str">
        <f>IF(I34&lt;&gt;"",SUMIFS(JPK_KR!AM:AM,JPK_KR!W:W,J34),"")</f>
        <v/>
      </c>
      <c r="P34" s="24" t="str">
        <f>IF(M34&lt;&gt;"",IF(O34="",SUMIFS(JPK_KR!AL:AL,JPK_KR!W:W,N34),SUMIFS(JPK_KR!BF:BF,JPK_KR!BE:BE,N34,JPK_KR!BG:BG,O34)),"")</f>
        <v/>
      </c>
      <c r="Q34" s="126" t="str">
        <f>IF(M34&lt;&gt;"",IF(O34="",SUMIFS(JPK_KR!AM:AM,JPK_KR!W:W,N34),SUMIFS(JPK_KR!BI:BI,JPK_KR!BH:BH,N34,JPK_KR!BJ:BJ,O34)),"")</f>
        <v/>
      </c>
      <c r="U34" s="24" t="str">
        <f>IF(R34&lt;&gt;"",SUMIFS(JPK_KR!AL:AL,JPK_KR!W:W,S34),"")</f>
        <v/>
      </c>
      <c r="V34" s="126" t="str">
        <f>IF(R34&lt;&gt;"",SUMIFS(JPK_KR!AM:AM,JPK_KR!W:W,S34),"")</f>
        <v/>
      </c>
    </row>
    <row r="35" spans="3:22" x14ac:dyDescent="0.3">
      <c r="C35" s="24" t="str">
        <f>IF(A35&lt;&gt;"",SUMIFS(JPK_KR!AL:AL,JPK_KR!W:W,B35),"")</f>
        <v/>
      </c>
      <c r="D35" s="126" t="str">
        <f>IF(A35&lt;&gt;"",SUMIFS(JPK_KR!AM:AM,JPK_KR!W:W,B35),"")</f>
        <v/>
      </c>
      <c r="G35" s="24" t="str">
        <f>IF(E35&lt;&gt;"",SUMIFS(JPK_KR!AL:AL,JPK_KR!W:W,F35),"")</f>
        <v/>
      </c>
      <c r="H35" s="126" t="str">
        <f>IF(E35&lt;&gt;"",SUMIFS(JPK_KR!AM:AM,JPK_KR!W:W,F35),"")</f>
        <v/>
      </c>
      <c r="K35" s="24" t="str">
        <f>IF(I35&lt;&gt;"",SUMIFS(JPK_KR!AL:AL,JPK_KR!W:W,J35),"")</f>
        <v/>
      </c>
      <c r="L35" s="126" t="str">
        <f>IF(I35&lt;&gt;"",SUMIFS(JPK_KR!AM:AM,JPK_KR!W:W,J35),"")</f>
        <v/>
      </c>
      <c r="P35" s="24" t="str">
        <f>IF(M35&lt;&gt;"",IF(O35="",SUMIFS(JPK_KR!AL:AL,JPK_KR!W:W,N35),SUMIFS(JPK_KR!BF:BF,JPK_KR!BE:BE,N35,JPK_KR!BG:BG,O35)),"")</f>
        <v/>
      </c>
      <c r="Q35" s="126" t="str">
        <f>IF(M35&lt;&gt;"",IF(O35="",SUMIFS(JPK_KR!AM:AM,JPK_KR!W:W,N35),SUMIFS(JPK_KR!BI:BI,JPK_KR!BH:BH,N35,JPK_KR!BJ:BJ,O35)),"")</f>
        <v/>
      </c>
      <c r="U35" s="24" t="str">
        <f>IF(R35&lt;&gt;"",SUMIFS(JPK_KR!AL:AL,JPK_KR!W:W,S35),"")</f>
        <v/>
      </c>
      <c r="V35" s="126" t="str">
        <f>IF(R35&lt;&gt;"",SUMIFS(JPK_KR!AM:AM,JPK_KR!W:W,S35),"")</f>
        <v/>
      </c>
    </row>
    <row r="36" spans="3:22" x14ac:dyDescent="0.3">
      <c r="C36" s="24" t="str">
        <f>IF(A36&lt;&gt;"",SUMIFS(JPK_KR!AL:AL,JPK_KR!W:W,B36),"")</f>
        <v/>
      </c>
      <c r="D36" s="126" t="str">
        <f>IF(A36&lt;&gt;"",SUMIFS(JPK_KR!AM:AM,JPK_KR!W:W,B36),"")</f>
        <v/>
      </c>
      <c r="G36" s="24" t="str">
        <f>IF(E36&lt;&gt;"",SUMIFS(JPK_KR!AL:AL,JPK_KR!W:W,F36),"")</f>
        <v/>
      </c>
      <c r="H36" s="126" t="str">
        <f>IF(E36&lt;&gt;"",SUMIFS(JPK_KR!AM:AM,JPK_KR!W:W,F36),"")</f>
        <v/>
      </c>
      <c r="K36" s="24" t="str">
        <f>IF(I36&lt;&gt;"",SUMIFS(JPK_KR!AL:AL,JPK_KR!W:W,J36),"")</f>
        <v/>
      </c>
      <c r="L36" s="126" t="str">
        <f>IF(I36&lt;&gt;"",SUMIFS(JPK_KR!AM:AM,JPK_KR!W:W,J36),"")</f>
        <v/>
      </c>
      <c r="P36" s="24" t="str">
        <f>IF(M36&lt;&gt;"",IF(O36="",SUMIFS(JPK_KR!AL:AL,JPK_KR!W:W,N36),SUMIFS(JPK_KR!BF:BF,JPK_KR!BE:BE,N36,JPK_KR!BG:BG,O36)),"")</f>
        <v/>
      </c>
      <c r="Q36" s="126" t="str">
        <f>IF(M36&lt;&gt;"",IF(O36="",SUMIFS(JPK_KR!AM:AM,JPK_KR!W:W,N36),SUMIFS(JPK_KR!BI:BI,JPK_KR!BH:BH,N36,JPK_KR!BJ:BJ,O36)),"")</f>
        <v/>
      </c>
      <c r="U36" s="24" t="str">
        <f>IF(R36&lt;&gt;"",SUMIFS(JPK_KR!AL:AL,JPK_KR!W:W,S36),"")</f>
        <v/>
      </c>
      <c r="V36" s="126" t="str">
        <f>IF(R36&lt;&gt;"",SUMIFS(JPK_KR!AM:AM,JPK_KR!W:W,S36),"")</f>
        <v/>
      </c>
    </row>
    <row r="37" spans="3:22" x14ac:dyDescent="0.3">
      <c r="C37" s="24" t="str">
        <f>IF(A37&lt;&gt;"",SUMIFS(JPK_KR!AL:AL,JPK_KR!W:W,B37),"")</f>
        <v/>
      </c>
      <c r="D37" s="126" t="str">
        <f>IF(A37&lt;&gt;"",SUMIFS(JPK_KR!AM:AM,JPK_KR!W:W,B37),"")</f>
        <v/>
      </c>
      <c r="G37" s="24" t="str">
        <f>IF(E37&lt;&gt;"",SUMIFS(JPK_KR!AL:AL,JPK_KR!W:W,F37),"")</f>
        <v/>
      </c>
      <c r="H37" s="126" t="str">
        <f>IF(E37&lt;&gt;"",SUMIFS(JPK_KR!AM:AM,JPK_KR!W:W,F37),"")</f>
        <v/>
      </c>
      <c r="K37" s="24" t="str">
        <f>IF(I37&lt;&gt;"",SUMIFS(JPK_KR!AL:AL,JPK_KR!W:W,J37),"")</f>
        <v/>
      </c>
      <c r="L37" s="126" t="str">
        <f>IF(I37&lt;&gt;"",SUMIFS(JPK_KR!AM:AM,JPK_KR!W:W,J37),"")</f>
        <v/>
      </c>
      <c r="P37" s="24" t="str">
        <f>IF(M37&lt;&gt;"",IF(O37="",SUMIFS(JPK_KR!AL:AL,JPK_KR!W:W,N37),SUMIFS(JPK_KR!BF:BF,JPK_KR!BE:BE,N37,JPK_KR!BG:BG,O37)),"")</f>
        <v/>
      </c>
      <c r="Q37" s="126" t="str">
        <f>IF(M37&lt;&gt;"",IF(O37="",SUMIFS(JPK_KR!AM:AM,JPK_KR!W:W,N37),SUMIFS(JPK_KR!BI:BI,JPK_KR!BH:BH,N37,JPK_KR!BJ:BJ,O37)),"")</f>
        <v/>
      </c>
      <c r="U37" s="24" t="str">
        <f>IF(R37&lt;&gt;"",SUMIFS(JPK_KR!AL:AL,JPK_KR!W:W,S37),"")</f>
        <v/>
      </c>
      <c r="V37" s="126" t="str">
        <f>IF(R37&lt;&gt;"",SUMIFS(JPK_KR!AM:AM,JPK_KR!W:W,S37),"")</f>
        <v/>
      </c>
    </row>
    <row r="38" spans="3:22" x14ac:dyDescent="0.3">
      <c r="C38" s="24" t="str">
        <f>IF(A38&lt;&gt;"",SUMIFS(JPK_KR!AL:AL,JPK_KR!W:W,B38),"")</f>
        <v/>
      </c>
      <c r="D38" s="126" t="str">
        <f>IF(A38&lt;&gt;"",SUMIFS(JPK_KR!AM:AM,JPK_KR!W:W,B38),"")</f>
        <v/>
      </c>
      <c r="G38" s="24" t="str">
        <f>IF(E38&lt;&gt;"",SUMIFS(JPK_KR!AL:AL,JPK_KR!W:W,F38),"")</f>
        <v/>
      </c>
      <c r="H38" s="126" t="str">
        <f>IF(E38&lt;&gt;"",SUMIFS(JPK_KR!AM:AM,JPK_KR!W:W,F38),"")</f>
        <v/>
      </c>
      <c r="K38" s="24" t="str">
        <f>IF(I38&lt;&gt;"",SUMIFS(JPK_KR!AL:AL,JPK_KR!W:W,J38),"")</f>
        <v/>
      </c>
      <c r="L38" s="126" t="str">
        <f>IF(I38&lt;&gt;"",SUMIFS(JPK_KR!AM:AM,JPK_KR!W:W,J38),"")</f>
        <v/>
      </c>
      <c r="P38" s="24" t="str">
        <f>IF(M38&lt;&gt;"",IF(O38="",SUMIFS(JPK_KR!AL:AL,JPK_KR!W:W,N38),SUMIFS(JPK_KR!BF:BF,JPK_KR!BE:BE,N38,JPK_KR!BG:BG,O38)),"")</f>
        <v/>
      </c>
      <c r="Q38" s="126" t="str">
        <f>IF(M38&lt;&gt;"",IF(O38="",SUMIFS(JPK_KR!AM:AM,JPK_KR!W:W,N38),SUMIFS(JPK_KR!BI:BI,JPK_KR!BH:BH,N38,JPK_KR!BJ:BJ,O38)),"")</f>
        <v/>
      </c>
      <c r="U38" s="24" t="str">
        <f>IF(R38&lt;&gt;"",SUMIFS(JPK_KR!AL:AL,JPK_KR!W:W,S38),"")</f>
        <v/>
      </c>
      <c r="V38" s="126" t="str">
        <f>IF(R38&lt;&gt;"",SUMIFS(JPK_KR!AM:AM,JPK_KR!W:W,S38),"")</f>
        <v/>
      </c>
    </row>
    <row r="39" spans="3:22" x14ac:dyDescent="0.3">
      <c r="C39" s="24" t="str">
        <f>IF(A39&lt;&gt;"",SUMIFS(JPK_KR!AL:AL,JPK_KR!W:W,B39),"")</f>
        <v/>
      </c>
      <c r="D39" s="126" t="str">
        <f>IF(A39&lt;&gt;"",SUMIFS(JPK_KR!AM:AM,JPK_KR!W:W,B39),"")</f>
        <v/>
      </c>
      <c r="G39" s="24" t="str">
        <f>IF(E39&lt;&gt;"",SUMIFS(JPK_KR!AL:AL,JPK_KR!W:W,F39),"")</f>
        <v/>
      </c>
      <c r="H39" s="126" t="str">
        <f>IF(E39&lt;&gt;"",SUMIFS(JPK_KR!AM:AM,JPK_KR!W:W,F39),"")</f>
        <v/>
      </c>
      <c r="K39" s="24" t="str">
        <f>IF(I39&lt;&gt;"",SUMIFS(JPK_KR!AL:AL,JPK_KR!W:W,J39),"")</f>
        <v/>
      </c>
      <c r="L39" s="126" t="str">
        <f>IF(I39&lt;&gt;"",SUMIFS(JPK_KR!AM:AM,JPK_KR!W:W,J39),"")</f>
        <v/>
      </c>
      <c r="P39" s="24" t="str">
        <f>IF(M39&lt;&gt;"",IF(O39="",SUMIFS(JPK_KR!AL:AL,JPK_KR!W:W,N39),SUMIFS(JPK_KR!BF:BF,JPK_KR!BE:BE,N39,JPK_KR!BG:BG,O39)),"")</f>
        <v/>
      </c>
      <c r="Q39" s="126" t="str">
        <f>IF(M39&lt;&gt;"",IF(O39="",SUMIFS(JPK_KR!AM:AM,JPK_KR!W:W,N39),SUMIFS(JPK_KR!BI:BI,JPK_KR!BH:BH,N39,JPK_KR!BJ:BJ,O39)),"")</f>
        <v/>
      </c>
      <c r="U39" s="24" t="str">
        <f>IF(R39&lt;&gt;"",SUMIFS(JPK_KR!AL:AL,JPK_KR!W:W,S39),"")</f>
        <v/>
      </c>
      <c r="V39" s="126" t="str">
        <f>IF(R39&lt;&gt;"",SUMIFS(JPK_KR!AM:AM,JPK_KR!W:W,S39),"")</f>
        <v/>
      </c>
    </row>
    <row r="40" spans="3:22" x14ac:dyDescent="0.3">
      <c r="C40" s="24" t="str">
        <f>IF(A40&lt;&gt;"",SUMIFS(JPK_KR!AL:AL,JPK_KR!W:W,B40),"")</f>
        <v/>
      </c>
      <c r="D40" s="126" t="str">
        <f>IF(A40&lt;&gt;"",SUMIFS(JPK_KR!AM:AM,JPK_KR!W:W,B40),"")</f>
        <v/>
      </c>
      <c r="G40" s="24" t="str">
        <f>IF(E40&lt;&gt;"",SUMIFS(JPK_KR!AL:AL,JPK_KR!W:W,F40),"")</f>
        <v/>
      </c>
      <c r="H40" s="126" t="str">
        <f>IF(E40&lt;&gt;"",SUMIFS(JPK_KR!AM:AM,JPK_KR!W:W,F40),"")</f>
        <v/>
      </c>
      <c r="K40" s="24" t="str">
        <f>IF(I40&lt;&gt;"",SUMIFS(JPK_KR!AL:AL,JPK_KR!W:W,J40),"")</f>
        <v/>
      </c>
      <c r="L40" s="126" t="str">
        <f>IF(I40&lt;&gt;"",SUMIFS(JPK_KR!AM:AM,JPK_KR!W:W,J40),"")</f>
        <v/>
      </c>
      <c r="P40" s="24" t="str">
        <f>IF(M40&lt;&gt;"",IF(O40="",SUMIFS(JPK_KR!AL:AL,JPK_KR!W:W,N40),SUMIFS(JPK_KR!BF:BF,JPK_KR!BE:BE,N40,JPK_KR!BG:BG,O40)),"")</f>
        <v/>
      </c>
      <c r="Q40" s="126" t="str">
        <f>IF(M40&lt;&gt;"",IF(O40="",SUMIFS(JPK_KR!AM:AM,JPK_KR!W:W,N40),SUMIFS(JPK_KR!BI:BI,JPK_KR!BH:BH,N40,JPK_KR!BJ:BJ,O40)),"")</f>
        <v/>
      </c>
      <c r="U40" s="24" t="str">
        <f>IF(R40&lt;&gt;"",SUMIFS(JPK_KR!AL:AL,JPK_KR!W:W,S40),"")</f>
        <v/>
      </c>
      <c r="V40" s="126" t="str">
        <f>IF(R40&lt;&gt;"",SUMIFS(JPK_KR!AM:AM,JPK_KR!W:W,S40),"")</f>
        <v/>
      </c>
    </row>
    <row r="41" spans="3:22" x14ac:dyDescent="0.3">
      <c r="C41" s="24" t="str">
        <f>IF(A41&lt;&gt;"",SUMIFS(JPK_KR!AL:AL,JPK_KR!W:W,B41),"")</f>
        <v/>
      </c>
      <c r="D41" s="126" t="str">
        <f>IF(A41&lt;&gt;"",SUMIFS(JPK_KR!AM:AM,JPK_KR!W:W,B41),"")</f>
        <v/>
      </c>
      <c r="G41" s="24" t="str">
        <f>IF(E41&lt;&gt;"",SUMIFS(JPK_KR!AL:AL,JPK_KR!W:W,F41),"")</f>
        <v/>
      </c>
      <c r="H41" s="126" t="str">
        <f>IF(E41&lt;&gt;"",SUMIFS(JPK_KR!AM:AM,JPK_KR!W:W,F41),"")</f>
        <v/>
      </c>
      <c r="K41" s="24" t="str">
        <f>IF(I41&lt;&gt;"",SUMIFS(JPK_KR!AL:AL,JPK_KR!W:W,J41),"")</f>
        <v/>
      </c>
      <c r="L41" s="126" t="str">
        <f>IF(I41&lt;&gt;"",SUMIFS(JPK_KR!AM:AM,JPK_KR!W:W,J41),"")</f>
        <v/>
      </c>
      <c r="P41" s="24" t="str">
        <f>IF(M41&lt;&gt;"",IF(O41="",SUMIFS(JPK_KR!AL:AL,JPK_KR!W:W,N41),SUMIFS(JPK_KR!BF:BF,JPK_KR!BE:BE,N41,JPK_KR!BG:BG,O41)),"")</f>
        <v/>
      </c>
      <c r="Q41" s="126" t="str">
        <f>IF(M41&lt;&gt;"",IF(O41="",SUMIFS(JPK_KR!AM:AM,JPK_KR!W:W,N41),SUMIFS(JPK_KR!BI:BI,JPK_KR!BH:BH,N41,JPK_KR!BJ:BJ,O41)),"")</f>
        <v/>
      </c>
      <c r="U41" s="24" t="str">
        <f>IF(R41&lt;&gt;"",SUMIFS(JPK_KR!AL:AL,JPK_KR!W:W,S41),"")</f>
        <v/>
      </c>
      <c r="V41" s="126" t="str">
        <f>IF(R41&lt;&gt;"",SUMIFS(JPK_KR!AM:AM,JPK_KR!W:W,S41),"")</f>
        <v/>
      </c>
    </row>
    <row r="42" spans="3:22" x14ac:dyDescent="0.3">
      <c r="C42" s="24" t="str">
        <f>IF(A42&lt;&gt;"",SUMIFS(JPK_KR!AL:AL,JPK_KR!W:W,B42),"")</f>
        <v/>
      </c>
      <c r="D42" s="126" t="str">
        <f>IF(A42&lt;&gt;"",SUMIFS(JPK_KR!AM:AM,JPK_KR!W:W,B42),"")</f>
        <v/>
      </c>
      <c r="G42" s="24" t="str">
        <f>IF(E42&lt;&gt;"",SUMIFS(JPK_KR!AL:AL,JPK_KR!W:W,F42),"")</f>
        <v/>
      </c>
      <c r="H42" s="126" t="str">
        <f>IF(E42&lt;&gt;"",SUMIFS(JPK_KR!AM:AM,JPK_KR!W:W,F42),"")</f>
        <v/>
      </c>
      <c r="K42" s="24" t="str">
        <f>IF(I42&lt;&gt;"",SUMIFS(JPK_KR!AL:AL,JPK_KR!W:W,J42),"")</f>
        <v/>
      </c>
      <c r="L42" s="126" t="str">
        <f>IF(I42&lt;&gt;"",SUMIFS(JPK_KR!AM:AM,JPK_KR!W:W,J42),"")</f>
        <v/>
      </c>
      <c r="P42" s="24" t="str">
        <f>IF(M42&lt;&gt;"",IF(O42="",SUMIFS(JPK_KR!AL:AL,JPK_KR!W:W,N42),SUMIFS(JPK_KR!BF:BF,JPK_KR!BE:BE,N42,JPK_KR!BG:BG,O42)),"")</f>
        <v/>
      </c>
      <c r="Q42" s="126" t="str">
        <f>IF(M42&lt;&gt;"",IF(O42="",SUMIFS(JPK_KR!AM:AM,JPK_KR!W:W,N42),SUMIFS(JPK_KR!BI:BI,JPK_KR!BH:BH,N42,JPK_KR!BJ:BJ,O42)),"")</f>
        <v/>
      </c>
      <c r="U42" s="24" t="str">
        <f>IF(R42&lt;&gt;"",SUMIFS(JPK_KR!AL:AL,JPK_KR!W:W,S42),"")</f>
        <v/>
      </c>
      <c r="V42" s="126" t="str">
        <f>IF(R42&lt;&gt;"",SUMIFS(JPK_KR!AM:AM,JPK_KR!W:W,S42),"")</f>
        <v/>
      </c>
    </row>
    <row r="43" spans="3:22" x14ac:dyDescent="0.3">
      <c r="C43" s="24" t="str">
        <f>IF(A43&lt;&gt;"",SUMIFS(JPK_KR!AL:AL,JPK_KR!W:W,B43),"")</f>
        <v/>
      </c>
      <c r="D43" s="126" t="str">
        <f>IF(A43&lt;&gt;"",SUMIFS(JPK_KR!AM:AM,JPK_KR!W:W,B43),"")</f>
        <v/>
      </c>
      <c r="G43" s="24" t="str">
        <f>IF(E43&lt;&gt;"",SUMIFS(JPK_KR!AL:AL,JPK_KR!W:W,F43),"")</f>
        <v/>
      </c>
      <c r="H43" s="126" t="str">
        <f>IF(E43&lt;&gt;"",SUMIFS(JPK_KR!AM:AM,JPK_KR!W:W,F43),"")</f>
        <v/>
      </c>
      <c r="K43" s="24" t="str">
        <f>IF(I43&lt;&gt;"",SUMIFS(JPK_KR!AL:AL,JPK_KR!W:W,J43),"")</f>
        <v/>
      </c>
      <c r="L43" s="126" t="str">
        <f>IF(I43&lt;&gt;"",SUMIFS(JPK_KR!AM:AM,JPK_KR!W:W,J43),"")</f>
        <v/>
      </c>
      <c r="P43" s="24" t="str">
        <f>IF(M43&lt;&gt;"",IF(O43="",SUMIFS(JPK_KR!AL:AL,JPK_KR!W:W,N43),SUMIFS(JPK_KR!BF:BF,JPK_KR!BE:BE,N43,JPK_KR!BG:BG,O43)),"")</f>
        <v/>
      </c>
      <c r="Q43" s="126" t="str">
        <f>IF(M43&lt;&gt;"",IF(O43="",SUMIFS(JPK_KR!AM:AM,JPK_KR!W:W,N43),SUMIFS(JPK_KR!BI:BI,JPK_KR!BH:BH,N43,JPK_KR!BJ:BJ,O43)),"")</f>
        <v/>
      </c>
      <c r="U43" s="24" t="str">
        <f>IF(R43&lt;&gt;"",SUMIFS(JPK_KR!AL:AL,JPK_KR!W:W,S43),"")</f>
        <v/>
      </c>
      <c r="V43" s="126" t="str">
        <f>IF(R43&lt;&gt;"",SUMIFS(JPK_KR!AM:AM,JPK_KR!W:W,S43),"")</f>
        <v/>
      </c>
    </row>
    <row r="44" spans="3:22" x14ac:dyDescent="0.3">
      <c r="C44" s="24" t="str">
        <f>IF(A44&lt;&gt;"",SUMIFS(JPK_KR!AL:AL,JPK_KR!W:W,B44),"")</f>
        <v/>
      </c>
      <c r="D44" s="126" t="str">
        <f>IF(A44&lt;&gt;"",SUMIFS(JPK_KR!AM:AM,JPK_KR!W:W,B44),"")</f>
        <v/>
      </c>
      <c r="G44" s="24" t="str">
        <f>IF(E44&lt;&gt;"",SUMIFS(JPK_KR!AL:AL,JPK_KR!W:W,F44),"")</f>
        <v/>
      </c>
      <c r="H44" s="126" t="str">
        <f>IF(E44&lt;&gt;"",SUMIFS(JPK_KR!AM:AM,JPK_KR!W:W,F44),"")</f>
        <v/>
      </c>
      <c r="K44" s="24" t="str">
        <f>IF(I44&lt;&gt;"",SUMIFS(JPK_KR!AL:AL,JPK_KR!W:W,J44),"")</f>
        <v/>
      </c>
      <c r="L44" s="126" t="str">
        <f>IF(I44&lt;&gt;"",SUMIFS(JPK_KR!AM:AM,JPK_KR!W:W,J44),"")</f>
        <v/>
      </c>
      <c r="P44" s="24" t="str">
        <f>IF(M44&lt;&gt;"",IF(O44="",SUMIFS(JPK_KR!AL:AL,JPK_KR!W:W,N44),SUMIFS(JPK_KR!BF:BF,JPK_KR!BE:BE,N44,JPK_KR!BG:BG,O44)),"")</f>
        <v/>
      </c>
      <c r="Q44" s="126" t="str">
        <f>IF(M44&lt;&gt;"",IF(O44="",SUMIFS(JPK_KR!AM:AM,JPK_KR!W:W,N44),SUMIFS(JPK_KR!BI:BI,JPK_KR!BH:BH,N44,JPK_KR!BJ:BJ,O44)),"")</f>
        <v/>
      </c>
      <c r="U44" s="24" t="str">
        <f>IF(R44&lt;&gt;"",SUMIFS(JPK_KR!AL:AL,JPK_KR!W:W,S44),"")</f>
        <v/>
      </c>
      <c r="V44" s="126" t="str">
        <f>IF(R44&lt;&gt;"",SUMIFS(JPK_KR!AM:AM,JPK_KR!W:W,S44),"")</f>
        <v/>
      </c>
    </row>
    <row r="45" spans="3:22" x14ac:dyDescent="0.3">
      <c r="C45" s="24" t="str">
        <f>IF(A45&lt;&gt;"",SUMIFS(JPK_KR!AL:AL,JPK_KR!W:W,B45),"")</f>
        <v/>
      </c>
      <c r="D45" s="126" t="str">
        <f>IF(A45&lt;&gt;"",SUMIFS(JPK_KR!AM:AM,JPK_KR!W:W,B45),"")</f>
        <v/>
      </c>
      <c r="G45" s="24" t="str">
        <f>IF(E45&lt;&gt;"",SUMIFS(JPK_KR!AL:AL,JPK_KR!W:W,F45),"")</f>
        <v/>
      </c>
      <c r="H45" s="126" t="str">
        <f>IF(E45&lt;&gt;"",SUMIFS(JPK_KR!AM:AM,JPK_KR!W:W,F45),"")</f>
        <v/>
      </c>
      <c r="K45" s="24" t="str">
        <f>IF(I45&lt;&gt;"",SUMIFS(JPK_KR!AL:AL,JPK_KR!W:W,J45),"")</f>
        <v/>
      </c>
      <c r="L45" s="126" t="str">
        <f>IF(I45&lt;&gt;"",SUMIFS(JPK_KR!AM:AM,JPK_KR!W:W,J45),"")</f>
        <v/>
      </c>
      <c r="P45" s="24" t="str">
        <f>IF(M45&lt;&gt;"",IF(O45="",SUMIFS(JPK_KR!AL:AL,JPK_KR!W:W,N45),SUMIFS(JPK_KR!BF:BF,JPK_KR!BE:BE,N45,JPK_KR!BG:BG,O45)),"")</f>
        <v/>
      </c>
      <c r="Q45" s="126" t="str">
        <f>IF(M45&lt;&gt;"",IF(O45="",SUMIFS(JPK_KR!AM:AM,JPK_KR!W:W,N45),SUMIFS(JPK_KR!BI:BI,JPK_KR!BH:BH,N45,JPK_KR!BJ:BJ,O45)),"")</f>
        <v/>
      </c>
      <c r="U45" s="24" t="str">
        <f>IF(R45&lt;&gt;"",SUMIFS(JPK_KR!AL:AL,JPK_KR!W:W,S45),"")</f>
        <v/>
      </c>
      <c r="V45" s="126" t="str">
        <f>IF(R45&lt;&gt;"",SUMIFS(JPK_KR!AM:AM,JPK_KR!W:W,S45),"")</f>
        <v/>
      </c>
    </row>
    <row r="46" spans="3:22" x14ac:dyDescent="0.3">
      <c r="C46" s="24" t="str">
        <f>IF(A46&lt;&gt;"",SUMIFS(JPK_KR!AL:AL,JPK_KR!W:W,B46),"")</f>
        <v/>
      </c>
      <c r="D46" s="126" t="str">
        <f>IF(A46&lt;&gt;"",SUMIFS(JPK_KR!AM:AM,JPK_KR!W:W,B46),"")</f>
        <v/>
      </c>
      <c r="G46" s="24" t="str">
        <f>IF(E46&lt;&gt;"",SUMIFS(JPK_KR!AL:AL,JPK_KR!W:W,F46),"")</f>
        <v/>
      </c>
      <c r="H46" s="126" t="str">
        <f>IF(E46&lt;&gt;"",SUMIFS(JPK_KR!AM:AM,JPK_KR!W:W,F46),"")</f>
        <v/>
      </c>
      <c r="K46" s="24" t="str">
        <f>IF(I46&lt;&gt;"",SUMIFS(JPK_KR!AL:AL,JPK_KR!W:W,J46),"")</f>
        <v/>
      </c>
      <c r="L46" s="126" t="str">
        <f>IF(I46&lt;&gt;"",SUMIFS(JPK_KR!AM:AM,JPK_KR!W:W,J46),"")</f>
        <v/>
      </c>
      <c r="P46" s="24" t="str">
        <f>IF(M46&lt;&gt;"",IF(O46="",SUMIFS(JPK_KR!AL:AL,JPK_KR!W:W,N46),SUMIFS(JPK_KR!BF:BF,JPK_KR!BE:BE,N46,JPK_KR!BG:BG,O46)),"")</f>
        <v/>
      </c>
      <c r="Q46" s="126" t="str">
        <f>IF(M46&lt;&gt;"",IF(O46="",SUMIFS(JPK_KR!AM:AM,JPK_KR!W:W,N46),SUMIFS(JPK_KR!BI:BI,JPK_KR!BH:BH,N46,JPK_KR!BJ:BJ,O46)),"")</f>
        <v/>
      </c>
      <c r="U46" s="24" t="str">
        <f>IF(R46&lt;&gt;"",SUMIFS(JPK_KR!AL:AL,JPK_KR!W:W,S46),"")</f>
        <v/>
      </c>
      <c r="V46" s="126" t="str">
        <f>IF(R46&lt;&gt;"",SUMIFS(JPK_KR!AM:AM,JPK_KR!W:W,S46),"")</f>
        <v/>
      </c>
    </row>
    <row r="47" spans="3:22" x14ac:dyDescent="0.3">
      <c r="C47" s="24" t="str">
        <f>IF(A47&lt;&gt;"",SUMIFS(JPK_KR!AL:AL,JPK_KR!W:W,B47),"")</f>
        <v/>
      </c>
      <c r="D47" s="126" t="str">
        <f>IF(A47&lt;&gt;"",SUMIFS(JPK_KR!AM:AM,JPK_KR!W:W,B47),"")</f>
        <v/>
      </c>
      <c r="G47" s="24" t="str">
        <f>IF(E47&lt;&gt;"",SUMIFS(JPK_KR!AL:AL,JPK_KR!W:W,F47),"")</f>
        <v/>
      </c>
      <c r="H47" s="126" t="str">
        <f>IF(E47&lt;&gt;"",SUMIFS(JPK_KR!AM:AM,JPK_KR!W:W,F47),"")</f>
        <v/>
      </c>
      <c r="K47" s="24" t="str">
        <f>IF(I47&lt;&gt;"",SUMIFS(JPK_KR!AL:AL,JPK_KR!W:W,J47),"")</f>
        <v/>
      </c>
      <c r="L47" s="126" t="str">
        <f>IF(I47&lt;&gt;"",SUMIFS(JPK_KR!AM:AM,JPK_KR!W:W,J47),"")</f>
        <v/>
      </c>
      <c r="P47" s="24" t="str">
        <f>IF(M47&lt;&gt;"",IF(O47="",SUMIFS(JPK_KR!AL:AL,JPK_KR!W:W,N47),SUMIFS(JPK_KR!BF:BF,JPK_KR!BE:BE,N47,JPK_KR!BG:BG,O47)),"")</f>
        <v/>
      </c>
      <c r="Q47" s="126" t="str">
        <f>IF(M47&lt;&gt;"",IF(O47="",SUMIFS(JPK_KR!AM:AM,JPK_KR!W:W,N47),SUMIFS(JPK_KR!BI:BI,JPK_KR!BH:BH,N47,JPK_KR!BJ:BJ,O47)),"")</f>
        <v/>
      </c>
      <c r="U47" s="24" t="str">
        <f>IF(R47&lt;&gt;"",SUMIFS(JPK_KR!AL:AL,JPK_KR!W:W,S47),"")</f>
        <v/>
      </c>
      <c r="V47" s="126" t="str">
        <f>IF(R47&lt;&gt;"",SUMIFS(JPK_KR!AM:AM,JPK_KR!W:W,S47),"")</f>
        <v/>
      </c>
    </row>
    <row r="48" spans="3:22" x14ac:dyDescent="0.3">
      <c r="C48" s="24" t="str">
        <f>IF(A48&lt;&gt;"",SUMIFS(JPK_KR!AL:AL,JPK_KR!W:W,B48),"")</f>
        <v/>
      </c>
      <c r="D48" s="126" t="str">
        <f>IF(A48&lt;&gt;"",SUMIFS(JPK_KR!AM:AM,JPK_KR!W:W,B48),"")</f>
        <v/>
      </c>
      <c r="G48" s="24" t="str">
        <f>IF(E48&lt;&gt;"",SUMIFS(JPK_KR!AL:AL,JPK_KR!W:W,F48),"")</f>
        <v/>
      </c>
      <c r="H48" s="126" t="str">
        <f>IF(E48&lt;&gt;"",SUMIFS(JPK_KR!AM:AM,JPK_KR!W:W,F48),"")</f>
        <v/>
      </c>
      <c r="K48" s="24" t="str">
        <f>IF(I48&lt;&gt;"",SUMIFS(JPK_KR!AL:AL,JPK_KR!W:W,J48),"")</f>
        <v/>
      </c>
      <c r="L48" s="126" t="str">
        <f>IF(I48&lt;&gt;"",SUMIFS(JPK_KR!AM:AM,JPK_KR!W:W,J48),"")</f>
        <v/>
      </c>
      <c r="P48" s="24" t="str">
        <f>IF(M48&lt;&gt;"",IF(O48="",SUMIFS(JPK_KR!AL:AL,JPK_KR!W:W,N48),SUMIFS(JPK_KR!BF:BF,JPK_KR!BE:BE,N48,JPK_KR!BG:BG,O48)),"")</f>
        <v/>
      </c>
      <c r="Q48" s="126" t="str">
        <f>IF(M48&lt;&gt;"",IF(O48="",SUMIFS(JPK_KR!AM:AM,JPK_KR!W:W,N48),SUMIFS(JPK_KR!BI:BI,JPK_KR!BH:BH,N48,JPK_KR!BJ:BJ,O48)),"")</f>
        <v/>
      </c>
      <c r="U48" s="24" t="str">
        <f>IF(R48&lt;&gt;"",SUMIFS(JPK_KR!AL:AL,JPK_KR!W:W,S48),"")</f>
        <v/>
      </c>
      <c r="V48" s="126" t="str">
        <f>IF(R48&lt;&gt;"",SUMIFS(JPK_KR!AM:AM,JPK_KR!W:W,S48),"")</f>
        <v/>
      </c>
    </row>
    <row r="49" spans="3:22" x14ac:dyDescent="0.3">
      <c r="C49" s="24" t="str">
        <f>IF(A49&lt;&gt;"",SUMIFS(JPK_KR!AL:AL,JPK_KR!W:W,B49),"")</f>
        <v/>
      </c>
      <c r="D49" s="126" t="str">
        <f>IF(A49&lt;&gt;"",SUMIFS(JPK_KR!AM:AM,JPK_KR!W:W,B49),"")</f>
        <v/>
      </c>
      <c r="G49" s="24" t="str">
        <f>IF(E49&lt;&gt;"",SUMIFS(JPK_KR!AL:AL,JPK_KR!W:W,F49),"")</f>
        <v/>
      </c>
      <c r="H49" s="126" t="str">
        <f>IF(E49&lt;&gt;"",SUMIFS(JPK_KR!AM:AM,JPK_KR!W:W,F49),"")</f>
        <v/>
      </c>
      <c r="K49" s="24" t="str">
        <f>IF(I49&lt;&gt;"",SUMIFS(JPK_KR!AL:AL,JPK_KR!W:W,J49),"")</f>
        <v/>
      </c>
      <c r="L49" s="126" t="str">
        <f>IF(I49&lt;&gt;"",SUMIFS(JPK_KR!AM:AM,JPK_KR!W:W,J49),"")</f>
        <v/>
      </c>
      <c r="P49" s="24" t="str">
        <f>IF(M49&lt;&gt;"",IF(O49="",SUMIFS(JPK_KR!AL:AL,JPK_KR!W:W,N49),SUMIFS(JPK_KR!BF:BF,JPK_KR!BE:BE,N49,JPK_KR!BG:BG,O49)),"")</f>
        <v/>
      </c>
      <c r="Q49" s="126" t="str">
        <f>IF(M49&lt;&gt;"",IF(O49="",SUMIFS(JPK_KR!AM:AM,JPK_KR!W:W,N49),SUMIFS(JPK_KR!BI:BI,JPK_KR!BH:BH,N49,JPK_KR!BJ:BJ,O49)),"")</f>
        <v/>
      </c>
      <c r="U49" s="24" t="str">
        <f>IF(R49&lt;&gt;"",SUMIFS(JPK_KR!AL:AL,JPK_KR!W:W,S49),"")</f>
        <v/>
      </c>
      <c r="V49" s="126" t="str">
        <f>IF(R49&lt;&gt;"",SUMIFS(JPK_KR!AM:AM,JPK_KR!W:W,S49),"")</f>
        <v/>
      </c>
    </row>
    <row r="50" spans="3:22" x14ac:dyDescent="0.3">
      <c r="C50" s="24" t="str">
        <f>IF(A50&lt;&gt;"",SUMIFS(JPK_KR!AL:AL,JPK_KR!W:W,B50),"")</f>
        <v/>
      </c>
      <c r="D50" s="126" t="str">
        <f>IF(A50&lt;&gt;"",SUMIFS(JPK_KR!AM:AM,JPK_KR!W:W,B50),"")</f>
        <v/>
      </c>
      <c r="G50" s="24" t="str">
        <f>IF(E50&lt;&gt;"",SUMIFS(JPK_KR!AL:AL,JPK_KR!W:W,F50),"")</f>
        <v/>
      </c>
      <c r="H50" s="126" t="str">
        <f>IF(E50&lt;&gt;"",SUMIFS(JPK_KR!AM:AM,JPK_KR!W:W,F50),"")</f>
        <v/>
      </c>
      <c r="K50" s="24" t="str">
        <f>IF(I50&lt;&gt;"",SUMIFS(JPK_KR!AL:AL,JPK_KR!W:W,J50),"")</f>
        <v/>
      </c>
      <c r="L50" s="126" t="str">
        <f>IF(I50&lt;&gt;"",SUMIFS(JPK_KR!AM:AM,JPK_KR!W:W,J50),"")</f>
        <v/>
      </c>
      <c r="P50" s="24" t="str">
        <f>IF(M50&lt;&gt;"",IF(O50="",SUMIFS(JPK_KR!AL:AL,JPK_KR!W:W,N50),SUMIFS(JPK_KR!BF:BF,JPK_KR!BE:BE,N50,JPK_KR!BG:BG,O50)),"")</f>
        <v/>
      </c>
      <c r="Q50" s="126" t="str">
        <f>IF(M50&lt;&gt;"",IF(O50="",SUMIFS(JPK_KR!AM:AM,JPK_KR!W:W,N50),SUMIFS(JPK_KR!BI:BI,JPK_KR!BH:BH,N50,JPK_KR!BJ:BJ,O50)),"")</f>
        <v/>
      </c>
      <c r="U50" s="24" t="str">
        <f>IF(R50&lt;&gt;"",SUMIFS(JPK_KR!AL:AL,JPK_KR!W:W,S50),"")</f>
        <v/>
      </c>
      <c r="V50" s="126" t="str">
        <f>IF(R50&lt;&gt;"",SUMIFS(JPK_KR!AM:AM,JPK_KR!W:W,S50),"")</f>
        <v/>
      </c>
    </row>
    <row r="51" spans="3:22" x14ac:dyDescent="0.3">
      <c r="C51" s="24" t="str">
        <f>IF(A51&lt;&gt;"",SUMIFS(JPK_KR!AL:AL,JPK_KR!W:W,B51),"")</f>
        <v/>
      </c>
      <c r="D51" s="126" t="str">
        <f>IF(A51&lt;&gt;"",SUMIFS(JPK_KR!AM:AM,JPK_KR!W:W,B51),"")</f>
        <v/>
      </c>
      <c r="G51" s="24" t="str">
        <f>IF(E51&lt;&gt;"",SUMIFS(JPK_KR!AL:AL,JPK_KR!W:W,F51),"")</f>
        <v/>
      </c>
      <c r="H51" s="126" t="str">
        <f>IF(E51&lt;&gt;"",SUMIFS(JPK_KR!AM:AM,JPK_KR!W:W,F51),"")</f>
        <v/>
      </c>
      <c r="K51" s="24" t="str">
        <f>IF(I51&lt;&gt;"",SUMIFS(JPK_KR!AL:AL,JPK_KR!W:W,J51),"")</f>
        <v/>
      </c>
      <c r="L51" s="126" t="str">
        <f>IF(I51&lt;&gt;"",SUMIFS(JPK_KR!AM:AM,JPK_KR!W:W,J51),"")</f>
        <v/>
      </c>
      <c r="P51" s="24" t="str">
        <f>IF(M51&lt;&gt;"",IF(O51="",SUMIFS(JPK_KR!AL:AL,JPK_KR!W:W,N51),SUMIFS(JPK_KR!BF:BF,JPK_KR!BE:BE,N51,JPK_KR!BG:BG,O51)),"")</f>
        <v/>
      </c>
      <c r="Q51" s="126" t="str">
        <f>IF(M51&lt;&gt;"",IF(O51="",SUMIFS(JPK_KR!AM:AM,JPK_KR!W:W,N51),SUMIFS(JPK_KR!BI:BI,JPK_KR!BH:BH,N51,JPK_KR!BJ:BJ,O51)),"")</f>
        <v/>
      </c>
      <c r="U51" s="24" t="str">
        <f>IF(R51&lt;&gt;"",SUMIFS(JPK_KR!AL:AL,JPK_KR!W:W,S51),"")</f>
        <v/>
      </c>
      <c r="V51" s="126" t="str">
        <f>IF(R51&lt;&gt;"",SUMIFS(JPK_KR!AM:AM,JPK_KR!W:W,S51),"")</f>
        <v/>
      </c>
    </row>
    <row r="52" spans="3:22" x14ac:dyDescent="0.3">
      <c r="C52" s="24" t="str">
        <f>IF(A52&lt;&gt;"",SUMIFS(JPK_KR!AL:AL,JPK_KR!W:W,B52),"")</f>
        <v/>
      </c>
      <c r="D52" s="126" t="str">
        <f>IF(A52&lt;&gt;"",SUMIFS(JPK_KR!AM:AM,JPK_KR!W:W,B52),"")</f>
        <v/>
      </c>
      <c r="G52" s="24" t="str">
        <f>IF(E52&lt;&gt;"",SUMIFS(JPK_KR!AL:AL,JPK_KR!W:W,F52),"")</f>
        <v/>
      </c>
      <c r="H52" s="126" t="str">
        <f>IF(E52&lt;&gt;"",SUMIFS(JPK_KR!AM:AM,JPK_KR!W:W,F52),"")</f>
        <v/>
      </c>
      <c r="K52" s="24" t="str">
        <f>IF(I52&lt;&gt;"",SUMIFS(JPK_KR!AL:AL,JPK_KR!W:W,J52),"")</f>
        <v/>
      </c>
      <c r="L52" s="126" t="str">
        <f>IF(I52&lt;&gt;"",SUMIFS(JPK_KR!AM:AM,JPK_KR!W:W,J52),"")</f>
        <v/>
      </c>
      <c r="P52" s="24" t="str">
        <f>IF(M52&lt;&gt;"",IF(O52="",SUMIFS(JPK_KR!AL:AL,JPK_KR!W:W,N52),SUMIFS(JPK_KR!BF:BF,JPK_KR!BE:BE,N52,JPK_KR!BG:BG,O52)),"")</f>
        <v/>
      </c>
      <c r="Q52" s="126" t="str">
        <f>IF(M52&lt;&gt;"",IF(O52="",SUMIFS(JPK_KR!AM:AM,JPK_KR!W:W,N52),SUMIFS(JPK_KR!BI:BI,JPK_KR!BH:BH,N52,JPK_KR!BJ:BJ,O52)),"")</f>
        <v/>
      </c>
      <c r="U52" s="24" t="str">
        <f>IF(R52&lt;&gt;"",SUMIFS(JPK_KR!AL:AL,JPK_KR!W:W,S52),"")</f>
        <v/>
      </c>
      <c r="V52" s="126" t="str">
        <f>IF(R52&lt;&gt;"",SUMIFS(JPK_KR!AM:AM,JPK_KR!W:W,S52),"")</f>
        <v/>
      </c>
    </row>
    <row r="53" spans="3:22" x14ac:dyDescent="0.3">
      <c r="C53" s="24" t="str">
        <f>IF(A53&lt;&gt;"",SUMIFS(JPK_KR!AL:AL,JPK_KR!W:W,B53),"")</f>
        <v/>
      </c>
      <c r="D53" s="126" t="str">
        <f>IF(A53&lt;&gt;"",SUMIFS(JPK_KR!AM:AM,JPK_KR!W:W,B53),"")</f>
        <v/>
      </c>
      <c r="G53" s="24" t="str">
        <f>IF(E53&lt;&gt;"",SUMIFS(JPK_KR!AL:AL,JPK_KR!W:W,F53),"")</f>
        <v/>
      </c>
      <c r="H53" s="126" t="str">
        <f>IF(E53&lt;&gt;"",SUMIFS(JPK_KR!AM:AM,JPK_KR!W:W,F53),"")</f>
        <v/>
      </c>
      <c r="K53" s="24" t="str">
        <f>IF(I53&lt;&gt;"",SUMIFS(JPK_KR!AL:AL,JPK_KR!W:W,J53),"")</f>
        <v/>
      </c>
      <c r="L53" s="126" t="str">
        <f>IF(I53&lt;&gt;"",SUMIFS(JPK_KR!AM:AM,JPK_KR!W:W,J53),"")</f>
        <v/>
      </c>
      <c r="P53" s="24" t="str">
        <f>IF(M53&lt;&gt;"",IF(O53="",SUMIFS(JPK_KR!AL:AL,JPK_KR!W:W,N53),SUMIFS(JPK_KR!BF:BF,JPK_KR!BE:BE,N53,JPK_KR!BG:BG,O53)),"")</f>
        <v/>
      </c>
      <c r="Q53" s="126" t="str">
        <f>IF(M53&lt;&gt;"",IF(O53="",SUMIFS(JPK_KR!AM:AM,JPK_KR!W:W,N53),SUMIFS(JPK_KR!BI:BI,JPK_KR!BH:BH,N53,JPK_KR!BJ:BJ,O53)),"")</f>
        <v/>
      </c>
      <c r="U53" s="24" t="str">
        <f>IF(R53&lt;&gt;"",SUMIFS(JPK_KR!AL:AL,JPK_KR!W:W,S53),"")</f>
        <v/>
      </c>
      <c r="V53" s="126" t="str">
        <f>IF(R53&lt;&gt;"",SUMIFS(JPK_KR!AM:AM,JPK_KR!W:W,S53),"")</f>
        <v/>
      </c>
    </row>
    <row r="54" spans="3:22" x14ac:dyDescent="0.3">
      <c r="C54" s="24" t="str">
        <f>IF(A54&lt;&gt;"",SUMIFS(JPK_KR!AL:AL,JPK_KR!W:W,B54),"")</f>
        <v/>
      </c>
      <c r="D54" s="126" t="str">
        <f>IF(A54&lt;&gt;"",SUMIFS(JPK_KR!AM:AM,JPK_KR!W:W,B54),"")</f>
        <v/>
      </c>
      <c r="G54" s="24" t="str">
        <f>IF(E54&lt;&gt;"",SUMIFS(JPK_KR!AL:AL,JPK_KR!W:W,F54),"")</f>
        <v/>
      </c>
      <c r="H54" s="126" t="str">
        <f>IF(E54&lt;&gt;"",SUMIFS(JPK_KR!AM:AM,JPK_KR!W:W,F54),"")</f>
        <v/>
      </c>
      <c r="K54" s="24" t="str">
        <f>IF(I54&lt;&gt;"",SUMIFS(JPK_KR!AL:AL,JPK_KR!W:W,J54),"")</f>
        <v/>
      </c>
      <c r="L54" s="126" t="str">
        <f>IF(I54&lt;&gt;"",SUMIFS(JPK_KR!AM:AM,JPK_KR!W:W,J54),"")</f>
        <v/>
      </c>
      <c r="P54" s="24" t="str">
        <f>IF(M54&lt;&gt;"",IF(O54="",SUMIFS(JPK_KR!AL:AL,JPK_KR!W:W,N54),SUMIFS(JPK_KR!BF:BF,JPK_KR!BE:BE,N54,JPK_KR!BG:BG,O54)),"")</f>
        <v/>
      </c>
      <c r="Q54" s="126" t="str">
        <f>IF(M54&lt;&gt;"",IF(O54="",SUMIFS(JPK_KR!AM:AM,JPK_KR!W:W,N54),SUMIFS(JPK_KR!BI:BI,JPK_KR!BH:BH,N54,JPK_KR!BJ:BJ,O54)),"")</f>
        <v/>
      </c>
      <c r="U54" s="24" t="str">
        <f>IF(R54&lt;&gt;"",SUMIFS(JPK_KR!AL:AL,JPK_KR!W:W,S54),"")</f>
        <v/>
      </c>
      <c r="V54" s="126" t="str">
        <f>IF(R54&lt;&gt;"",SUMIFS(JPK_KR!AM:AM,JPK_KR!W:W,S54),"")</f>
        <v/>
      </c>
    </row>
    <row r="55" spans="3:22" x14ac:dyDescent="0.3">
      <c r="C55" s="24" t="str">
        <f>IF(A55&lt;&gt;"",SUMIFS(JPK_KR!AL:AL,JPK_KR!W:W,B55),"")</f>
        <v/>
      </c>
      <c r="D55" s="126" t="str">
        <f>IF(A55&lt;&gt;"",SUMIFS(JPK_KR!AM:AM,JPK_KR!W:W,B55),"")</f>
        <v/>
      </c>
      <c r="G55" s="24" t="str">
        <f>IF(E55&lt;&gt;"",SUMIFS(JPK_KR!AL:AL,JPK_KR!W:W,F55),"")</f>
        <v/>
      </c>
      <c r="H55" s="126" t="str">
        <f>IF(E55&lt;&gt;"",SUMIFS(JPK_KR!AM:AM,JPK_KR!W:W,F55),"")</f>
        <v/>
      </c>
      <c r="K55" s="24" t="str">
        <f>IF(I55&lt;&gt;"",SUMIFS(JPK_KR!AL:AL,JPK_KR!W:W,J55),"")</f>
        <v/>
      </c>
      <c r="L55" s="126" t="str">
        <f>IF(I55&lt;&gt;"",SUMIFS(JPK_KR!AM:AM,JPK_KR!W:W,J55),"")</f>
        <v/>
      </c>
      <c r="P55" s="24" t="str">
        <f>IF(M55&lt;&gt;"",IF(O55="",SUMIFS(JPK_KR!AL:AL,JPK_KR!W:W,N55),SUMIFS(JPK_KR!BF:BF,JPK_KR!BE:BE,N55,JPK_KR!BG:BG,O55)),"")</f>
        <v/>
      </c>
      <c r="Q55" s="126" t="str">
        <f>IF(M55&lt;&gt;"",IF(O55="",SUMIFS(JPK_KR!AM:AM,JPK_KR!W:W,N55),SUMIFS(JPK_KR!BI:BI,JPK_KR!BH:BH,N55,JPK_KR!BJ:BJ,O55)),"")</f>
        <v/>
      </c>
      <c r="U55" s="24" t="str">
        <f>IF(R55&lt;&gt;"",SUMIFS(JPK_KR!AL:AL,JPK_KR!W:W,S55),"")</f>
        <v/>
      </c>
      <c r="V55" s="126" t="str">
        <f>IF(R55&lt;&gt;"",SUMIFS(JPK_KR!AM:AM,JPK_KR!W:W,S55),"")</f>
        <v/>
      </c>
    </row>
    <row r="56" spans="3:22" x14ac:dyDescent="0.3">
      <c r="C56" s="24" t="str">
        <f>IF(A56&lt;&gt;"",SUMIFS(JPK_KR!AL:AL,JPK_KR!W:W,B56),"")</f>
        <v/>
      </c>
      <c r="D56" s="126" t="str">
        <f>IF(A56&lt;&gt;"",SUMIFS(JPK_KR!AM:AM,JPK_KR!W:W,B56),"")</f>
        <v/>
      </c>
      <c r="G56" s="24" t="str">
        <f>IF(E56&lt;&gt;"",SUMIFS(JPK_KR!AL:AL,JPK_KR!W:W,F56),"")</f>
        <v/>
      </c>
      <c r="H56" s="126" t="str">
        <f>IF(E56&lt;&gt;"",SUMIFS(JPK_KR!AM:AM,JPK_KR!W:W,F56),"")</f>
        <v/>
      </c>
      <c r="K56" s="24" t="str">
        <f>IF(I56&lt;&gt;"",SUMIFS(JPK_KR!AL:AL,JPK_KR!W:W,J56),"")</f>
        <v/>
      </c>
      <c r="L56" s="126" t="str">
        <f>IF(I56&lt;&gt;"",SUMIFS(JPK_KR!AM:AM,JPK_KR!W:W,J56),"")</f>
        <v/>
      </c>
      <c r="P56" s="24" t="str">
        <f>IF(M56&lt;&gt;"",IF(O56="",SUMIFS(JPK_KR!AL:AL,JPK_KR!W:W,N56),SUMIFS(JPK_KR!BF:BF,JPK_KR!BE:BE,N56,JPK_KR!BG:BG,O56)),"")</f>
        <v/>
      </c>
      <c r="Q56" s="126" t="str">
        <f>IF(M56&lt;&gt;"",IF(O56="",SUMIFS(JPK_KR!AM:AM,JPK_KR!W:W,N56),SUMIFS(JPK_KR!BI:BI,JPK_KR!BH:BH,N56,JPK_KR!BJ:BJ,O56)),"")</f>
        <v/>
      </c>
      <c r="U56" s="24" t="str">
        <f>IF(R56&lt;&gt;"",SUMIFS(JPK_KR!AL:AL,JPK_KR!W:W,S56),"")</f>
        <v/>
      </c>
      <c r="V56" s="126" t="str">
        <f>IF(R56&lt;&gt;"",SUMIFS(JPK_KR!AM:AM,JPK_KR!W:W,S56),"")</f>
        <v/>
      </c>
    </row>
    <row r="57" spans="3:22" x14ac:dyDescent="0.3">
      <c r="C57" s="24" t="str">
        <f>IF(A57&lt;&gt;"",SUMIFS(JPK_KR!AL:AL,JPK_KR!W:W,B57),"")</f>
        <v/>
      </c>
      <c r="D57" s="126" t="str">
        <f>IF(A57&lt;&gt;"",SUMIFS(JPK_KR!AM:AM,JPK_KR!W:W,B57),"")</f>
        <v/>
      </c>
      <c r="G57" s="24" t="str">
        <f>IF(E57&lt;&gt;"",SUMIFS(JPK_KR!AL:AL,JPK_KR!W:W,F57),"")</f>
        <v/>
      </c>
      <c r="H57" s="126" t="str">
        <f>IF(E57&lt;&gt;"",SUMIFS(JPK_KR!AM:AM,JPK_KR!W:W,F57),"")</f>
        <v/>
      </c>
      <c r="K57" s="24" t="str">
        <f>IF(I57&lt;&gt;"",SUMIFS(JPK_KR!AL:AL,JPK_KR!W:W,J57),"")</f>
        <v/>
      </c>
      <c r="L57" s="126" t="str">
        <f>IF(I57&lt;&gt;"",SUMIFS(JPK_KR!AM:AM,JPK_KR!W:W,J57),"")</f>
        <v/>
      </c>
      <c r="P57" s="24" t="str">
        <f>IF(M57&lt;&gt;"",IF(O57="",SUMIFS(JPK_KR!AL:AL,JPK_KR!W:W,N57),SUMIFS(JPK_KR!BF:BF,JPK_KR!BE:BE,N57,JPK_KR!BG:BG,O57)),"")</f>
        <v/>
      </c>
      <c r="Q57" s="126" t="str">
        <f>IF(M57&lt;&gt;"",IF(O57="",SUMIFS(JPK_KR!AM:AM,JPK_KR!W:W,N57),SUMIFS(JPK_KR!BI:BI,JPK_KR!BH:BH,N57,JPK_KR!BJ:BJ,O57)),"")</f>
        <v/>
      </c>
      <c r="U57" s="24" t="str">
        <f>IF(R57&lt;&gt;"",SUMIFS(JPK_KR!AL:AL,JPK_KR!W:W,S57),"")</f>
        <v/>
      </c>
      <c r="V57" s="126" t="str">
        <f>IF(R57&lt;&gt;"",SUMIFS(JPK_KR!AM:AM,JPK_KR!W:W,S57),"")</f>
        <v/>
      </c>
    </row>
    <row r="58" spans="3:22" x14ac:dyDescent="0.3">
      <c r="C58" s="24" t="str">
        <f>IF(A58&lt;&gt;"",SUMIFS(JPK_KR!AL:AL,JPK_KR!W:W,B58),"")</f>
        <v/>
      </c>
      <c r="D58" s="126" t="str">
        <f>IF(A58&lt;&gt;"",SUMIFS(JPK_KR!AM:AM,JPK_KR!W:W,B58),"")</f>
        <v/>
      </c>
      <c r="G58" s="24" t="str">
        <f>IF(E58&lt;&gt;"",SUMIFS(JPK_KR!AL:AL,JPK_KR!W:W,F58),"")</f>
        <v/>
      </c>
      <c r="H58" s="126" t="str">
        <f>IF(E58&lt;&gt;"",SUMIFS(JPK_KR!AM:AM,JPK_KR!W:W,F58),"")</f>
        <v/>
      </c>
      <c r="K58" s="24" t="str">
        <f>IF(I58&lt;&gt;"",SUMIFS(JPK_KR!AL:AL,JPK_KR!W:W,J58),"")</f>
        <v/>
      </c>
      <c r="L58" s="126" t="str">
        <f>IF(I58&lt;&gt;"",SUMIFS(JPK_KR!AM:AM,JPK_KR!W:W,J58),"")</f>
        <v/>
      </c>
      <c r="P58" s="24" t="str">
        <f>IF(M58&lt;&gt;"",IF(O58="",SUMIFS(JPK_KR!AL:AL,JPK_KR!W:W,N58),SUMIFS(JPK_KR!BF:BF,JPK_KR!BE:BE,N58,JPK_KR!BG:BG,O58)),"")</f>
        <v/>
      </c>
      <c r="Q58" s="126" t="str">
        <f>IF(M58&lt;&gt;"",IF(O58="",SUMIFS(JPK_KR!AM:AM,JPK_KR!W:W,N58),SUMIFS(JPK_KR!BI:BI,JPK_KR!BH:BH,N58,JPK_KR!BJ:BJ,O58)),"")</f>
        <v/>
      </c>
      <c r="U58" s="24" t="str">
        <f>IF(R58&lt;&gt;"",SUMIFS(JPK_KR!AL:AL,JPK_KR!W:W,S58),"")</f>
        <v/>
      </c>
      <c r="V58" s="126" t="str">
        <f>IF(R58&lt;&gt;"",SUMIFS(JPK_KR!AM:AM,JPK_KR!W:W,S58),"")</f>
        <v/>
      </c>
    </row>
    <row r="59" spans="3:22" x14ac:dyDescent="0.3">
      <c r="C59" s="24" t="str">
        <f>IF(A59&lt;&gt;"",SUMIFS(JPK_KR!AL:AL,JPK_KR!W:W,B59),"")</f>
        <v/>
      </c>
      <c r="D59" s="126" t="str">
        <f>IF(A59&lt;&gt;"",SUMIFS(JPK_KR!AM:AM,JPK_KR!W:W,B59),"")</f>
        <v/>
      </c>
      <c r="G59" s="24" t="str">
        <f>IF(E59&lt;&gt;"",SUMIFS(JPK_KR!AL:AL,JPK_KR!W:W,F59),"")</f>
        <v/>
      </c>
      <c r="H59" s="126" t="str">
        <f>IF(E59&lt;&gt;"",SUMIFS(JPK_KR!AM:AM,JPK_KR!W:W,F59),"")</f>
        <v/>
      </c>
      <c r="K59" s="24" t="str">
        <f>IF(I59&lt;&gt;"",SUMIFS(JPK_KR!AL:AL,JPK_KR!W:W,J59),"")</f>
        <v/>
      </c>
      <c r="L59" s="126" t="str">
        <f>IF(I59&lt;&gt;"",SUMIFS(JPK_KR!AM:AM,JPK_KR!W:W,J59),"")</f>
        <v/>
      </c>
      <c r="P59" s="24" t="str">
        <f>IF(M59&lt;&gt;"",IF(O59="",SUMIFS(JPK_KR!AL:AL,JPK_KR!W:W,N59),SUMIFS(JPK_KR!BF:BF,JPK_KR!BE:BE,N59,JPK_KR!BG:BG,O59)),"")</f>
        <v/>
      </c>
      <c r="Q59" s="126" t="str">
        <f>IF(M59&lt;&gt;"",IF(O59="",SUMIFS(JPK_KR!AM:AM,JPK_KR!W:W,N59),SUMIFS(JPK_KR!BI:BI,JPK_KR!BH:BH,N59,JPK_KR!BJ:BJ,O59)),"")</f>
        <v/>
      </c>
      <c r="U59" s="24" t="str">
        <f>IF(R59&lt;&gt;"",SUMIFS(JPK_KR!AL:AL,JPK_KR!W:W,S59),"")</f>
        <v/>
      </c>
      <c r="V59" s="126" t="str">
        <f>IF(R59&lt;&gt;"",SUMIFS(JPK_KR!AM:AM,JPK_KR!W:W,S59),"")</f>
        <v/>
      </c>
    </row>
    <row r="60" spans="3:22" x14ac:dyDescent="0.3">
      <c r="C60" s="24" t="str">
        <f>IF(A60&lt;&gt;"",SUMIFS(JPK_KR!AL:AL,JPK_KR!W:W,B60),"")</f>
        <v/>
      </c>
      <c r="D60" s="126" t="str">
        <f>IF(A60&lt;&gt;"",SUMIFS(JPK_KR!AM:AM,JPK_KR!W:W,B60),"")</f>
        <v/>
      </c>
      <c r="G60" s="24" t="str">
        <f>IF(E60&lt;&gt;"",SUMIFS(JPK_KR!AL:AL,JPK_KR!W:W,F60),"")</f>
        <v/>
      </c>
      <c r="H60" s="126" t="str">
        <f>IF(E60&lt;&gt;"",SUMIFS(JPK_KR!AM:AM,JPK_KR!W:W,F60),"")</f>
        <v/>
      </c>
      <c r="K60" s="24" t="str">
        <f>IF(I60&lt;&gt;"",SUMIFS(JPK_KR!AL:AL,JPK_KR!W:W,J60),"")</f>
        <v/>
      </c>
      <c r="L60" s="126" t="str">
        <f>IF(I60&lt;&gt;"",SUMIFS(JPK_KR!AM:AM,JPK_KR!W:W,J60),"")</f>
        <v/>
      </c>
      <c r="P60" s="24" t="str">
        <f>IF(M60&lt;&gt;"",IF(O60="",SUMIFS(JPK_KR!AL:AL,JPK_KR!W:W,N60),SUMIFS(JPK_KR!BF:BF,JPK_KR!BE:BE,N60,JPK_KR!BG:BG,O60)),"")</f>
        <v/>
      </c>
      <c r="Q60" s="126" t="str">
        <f>IF(M60&lt;&gt;"",IF(O60="",SUMIFS(JPK_KR!AM:AM,JPK_KR!W:W,N60),SUMIFS(JPK_KR!BI:BI,JPK_KR!BH:BH,N60,JPK_KR!BJ:BJ,O60)),"")</f>
        <v/>
      </c>
      <c r="U60" s="24" t="str">
        <f>IF(R60&lt;&gt;"",SUMIFS(JPK_KR!AL:AL,JPK_KR!W:W,S60),"")</f>
        <v/>
      </c>
      <c r="V60" s="126" t="str">
        <f>IF(R60&lt;&gt;"",SUMIFS(JPK_KR!AM:AM,JPK_KR!W:W,S60),"")</f>
        <v/>
      </c>
    </row>
    <row r="61" spans="3:22" x14ac:dyDescent="0.3">
      <c r="C61" s="24" t="str">
        <f>IF(A61&lt;&gt;"",SUMIFS(JPK_KR!AL:AL,JPK_KR!W:W,B61),"")</f>
        <v/>
      </c>
      <c r="D61" s="126" t="str">
        <f>IF(A61&lt;&gt;"",SUMIFS(JPK_KR!AM:AM,JPK_KR!W:W,B61),"")</f>
        <v/>
      </c>
      <c r="G61" s="24" t="str">
        <f>IF(E61&lt;&gt;"",SUMIFS(JPK_KR!AL:AL,JPK_KR!W:W,F61),"")</f>
        <v/>
      </c>
      <c r="H61" s="126" t="str">
        <f>IF(E61&lt;&gt;"",SUMIFS(JPK_KR!AM:AM,JPK_KR!W:W,F61),"")</f>
        <v/>
      </c>
      <c r="K61" s="24" t="str">
        <f>IF(I61&lt;&gt;"",SUMIFS(JPK_KR!AL:AL,JPK_KR!W:W,J61),"")</f>
        <v/>
      </c>
      <c r="L61" s="126" t="str">
        <f>IF(I61&lt;&gt;"",SUMIFS(JPK_KR!AM:AM,JPK_KR!W:W,J61),"")</f>
        <v/>
      </c>
      <c r="P61" s="24" t="str">
        <f>IF(M61&lt;&gt;"",IF(O61="",SUMIFS(JPK_KR!AL:AL,JPK_KR!W:W,N61),SUMIFS(JPK_KR!BF:BF,JPK_KR!BE:BE,N61,JPK_KR!BG:BG,O61)),"")</f>
        <v/>
      </c>
      <c r="Q61" s="126" t="str">
        <f>IF(M61&lt;&gt;"",IF(O61="",SUMIFS(JPK_KR!AM:AM,JPK_KR!W:W,N61),SUMIFS(JPK_KR!BI:BI,JPK_KR!BH:BH,N61,JPK_KR!BJ:BJ,O61)),"")</f>
        <v/>
      </c>
      <c r="U61" s="24" t="str">
        <f>IF(R61&lt;&gt;"",SUMIFS(JPK_KR!AL:AL,JPK_KR!W:W,S61),"")</f>
        <v/>
      </c>
      <c r="V61" s="126" t="str">
        <f>IF(R61&lt;&gt;"",SUMIFS(JPK_KR!AM:AM,JPK_KR!W:W,S61),"")</f>
        <v/>
      </c>
    </row>
    <row r="62" spans="3:22" x14ac:dyDescent="0.3">
      <c r="C62" s="24" t="str">
        <f>IF(A62&lt;&gt;"",SUMIFS(JPK_KR!AL:AL,JPK_KR!W:W,B62),"")</f>
        <v/>
      </c>
      <c r="D62" s="126" t="str">
        <f>IF(A62&lt;&gt;"",SUMIFS(JPK_KR!AM:AM,JPK_KR!W:W,B62),"")</f>
        <v/>
      </c>
      <c r="G62" s="24" t="str">
        <f>IF(E62&lt;&gt;"",SUMIFS(JPK_KR!AL:AL,JPK_KR!W:W,F62),"")</f>
        <v/>
      </c>
      <c r="H62" s="126" t="str">
        <f>IF(E62&lt;&gt;"",SUMIFS(JPK_KR!AM:AM,JPK_KR!W:W,F62),"")</f>
        <v/>
      </c>
      <c r="K62" s="24" t="str">
        <f>IF(I62&lt;&gt;"",SUMIFS(JPK_KR!AL:AL,JPK_KR!W:W,J62),"")</f>
        <v/>
      </c>
      <c r="L62" s="126" t="str">
        <f>IF(I62&lt;&gt;"",SUMIFS(JPK_KR!AM:AM,JPK_KR!W:W,J62),"")</f>
        <v/>
      </c>
      <c r="P62" s="24" t="str">
        <f>IF(M62&lt;&gt;"",IF(O62="",SUMIFS(JPK_KR!AL:AL,JPK_KR!W:W,N62),SUMIFS(JPK_KR!BF:BF,JPK_KR!BE:BE,N62,JPK_KR!BG:BG,O62)),"")</f>
        <v/>
      </c>
      <c r="Q62" s="126" t="str">
        <f>IF(M62&lt;&gt;"",IF(O62="",SUMIFS(JPK_KR!AM:AM,JPK_KR!W:W,N62),SUMIFS(JPK_KR!BI:BI,JPK_KR!BH:BH,N62,JPK_KR!BJ:BJ,O62)),"")</f>
        <v/>
      </c>
      <c r="U62" s="24" t="str">
        <f>IF(R62&lt;&gt;"",SUMIFS(JPK_KR!AL:AL,JPK_KR!W:W,S62),"")</f>
        <v/>
      </c>
      <c r="V62" s="126" t="str">
        <f>IF(R62&lt;&gt;"",SUMIFS(JPK_KR!AM:AM,JPK_KR!W:W,S62),"")</f>
        <v/>
      </c>
    </row>
    <row r="63" spans="3:22" x14ac:dyDescent="0.3">
      <c r="C63" s="24" t="str">
        <f>IF(A63&lt;&gt;"",SUMIFS(JPK_KR!AL:AL,JPK_KR!W:W,B63),"")</f>
        <v/>
      </c>
      <c r="D63" s="126" t="str">
        <f>IF(A63&lt;&gt;"",SUMIFS(JPK_KR!AM:AM,JPK_KR!W:W,B63),"")</f>
        <v/>
      </c>
      <c r="G63" s="24" t="str">
        <f>IF(E63&lt;&gt;"",SUMIFS(JPK_KR!AL:AL,JPK_KR!W:W,F63),"")</f>
        <v/>
      </c>
      <c r="H63" s="126" t="str">
        <f>IF(E63&lt;&gt;"",SUMIFS(JPK_KR!AM:AM,JPK_KR!W:W,F63),"")</f>
        <v/>
      </c>
      <c r="K63" s="24" t="str">
        <f>IF(I63&lt;&gt;"",SUMIFS(JPK_KR!AL:AL,JPK_KR!W:W,J63),"")</f>
        <v/>
      </c>
      <c r="L63" s="126" t="str">
        <f>IF(I63&lt;&gt;"",SUMIFS(JPK_KR!AM:AM,JPK_KR!W:W,J63),"")</f>
        <v/>
      </c>
      <c r="P63" s="24" t="str">
        <f>IF(M63&lt;&gt;"",IF(O63="",SUMIFS(JPK_KR!AL:AL,JPK_KR!W:W,N63),SUMIFS(JPK_KR!BF:BF,JPK_KR!BE:BE,N63,JPK_KR!BG:BG,O63)),"")</f>
        <v/>
      </c>
      <c r="Q63" s="126" t="str">
        <f>IF(M63&lt;&gt;"",IF(O63="",SUMIFS(JPK_KR!AM:AM,JPK_KR!W:W,N63),SUMIFS(JPK_KR!BI:BI,JPK_KR!BH:BH,N63,JPK_KR!BJ:BJ,O63)),"")</f>
        <v/>
      </c>
      <c r="U63" s="24" t="str">
        <f>IF(R63&lt;&gt;"",SUMIFS(JPK_KR!AL:AL,JPK_KR!W:W,S63),"")</f>
        <v/>
      </c>
      <c r="V63" s="126" t="str">
        <f>IF(R63&lt;&gt;"",SUMIFS(JPK_KR!AM:AM,JPK_KR!W:W,S63),"")</f>
        <v/>
      </c>
    </row>
    <row r="64" spans="3:22" x14ac:dyDescent="0.3">
      <c r="C64" s="24" t="str">
        <f>IF(A64&lt;&gt;"",SUMIFS(JPK_KR!AL:AL,JPK_KR!W:W,B64),"")</f>
        <v/>
      </c>
      <c r="D64" s="126" t="str">
        <f>IF(A64&lt;&gt;"",SUMIFS(JPK_KR!AM:AM,JPK_KR!W:W,B64),"")</f>
        <v/>
      </c>
      <c r="G64" s="24" t="str">
        <f>IF(E64&lt;&gt;"",SUMIFS(JPK_KR!AL:AL,JPK_KR!W:W,F64),"")</f>
        <v/>
      </c>
      <c r="H64" s="126" t="str">
        <f>IF(E64&lt;&gt;"",SUMIFS(JPK_KR!AM:AM,JPK_KR!W:W,F64),"")</f>
        <v/>
      </c>
      <c r="K64" s="24" t="str">
        <f>IF(I64&lt;&gt;"",SUMIFS(JPK_KR!AL:AL,JPK_KR!W:W,J64),"")</f>
        <v/>
      </c>
      <c r="L64" s="126" t="str">
        <f>IF(I64&lt;&gt;"",SUMIFS(JPK_KR!AM:AM,JPK_KR!W:W,J64),"")</f>
        <v/>
      </c>
      <c r="P64" s="24" t="str">
        <f>IF(M64&lt;&gt;"",IF(O64="",SUMIFS(JPK_KR!AL:AL,JPK_KR!W:W,N64),SUMIFS(JPK_KR!BF:BF,JPK_KR!BE:BE,N64,JPK_KR!BG:BG,O64)),"")</f>
        <v/>
      </c>
      <c r="Q64" s="126" t="str">
        <f>IF(M64&lt;&gt;"",IF(O64="",SUMIFS(JPK_KR!AM:AM,JPK_KR!W:W,N64),SUMIFS(JPK_KR!BI:BI,JPK_KR!BH:BH,N64,JPK_KR!BJ:BJ,O64)),"")</f>
        <v/>
      </c>
      <c r="U64" s="24" t="str">
        <f>IF(R64&lt;&gt;"",SUMIFS(JPK_KR!AL:AL,JPK_KR!W:W,S64),"")</f>
        <v/>
      </c>
      <c r="V64" s="126" t="str">
        <f>IF(R64&lt;&gt;"",SUMIFS(JPK_KR!AM:AM,JPK_KR!W:W,S64),"")</f>
        <v/>
      </c>
    </row>
    <row r="65" spans="3:22" x14ac:dyDescent="0.3">
      <c r="C65" s="24" t="str">
        <f>IF(A65&lt;&gt;"",SUMIFS(JPK_KR!AL:AL,JPK_KR!W:W,B65),"")</f>
        <v/>
      </c>
      <c r="D65" s="126" t="str">
        <f>IF(A65&lt;&gt;"",SUMIFS(JPK_KR!AM:AM,JPK_KR!W:W,B65),"")</f>
        <v/>
      </c>
      <c r="G65" s="24" t="str">
        <f>IF(E65&lt;&gt;"",SUMIFS(JPK_KR!AL:AL,JPK_KR!W:W,F65),"")</f>
        <v/>
      </c>
      <c r="H65" s="126" t="str">
        <f>IF(E65&lt;&gt;"",SUMIFS(JPK_KR!AM:AM,JPK_KR!W:W,F65),"")</f>
        <v/>
      </c>
      <c r="K65" s="24" t="str">
        <f>IF(I65&lt;&gt;"",SUMIFS(JPK_KR!AL:AL,JPK_KR!W:W,J65),"")</f>
        <v/>
      </c>
      <c r="L65" s="126" t="str">
        <f>IF(I65&lt;&gt;"",SUMIFS(JPK_KR!AM:AM,JPK_KR!W:W,J65),"")</f>
        <v/>
      </c>
      <c r="P65" s="24" t="str">
        <f>IF(M65&lt;&gt;"",IF(O65="",SUMIFS(JPK_KR!AL:AL,JPK_KR!W:W,N65),SUMIFS(JPK_KR!BF:BF,JPK_KR!BE:BE,N65,JPK_KR!BG:BG,O65)),"")</f>
        <v/>
      </c>
      <c r="Q65" s="126" t="str">
        <f>IF(M65&lt;&gt;"",IF(O65="",SUMIFS(JPK_KR!AM:AM,JPK_KR!W:W,N65),SUMIFS(JPK_KR!BI:BI,JPK_KR!BH:BH,N65,JPK_KR!BJ:BJ,O65)),"")</f>
        <v/>
      </c>
      <c r="U65" s="24" t="str">
        <f>IF(R65&lt;&gt;"",SUMIFS(JPK_KR!AL:AL,JPK_KR!W:W,S65),"")</f>
        <v/>
      </c>
      <c r="V65" s="126" t="str">
        <f>IF(R65&lt;&gt;"",SUMIFS(JPK_KR!AM:AM,JPK_KR!W:W,S65),"")</f>
        <v/>
      </c>
    </row>
    <row r="66" spans="3:22" x14ac:dyDescent="0.3">
      <c r="C66" s="24" t="str">
        <f>IF(A66&lt;&gt;"",SUMIFS(JPK_KR!AL:AL,JPK_KR!W:W,B66),"")</f>
        <v/>
      </c>
      <c r="D66" s="126" t="str">
        <f>IF(A66&lt;&gt;"",SUMIFS(JPK_KR!AM:AM,JPK_KR!W:W,B66),"")</f>
        <v/>
      </c>
      <c r="G66" s="24" t="str">
        <f>IF(E66&lt;&gt;"",SUMIFS(JPK_KR!AL:AL,JPK_KR!W:W,F66),"")</f>
        <v/>
      </c>
      <c r="H66" s="126" t="str">
        <f>IF(E66&lt;&gt;"",SUMIFS(JPK_KR!AM:AM,JPK_KR!W:W,F66),"")</f>
        <v/>
      </c>
      <c r="K66" s="24" t="str">
        <f>IF(I66&lt;&gt;"",SUMIFS(JPK_KR!AL:AL,JPK_KR!W:W,J66),"")</f>
        <v/>
      </c>
      <c r="L66" s="126" t="str">
        <f>IF(I66&lt;&gt;"",SUMIFS(JPK_KR!AM:AM,JPK_KR!W:W,J66),"")</f>
        <v/>
      </c>
      <c r="P66" s="24" t="str">
        <f>IF(M66&lt;&gt;"",IF(O66="",SUMIFS(JPK_KR!AL:AL,JPK_KR!W:W,N66),SUMIFS(JPK_KR!BF:BF,JPK_KR!BE:BE,N66,JPK_KR!BG:BG,O66)),"")</f>
        <v/>
      </c>
      <c r="Q66" s="126" t="str">
        <f>IF(M66&lt;&gt;"",IF(O66="",SUMIFS(JPK_KR!AM:AM,JPK_KR!W:W,N66),SUMIFS(JPK_KR!BI:BI,JPK_KR!BH:BH,N66,JPK_KR!BJ:BJ,O66)),"")</f>
        <v/>
      </c>
      <c r="U66" s="24" t="str">
        <f>IF(R66&lt;&gt;"",SUMIFS(JPK_KR!AL:AL,JPK_KR!W:W,S66),"")</f>
        <v/>
      </c>
      <c r="V66" s="126" t="str">
        <f>IF(R66&lt;&gt;"",SUMIFS(JPK_KR!AM:AM,JPK_KR!W:W,S66),"")</f>
        <v/>
      </c>
    </row>
    <row r="67" spans="3:22" x14ac:dyDescent="0.3">
      <c r="C67" s="24" t="str">
        <f>IF(A67&lt;&gt;"",SUMIFS(JPK_KR!AL:AL,JPK_KR!W:W,B67),"")</f>
        <v/>
      </c>
      <c r="D67" s="126" t="str">
        <f>IF(A67&lt;&gt;"",SUMIFS(JPK_KR!AM:AM,JPK_KR!W:W,B67),"")</f>
        <v/>
      </c>
      <c r="G67" s="24" t="str">
        <f>IF(E67&lt;&gt;"",SUMIFS(JPK_KR!AL:AL,JPK_KR!W:W,F67),"")</f>
        <v/>
      </c>
      <c r="H67" s="126" t="str">
        <f>IF(E67&lt;&gt;"",SUMIFS(JPK_KR!AM:AM,JPK_KR!W:W,F67),"")</f>
        <v/>
      </c>
      <c r="K67" s="24" t="str">
        <f>IF(I67&lt;&gt;"",SUMIFS(JPK_KR!AL:AL,JPK_KR!W:W,J67),"")</f>
        <v/>
      </c>
      <c r="L67" s="126" t="str">
        <f>IF(I67&lt;&gt;"",SUMIFS(JPK_KR!AM:AM,JPK_KR!W:W,J67),"")</f>
        <v/>
      </c>
      <c r="P67" s="24" t="str">
        <f>IF(M67&lt;&gt;"",IF(O67="",SUMIFS(JPK_KR!AL:AL,JPK_KR!W:W,N67),SUMIFS(JPK_KR!BF:BF,JPK_KR!BE:BE,N67,JPK_KR!BG:BG,O67)),"")</f>
        <v/>
      </c>
      <c r="Q67" s="126" t="str">
        <f>IF(M67&lt;&gt;"",IF(O67="",SUMIFS(JPK_KR!AM:AM,JPK_KR!W:W,N67),SUMIFS(JPK_KR!BI:BI,JPK_KR!BH:BH,N67,JPK_KR!BJ:BJ,O67)),"")</f>
        <v/>
      </c>
      <c r="U67" s="24" t="str">
        <f>IF(R67&lt;&gt;"",SUMIFS(JPK_KR!AL:AL,JPK_KR!W:W,S67),"")</f>
        <v/>
      </c>
      <c r="V67" s="126" t="str">
        <f>IF(R67&lt;&gt;"",SUMIFS(JPK_KR!AM:AM,JPK_KR!W:W,S67),"")</f>
        <v/>
      </c>
    </row>
    <row r="68" spans="3:22" x14ac:dyDescent="0.3">
      <c r="C68" s="24" t="str">
        <f>IF(A68&lt;&gt;"",SUMIFS(JPK_KR!AL:AL,JPK_KR!W:W,B68),"")</f>
        <v/>
      </c>
      <c r="D68" s="126" t="str">
        <f>IF(A68&lt;&gt;"",SUMIFS(JPK_KR!AM:AM,JPK_KR!W:W,B68),"")</f>
        <v/>
      </c>
      <c r="G68" s="24" t="str">
        <f>IF(E68&lt;&gt;"",SUMIFS(JPK_KR!AL:AL,JPK_KR!W:W,F68),"")</f>
        <v/>
      </c>
      <c r="H68" s="126" t="str">
        <f>IF(E68&lt;&gt;"",SUMIFS(JPK_KR!AM:AM,JPK_KR!W:W,F68),"")</f>
        <v/>
      </c>
      <c r="K68" s="24" t="str">
        <f>IF(I68&lt;&gt;"",SUMIFS(JPK_KR!AL:AL,JPK_KR!W:W,J68),"")</f>
        <v/>
      </c>
      <c r="L68" s="126" t="str">
        <f>IF(I68&lt;&gt;"",SUMIFS(JPK_KR!AM:AM,JPK_KR!W:W,J68),"")</f>
        <v/>
      </c>
      <c r="P68" s="24" t="str">
        <f>IF(M68&lt;&gt;"",IF(O68="",SUMIFS(JPK_KR!AL:AL,JPK_KR!W:W,N68),SUMIFS(JPK_KR!BF:BF,JPK_KR!BE:BE,N68,JPK_KR!BG:BG,O68)),"")</f>
        <v/>
      </c>
      <c r="Q68" s="126" t="str">
        <f>IF(M68&lt;&gt;"",IF(O68="",SUMIFS(JPK_KR!AM:AM,JPK_KR!W:W,N68),SUMIFS(JPK_KR!BI:BI,JPK_KR!BH:BH,N68,JPK_KR!BJ:BJ,O68)),"")</f>
        <v/>
      </c>
      <c r="U68" s="24" t="str">
        <f>IF(R68&lt;&gt;"",SUMIFS(JPK_KR!AL:AL,JPK_KR!W:W,S68),"")</f>
        <v/>
      </c>
      <c r="V68" s="126" t="str">
        <f>IF(R68&lt;&gt;"",SUMIFS(JPK_KR!AM:AM,JPK_KR!W:W,S68),"")</f>
        <v/>
      </c>
    </row>
    <row r="69" spans="3:22" x14ac:dyDescent="0.3">
      <c r="C69" s="24" t="str">
        <f>IF(A69&lt;&gt;"",SUMIFS(JPK_KR!AL:AL,JPK_KR!W:W,B69),"")</f>
        <v/>
      </c>
      <c r="D69" s="126" t="str">
        <f>IF(A69&lt;&gt;"",SUMIFS(JPK_KR!AM:AM,JPK_KR!W:W,B69),"")</f>
        <v/>
      </c>
      <c r="G69" s="24" t="str">
        <f>IF(E69&lt;&gt;"",SUMIFS(JPK_KR!AL:AL,JPK_KR!W:W,F69),"")</f>
        <v/>
      </c>
      <c r="H69" s="126" t="str">
        <f>IF(E69&lt;&gt;"",SUMIFS(JPK_KR!AM:AM,JPK_KR!W:W,F69),"")</f>
        <v/>
      </c>
      <c r="K69" s="24" t="str">
        <f>IF(I69&lt;&gt;"",SUMIFS(JPK_KR!AL:AL,JPK_KR!W:W,J69),"")</f>
        <v/>
      </c>
      <c r="L69" s="126" t="str">
        <f>IF(I69&lt;&gt;"",SUMIFS(JPK_KR!AM:AM,JPK_KR!W:W,J69),"")</f>
        <v/>
      </c>
      <c r="P69" s="24" t="str">
        <f>IF(M69&lt;&gt;"",IF(O69="",SUMIFS(JPK_KR!AL:AL,JPK_KR!W:W,N69),SUMIFS(JPK_KR!BF:BF,JPK_KR!BE:BE,N69,JPK_KR!BG:BG,O69)),"")</f>
        <v/>
      </c>
      <c r="Q69" s="126" t="str">
        <f>IF(M69&lt;&gt;"",IF(O69="",SUMIFS(JPK_KR!AM:AM,JPK_KR!W:W,N69),SUMIFS(JPK_KR!BI:BI,JPK_KR!BH:BH,N69,JPK_KR!BJ:BJ,O69)),"")</f>
        <v/>
      </c>
      <c r="U69" s="24" t="str">
        <f>IF(R69&lt;&gt;"",SUMIFS(JPK_KR!AL:AL,JPK_KR!W:W,S69),"")</f>
        <v/>
      </c>
      <c r="V69" s="126" t="str">
        <f>IF(R69&lt;&gt;"",SUMIFS(JPK_KR!AM:AM,JPK_KR!W:W,S69),"")</f>
        <v/>
      </c>
    </row>
    <row r="70" spans="3:22" x14ac:dyDescent="0.3">
      <c r="C70" s="24" t="str">
        <f>IF(A70&lt;&gt;"",SUMIFS(JPK_KR!AL:AL,JPK_KR!W:W,B70),"")</f>
        <v/>
      </c>
      <c r="D70" s="126" t="str">
        <f>IF(A70&lt;&gt;"",SUMIFS(JPK_KR!AM:AM,JPK_KR!W:W,B70),"")</f>
        <v/>
      </c>
      <c r="G70" s="24" t="str">
        <f>IF(E70&lt;&gt;"",SUMIFS(JPK_KR!AL:AL,JPK_KR!W:W,F70),"")</f>
        <v/>
      </c>
      <c r="H70" s="126" t="str">
        <f>IF(E70&lt;&gt;"",SUMIFS(JPK_KR!AM:AM,JPK_KR!W:W,F70),"")</f>
        <v/>
      </c>
      <c r="K70" s="24" t="str">
        <f>IF(I70&lt;&gt;"",SUMIFS(JPK_KR!AL:AL,JPK_KR!W:W,J70),"")</f>
        <v/>
      </c>
      <c r="L70" s="126" t="str">
        <f>IF(I70&lt;&gt;"",SUMIFS(JPK_KR!AM:AM,JPK_KR!W:W,J70),"")</f>
        <v/>
      </c>
      <c r="P70" s="24" t="str">
        <f>IF(M70&lt;&gt;"",IF(O70="",SUMIFS(JPK_KR!AL:AL,JPK_KR!W:W,N70),SUMIFS(JPK_KR!BF:BF,JPK_KR!BE:BE,N70,JPK_KR!BG:BG,O70)),"")</f>
        <v/>
      </c>
      <c r="Q70" s="126" t="str">
        <f>IF(M70&lt;&gt;"",IF(O70="",SUMIFS(JPK_KR!AM:AM,JPK_KR!W:W,N70),SUMIFS(JPK_KR!BI:BI,JPK_KR!BH:BH,N70,JPK_KR!BJ:BJ,O70)),"")</f>
        <v/>
      </c>
      <c r="U70" s="24" t="str">
        <f>IF(R70&lt;&gt;"",SUMIFS(JPK_KR!AL:AL,JPK_KR!W:W,S70),"")</f>
        <v/>
      </c>
      <c r="V70" s="126" t="str">
        <f>IF(R70&lt;&gt;"",SUMIFS(JPK_KR!AM:AM,JPK_KR!W:W,S70),"")</f>
        <v/>
      </c>
    </row>
    <row r="71" spans="3:22" x14ac:dyDescent="0.3">
      <c r="C71" s="24" t="str">
        <f>IF(A71&lt;&gt;"",SUMIFS(JPK_KR!AL:AL,JPK_KR!W:W,B71),"")</f>
        <v/>
      </c>
      <c r="D71" s="126" t="str">
        <f>IF(A71&lt;&gt;"",SUMIFS(JPK_KR!AM:AM,JPK_KR!W:W,B71),"")</f>
        <v/>
      </c>
      <c r="G71" s="24" t="str">
        <f>IF(E71&lt;&gt;"",SUMIFS(JPK_KR!AL:AL,JPK_KR!W:W,F71),"")</f>
        <v/>
      </c>
      <c r="H71" s="126" t="str">
        <f>IF(E71&lt;&gt;"",SUMIFS(JPK_KR!AM:AM,JPK_KR!W:W,F71),"")</f>
        <v/>
      </c>
      <c r="K71" s="24" t="str">
        <f>IF(I71&lt;&gt;"",SUMIFS(JPK_KR!AL:AL,JPK_KR!W:W,J71),"")</f>
        <v/>
      </c>
      <c r="L71" s="126" t="str">
        <f>IF(I71&lt;&gt;"",SUMIFS(JPK_KR!AM:AM,JPK_KR!W:W,J71),"")</f>
        <v/>
      </c>
      <c r="P71" s="24" t="str">
        <f>IF(M71&lt;&gt;"",IF(O71="",SUMIFS(JPK_KR!AL:AL,JPK_KR!W:W,N71),SUMIFS(JPK_KR!BF:BF,JPK_KR!BE:BE,N71,JPK_KR!BG:BG,O71)),"")</f>
        <v/>
      </c>
      <c r="Q71" s="126" t="str">
        <f>IF(M71&lt;&gt;"",IF(O71="",SUMIFS(JPK_KR!AM:AM,JPK_KR!W:W,N71),SUMIFS(JPK_KR!BI:BI,JPK_KR!BH:BH,N71,JPK_KR!BJ:BJ,O71)),"")</f>
        <v/>
      </c>
      <c r="U71" s="24" t="str">
        <f>IF(R71&lt;&gt;"",SUMIFS(JPK_KR!AL:AL,JPK_KR!W:W,S71),"")</f>
        <v/>
      </c>
      <c r="V71" s="126" t="str">
        <f>IF(R71&lt;&gt;"",SUMIFS(JPK_KR!AM:AM,JPK_KR!W:W,S71),"")</f>
        <v/>
      </c>
    </row>
    <row r="72" spans="3:22" x14ac:dyDescent="0.3">
      <c r="C72" s="24" t="str">
        <f>IF(A72&lt;&gt;"",SUMIFS(JPK_KR!AL:AL,JPK_KR!W:W,B72),"")</f>
        <v/>
      </c>
      <c r="D72" s="126" t="str">
        <f>IF(A72&lt;&gt;"",SUMIFS(JPK_KR!AM:AM,JPK_KR!W:W,B72),"")</f>
        <v/>
      </c>
      <c r="G72" s="24" t="str">
        <f>IF(E72&lt;&gt;"",SUMIFS(JPK_KR!AL:AL,JPK_KR!W:W,F72),"")</f>
        <v/>
      </c>
      <c r="H72" s="126" t="str">
        <f>IF(E72&lt;&gt;"",SUMIFS(JPK_KR!AM:AM,JPK_KR!W:W,F72),"")</f>
        <v/>
      </c>
      <c r="K72" s="24" t="str">
        <f>IF(I72&lt;&gt;"",SUMIFS(JPK_KR!AL:AL,JPK_KR!W:W,J72),"")</f>
        <v/>
      </c>
      <c r="L72" s="126" t="str">
        <f>IF(I72&lt;&gt;"",SUMIFS(JPK_KR!AM:AM,JPK_KR!W:W,J72),"")</f>
        <v/>
      </c>
      <c r="P72" s="24" t="str">
        <f>IF(M72&lt;&gt;"",IF(O72="",SUMIFS(JPK_KR!AL:AL,JPK_KR!W:W,N72),SUMIFS(JPK_KR!BF:BF,JPK_KR!BE:BE,N72,JPK_KR!BG:BG,O72)),"")</f>
        <v/>
      </c>
      <c r="Q72" s="126" t="str">
        <f>IF(M72&lt;&gt;"",IF(O72="",SUMIFS(JPK_KR!AM:AM,JPK_KR!W:W,N72),SUMIFS(JPK_KR!BI:BI,JPK_KR!BH:BH,N72,JPK_KR!BJ:BJ,O72)),"")</f>
        <v/>
      </c>
      <c r="U72" s="24" t="str">
        <f>IF(R72&lt;&gt;"",SUMIFS(JPK_KR!AL:AL,JPK_KR!W:W,S72),"")</f>
        <v/>
      </c>
      <c r="V72" s="126" t="str">
        <f>IF(R72&lt;&gt;"",SUMIFS(JPK_KR!AM:AM,JPK_KR!W:W,S72),"")</f>
        <v/>
      </c>
    </row>
    <row r="73" spans="3:22" x14ac:dyDescent="0.3">
      <c r="C73" s="24" t="str">
        <f>IF(A73&lt;&gt;"",SUMIFS(JPK_KR!AL:AL,JPK_KR!W:W,B73),"")</f>
        <v/>
      </c>
      <c r="D73" s="126" t="str">
        <f>IF(A73&lt;&gt;"",SUMIFS(JPK_KR!AM:AM,JPK_KR!W:W,B73),"")</f>
        <v/>
      </c>
      <c r="G73" s="24" t="str">
        <f>IF(E73&lt;&gt;"",SUMIFS(JPK_KR!AL:AL,JPK_KR!W:W,F73),"")</f>
        <v/>
      </c>
      <c r="H73" s="126" t="str">
        <f>IF(E73&lt;&gt;"",SUMIFS(JPK_KR!AM:AM,JPK_KR!W:W,F73),"")</f>
        <v/>
      </c>
      <c r="K73" s="24" t="str">
        <f>IF(I73&lt;&gt;"",SUMIFS(JPK_KR!AL:AL,JPK_KR!W:W,J73),"")</f>
        <v/>
      </c>
      <c r="L73" s="126" t="str">
        <f>IF(I73&lt;&gt;"",SUMIFS(JPK_KR!AM:AM,JPK_KR!W:W,J73),"")</f>
        <v/>
      </c>
      <c r="P73" s="24" t="str">
        <f>IF(M73&lt;&gt;"",IF(O73="",SUMIFS(JPK_KR!AL:AL,JPK_KR!W:W,N73),SUMIFS(JPK_KR!BF:BF,JPK_KR!BE:BE,N73,JPK_KR!BG:BG,O73)),"")</f>
        <v/>
      </c>
      <c r="Q73" s="126" t="str">
        <f>IF(M73&lt;&gt;"",IF(O73="",SUMIFS(JPK_KR!AM:AM,JPK_KR!W:W,N73),SUMIFS(JPK_KR!BI:BI,JPK_KR!BH:BH,N73,JPK_KR!BJ:BJ,O73)),"")</f>
        <v/>
      </c>
      <c r="U73" s="24" t="str">
        <f>IF(R73&lt;&gt;"",SUMIFS(JPK_KR!AL:AL,JPK_KR!W:W,S73),"")</f>
        <v/>
      </c>
      <c r="V73" s="126" t="str">
        <f>IF(R73&lt;&gt;"",SUMIFS(JPK_KR!AM:AM,JPK_KR!W:W,S73),"")</f>
        <v/>
      </c>
    </row>
    <row r="74" spans="3:22" x14ac:dyDescent="0.3">
      <c r="C74" s="24" t="str">
        <f>IF(A74&lt;&gt;"",SUMIFS(JPK_KR!AL:AL,JPK_KR!W:W,B74),"")</f>
        <v/>
      </c>
      <c r="D74" s="126" t="str">
        <f>IF(A74&lt;&gt;"",SUMIFS(JPK_KR!AM:AM,JPK_KR!W:W,B74),"")</f>
        <v/>
      </c>
      <c r="G74" s="24" t="str">
        <f>IF(E74&lt;&gt;"",SUMIFS(JPK_KR!AL:AL,JPK_KR!W:W,F74),"")</f>
        <v/>
      </c>
      <c r="H74" s="126" t="str">
        <f>IF(E74&lt;&gt;"",SUMIFS(JPK_KR!AM:AM,JPK_KR!W:W,F74),"")</f>
        <v/>
      </c>
      <c r="K74" s="24" t="str">
        <f>IF(I74&lt;&gt;"",SUMIFS(JPK_KR!AL:AL,JPK_KR!W:W,J74),"")</f>
        <v/>
      </c>
      <c r="L74" s="126" t="str">
        <f>IF(I74&lt;&gt;"",SUMIFS(JPK_KR!AM:AM,JPK_KR!W:W,J74),"")</f>
        <v/>
      </c>
      <c r="P74" s="24" t="str">
        <f>IF(M74&lt;&gt;"",IF(O74="",SUMIFS(JPK_KR!AL:AL,JPK_KR!W:W,N74),SUMIFS(JPK_KR!BF:BF,JPK_KR!BE:BE,N74,JPK_KR!BG:BG,O74)),"")</f>
        <v/>
      </c>
      <c r="Q74" s="126" t="str">
        <f>IF(M74&lt;&gt;"",IF(O74="",SUMIFS(JPK_KR!AM:AM,JPK_KR!W:W,N74),SUMIFS(JPK_KR!BI:BI,JPK_KR!BH:BH,N74,JPK_KR!BJ:BJ,O74)),"")</f>
        <v/>
      </c>
      <c r="U74" s="24" t="str">
        <f>IF(R74&lt;&gt;"",SUMIFS(JPK_KR!AL:AL,JPK_KR!W:W,S74),"")</f>
        <v/>
      </c>
      <c r="V74" s="126" t="str">
        <f>IF(R74&lt;&gt;"",SUMIFS(JPK_KR!AM:AM,JPK_KR!W:W,S74),"")</f>
        <v/>
      </c>
    </row>
    <row r="75" spans="3:22" x14ac:dyDescent="0.3">
      <c r="C75" s="24" t="str">
        <f>IF(A75&lt;&gt;"",SUMIFS(JPK_KR!AL:AL,JPK_KR!W:W,B75),"")</f>
        <v/>
      </c>
      <c r="D75" s="126" t="str">
        <f>IF(A75&lt;&gt;"",SUMIFS(JPK_KR!AM:AM,JPK_KR!W:W,B75),"")</f>
        <v/>
      </c>
      <c r="G75" s="24" t="str">
        <f>IF(E75&lt;&gt;"",SUMIFS(JPK_KR!AL:AL,JPK_KR!W:W,F75),"")</f>
        <v/>
      </c>
      <c r="H75" s="126" t="str">
        <f>IF(E75&lt;&gt;"",SUMIFS(JPK_KR!AM:AM,JPK_KR!W:W,F75),"")</f>
        <v/>
      </c>
      <c r="K75" s="24" t="str">
        <f>IF(I75&lt;&gt;"",SUMIFS(JPK_KR!AL:AL,JPK_KR!W:W,J75),"")</f>
        <v/>
      </c>
      <c r="L75" s="126" t="str">
        <f>IF(I75&lt;&gt;"",SUMIFS(JPK_KR!AM:AM,JPK_KR!W:W,J75),"")</f>
        <v/>
      </c>
      <c r="P75" s="24" t="str">
        <f>IF(M75&lt;&gt;"",IF(O75="",SUMIFS(JPK_KR!AL:AL,JPK_KR!W:W,N75),SUMIFS(JPK_KR!BF:BF,JPK_KR!BE:BE,N75,JPK_KR!BG:BG,O75)),"")</f>
        <v/>
      </c>
      <c r="Q75" s="126" t="str">
        <f>IF(M75&lt;&gt;"",IF(O75="",SUMIFS(JPK_KR!AM:AM,JPK_KR!W:W,N75),SUMIFS(JPK_KR!BI:BI,JPK_KR!BH:BH,N75,JPK_KR!BJ:BJ,O75)),"")</f>
        <v/>
      </c>
      <c r="U75" s="24" t="str">
        <f>IF(R75&lt;&gt;"",SUMIFS(JPK_KR!AL:AL,JPK_KR!W:W,S75),"")</f>
        <v/>
      </c>
      <c r="V75" s="126" t="str">
        <f>IF(R75&lt;&gt;"",SUMIFS(JPK_KR!AM:AM,JPK_KR!W:W,S75),"")</f>
        <v/>
      </c>
    </row>
    <row r="76" spans="3:22" x14ac:dyDescent="0.3">
      <c r="C76" s="24" t="str">
        <f>IF(A76&lt;&gt;"",SUMIFS(JPK_KR!AL:AL,JPK_KR!W:W,B76),"")</f>
        <v/>
      </c>
      <c r="D76" s="126" t="str">
        <f>IF(A76&lt;&gt;"",SUMIFS(JPK_KR!AM:AM,JPK_KR!W:W,B76),"")</f>
        <v/>
      </c>
      <c r="G76" s="24" t="str">
        <f>IF(E76&lt;&gt;"",SUMIFS(JPK_KR!AL:AL,JPK_KR!W:W,F76),"")</f>
        <v/>
      </c>
      <c r="H76" s="126" t="str">
        <f>IF(E76&lt;&gt;"",SUMIFS(JPK_KR!AM:AM,JPK_KR!W:W,F76),"")</f>
        <v/>
      </c>
      <c r="K76" s="24" t="str">
        <f>IF(I76&lt;&gt;"",SUMIFS(JPK_KR!AL:AL,JPK_KR!W:W,J76),"")</f>
        <v/>
      </c>
      <c r="L76" s="126" t="str">
        <f>IF(I76&lt;&gt;"",SUMIFS(JPK_KR!AM:AM,JPK_KR!W:W,J76),"")</f>
        <v/>
      </c>
      <c r="P76" s="24" t="str">
        <f>IF(M76&lt;&gt;"",IF(O76="",SUMIFS(JPK_KR!AL:AL,JPK_KR!W:W,N76),SUMIFS(JPK_KR!BF:BF,JPK_KR!BE:BE,N76,JPK_KR!BG:BG,O76)),"")</f>
        <v/>
      </c>
      <c r="Q76" s="126" t="str">
        <f>IF(M76&lt;&gt;"",IF(O76="",SUMIFS(JPK_KR!AM:AM,JPK_KR!W:W,N76),SUMIFS(JPK_KR!BI:BI,JPK_KR!BH:BH,N76,JPK_KR!BJ:BJ,O76)),"")</f>
        <v/>
      </c>
      <c r="U76" s="24" t="str">
        <f>IF(R76&lt;&gt;"",SUMIFS(JPK_KR!AL:AL,JPK_KR!W:W,S76),"")</f>
        <v/>
      </c>
      <c r="V76" s="126" t="str">
        <f>IF(R76&lt;&gt;"",SUMIFS(JPK_KR!AM:AM,JPK_KR!W:W,S76),"")</f>
        <v/>
      </c>
    </row>
    <row r="77" spans="3:22" x14ac:dyDescent="0.3">
      <c r="C77" s="24" t="str">
        <f>IF(A77&lt;&gt;"",SUMIFS(JPK_KR!AL:AL,JPK_KR!W:W,B77),"")</f>
        <v/>
      </c>
      <c r="D77" s="126" t="str">
        <f>IF(A77&lt;&gt;"",SUMIFS(JPK_KR!AM:AM,JPK_KR!W:W,B77),"")</f>
        <v/>
      </c>
      <c r="G77" s="24" t="str">
        <f>IF(E77&lt;&gt;"",SUMIFS(JPK_KR!AL:AL,JPK_KR!W:W,F77),"")</f>
        <v/>
      </c>
      <c r="H77" s="126" t="str">
        <f>IF(E77&lt;&gt;"",SUMIFS(JPK_KR!AM:AM,JPK_KR!W:W,F77),"")</f>
        <v/>
      </c>
      <c r="K77" s="24" t="str">
        <f>IF(I77&lt;&gt;"",SUMIFS(JPK_KR!AL:AL,JPK_KR!W:W,J77),"")</f>
        <v/>
      </c>
      <c r="L77" s="126" t="str">
        <f>IF(I77&lt;&gt;"",SUMIFS(JPK_KR!AM:AM,JPK_KR!W:W,J77),"")</f>
        <v/>
      </c>
      <c r="P77" s="24" t="str">
        <f>IF(M77&lt;&gt;"",IF(O77="",SUMIFS(JPK_KR!AL:AL,JPK_KR!W:W,N77),SUMIFS(JPK_KR!BF:BF,JPK_KR!BE:BE,N77,JPK_KR!BG:BG,O77)),"")</f>
        <v/>
      </c>
      <c r="Q77" s="126" t="str">
        <f>IF(M77&lt;&gt;"",IF(O77="",SUMIFS(JPK_KR!AM:AM,JPK_KR!W:W,N77),SUMIFS(JPK_KR!BI:BI,JPK_KR!BH:BH,N77,JPK_KR!BJ:BJ,O77)),"")</f>
        <v/>
      </c>
      <c r="U77" s="24" t="str">
        <f>IF(R77&lt;&gt;"",SUMIFS(JPK_KR!AL:AL,JPK_KR!W:W,S77),"")</f>
        <v/>
      </c>
      <c r="V77" s="126" t="str">
        <f>IF(R77&lt;&gt;"",SUMIFS(JPK_KR!AM:AM,JPK_KR!W:W,S77),"")</f>
        <v/>
      </c>
    </row>
    <row r="78" spans="3:22" x14ac:dyDescent="0.3">
      <c r="C78" s="24" t="str">
        <f>IF(A78&lt;&gt;"",SUMIFS(JPK_KR!AL:AL,JPK_KR!W:W,B78),"")</f>
        <v/>
      </c>
      <c r="D78" s="126" t="str">
        <f>IF(A78&lt;&gt;"",SUMIFS(JPK_KR!AM:AM,JPK_KR!W:W,B78),"")</f>
        <v/>
      </c>
      <c r="G78" s="24" t="str">
        <f>IF(E78&lt;&gt;"",SUMIFS(JPK_KR!AL:AL,JPK_KR!W:W,F78),"")</f>
        <v/>
      </c>
      <c r="H78" s="126" t="str">
        <f>IF(E78&lt;&gt;"",SUMIFS(JPK_KR!AM:AM,JPK_KR!W:W,F78),"")</f>
        <v/>
      </c>
      <c r="K78" s="24" t="str">
        <f>IF(I78&lt;&gt;"",SUMIFS(JPK_KR!AL:AL,JPK_KR!W:W,J78),"")</f>
        <v/>
      </c>
      <c r="L78" s="126" t="str">
        <f>IF(I78&lt;&gt;"",SUMIFS(JPK_KR!AM:AM,JPK_KR!W:W,J78),"")</f>
        <v/>
      </c>
      <c r="P78" s="24" t="str">
        <f>IF(M78&lt;&gt;"",IF(O78="",SUMIFS(JPK_KR!AL:AL,JPK_KR!W:W,N78),SUMIFS(JPK_KR!BF:BF,JPK_KR!BE:BE,N78,JPK_KR!BG:BG,O78)),"")</f>
        <v/>
      </c>
      <c r="Q78" s="126" t="str">
        <f>IF(M78&lt;&gt;"",IF(O78="",SUMIFS(JPK_KR!AM:AM,JPK_KR!W:W,N78),SUMIFS(JPK_KR!BI:BI,JPK_KR!BH:BH,N78,JPK_KR!BJ:BJ,O78)),"")</f>
        <v/>
      </c>
      <c r="U78" s="24" t="str">
        <f>IF(R78&lt;&gt;"",SUMIFS(JPK_KR!AL:AL,JPK_KR!W:W,S78),"")</f>
        <v/>
      </c>
      <c r="V78" s="126" t="str">
        <f>IF(R78&lt;&gt;"",SUMIFS(JPK_KR!AM:AM,JPK_KR!W:W,S78),"")</f>
        <v/>
      </c>
    </row>
    <row r="79" spans="3:22" x14ac:dyDescent="0.3">
      <c r="C79" s="24" t="str">
        <f>IF(A79&lt;&gt;"",SUMIFS(JPK_KR!AL:AL,JPK_KR!W:W,B79),"")</f>
        <v/>
      </c>
      <c r="D79" s="126" t="str">
        <f>IF(A79&lt;&gt;"",SUMIFS(JPK_KR!AM:AM,JPK_KR!W:W,B79),"")</f>
        <v/>
      </c>
      <c r="G79" s="24" t="str">
        <f>IF(E79&lt;&gt;"",SUMIFS(JPK_KR!AL:AL,JPK_KR!W:W,F79),"")</f>
        <v/>
      </c>
      <c r="H79" s="126" t="str">
        <f>IF(E79&lt;&gt;"",SUMIFS(JPK_KR!AM:AM,JPK_KR!W:W,F79),"")</f>
        <v/>
      </c>
      <c r="K79" s="24" t="str">
        <f>IF(I79&lt;&gt;"",SUMIFS(JPK_KR!AL:AL,JPK_KR!W:W,J79),"")</f>
        <v/>
      </c>
      <c r="L79" s="126" t="str">
        <f>IF(I79&lt;&gt;"",SUMIFS(JPK_KR!AM:AM,JPK_KR!W:W,J79),"")</f>
        <v/>
      </c>
      <c r="P79" s="24" t="str">
        <f>IF(M79&lt;&gt;"",IF(O79="",SUMIFS(JPK_KR!AL:AL,JPK_KR!W:W,N79),SUMIFS(JPK_KR!BF:BF,JPK_KR!BE:BE,N79,JPK_KR!BG:BG,O79)),"")</f>
        <v/>
      </c>
      <c r="Q79" s="126" t="str">
        <f>IF(M79&lt;&gt;"",IF(O79="",SUMIFS(JPK_KR!AM:AM,JPK_KR!W:W,N79),SUMIFS(JPK_KR!BI:BI,JPK_KR!BH:BH,N79,JPK_KR!BJ:BJ,O79)),"")</f>
        <v/>
      </c>
      <c r="U79" s="24" t="str">
        <f>IF(R79&lt;&gt;"",SUMIFS(JPK_KR!AL:AL,JPK_KR!W:W,S79),"")</f>
        <v/>
      </c>
      <c r="V79" s="126" t="str">
        <f>IF(R79&lt;&gt;"",SUMIFS(JPK_KR!AM:AM,JPK_KR!W:W,S79),"")</f>
        <v/>
      </c>
    </row>
    <row r="80" spans="3:22" x14ac:dyDescent="0.3">
      <c r="C80" s="24" t="str">
        <f>IF(A80&lt;&gt;"",SUMIFS(JPK_KR!AL:AL,JPK_KR!W:W,B80),"")</f>
        <v/>
      </c>
      <c r="D80" s="126" t="str">
        <f>IF(A80&lt;&gt;"",SUMIFS(JPK_KR!AM:AM,JPK_KR!W:W,B80),"")</f>
        <v/>
      </c>
      <c r="G80" s="24" t="str">
        <f>IF(E80&lt;&gt;"",SUMIFS(JPK_KR!AL:AL,JPK_KR!W:W,F80),"")</f>
        <v/>
      </c>
      <c r="H80" s="126" t="str">
        <f>IF(E80&lt;&gt;"",SUMIFS(JPK_KR!AM:AM,JPK_KR!W:W,F80),"")</f>
        <v/>
      </c>
      <c r="K80" s="24" t="str">
        <f>IF(I80&lt;&gt;"",SUMIFS(JPK_KR!AL:AL,JPK_KR!W:W,J80),"")</f>
        <v/>
      </c>
      <c r="L80" s="126" t="str">
        <f>IF(I80&lt;&gt;"",SUMIFS(JPK_KR!AM:AM,JPK_KR!W:W,J80),"")</f>
        <v/>
      </c>
      <c r="P80" s="24" t="str">
        <f>IF(M80&lt;&gt;"",IF(O80="",SUMIFS(JPK_KR!AL:AL,JPK_KR!W:W,N80),SUMIFS(JPK_KR!BF:BF,JPK_KR!BE:BE,N80,JPK_KR!BG:BG,O80)),"")</f>
        <v/>
      </c>
      <c r="Q80" s="126" t="str">
        <f>IF(M80&lt;&gt;"",IF(O80="",SUMIFS(JPK_KR!AM:AM,JPK_KR!W:W,N80),SUMIFS(JPK_KR!BI:BI,JPK_KR!BH:BH,N80,JPK_KR!BJ:BJ,O80)),"")</f>
        <v/>
      </c>
      <c r="U80" s="24" t="str">
        <f>IF(R80&lt;&gt;"",SUMIFS(JPK_KR!AL:AL,JPK_KR!W:W,S80),"")</f>
        <v/>
      </c>
      <c r="V80" s="126" t="str">
        <f>IF(R80&lt;&gt;"",SUMIFS(JPK_KR!AM:AM,JPK_KR!W:W,S80),"")</f>
        <v/>
      </c>
    </row>
    <row r="81" spans="3:22" x14ac:dyDescent="0.3">
      <c r="C81" s="24" t="str">
        <f>IF(A81&lt;&gt;"",SUMIFS(JPK_KR!AL:AL,JPK_KR!W:W,B81),"")</f>
        <v/>
      </c>
      <c r="D81" s="126" t="str">
        <f>IF(A81&lt;&gt;"",SUMIFS(JPK_KR!AM:AM,JPK_KR!W:W,B81),"")</f>
        <v/>
      </c>
      <c r="G81" s="24" t="str">
        <f>IF(E81&lt;&gt;"",SUMIFS(JPK_KR!AL:AL,JPK_KR!W:W,F81),"")</f>
        <v/>
      </c>
      <c r="H81" s="126" t="str">
        <f>IF(E81&lt;&gt;"",SUMIFS(JPK_KR!AM:AM,JPK_KR!W:W,F81),"")</f>
        <v/>
      </c>
      <c r="K81" s="24" t="str">
        <f>IF(I81&lt;&gt;"",SUMIFS(JPK_KR!AL:AL,JPK_KR!W:W,J81),"")</f>
        <v/>
      </c>
      <c r="L81" s="126" t="str">
        <f>IF(I81&lt;&gt;"",SUMIFS(JPK_KR!AM:AM,JPK_KR!W:W,J81),"")</f>
        <v/>
      </c>
      <c r="P81" s="24" t="str">
        <f>IF(M81&lt;&gt;"",IF(O81="",SUMIFS(JPK_KR!AL:AL,JPK_KR!W:W,N81),SUMIFS(JPK_KR!BF:BF,JPK_KR!BE:BE,N81,JPK_KR!BG:BG,O81)),"")</f>
        <v/>
      </c>
      <c r="Q81" s="126" t="str">
        <f>IF(M81&lt;&gt;"",IF(O81="",SUMIFS(JPK_KR!AM:AM,JPK_KR!W:W,N81),SUMIFS(JPK_KR!BI:BI,JPK_KR!BH:BH,N81,JPK_KR!BJ:BJ,O81)),"")</f>
        <v/>
      </c>
      <c r="U81" s="24" t="str">
        <f>IF(R81&lt;&gt;"",SUMIFS(JPK_KR!AL:AL,JPK_KR!W:W,S81),"")</f>
        <v/>
      </c>
      <c r="V81" s="126" t="str">
        <f>IF(R81&lt;&gt;"",SUMIFS(JPK_KR!AM:AM,JPK_KR!W:W,S81),"")</f>
        <v/>
      </c>
    </row>
    <row r="82" spans="3:22" x14ac:dyDescent="0.3">
      <c r="C82" s="24" t="str">
        <f>IF(A82&lt;&gt;"",SUMIFS(JPK_KR!AL:AL,JPK_KR!W:W,B82),"")</f>
        <v/>
      </c>
      <c r="D82" s="126" t="str">
        <f>IF(A82&lt;&gt;"",SUMIFS(JPK_KR!AM:AM,JPK_KR!W:W,B82),"")</f>
        <v/>
      </c>
      <c r="G82" s="24" t="str">
        <f>IF(E82&lt;&gt;"",SUMIFS(JPK_KR!AL:AL,JPK_KR!W:W,F82),"")</f>
        <v/>
      </c>
      <c r="H82" s="126" t="str">
        <f>IF(E82&lt;&gt;"",SUMIFS(JPK_KR!AM:AM,JPK_KR!W:W,F82),"")</f>
        <v/>
      </c>
      <c r="K82" s="24" t="str">
        <f>IF(I82&lt;&gt;"",SUMIFS(JPK_KR!AL:AL,JPK_KR!W:W,J82),"")</f>
        <v/>
      </c>
      <c r="L82" s="126" t="str">
        <f>IF(I82&lt;&gt;"",SUMIFS(JPK_KR!AM:AM,JPK_KR!W:W,J82),"")</f>
        <v/>
      </c>
      <c r="P82" s="24" t="str">
        <f>IF(M82&lt;&gt;"",IF(O82="",SUMIFS(JPK_KR!AL:AL,JPK_KR!W:W,N82),SUMIFS(JPK_KR!BF:BF,JPK_KR!BE:BE,N82,JPK_KR!BG:BG,O82)),"")</f>
        <v/>
      </c>
      <c r="Q82" s="126" t="str">
        <f>IF(M82&lt;&gt;"",IF(O82="",SUMIFS(JPK_KR!AM:AM,JPK_KR!W:W,N82),SUMIFS(JPK_KR!BI:BI,JPK_KR!BH:BH,N82,JPK_KR!BJ:BJ,O82)),"")</f>
        <v/>
      </c>
      <c r="U82" s="24" t="str">
        <f>IF(R82&lt;&gt;"",SUMIFS(JPK_KR!AL:AL,JPK_KR!W:W,S82),"")</f>
        <v/>
      </c>
      <c r="V82" s="126" t="str">
        <f>IF(R82&lt;&gt;"",SUMIFS(JPK_KR!AM:AM,JPK_KR!W:W,S82),"")</f>
        <v/>
      </c>
    </row>
    <row r="83" spans="3:22" x14ac:dyDescent="0.3">
      <c r="C83" s="24" t="str">
        <f>IF(A83&lt;&gt;"",SUMIFS(JPK_KR!AL:AL,JPK_KR!W:W,B83),"")</f>
        <v/>
      </c>
      <c r="D83" s="126" t="str">
        <f>IF(A83&lt;&gt;"",SUMIFS(JPK_KR!AM:AM,JPK_KR!W:W,B83),"")</f>
        <v/>
      </c>
      <c r="G83" s="24" t="str">
        <f>IF(E83&lt;&gt;"",SUMIFS(JPK_KR!AL:AL,JPK_KR!W:W,F83),"")</f>
        <v/>
      </c>
      <c r="H83" s="126" t="str">
        <f>IF(E83&lt;&gt;"",SUMIFS(JPK_KR!AM:AM,JPK_KR!W:W,F83),"")</f>
        <v/>
      </c>
      <c r="K83" s="24" t="str">
        <f>IF(I83&lt;&gt;"",SUMIFS(JPK_KR!AL:AL,JPK_KR!W:W,J83),"")</f>
        <v/>
      </c>
      <c r="L83" s="126" t="str">
        <f>IF(I83&lt;&gt;"",SUMIFS(JPK_KR!AM:AM,JPK_KR!W:W,J83),"")</f>
        <v/>
      </c>
      <c r="P83" s="24" t="str">
        <f>IF(M83&lt;&gt;"",IF(O83="",SUMIFS(JPK_KR!AL:AL,JPK_KR!W:W,N83),SUMIFS(JPK_KR!BF:BF,JPK_KR!BE:BE,N83,JPK_KR!BG:BG,O83)),"")</f>
        <v/>
      </c>
      <c r="Q83" s="126" t="str">
        <f>IF(M83&lt;&gt;"",IF(O83="",SUMIFS(JPK_KR!AM:AM,JPK_KR!W:W,N83),SUMIFS(JPK_KR!BI:BI,JPK_KR!BH:BH,N83,JPK_KR!BJ:BJ,O83)),"")</f>
        <v/>
      </c>
      <c r="U83" s="24" t="str">
        <f>IF(R83&lt;&gt;"",SUMIFS(JPK_KR!AL:AL,JPK_KR!W:W,S83),"")</f>
        <v/>
      </c>
      <c r="V83" s="126" t="str">
        <f>IF(R83&lt;&gt;"",SUMIFS(JPK_KR!AM:AM,JPK_KR!W:W,S83),"")</f>
        <v/>
      </c>
    </row>
    <row r="84" spans="3:22" x14ac:dyDescent="0.3">
      <c r="C84" s="24" t="str">
        <f>IF(A84&lt;&gt;"",SUMIFS(JPK_KR!AL:AL,JPK_KR!W:W,B84),"")</f>
        <v/>
      </c>
      <c r="D84" s="126" t="str">
        <f>IF(A84&lt;&gt;"",SUMIFS(JPK_KR!AM:AM,JPK_KR!W:W,B84),"")</f>
        <v/>
      </c>
      <c r="G84" s="24" t="str">
        <f>IF(E84&lt;&gt;"",SUMIFS(JPK_KR!AL:AL,JPK_KR!W:W,F84),"")</f>
        <v/>
      </c>
      <c r="H84" s="126" t="str">
        <f>IF(E84&lt;&gt;"",SUMIFS(JPK_KR!AM:AM,JPK_KR!W:W,F84),"")</f>
        <v/>
      </c>
      <c r="K84" s="24" t="str">
        <f>IF(I84&lt;&gt;"",SUMIFS(JPK_KR!AL:AL,JPK_KR!W:W,J84),"")</f>
        <v/>
      </c>
      <c r="L84" s="126" t="str">
        <f>IF(I84&lt;&gt;"",SUMIFS(JPK_KR!AM:AM,JPK_KR!W:W,J84),"")</f>
        <v/>
      </c>
      <c r="P84" s="24" t="str">
        <f>IF(M84&lt;&gt;"",IF(O84="",SUMIFS(JPK_KR!AL:AL,JPK_KR!W:W,N84),SUMIFS(JPK_KR!BF:BF,JPK_KR!BE:BE,N84,JPK_KR!BG:BG,O84)),"")</f>
        <v/>
      </c>
      <c r="Q84" s="126" t="str">
        <f>IF(M84&lt;&gt;"",IF(O84="",SUMIFS(JPK_KR!AM:AM,JPK_KR!W:W,N84),SUMIFS(JPK_KR!BI:BI,JPK_KR!BH:BH,N84,JPK_KR!BJ:BJ,O84)),"")</f>
        <v/>
      </c>
      <c r="U84" s="24" t="str">
        <f>IF(R84&lt;&gt;"",SUMIFS(JPK_KR!AL:AL,JPK_KR!W:W,S84),"")</f>
        <v/>
      </c>
      <c r="V84" s="126" t="str">
        <f>IF(R84&lt;&gt;"",SUMIFS(JPK_KR!AM:AM,JPK_KR!W:W,S84),"")</f>
        <v/>
      </c>
    </row>
    <row r="85" spans="3:22" x14ac:dyDescent="0.3">
      <c r="C85" s="24" t="str">
        <f>IF(A85&lt;&gt;"",SUMIFS(JPK_KR!AL:AL,JPK_KR!W:W,B85),"")</f>
        <v/>
      </c>
      <c r="D85" s="126" t="str">
        <f>IF(A85&lt;&gt;"",SUMIFS(JPK_KR!AM:AM,JPK_KR!W:W,B85),"")</f>
        <v/>
      </c>
      <c r="G85" s="24" t="str">
        <f>IF(E85&lt;&gt;"",SUMIFS(JPK_KR!AL:AL,JPK_KR!W:W,F85),"")</f>
        <v/>
      </c>
      <c r="H85" s="126" t="str">
        <f>IF(E85&lt;&gt;"",SUMIFS(JPK_KR!AM:AM,JPK_KR!W:W,F85),"")</f>
        <v/>
      </c>
      <c r="K85" s="24" t="str">
        <f>IF(I85&lt;&gt;"",SUMIFS(JPK_KR!AL:AL,JPK_KR!W:W,J85),"")</f>
        <v/>
      </c>
      <c r="L85" s="126" t="str">
        <f>IF(I85&lt;&gt;"",SUMIFS(JPK_KR!AM:AM,JPK_KR!W:W,J85),"")</f>
        <v/>
      </c>
      <c r="P85" s="24" t="str">
        <f>IF(M85&lt;&gt;"",IF(O85="",SUMIFS(JPK_KR!AL:AL,JPK_KR!W:W,N85),SUMIFS(JPK_KR!BF:BF,JPK_KR!BE:BE,N85,JPK_KR!BG:BG,O85)),"")</f>
        <v/>
      </c>
      <c r="Q85" s="126" t="str">
        <f>IF(M85&lt;&gt;"",IF(O85="",SUMIFS(JPK_KR!AM:AM,JPK_KR!W:W,N85),SUMIFS(JPK_KR!BI:BI,JPK_KR!BH:BH,N85,JPK_KR!BJ:BJ,O85)),"")</f>
        <v/>
      </c>
      <c r="U85" s="24" t="str">
        <f>IF(R85&lt;&gt;"",SUMIFS(JPK_KR!AL:AL,JPK_KR!W:W,S85),"")</f>
        <v/>
      </c>
      <c r="V85" s="126" t="str">
        <f>IF(R85&lt;&gt;"",SUMIFS(JPK_KR!AM:AM,JPK_KR!W:W,S85),"")</f>
        <v/>
      </c>
    </row>
    <row r="86" spans="3:22" x14ac:dyDescent="0.3">
      <c r="C86" s="24" t="str">
        <f>IF(A86&lt;&gt;"",SUMIFS(JPK_KR!AL:AL,JPK_KR!W:W,B86),"")</f>
        <v/>
      </c>
      <c r="D86" s="126" t="str">
        <f>IF(A86&lt;&gt;"",SUMIFS(JPK_KR!AM:AM,JPK_KR!W:W,B86),"")</f>
        <v/>
      </c>
      <c r="G86" s="24" t="str">
        <f>IF(E86&lt;&gt;"",SUMIFS(JPK_KR!AL:AL,JPK_KR!W:W,F86),"")</f>
        <v/>
      </c>
      <c r="H86" s="126" t="str">
        <f>IF(E86&lt;&gt;"",SUMIFS(JPK_KR!AM:AM,JPK_KR!W:W,F86),"")</f>
        <v/>
      </c>
      <c r="K86" s="24" t="str">
        <f>IF(I86&lt;&gt;"",SUMIFS(JPK_KR!AL:AL,JPK_KR!W:W,J86),"")</f>
        <v/>
      </c>
      <c r="L86" s="126" t="str">
        <f>IF(I86&lt;&gt;"",SUMIFS(JPK_KR!AM:AM,JPK_KR!W:W,J86),"")</f>
        <v/>
      </c>
      <c r="P86" s="24" t="str">
        <f>IF(M86&lt;&gt;"",IF(O86="",SUMIFS(JPK_KR!AL:AL,JPK_KR!W:W,N86),SUMIFS(JPK_KR!BF:BF,JPK_KR!BE:BE,N86,JPK_KR!BG:BG,O86)),"")</f>
        <v/>
      </c>
      <c r="Q86" s="126" t="str">
        <f>IF(M86&lt;&gt;"",IF(O86="",SUMIFS(JPK_KR!AM:AM,JPK_KR!W:W,N86),SUMIFS(JPK_KR!BI:BI,JPK_KR!BH:BH,N86,JPK_KR!BJ:BJ,O86)),"")</f>
        <v/>
      </c>
      <c r="U86" s="24" t="str">
        <f>IF(R86&lt;&gt;"",SUMIFS(JPK_KR!AL:AL,JPK_KR!W:W,S86),"")</f>
        <v/>
      </c>
      <c r="V86" s="126" t="str">
        <f>IF(R86&lt;&gt;"",SUMIFS(JPK_KR!AM:AM,JPK_KR!W:W,S86),"")</f>
        <v/>
      </c>
    </row>
    <row r="87" spans="3:22" x14ac:dyDescent="0.3">
      <c r="C87" s="24" t="str">
        <f>IF(A87&lt;&gt;"",SUMIFS(JPK_KR!AL:AL,JPK_KR!W:W,B87),"")</f>
        <v/>
      </c>
      <c r="D87" s="126" t="str">
        <f>IF(A87&lt;&gt;"",SUMIFS(JPK_KR!AM:AM,JPK_KR!W:W,B87),"")</f>
        <v/>
      </c>
      <c r="G87" s="24" t="str">
        <f>IF(E87&lt;&gt;"",SUMIFS(JPK_KR!AL:AL,JPK_KR!W:W,F87),"")</f>
        <v/>
      </c>
      <c r="H87" s="126" t="str">
        <f>IF(E87&lt;&gt;"",SUMIFS(JPK_KR!AM:AM,JPK_KR!W:W,F87),"")</f>
        <v/>
      </c>
      <c r="K87" s="24" t="str">
        <f>IF(I87&lt;&gt;"",SUMIFS(JPK_KR!AL:AL,JPK_KR!W:W,J87),"")</f>
        <v/>
      </c>
      <c r="L87" s="126" t="str">
        <f>IF(I87&lt;&gt;"",SUMIFS(JPK_KR!AM:AM,JPK_KR!W:W,J87),"")</f>
        <v/>
      </c>
      <c r="P87" s="24" t="str">
        <f>IF(M87&lt;&gt;"",IF(O87="",SUMIFS(JPK_KR!AL:AL,JPK_KR!W:W,N87),SUMIFS(JPK_KR!BF:BF,JPK_KR!BE:BE,N87,JPK_KR!BG:BG,O87)),"")</f>
        <v/>
      </c>
      <c r="Q87" s="126" t="str">
        <f>IF(M87&lt;&gt;"",IF(O87="",SUMIFS(JPK_KR!AM:AM,JPK_KR!W:W,N87),SUMIFS(JPK_KR!BI:BI,JPK_KR!BH:BH,N87,JPK_KR!BJ:BJ,O87)),"")</f>
        <v/>
      </c>
      <c r="U87" s="24" t="str">
        <f>IF(R87&lt;&gt;"",SUMIFS(JPK_KR!AL:AL,JPK_KR!W:W,S87),"")</f>
        <v/>
      </c>
      <c r="V87" s="126" t="str">
        <f>IF(R87&lt;&gt;"",SUMIFS(JPK_KR!AM:AM,JPK_KR!W:W,S87),"")</f>
        <v/>
      </c>
    </row>
    <row r="88" spans="3:22" x14ac:dyDescent="0.3">
      <c r="C88" s="24" t="str">
        <f>IF(A88&lt;&gt;"",SUMIFS(JPK_KR!AL:AL,JPK_KR!W:W,B88),"")</f>
        <v/>
      </c>
      <c r="D88" s="126" t="str">
        <f>IF(A88&lt;&gt;"",SUMIFS(JPK_KR!AM:AM,JPK_KR!W:W,B88),"")</f>
        <v/>
      </c>
      <c r="G88" s="24" t="str">
        <f>IF(E88&lt;&gt;"",SUMIFS(JPK_KR!AL:AL,JPK_KR!W:W,F88),"")</f>
        <v/>
      </c>
      <c r="H88" s="126" t="str">
        <f>IF(E88&lt;&gt;"",SUMIFS(JPK_KR!AM:AM,JPK_KR!W:W,F88),"")</f>
        <v/>
      </c>
      <c r="K88" s="24" t="str">
        <f>IF(I88&lt;&gt;"",SUMIFS(JPK_KR!AL:AL,JPK_KR!W:W,J88),"")</f>
        <v/>
      </c>
      <c r="L88" s="126" t="str">
        <f>IF(I88&lt;&gt;"",SUMIFS(JPK_KR!AM:AM,JPK_KR!W:W,J88),"")</f>
        <v/>
      </c>
      <c r="P88" s="24" t="str">
        <f>IF(M88&lt;&gt;"",IF(O88="",SUMIFS(JPK_KR!AL:AL,JPK_KR!W:W,N88),SUMIFS(JPK_KR!BF:BF,JPK_KR!BE:BE,N88,JPK_KR!BG:BG,O88)),"")</f>
        <v/>
      </c>
      <c r="Q88" s="126" t="str">
        <f>IF(M88&lt;&gt;"",IF(O88="",SUMIFS(JPK_KR!AM:AM,JPK_KR!W:W,N88),SUMIFS(JPK_KR!BI:BI,JPK_KR!BH:BH,N88,JPK_KR!BJ:BJ,O88)),"")</f>
        <v/>
      </c>
      <c r="U88" s="24" t="str">
        <f>IF(R88&lt;&gt;"",SUMIFS(JPK_KR!AL:AL,JPK_KR!W:W,S88),"")</f>
        <v/>
      </c>
      <c r="V88" s="126" t="str">
        <f>IF(R88&lt;&gt;"",SUMIFS(JPK_KR!AM:AM,JPK_KR!W:W,S88),"")</f>
        <v/>
      </c>
    </row>
    <row r="89" spans="3:22" x14ac:dyDescent="0.3">
      <c r="C89" s="24" t="str">
        <f>IF(A89&lt;&gt;"",SUMIFS(JPK_KR!AL:AL,JPK_KR!W:W,B89),"")</f>
        <v/>
      </c>
      <c r="D89" s="126" t="str">
        <f>IF(A89&lt;&gt;"",SUMIFS(JPK_KR!AM:AM,JPK_KR!W:W,B89),"")</f>
        <v/>
      </c>
      <c r="G89" s="24" t="str">
        <f>IF(E89&lt;&gt;"",SUMIFS(JPK_KR!AL:AL,JPK_KR!W:W,F89),"")</f>
        <v/>
      </c>
      <c r="H89" s="126" t="str">
        <f>IF(E89&lt;&gt;"",SUMIFS(JPK_KR!AM:AM,JPK_KR!W:W,F89),"")</f>
        <v/>
      </c>
      <c r="K89" s="24" t="str">
        <f>IF(I89&lt;&gt;"",SUMIFS(JPK_KR!AL:AL,JPK_KR!W:W,J89),"")</f>
        <v/>
      </c>
      <c r="L89" s="126" t="str">
        <f>IF(I89&lt;&gt;"",SUMIFS(JPK_KR!AM:AM,JPK_KR!W:W,J89),"")</f>
        <v/>
      </c>
      <c r="P89" s="24" t="str">
        <f>IF(M89&lt;&gt;"",IF(O89="",SUMIFS(JPK_KR!AL:AL,JPK_KR!W:W,N89),SUMIFS(JPK_KR!BF:BF,JPK_KR!BE:BE,N89,JPK_KR!BG:BG,O89)),"")</f>
        <v/>
      </c>
      <c r="Q89" s="126" t="str">
        <f>IF(M89&lt;&gt;"",IF(O89="",SUMIFS(JPK_KR!AM:AM,JPK_KR!W:W,N89),SUMIFS(JPK_KR!BI:BI,JPK_KR!BH:BH,N89,JPK_KR!BJ:BJ,O89)),"")</f>
        <v/>
      </c>
      <c r="U89" s="24" t="str">
        <f>IF(R89&lt;&gt;"",SUMIFS(JPK_KR!AL:AL,JPK_KR!W:W,S89),"")</f>
        <v/>
      </c>
      <c r="V89" s="126" t="str">
        <f>IF(R89&lt;&gt;"",SUMIFS(JPK_KR!AM:AM,JPK_KR!W:W,S89),"")</f>
        <v/>
      </c>
    </row>
    <row r="90" spans="3:22" x14ac:dyDescent="0.3">
      <c r="C90" s="24" t="str">
        <f>IF(A90&lt;&gt;"",SUMIFS(JPK_KR!AL:AL,JPK_KR!W:W,B90),"")</f>
        <v/>
      </c>
      <c r="D90" s="126" t="str">
        <f>IF(A90&lt;&gt;"",SUMIFS(JPK_KR!AM:AM,JPK_KR!W:W,B90),"")</f>
        <v/>
      </c>
      <c r="G90" s="24" t="str">
        <f>IF(E90&lt;&gt;"",SUMIFS(JPK_KR!AL:AL,JPK_KR!W:W,F90),"")</f>
        <v/>
      </c>
      <c r="H90" s="126" t="str">
        <f>IF(E90&lt;&gt;"",SUMIFS(JPK_KR!AM:AM,JPK_KR!W:W,F90),"")</f>
        <v/>
      </c>
      <c r="K90" s="24" t="str">
        <f>IF(I90&lt;&gt;"",SUMIFS(JPK_KR!AL:AL,JPK_KR!W:W,J90),"")</f>
        <v/>
      </c>
      <c r="L90" s="126" t="str">
        <f>IF(I90&lt;&gt;"",SUMIFS(JPK_KR!AM:AM,JPK_KR!W:W,J90),"")</f>
        <v/>
      </c>
      <c r="P90" s="24" t="str">
        <f>IF(M90&lt;&gt;"",IF(O90="",SUMIFS(JPK_KR!AL:AL,JPK_KR!W:W,N90),SUMIFS(JPK_KR!BF:BF,JPK_KR!BE:BE,N90,JPK_KR!BG:BG,O90)),"")</f>
        <v/>
      </c>
      <c r="Q90" s="126" t="str">
        <f>IF(M90&lt;&gt;"",IF(O90="",SUMIFS(JPK_KR!AM:AM,JPK_KR!W:W,N90),SUMIFS(JPK_KR!BI:BI,JPK_KR!BH:BH,N90,JPK_KR!BJ:BJ,O90)),"")</f>
        <v/>
      </c>
      <c r="U90" s="24" t="str">
        <f>IF(R90&lt;&gt;"",SUMIFS(JPK_KR!AL:AL,JPK_KR!W:W,S90),"")</f>
        <v/>
      </c>
      <c r="V90" s="126" t="str">
        <f>IF(R90&lt;&gt;"",SUMIFS(JPK_KR!AM:AM,JPK_KR!W:W,S90),"")</f>
        <v/>
      </c>
    </row>
    <row r="91" spans="3:22" x14ac:dyDescent="0.3">
      <c r="C91" s="24" t="str">
        <f>IF(A91&lt;&gt;"",SUMIFS(JPK_KR!AL:AL,JPK_KR!W:W,B91),"")</f>
        <v/>
      </c>
      <c r="D91" s="126" t="str">
        <f>IF(A91&lt;&gt;"",SUMIFS(JPK_KR!AM:AM,JPK_KR!W:W,B91),"")</f>
        <v/>
      </c>
      <c r="G91" s="24" t="str">
        <f>IF(E91&lt;&gt;"",SUMIFS(JPK_KR!AL:AL,JPK_KR!W:W,F91),"")</f>
        <v/>
      </c>
      <c r="H91" s="126" t="str">
        <f>IF(E91&lt;&gt;"",SUMIFS(JPK_KR!AM:AM,JPK_KR!W:W,F91),"")</f>
        <v/>
      </c>
      <c r="K91" s="24" t="str">
        <f>IF(I91&lt;&gt;"",SUMIFS(JPK_KR!AL:AL,JPK_KR!W:W,J91),"")</f>
        <v/>
      </c>
      <c r="L91" s="126" t="str">
        <f>IF(I91&lt;&gt;"",SUMIFS(JPK_KR!AM:AM,JPK_KR!W:W,J91),"")</f>
        <v/>
      </c>
      <c r="P91" s="24" t="str">
        <f>IF(M91&lt;&gt;"",IF(O91="",SUMIFS(JPK_KR!AL:AL,JPK_KR!W:W,N91),SUMIFS(JPK_KR!BF:BF,JPK_KR!BE:BE,N91,JPK_KR!BG:BG,O91)),"")</f>
        <v/>
      </c>
      <c r="Q91" s="126" t="str">
        <f>IF(M91&lt;&gt;"",IF(O91="",SUMIFS(JPK_KR!AM:AM,JPK_KR!W:W,N91),SUMIFS(JPK_KR!BI:BI,JPK_KR!BH:BH,N91,JPK_KR!BJ:BJ,O91)),"")</f>
        <v/>
      </c>
      <c r="U91" s="24" t="str">
        <f>IF(R91&lt;&gt;"",SUMIFS(JPK_KR!AL:AL,JPK_KR!W:W,S91),"")</f>
        <v/>
      </c>
      <c r="V91" s="126" t="str">
        <f>IF(R91&lt;&gt;"",SUMIFS(JPK_KR!AM:AM,JPK_KR!W:W,S91),"")</f>
        <v/>
      </c>
    </row>
    <row r="92" spans="3:22" x14ac:dyDescent="0.3">
      <c r="C92" s="24" t="str">
        <f>IF(A92&lt;&gt;"",SUMIFS(JPK_KR!AL:AL,JPK_KR!W:W,B92),"")</f>
        <v/>
      </c>
      <c r="D92" s="126" t="str">
        <f>IF(A92&lt;&gt;"",SUMIFS(JPK_KR!AM:AM,JPK_KR!W:W,B92),"")</f>
        <v/>
      </c>
      <c r="G92" s="24" t="str">
        <f>IF(E92&lt;&gt;"",SUMIFS(JPK_KR!AL:AL,JPK_KR!W:W,F92),"")</f>
        <v/>
      </c>
      <c r="H92" s="126" t="str">
        <f>IF(E92&lt;&gt;"",SUMIFS(JPK_KR!AM:AM,JPK_KR!W:W,F92),"")</f>
        <v/>
      </c>
      <c r="K92" s="24" t="str">
        <f>IF(I92&lt;&gt;"",SUMIFS(JPK_KR!AL:AL,JPK_KR!W:W,J92),"")</f>
        <v/>
      </c>
      <c r="L92" s="126" t="str">
        <f>IF(I92&lt;&gt;"",SUMIFS(JPK_KR!AM:AM,JPK_KR!W:W,J92),"")</f>
        <v/>
      </c>
      <c r="P92" s="24" t="str">
        <f>IF(M92&lt;&gt;"",IF(O92="",SUMIFS(JPK_KR!AL:AL,JPK_KR!W:W,N92),SUMIFS(JPK_KR!BF:BF,JPK_KR!BE:BE,N92,JPK_KR!BG:BG,O92)),"")</f>
        <v/>
      </c>
      <c r="Q92" s="126" t="str">
        <f>IF(M92&lt;&gt;"",IF(O92="",SUMIFS(JPK_KR!AM:AM,JPK_KR!W:W,N92),SUMIFS(JPK_KR!BI:BI,JPK_KR!BH:BH,N92,JPK_KR!BJ:BJ,O92)),"")</f>
        <v/>
      </c>
      <c r="U92" s="24" t="str">
        <f>IF(R92&lt;&gt;"",SUMIFS(JPK_KR!AL:AL,JPK_KR!W:W,S92),"")</f>
        <v/>
      </c>
      <c r="V92" s="126" t="str">
        <f>IF(R92&lt;&gt;"",SUMIFS(JPK_KR!AM:AM,JPK_KR!W:W,S92),"")</f>
        <v/>
      </c>
    </row>
    <row r="93" spans="3:22" x14ac:dyDescent="0.3">
      <c r="C93" s="24" t="str">
        <f>IF(A93&lt;&gt;"",SUMIFS(JPK_KR!AL:AL,JPK_KR!W:W,B93),"")</f>
        <v/>
      </c>
      <c r="D93" s="126" t="str">
        <f>IF(A93&lt;&gt;"",SUMIFS(JPK_KR!AM:AM,JPK_KR!W:W,B93),"")</f>
        <v/>
      </c>
      <c r="G93" s="24" t="str">
        <f>IF(E93&lt;&gt;"",SUMIFS(JPK_KR!AL:AL,JPK_KR!W:W,F93),"")</f>
        <v/>
      </c>
      <c r="H93" s="126" t="str">
        <f>IF(E93&lt;&gt;"",SUMIFS(JPK_KR!AM:AM,JPK_KR!W:W,F93),"")</f>
        <v/>
      </c>
      <c r="K93" s="24" t="str">
        <f>IF(I93&lt;&gt;"",SUMIFS(JPK_KR!AL:AL,JPK_KR!W:W,J93),"")</f>
        <v/>
      </c>
      <c r="L93" s="126" t="str">
        <f>IF(I93&lt;&gt;"",SUMIFS(JPK_KR!AM:AM,JPK_KR!W:W,J93),"")</f>
        <v/>
      </c>
      <c r="P93" s="24" t="str">
        <f>IF(M93&lt;&gt;"",IF(O93="",SUMIFS(JPK_KR!AL:AL,JPK_KR!W:W,N93),SUMIFS(JPK_KR!BF:BF,JPK_KR!BE:BE,N93,JPK_KR!BG:BG,O93)),"")</f>
        <v/>
      </c>
      <c r="Q93" s="126" t="str">
        <f>IF(M93&lt;&gt;"",IF(O93="",SUMIFS(JPK_KR!AM:AM,JPK_KR!W:W,N93),SUMIFS(JPK_KR!BI:BI,JPK_KR!BH:BH,N93,JPK_KR!BJ:BJ,O93)),"")</f>
        <v/>
      </c>
      <c r="U93" s="24" t="str">
        <f>IF(R93&lt;&gt;"",SUMIFS(JPK_KR!AL:AL,JPK_KR!W:W,S93),"")</f>
        <v/>
      </c>
      <c r="V93" s="126" t="str">
        <f>IF(R93&lt;&gt;"",SUMIFS(JPK_KR!AM:AM,JPK_KR!W:W,S93),"")</f>
        <v/>
      </c>
    </row>
    <row r="94" spans="3:22" x14ac:dyDescent="0.3">
      <c r="C94" s="24" t="str">
        <f>IF(A94&lt;&gt;"",SUMIFS(JPK_KR!AL:AL,JPK_KR!W:W,B94),"")</f>
        <v/>
      </c>
      <c r="D94" s="126" t="str">
        <f>IF(A94&lt;&gt;"",SUMIFS(JPK_KR!AM:AM,JPK_KR!W:W,B94),"")</f>
        <v/>
      </c>
      <c r="G94" s="24" t="str">
        <f>IF(E94&lt;&gt;"",SUMIFS(JPK_KR!AL:AL,JPK_KR!W:W,F94),"")</f>
        <v/>
      </c>
      <c r="H94" s="126" t="str">
        <f>IF(E94&lt;&gt;"",SUMIFS(JPK_KR!AM:AM,JPK_KR!W:W,F94),"")</f>
        <v/>
      </c>
      <c r="K94" s="24" t="str">
        <f>IF(I94&lt;&gt;"",SUMIFS(JPK_KR!AL:AL,JPK_KR!W:W,J94),"")</f>
        <v/>
      </c>
      <c r="L94" s="126" t="str">
        <f>IF(I94&lt;&gt;"",SUMIFS(JPK_KR!AM:AM,JPK_KR!W:W,J94),"")</f>
        <v/>
      </c>
      <c r="P94" s="24" t="str">
        <f>IF(M94&lt;&gt;"",IF(O94="",SUMIFS(JPK_KR!AL:AL,JPK_KR!W:W,N94),SUMIFS(JPK_KR!BF:BF,JPK_KR!BE:BE,N94,JPK_KR!BG:BG,O94)),"")</f>
        <v/>
      </c>
      <c r="Q94" s="126" t="str">
        <f>IF(M94&lt;&gt;"",IF(O94="",SUMIFS(JPK_KR!AM:AM,JPK_KR!W:W,N94),SUMIFS(JPK_KR!BI:BI,JPK_KR!BH:BH,N94,JPK_KR!BJ:BJ,O94)),"")</f>
        <v/>
      </c>
      <c r="U94" s="24" t="str">
        <f>IF(R94&lt;&gt;"",SUMIFS(JPK_KR!AL:AL,JPK_KR!W:W,S94),"")</f>
        <v/>
      </c>
      <c r="V94" s="126" t="str">
        <f>IF(R94&lt;&gt;"",SUMIFS(JPK_KR!AM:AM,JPK_KR!W:W,S94),"")</f>
        <v/>
      </c>
    </row>
    <row r="95" spans="3:22" x14ac:dyDescent="0.3">
      <c r="C95" s="24" t="str">
        <f>IF(A95&lt;&gt;"",SUMIFS(JPK_KR!AL:AL,JPK_KR!W:W,B95),"")</f>
        <v/>
      </c>
      <c r="D95" s="126" t="str">
        <f>IF(A95&lt;&gt;"",SUMIFS(JPK_KR!AM:AM,JPK_KR!W:W,B95),"")</f>
        <v/>
      </c>
      <c r="G95" s="24" t="str">
        <f>IF(E95&lt;&gt;"",SUMIFS(JPK_KR!AL:AL,JPK_KR!W:W,F95),"")</f>
        <v/>
      </c>
      <c r="H95" s="126" t="str">
        <f>IF(E95&lt;&gt;"",SUMIFS(JPK_KR!AM:AM,JPK_KR!W:W,F95),"")</f>
        <v/>
      </c>
      <c r="K95" s="24" t="str">
        <f>IF(I95&lt;&gt;"",SUMIFS(JPK_KR!AL:AL,JPK_KR!W:W,J95),"")</f>
        <v/>
      </c>
      <c r="L95" s="126" t="str">
        <f>IF(I95&lt;&gt;"",SUMIFS(JPK_KR!AM:AM,JPK_KR!W:W,J95),"")</f>
        <v/>
      </c>
      <c r="P95" s="24" t="str">
        <f>IF(M95&lt;&gt;"",IF(O95="",SUMIFS(JPK_KR!AL:AL,JPK_KR!W:W,N95),SUMIFS(JPK_KR!BF:BF,JPK_KR!BE:BE,N95,JPK_KR!BG:BG,O95)),"")</f>
        <v/>
      </c>
      <c r="Q95" s="126" t="str">
        <f>IF(M95&lt;&gt;"",IF(O95="",SUMIFS(JPK_KR!AM:AM,JPK_KR!W:W,N95),SUMIFS(JPK_KR!BI:BI,JPK_KR!BH:BH,N95,JPK_KR!BJ:BJ,O95)),"")</f>
        <v/>
      </c>
      <c r="U95" s="24" t="str">
        <f>IF(R95&lt;&gt;"",SUMIFS(JPK_KR!AL:AL,JPK_KR!W:W,S95),"")</f>
        <v/>
      </c>
      <c r="V95" s="126" t="str">
        <f>IF(R95&lt;&gt;"",SUMIFS(JPK_KR!AM:AM,JPK_KR!W:W,S95),"")</f>
        <v/>
      </c>
    </row>
    <row r="96" spans="3:22" x14ac:dyDescent="0.3">
      <c r="C96" s="24" t="str">
        <f>IF(A96&lt;&gt;"",SUMIFS(JPK_KR!AL:AL,JPK_KR!W:W,B96),"")</f>
        <v/>
      </c>
      <c r="D96" s="126" t="str">
        <f>IF(A96&lt;&gt;"",SUMIFS(JPK_KR!AM:AM,JPK_KR!W:W,B96),"")</f>
        <v/>
      </c>
      <c r="G96" s="24" t="str">
        <f>IF(E96&lt;&gt;"",SUMIFS(JPK_KR!AL:AL,JPK_KR!W:W,F96),"")</f>
        <v/>
      </c>
      <c r="H96" s="126" t="str">
        <f>IF(E96&lt;&gt;"",SUMIFS(JPK_KR!AM:AM,JPK_KR!W:W,F96),"")</f>
        <v/>
      </c>
      <c r="K96" s="24" t="str">
        <f>IF(I96&lt;&gt;"",SUMIFS(JPK_KR!AL:AL,JPK_KR!W:W,J96),"")</f>
        <v/>
      </c>
      <c r="L96" s="126" t="str">
        <f>IF(I96&lt;&gt;"",SUMIFS(JPK_KR!AM:AM,JPK_KR!W:W,J96),"")</f>
        <v/>
      </c>
      <c r="P96" s="24" t="str">
        <f>IF(M96&lt;&gt;"",IF(O96="",SUMIFS(JPK_KR!AL:AL,JPK_KR!W:W,N96),SUMIFS(JPK_KR!BF:BF,JPK_KR!BE:BE,N96,JPK_KR!BG:BG,O96)),"")</f>
        <v/>
      </c>
      <c r="Q96" s="126" t="str">
        <f>IF(M96&lt;&gt;"",IF(O96="",SUMIFS(JPK_KR!AM:AM,JPK_KR!W:W,N96),SUMIFS(JPK_KR!BI:BI,JPK_KR!BH:BH,N96,JPK_KR!BJ:BJ,O96)),"")</f>
        <v/>
      </c>
      <c r="U96" s="24" t="str">
        <f>IF(R96&lt;&gt;"",SUMIFS(JPK_KR!AL:AL,JPK_KR!W:W,S96),"")</f>
        <v/>
      </c>
      <c r="V96" s="126" t="str">
        <f>IF(R96&lt;&gt;"",SUMIFS(JPK_KR!AM:AM,JPK_KR!W:W,S96),"")</f>
        <v/>
      </c>
    </row>
    <row r="97" spans="3:22" x14ac:dyDescent="0.3">
      <c r="C97" s="24" t="str">
        <f>IF(A97&lt;&gt;"",SUMIFS(JPK_KR!AL:AL,JPK_KR!W:W,B97),"")</f>
        <v/>
      </c>
      <c r="D97" s="126" t="str">
        <f>IF(A97&lt;&gt;"",SUMIFS(JPK_KR!AM:AM,JPK_KR!W:W,B97),"")</f>
        <v/>
      </c>
      <c r="G97" s="24" t="str">
        <f>IF(E97&lt;&gt;"",SUMIFS(JPK_KR!AL:AL,JPK_KR!W:W,F97),"")</f>
        <v/>
      </c>
      <c r="H97" s="126" t="str">
        <f>IF(E97&lt;&gt;"",SUMIFS(JPK_KR!AM:AM,JPK_KR!W:W,F97),"")</f>
        <v/>
      </c>
      <c r="K97" s="24" t="str">
        <f>IF(I97&lt;&gt;"",SUMIFS(JPK_KR!AL:AL,JPK_KR!W:W,J97),"")</f>
        <v/>
      </c>
      <c r="L97" s="126" t="str">
        <f>IF(I97&lt;&gt;"",SUMIFS(JPK_KR!AM:AM,JPK_KR!W:W,J97),"")</f>
        <v/>
      </c>
      <c r="P97" s="24" t="str">
        <f>IF(M97&lt;&gt;"",IF(O97="",SUMIFS(JPK_KR!AL:AL,JPK_KR!W:W,N97),SUMIFS(JPK_KR!BF:BF,JPK_KR!BE:BE,N97,JPK_KR!BG:BG,O97)),"")</f>
        <v/>
      </c>
      <c r="Q97" s="126" t="str">
        <f>IF(M97&lt;&gt;"",IF(O97="",SUMIFS(JPK_KR!AM:AM,JPK_KR!W:W,N97),SUMIFS(JPK_KR!BI:BI,JPK_KR!BH:BH,N97,JPK_KR!BJ:BJ,O97)),"")</f>
        <v/>
      </c>
      <c r="U97" s="24" t="str">
        <f>IF(R97&lt;&gt;"",SUMIFS(JPK_KR!AL:AL,JPK_KR!W:W,S97),"")</f>
        <v/>
      </c>
      <c r="V97" s="126" t="str">
        <f>IF(R97&lt;&gt;"",SUMIFS(JPK_KR!AM:AM,JPK_KR!W:W,S97),"")</f>
        <v/>
      </c>
    </row>
    <row r="98" spans="3:22" x14ac:dyDescent="0.3">
      <c r="C98" s="24" t="str">
        <f>IF(A98&lt;&gt;"",SUMIFS(JPK_KR!AL:AL,JPK_KR!W:W,B98),"")</f>
        <v/>
      </c>
      <c r="D98" s="126" t="str">
        <f>IF(A98&lt;&gt;"",SUMIFS(JPK_KR!AM:AM,JPK_KR!W:W,B98),"")</f>
        <v/>
      </c>
      <c r="G98" s="24" t="str">
        <f>IF(E98&lt;&gt;"",SUMIFS(JPK_KR!AL:AL,JPK_KR!W:W,F98),"")</f>
        <v/>
      </c>
      <c r="H98" s="126" t="str">
        <f>IF(E98&lt;&gt;"",SUMIFS(JPK_KR!AM:AM,JPK_KR!W:W,F98),"")</f>
        <v/>
      </c>
      <c r="K98" s="24" t="str">
        <f>IF(I98&lt;&gt;"",SUMIFS(JPK_KR!AL:AL,JPK_KR!W:W,J98),"")</f>
        <v/>
      </c>
      <c r="L98" s="126" t="str">
        <f>IF(I98&lt;&gt;"",SUMIFS(JPK_KR!AM:AM,JPK_KR!W:W,J98),"")</f>
        <v/>
      </c>
      <c r="P98" s="24" t="str">
        <f>IF(M98&lt;&gt;"",IF(O98="",SUMIFS(JPK_KR!AL:AL,JPK_KR!W:W,N98),SUMIFS(JPK_KR!BF:BF,JPK_KR!BE:BE,N98,JPK_KR!BG:BG,O98)),"")</f>
        <v/>
      </c>
      <c r="Q98" s="126" t="str">
        <f>IF(M98&lt;&gt;"",IF(O98="",SUMIFS(JPK_KR!AM:AM,JPK_KR!W:W,N98),SUMIFS(JPK_KR!BI:BI,JPK_KR!BH:BH,N98,JPK_KR!BJ:BJ,O98)),"")</f>
        <v/>
      </c>
      <c r="U98" s="24" t="str">
        <f>IF(R98&lt;&gt;"",SUMIFS(JPK_KR!AL:AL,JPK_KR!W:W,S98),"")</f>
        <v/>
      </c>
      <c r="V98" s="126" t="str">
        <f>IF(R98&lt;&gt;"",SUMIFS(JPK_KR!AM:AM,JPK_KR!W:W,S98),"")</f>
        <v/>
      </c>
    </row>
    <row r="99" spans="3:22" x14ac:dyDescent="0.3">
      <c r="C99" s="24" t="str">
        <f>IF(A99&lt;&gt;"",SUMIFS(JPK_KR!AL:AL,JPK_KR!W:W,B99),"")</f>
        <v/>
      </c>
      <c r="D99" s="126" t="str">
        <f>IF(A99&lt;&gt;"",SUMIFS(JPK_KR!AM:AM,JPK_KR!W:W,B99),"")</f>
        <v/>
      </c>
      <c r="G99" s="24" t="str">
        <f>IF(E99&lt;&gt;"",SUMIFS(JPK_KR!AL:AL,JPK_KR!W:W,F99),"")</f>
        <v/>
      </c>
      <c r="H99" s="126" t="str">
        <f>IF(E99&lt;&gt;"",SUMIFS(JPK_KR!AM:AM,JPK_KR!W:W,F99),"")</f>
        <v/>
      </c>
      <c r="K99" s="24" t="str">
        <f>IF(I99&lt;&gt;"",SUMIFS(JPK_KR!AL:AL,JPK_KR!W:W,J99),"")</f>
        <v/>
      </c>
      <c r="L99" s="126" t="str">
        <f>IF(I99&lt;&gt;"",SUMIFS(JPK_KR!AM:AM,JPK_KR!W:W,J99),"")</f>
        <v/>
      </c>
      <c r="P99" s="24" t="str">
        <f>IF(M99&lt;&gt;"",IF(O99="",SUMIFS(JPK_KR!AL:AL,JPK_KR!W:W,N99),SUMIFS(JPK_KR!BF:BF,JPK_KR!BE:BE,N99,JPK_KR!BG:BG,O99)),"")</f>
        <v/>
      </c>
      <c r="Q99" s="126" t="str">
        <f>IF(M99&lt;&gt;"",IF(O99="",SUMIFS(JPK_KR!AM:AM,JPK_KR!W:W,N99),SUMIFS(JPK_KR!BI:BI,JPK_KR!BH:BH,N99,JPK_KR!BJ:BJ,O99)),"")</f>
        <v/>
      </c>
      <c r="U99" s="24" t="str">
        <f>IF(R99&lt;&gt;"",SUMIFS(JPK_KR!AL:AL,JPK_KR!W:W,S99),"")</f>
        <v/>
      </c>
      <c r="V99" s="126" t="str">
        <f>IF(R99&lt;&gt;"",SUMIFS(JPK_KR!AM:AM,JPK_KR!W:W,S99),"")</f>
        <v/>
      </c>
    </row>
    <row r="100" spans="3:22" x14ac:dyDescent="0.3">
      <c r="C100" s="24" t="str">
        <f>IF(A100&lt;&gt;"",SUMIFS(JPK_KR!AL:AL,JPK_KR!W:W,B100),"")</f>
        <v/>
      </c>
      <c r="D100" s="126" t="str">
        <f>IF(A100&lt;&gt;"",SUMIFS(JPK_KR!AM:AM,JPK_KR!W:W,B100),"")</f>
        <v/>
      </c>
      <c r="G100" s="24" t="str">
        <f>IF(E100&lt;&gt;"",SUMIFS(JPK_KR!AL:AL,JPK_KR!W:W,F100),"")</f>
        <v/>
      </c>
      <c r="H100" s="126" t="str">
        <f>IF(E100&lt;&gt;"",SUMIFS(JPK_KR!AM:AM,JPK_KR!W:W,F100),"")</f>
        <v/>
      </c>
      <c r="K100" s="24" t="str">
        <f>IF(I100&lt;&gt;"",SUMIFS(JPK_KR!AL:AL,JPK_KR!W:W,J100),"")</f>
        <v/>
      </c>
      <c r="L100" s="126" t="str">
        <f>IF(I100&lt;&gt;"",SUMIFS(JPK_KR!AM:AM,JPK_KR!W:W,J100),"")</f>
        <v/>
      </c>
      <c r="P100" s="24" t="str">
        <f>IF(M100&lt;&gt;"",IF(O100="",SUMIFS(JPK_KR!AL:AL,JPK_KR!W:W,N100),SUMIFS(JPK_KR!BF:BF,JPK_KR!BE:BE,N100,JPK_KR!BG:BG,O100)),"")</f>
        <v/>
      </c>
      <c r="Q100" s="126" t="str">
        <f>IF(M100&lt;&gt;"",IF(O100="",SUMIFS(JPK_KR!AM:AM,JPK_KR!W:W,N100),SUMIFS(JPK_KR!BI:BI,JPK_KR!BH:BH,N100,JPK_KR!BJ:BJ,O100)),"")</f>
        <v/>
      </c>
      <c r="U100" s="24" t="str">
        <f>IF(R100&lt;&gt;"",SUMIFS(JPK_KR!AL:AL,JPK_KR!W:W,S100),"")</f>
        <v/>
      </c>
      <c r="V100" s="126" t="str">
        <f>IF(R100&lt;&gt;"",SUMIFS(JPK_KR!AM:AM,JPK_KR!W:W,S100),"")</f>
        <v/>
      </c>
    </row>
    <row r="101" spans="3:22" x14ac:dyDescent="0.3">
      <c r="C101" s="24" t="str">
        <f>IF(A101&lt;&gt;"",SUMIFS(JPK_KR!AL:AL,JPK_KR!W:W,B101),"")</f>
        <v/>
      </c>
      <c r="D101" s="126" t="str">
        <f>IF(A101&lt;&gt;"",SUMIFS(JPK_KR!AM:AM,JPK_KR!W:W,B101),"")</f>
        <v/>
      </c>
      <c r="G101" s="24" t="str">
        <f>IF(E101&lt;&gt;"",SUMIFS(JPK_KR!AL:AL,JPK_KR!W:W,F101),"")</f>
        <v/>
      </c>
      <c r="H101" s="126" t="str">
        <f>IF(E101&lt;&gt;"",SUMIFS(JPK_KR!AM:AM,JPK_KR!W:W,F101),"")</f>
        <v/>
      </c>
      <c r="K101" s="24" t="str">
        <f>IF(I101&lt;&gt;"",SUMIFS(JPK_KR!AL:AL,JPK_KR!W:W,J101),"")</f>
        <v/>
      </c>
      <c r="L101" s="126" t="str">
        <f>IF(I101&lt;&gt;"",SUMIFS(JPK_KR!AM:AM,JPK_KR!W:W,J101),"")</f>
        <v/>
      </c>
      <c r="P101" s="24" t="str">
        <f>IF(M101&lt;&gt;"",IF(O101="",SUMIFS(JPK_KR!AL:AL,JPK_KR!W:W,N101),SUMIFS(JPK_KR!BF:BF,JPK_KR!BE:BE,N101,JPK_KR!BG:BG,O101)),"")</f>
        <v/>
      </c>
      <c r="Q101" s="126" t="str">
        <f>IF(M101&lt;&gt;"",IF(O101="",SUMIFS(JPK_KR!AM:AM,JPK_KR!W:W,N101),SUMIFS(JPK_KR!BI:BI,JPK_KR!BH:BH,N101,JPK_KR!BJ:BJ,O101)),"")</f>
        <v/>
      </c>
      <c r="U101" s="24" t="str">
        <f>IF(R101&lt;&gt;"",SUMIFS(JPK_KR!AL:AL,JPK_KR!W:W,S101),"")</f>
        <v/>
      </c>
      <c r="V101" s="126" t="str">
        <f>IF(R101&lt;&gt;"",SUMIFS(JPK_KR!AM:AM,JPK_KR!W:W,S101),"")</f>
        <v/>
      </c>
    </row>
    <row r="102" spans="3:22" x14ac:dyDescent="0.3">
      <c r="C102" s="24" t="str">
        <f>IF(A102&lt;&gt;"",SUMIFS(JPK_KR!AL:AL,JPK_KR!W:W,B102),"")</f>
        <v/>
      </c>
      <c r="D102" s="126" t="str">
        <f>IF(A102&lt;&gt;"",SUMIFS(JPK_KR!AM:AM,JPK_KR!W:W,B102),"")</f>
        <v/>
      </c>
      <c r="G102" s="24" t="str">
        <f>IF(E102&lt;&gt;"",SUMIFS(JPK_KR!AL:AL,JPK_KR!W:W,F102),"")</f>
        <v/>
      </c>
      <c r="H102" s="126" t="str">
        <f>IF(E102&lt;&gt;"",SUMIFS(JPK_KR!AM:AM,JPK_KR!W:W,F102),"")</f>
        <v/>
      </c>
      <c r="K102" s="24" t="str">
        <f>IF(I102&lt;&gt;"",SUMIFS(JPK_KR!AL:AL,JPK_KR!W:W,J102),"")</f>
        <v/>
      </c>
      <c r="L102" s="126" t="str">
        <f>IF(I102&lt;&gt;"",SUMIFS(JPK_KR!AM:AM,JPK_KR!W:W,J102),"")</f>
        <v/>
      </c>
      <c r="P102" s="24" t="str">
        <f>IF(M102&lt;&gt;"",IF(O102="",SUMIFS(JPK_KR!AL:AL,JPK_KR!W:W,N102),SUMIFS(JPK_KR!BF:BF,JPK_KR!BE:BE,N102,JPK_KR!BG:BG,O102)),"")</f>
        <v/>
      </c>
      <c r="Q102" s="126" t="str">
        <f>IF(M102&lt;&gt;"",IF(O102="",SUMIFS(JPK_KR!AM:AM,JPK_KR!W:W,N102),SUMIFS(JPK_KR!BI:BI,JPK_KR!BH:BH,N102,JPK_KR!BJ:BJ,O102)),"")</f>
        <v/>
      </c>
      <c r="U102" s="24" t="str">
        <f>IF(R102&lt;&gt;"",SUMIFS(JPK_KR!AL:AL,JPK_KR!W:W,S102),"")</f>
        <v/>
      </c>
      <c r="V102" s="126" t="str">
        <f>IF(R102&lt;&gt;"",SUMIFS(JPK_KR!AM:AM,JPK_KR!W:W,S102),"")</f>
        <v/>
      </c>
    </row>
    <row r="103" spans="3:22" x14ac:dyDescent="0.3">
      <c r="C103" s="24" t="str">
        <f>IF(A103&lt;&gt;"",SUMIFS(JPK_KR!AL:AL,JPK_KR!W:W,B103),"")</f>
        <v/>
      </c>
      <c r="D103" s="126" t="str">
        <f>IF(A103&lt;&gt;"",SUMIFS(JPK_KR!AM:AM,JPK_KR!W:W,B103),"")</f>
        <v/>
      </c>
      <c r="G103" s="24" t="str">
        <f>IF(E103&lt;&gt;"",SUMIFS(JPK_KR!AL:AL,JPK_KR!W:W,F103),"")</f>
        <v/>
      </c>
      <c r="H103" s="126" t="str">
        <f>IF(E103&lt;&gt;"",SUMIFS(JPK_KR!AM:AM,JPK_KR!W:W,F103),"")</f>
        <v/>
      </c>
      <c r="K103" s="24" t="str">
        <f>IF(I103&lt;&gt;"",SUMIFS(JPK_KR!AL:AL,JPK_KR!W:W,J103),"")</f>
        <v/>
      </c>
      <c r="L103" s="126" t="str">
        <f>IF(I103&lt;&gt;"",SUMIFS(JPK_KR!AM:AM,JPK_KR!W:W,J103),"")</f>
        <v/>
      </c>
      <c r="P103" s="24" t="str">
        <f>IF(M103&lt;&gt;"",IF(O103="",SUMIFS(JPK_KR!AL:AL,JPK_KR!W:W,N103),SUMIFS(JPK_KR!BF:BF,JPK_KR!BE:BE,N103,JPK_KR!BG:BG,O103)),"")</f>
        <v/>
      </c>
      <c r="Q103" s="126" t="str">
        <f>IF(M103&lt;&gt;"",IF(O103="",SUMIFS(JPK_KR!AM:AM,JPK_KR!W:W,N103),SUMIFS(JPK_KR!BI:BI,JPK_KR!BH:BH,N103,JPK_KR!BJ:BJ,O103)),"")</f>
        <v/>
      </c>
      <c r="U103" s="24" t="str">
        <f>IF(R103&lt;&gt;"",SUMIFS(JPK_KR!AL:AL,JPK_KR!W:W,S103),"")</f>
        <v/>
      </c>
      <c r="V103" s="126" t="str">
        <f>IF(R103&lt;&gt;"",SUMIFS(JPK_KR!AM:AM,JPK_KR!W:W,S103),"")</f>
        <v/>
      </c>
    </row>
    <row r="104" spans="3:22" x14ac:dyDescent="0.3">
      <c r="C104" s="24" t="str">
        <f>IF(A104&lt;&gt;"",SUMIFS(JPK_KR!AL:AL,JPK_KR!W:W,B104),"")</f>
        <v/>
      </c>
      <c r="D104" s="126" t="str">
        <f>IF(A104&lt;&gt;"",SUMIFS(JPK_KR!AM:AM,JPK_KR!W:W,B104),"")</f>
        <v/>
      </c>
      <c r="G104" s="24" t="str">
        <f>IF(E104&lt;&gt;"",SUMIFS(JPK_KR!AL:AL,JPK_KR!W:W,F104),"")</f>
        <v/>
      </c>
      <c r="H104" s="126" t="str">
        <f>IF(E104&lt;&gt;"",SUMIFS(JPK_KR!AM:AM,JPK_KR!W:W,F104),"")</f>
        <v/>
      </c>
      <c r="K104" s="24" t="str">
        <f>IF(I104&lt;&gt;"",SUMIFS(JPK_KR!AL:AL,JPK_KR!W:W,J104),"")</f>
        <v/>
      </c>
      <c r="L104" s="126" t="str">
        <f>IF(I104&lt;&gt;"",SUMIFS(JPK_KR!AM:AM,JPK_KR!W:W,J104),"")</f>
        <v/>
      </c>
      <c r="P104" s="24" t="str">
        <f>IF(M104&lt;&gt;"",IF(O104="",SUMIFS(JPK_KR!AL:AL,JPK_KR!W:W,N104),SUMIFS(JPK_KR!BF:BF,JPK_KR!BE:BE,N104,JPK_KR!BG:BG,O104)),"")</f>
        <v/>
      </c>
      <c r="Q104" s="126" t="str">
        <f>IF(M104&lt;&gt;"",IF(O104="",SUMIFS(JPK_KR!AM:AM,JPK_KR!W:W,N104),SUMIFS(JPK_KR!BI:BI,JPK_KR!BH:BH,N104,JPK_KR!BJ:BJ,O104)),"")</f>
        <v/>
      </c>
      <c r="U104" s="24" t="str">
        <f>IF(R104&lt;&gt;"",SUMIFS(JPK_KR!AL:AL,JPK_KR!W:W,S104),"")</f>
        <v/>
      </c>
      <c r="V104" s="126" t="str">
        <f>IF(R104&lt;&gt;"",SUMIFS(JPK_KR!AM:AM,JPK_KR!W:W,S104),"")</f>
        <v/>
      </c>
    </row>
    <row r="105" spans="3:22" x14ac:dyDescent="0.3">
      <c r="C105" s="24" t="str">
        <f>IF(A105&lt;&gt;"",SUMIFS(JPK_KR!AL:AL,JPK_KR!W:W,B105),"")</f>
        <v/>
      </c>
      <c r="D105" s="126" t="str">
        <f>IF(A105&lt;&gt;"",SUMIFS(JPK_KR!AM:AM,JPK_KR!W:W,B105),"")</f>
        <v/>
      </c>
      <c r="G105" s="24" t="str">
        <f>IF(E105&lt;&gt;"",SUMIFS(JPK_KR!AL:AL,JPK_KR!W:W,F105),"")</f>
        <v/>
      </c>
      <c r="H105" s="126" t="str">
        <f>IF(E105&lt;&gt;"",SUMIFS(JPK_KR!AM:AM,JPK_KR!W:W,F105),"")</f>
        <v/>
      </c>
      <c r="K105" s="24" t="str">
        <f>IF(I105&lt;&gt;"",SUMIFS(JPK_KR!AL:AL,JPK_KR!W:W,J105),"")</f>
        <v/>
      </c>
      <c r="L105" s="126" t="str">
        <f>IF(I105&lt;&gt;"",SUMIFS(JPK_KR!AM:AM,JPK_KR!W:W,J105),"")</f>
        <v/>
      </c>
      <c r="P105" s="24" t="str">
        <f>IF(M105&lt;&gt;"",IF(O105="",SUMIFS(JPK_KR!AL:AL,JPK_KR!W:W,N105),SUMIFS(JPK_KR!BF:BF,JPK_KR!BE:BE,N105,JPK_KR!BG:BG,O105)),"")</f>
        <v/>
      </c>
      <c r="Q105" s="126" t="str">
        <f>IF(M105&lt;&gt;"",IF(O105="",SUMIFS(JPK_KR!AM:AM,JPK_KR!W:W,N105),SUMIFS(JPK_KR!BI:BI,JPK_KR!BH:BH,N105,JPK_KR!BJ:BJ,O105)),"")</f>
        <v/>
      </c>
      <c r="U105" s="24" t="str">
        <f>IF(R105&lt;&gt;"",SUMIFS(JPK_KR!AL:AL,JPK_KR!W:W,S105),"")</f>
        <v/>
      </c>
      <c r="V105" s="126" t="str">
        <f>IF(R105&lt;&gt;"",SUMIFS(JPK_KR!AM:AM,JPK_KR!W:W,S105),"")</f>
        <v/>
      </c>
    </row>
    <row r="106" spans="3:22" x14ac:dyDescent="0.3">
      <c r="C106" s="24" t="str">
        <f>IF(A106&lt;&gt;"",SUMIFS(JPK_KR!AL:AL,JPK_KR!W:W,B106),"")</f>
        <v/>
      </c>
      <c r="D106" s="126" t="str">
        <f>IF(A106&lt;&gt;"",SUMIFS(JPK_KR!AM:AM,JPK_KR!W:W,B106),"")</f>
        <v/>
      </c>
      <c r="G106" s="24" t="str">
        <f>IF(E106&lt;&gt;"",SUMIFS(JPK_KR!AL:AL,JPK_KR!W:W,F106),"")</f>
        <v/>
      </c>
      <c r="H106" s="126" t="str">
        <f>IF(E106&lt;&gt;"",SUMIFS(JPK_KR!AM:AM,JPK_KR!W:W,F106),"")</f>
        <v/>
      </c>
      <c r="K106" s="24" t="str">
        <f>IF(I106&lt;&gt;"",SUMIFS(JPK_KR!AL:AL,JPK_KR!W:W,J106),"")</f>
        <v/>
      </c>
      <c r="L106" s="126" t="str">
        <f>IF(I106&lt;&gt;"",SUMIFS(JPK_KR!AM:AM,JPK_KR!W:W,J106),"")</f>
        <v/>
      </c>
      <c r="P106" s="24" t="str">
        <f>IF(M106&lt;&gt;"",IF(O106="",SUMIFS(JPK_KR!AL:AL,JPK_KR!W:W,N106),SUMIFS(JPK_KR!BF:BF,JPK_KR!BE:BE,N106,JPK_KR!BG:BG,O106)),"")</f>
        <v/>
      </c>
      <c r="Q106" s="126" t="str">
        <f>IF(M106&lt;&gt;"",IF(O106="",SUMIFS(JPK_KR!AM:AM,JPK_KR!W:W,N106),SUMIFS(JPK_KR!BI:BI,JPK_KR!BH:BH,N106,JPK_KR!BJ:BJ,O106)),"")</f>
        <v/>
      </c>
      <c r="U106" s="24" t="str">
        <f>IF(R106&lt;&gt;"",SUMIFS(JPK_KR!AL:AL,JPK_KR!W:W,S106),"")</f>
        <v/>
      </c>
      <c r="V106" s="126" t="str">
        <f>IF(R106&lt;&gt;"",SUMIFS(JPK_KR!AM:AM,JPK_KR!W:W,S106),"")</f>
        <v/>
      </c>
    </row>
    <row r="107" spans="3:22" x14ac:dyDescent="0.3">
      <c r="C107" s="24" t="str">
        <f>IF(A107&lt;&gt;"",SUMIFS(JPK_KR!AL:AL,JPK_KR!W:W,B107),"")</f>
        <v/>
      </c>
      <c r="D107" s="126" t="str">
        <f>IF(A107&lt;&gt;"",SUMIFS(JPK_KR!AM:AM,JPK_KR!W:W,B107),"")</f>
        <v/>
      </c>
      <c r="G107" s="24" t="str">
        <f>IF(E107&lt;&gt;"",SUMIFS(JPK_KR!AL:AL,JPK_KR!W:W,F107),"")</f>
        <v/>
      </c>
      <c r="H107" s="126" t="str">
        <f>IF(E107&lt;&gt;"",SUMIFS(JPK_KR!AM:AM,JPK_KR!W:W,F107),"")</f>
        <v/>
      </c>
      <c r="K107" s="24" t="str">
        <f>IF(I107&lt;&gt;"",SUMIFS(JPK_KR!AL:AL,JPK_KR!W:W,J107),"")</f>
        <v/>
      </c>
      <c r="L107" s="126" t="str">
        <f>IF(I107&lt;&gt;"",SUMIFS(JPK_KR!AM:AM,JPK_KR!W:W,J107),"")</f>
        <v/>
      </c>
      <c r="P107" s="24" t="str">
        <f>IF(M107&lt;&gt;"",IF(O107="",SUMIFS(JPK_KR!AL:AL,JPK_KR!W:W,N107),SUMIFS(JPK_KR!BF:BF,JPK_KR!BE:BE,N107,JPK_KR!BG:BG,O107)),"")</f>
        <v/>
      </c>
      <c r="Q107" s="126" t="str">
        <f>IF(M107&lt;&gt;"",IF(O107="",SUMIFS(JPK_KR!AM:AM,JPK_KR!W:W,N107),SUMIFS(JPK_KR!BI:BI,JPK_KR!BH:BH,N107,JPK_KR!BJ:BJ,O107)),"")</f>
        <v/>
      </c>
      <c r="U107" s="24" t="str">
        <f>IF(R107&lt;&gt;"",SUMIFS(JPK_KR!AL:AL,JPK_KR!W:W,S107),"")</f>
        <v/>
      </c>
      <c r="V107" s="126" t="str">
        <f>IF(R107&lt;&gt;"",SUMIFS(JPK_KR!AM:AM,JPK_KR!W:W,S107),"")</f>
        <v/>
      </c>
    </row>
    <row r="108" spans="3:22" x14ac:dyDescent="0.3">
      <c r="C108" s="24" t="str">
        <f>IF(A108&lt;&gt;"",SUMIFS(JPK_KR!AL:AL,JPK_KR!W:W,B108),"")</f>
        <v/>
      </c>
      <c r="D108" s="126" t="str">
        <f>IF(A108&lt;&gt;"",SUMIFS(JPK_KR!AM:AM,JPK_KR!W:W,B108),"")</f>
        <v/>
      </c>
      <c r="G108" s="24" t="str">
        <f>IF(E108&lt;&gt;"",SUMIFS(JPK_KR!AL:AL,JPK_KR!W:W,F108),"")</f>
        <v/>
      </c>
      <c r="H108" s="126" t="str">
        <f>IF(E108&lt;&gt;"",SUMIFS(JPK_KR!AM:AM,JPK_KR!W:W,F108),"")</f>
        <v/>
      </c>
      <c r="K108" s="24" t="str">
        <f>IF(I108&lt;&gt;"",SUMIFS(JPK_KR!AL:AL,JPK_KR!W:W,J108),"")</f>
        <v/>
      </c>
      <c r="L108" s="126" t="str">
        <f>IF(I108&lt;&gt;"",SUMIFS(JPK_KR!AM:AM,JPK_KR!W:W,J108),"")</f>
        <v/>
      </c>
      <c r="P108" s="24" t="str">
        <f>IF(M108&lt;&gt;"",IF(O108="",SUMIFS(JPK_KR!AL:AL,JPK_KR!W:W,N108),SUMIFS(JPK_KR!BF:BF,JPK_KR!BE:BE,N108,JPK_KR!BG:BG,O108)),"")</f>
        <v/>
      </c>
      <c r="Q108" s="126" t="str">
        <f>IF(M108&lt;&gt;"",IF(O108="",SUMIFS(JPK_KR!AM:AM,JPK_KR!W:W,N108),SUMIFS(JPK_KR!BI:BI,JPK_KR!BH:BH,N108,JPK_KR!BJ:BJ,O108)),"")</f>
        <v/>
      </c>
      <c r="U108" s="24" t="str">
        <f>IF(R108&lt;&gt;"",SUMIFS(JPK_KR!AL:AL,JPK_KR!W:W,S108),"")</f>
        <v/>
      </c>
      <c r="V108" s="126" t="str">
        <f>IF(R108&lt;&gt;"",SUMIFS(JPK_KR!AM:AM,JPK_KR!W:W,S108),"")</f>
        <v/>
      </c>
    </row>
    <row r="109" spans="3:22" x14ac:dyDescent="0.3">
      <c r="C109" s="24" t="str">
        <f>IF(A109&lt;&gt;"",SUMIFS(JPK_KR!AL:AL,JPK_KR!W:W,B109),"")</f>
        <v/>
      </c>
      <c r="D109" s="126" t="str">
        <f>IF(A109&lt;&gt;"",SUMIFS(JPK_KR!AM:AM,JPK_KR!W:W,B109),"")</f>
        <v/>
      </c>
      <c r="G109" s="24" t="str">
        <f>IF(E109&lt;&gt;"",SUMIFS(JPK_KR!AL:AL,JPK_KR!W:W,F109),"")</f>
        <v/>
      </c>
      <c r="H109" s="126" t="str">
        <f>IF(E109&lt;&gt;"",SUMIFS(JPK_KR!AM:AM,JPK_KR!W:W,F109),"")</f>
        <v/>
      </c>
      <c r="K109" s="24" t="str">
        <f>IF(I109&lt;&gt;"",SUMIFS(JPK_KR!AL:AL,JPK_KR!W:W,J109),"")</f>
        <v/>
      </c>
      <c r="L109" s="126" t="str">
        <f>IF(I109&lt;&gt;"",SUMIFS(JPK_KR!AM:AM,JPK_KR!W:W,J109),"")</f>
        <v/>
      </c>
      <c r="P109" s="24" t="str">
        <f>IF(M109&lt;&gt;"",IF(O109="",SUMIFS(JPK_KR!AL:AL,JPK_KR!W:W,N109),SUMIFS(JPK_KR!BF:BF,JPK_KR!BE:BE,N109,JPK_KR!BG:BG,O109)),"")</f>
        <v/>
      </c>
      <c r="Q109" s="126" t="str">
        <f>IF(M109&lt;&gt;"",IF(O109="",SUMIFS(JPK_KR!AM:AM,JPK_KR!W:W,N109),SUMIFS(JPK_KR!BI:BI,JPK_KR!BH:BH,N109,JPK_KR!BJ:BJ,O109)),"")</f>
        <v/>
      </c>
      <c r="U109" s="24" t="str">
        <f>IF(R109&lt;&gt;"",SUMIFS(JPK_KR!AL:AL,JPK_KR!W:W,S109),"")</f>
        <v/>
      </c>
      <c r="V109" s="126" t="str">
        <f>IF(R109&lt;&gt;"",SUMIFS(JPK_KR!AM:AM,JPK_KR!W:W,S109),"")</f>
        <v/>
      </c>
    </row>
    <row r="110" spans="3:22" x14ac:dyDescent="0.3">
      <c r="C110" s="24" t="str">
        <f>IF(A110&lt;&gt;"",SUMIFS(JPK_KR!AL:AL,JPK_KR!W:W,B110),"")</f>
        <v/>
      </c>
      <c r="D110" s="126" t="str">
        <f>IF(A110&lt;&gt;"",SUMIFS(JPK_KR!AM:AM,JPK_KR!W:W,B110),"")</f>
        <v/>
      </c>
      <c r="G110" s="24" t="str">
        <f>IF(E110&lt;&gt;"",SUMIFS(JPK_KR!AL:AL,JPK_KR!W:W,F110),"")</f>
        <v/>
      </c>
      <c r="H110" s="126" t="str">
        <f>IF(E110&lt;&gt;"",SUMIFS(JPK_KR!AM:AM,JPK_KR!W:W,F110),"")</f>
        <v/>
      </c>
      <c r="K110" s="24" t="str">
        <f>IF(I110&lt;&gt;"",SUMIFS(JPK_KR!AL:AL,JPK_KR!W:W,J110),"")</f>
        <v/>
      </c>
      <c r="L110" s="126" t="str">
        <f>IF(I110&lt;&gt;"",SUMIFS(JPK_KR!AM:AM,JPK_KR!W:W,J110),"")</f>
        <v/>
      </c>
      <c r="P110" s="24" t="str">
        <f>IF(M110&lt;&gt;"",IF(O110="",SUMIFS(JPK_KR!AL:AL,JPK_KR!W:W,N110),SUMIFS(JPK_KR!BF:BF,JPK_KR!BE:BE,N110,JPK_KR!BG:BG,O110)),"")</f>
        <v/>
      </c>
      <c r="Q110" s="126" t="str">
        <f>IF(M110&lt;&gt;"",IF(O110="",SUMIFS(JPK_KR!AM:AM,JPK_KR!W:W,N110),SUMIFS(JPK_KR!BI:BI,JPK_KR!BH:BH,N110,JPK_KR!BJ:BJ,O110)),"")</f>
        <v/>
      </c>
      <c r="U110" s="24" t="str">
        <f>IF(R110&lt;&gt;"",SUMIFS(JPK_KR!AL:AL,JPK_KR!W:W,S110),"")</f>
        <v/>
      </c>
      <c r="V110" s="126" t="str">
        <f>IF(R110&lt;&gt;"",SUMIFS(JPK_KR!AM:AM,JPK_KR!W:W,S110),"")</f>
        <v/>
      </c>
    </row>
    <row r="111" spans="3:22" x14ac:dyDescent="0.3">
      <c r="C111" s="24" t="str">
        <f>IF(A111&lt;&gt;"",SUMIFS(JPK_KR!AL:AL,JPK_KR!W:W,B111),"")</f>
        <v/>
      </c>
      <c r="D111" s="126" t="str">
        <f>IF(A111&lt;&gt;"",SUMIFS(JPK_KR!AM:AM,JPK_KR!W:W,B111),"")</f>
        <v/>
      </c>
      <c r="G111" s="24" t="str">
        <f>IF(E111&lt;&gt;"",SUMIFS(JPK_KR!AL:AL,JPK_KR!W:W,F111),"")</f>
        <v/>
      </c>
      <c r="H111" s="126" t="str">
        <f>IF(E111&lt;&gt;"",SUMIFS(JPK_KR!AM:AM,JPK_KR!W:W,F111),"")</f>
        <v/>
      </c>
      <c r="K111" s="24" t="str">
        <f>IF(I111&lt;&gt;"",SUMIFS(JPK_KR!AL:AL,JPK_KR!W:W,J111),"")</f>
        <v/>
      </c>
      <c r="L111" s="126" t="str">
        <f>IF(I111&lt;&gt;"",SUMIFS(JPK_KR!AM:AM,JPK_KR!W:W,J111),"")</f>
        <v/>
      </c>
      <c r="P111" s="24" t="str">
        <f>IF(M111&lt;&gt;"",IF(O111="",SUMIFS(JPK_KR!AL:AL,JPK_KR!W:W,N111),SUMIFS(JPK_KR!BF:BF,JPK_KR!BE:BE,N111,JPK_KR!BG:BG,O111)),"")</f>
        <v/>
      </c>
      <c r="Q111" s="126" t="str">
        <f>IF(M111&lt;&gt;"",IF(O111="",SUMIFS(JPK_KR!AM:AM,JPK_KR!W:W,N111),SUMIFS(JPK_KR!BI:BI,JPK_KR!BH:BH,N111,JPK_KR!BJ:BJ,O111)),"")</f>
        <v/>
      </c>
      <c r="U111" s="24" t="str">
        <f>IF(R111&lt;&gt;"",SUMIFS(JPK_KR!AL:AL,JPK_KR!W:W,S111),"")</f>
        <v/>
      </c>
      <c r="V111" s="126" t="str">
        <f>IF(R111&lt;&gt;"",SUMIFS(JPK_KR!AM:AM,JPK_KR!W:W,S111),"")</f>
        <v/>
      </c>
    </row>
    <row r="112" spans="3:22" x14ac:dyDescent="0.3">
      <c r="C112" s="24" t="str">
        <f>IF(A112&lt;&gt;"",SUMIFS(JPK_KR!AL:AL,JPK_KR!W:W,B112),"")</f>
        <v/>
      </c>
      <c r="D112" s="126" t="str">
        <f>IF(A112&lt;&gt;"",SUMIFS(JPK_KR!AM:AM,JPK_KR!W:W,B112),"")</f>
        <v/>
      </c>
      <c r="G112" s="24" t="str">
        <f>IF(E112&lt;&gt;"",SUMIFS(JPK_KR!AL:AL,JPK_KR!W:W,F112),"")</f>
        <v/>
      </c>
      <c r="H112" s="126" t="str">
        <f>IF(E112&lt;&gt;"",SUMIFS(JPK_KR!AM:AM,JPK_KR!W:W,F112),"")</f>
        <v/>
      </c>
      <c r="K112" s="24" t="str">
        <f>IF(I112&lt;&gt;"",SUMIFS(JPK_KR!AL:AL,JPK_KR!W:W,J112),"")</f>
        <v/>
      </c>
      <c r="L112" s="126" t="str">
        <f>IF(I112&lt;&gt;"",SUMIFS(JPK_KR!AM:AM,JPK_KR!W:W,J112),"")</f>
        <v/>
      </c>
      <c r="P112" s="24" t="str">
        <f>IF(M112&lt;&gt;"",IF(O112="",SUMIFS(JPK_KR!AL:AL,JPK_KR!W:W,N112),SUMIFS(JPK_KR!BF:BF,JPK_KR!BE:BE,N112,JPK_KR!BG:BG,O112)),"")</f>
        <v/>
      </c>
      <c r="Q112" s="126" t="str">
        <f>IF(M112&lt;&gt;"",IF(O112="",SUMIFS(JPK_KR!AM:AM,JPK_KR!W:W,N112),SUMIFS(JPK_KR!BI:BI,JPK_KR!BH:BH,N112,JPK_KR!BJ:BJ,O112)),"")</f>
        <v/>
      </c>
      <c r="U112" s="24" t="str">
        <f>IF(R112&lt;&gt;"",SUMIFS(JPK_KR!AL:AL,JPK_KR!W:W,S112),"")</f>
        <v/>
      </c>
      <c r="V112" s="126" t="str">
        <f>IF(R112&lt;&gt;"",SUMIFS(JPK_KR!AM:AM,JPK_KR!W:W,S112),"")</f>
        <v/>
      </c>
    </row>
    <row r="113" spans="3:22" x14ac:dyDescent="0.3">
      <c r="C113" s="24" t="str">
        <f>IF(A113&lt;&gt;"",SUMIFS(JPK_KR!AL:AL,JPK_KR!W:W,B113),"")</f>
        <v/>
      </c>
      <c r="D113" s="126" t="str">
        <f>IF(A113&lt;&gt;"",SUMIFS(JPK_KR!AM:AM,JPK_KR!W:W,B113),"")</f>
        <v/>
      </c>
      <c r="G113" s="24" t="str">
        <f>IF(E113&lt;&gt;"",SUMIFS(JPK_KR!AL:AL,JPK_KR!W:W,F113),"")</f>
        <v/>
      </c>
      <c r="H113" s="126" t="str">
        <f>IF(E113&lt;&gt;"",SUMIFS(JPK_KR!AM:AM,JPK_KR!W:W,F113),"")</f>
        <v/>
      </c>
      <c r="K113" s="24" t="str">
        <f>IF(I113&lt;&gt;"",SUMIFS(JPK_KR!AL:AL,JPK_KR!W:W,J113),"")</f>
        <v/>
      </c>
      <c r="L113" s="126" t="str">
        <f>IF(I113&lt;&gt;"",SUMIFS(JPK_KR!AM:AM,JPK_KR!W:W,J113),"")</f>
        <v/>
      </c>
      <c r="P113" s="24" t="str">
        <f>IF(M113&lt;&gt;"",IF(O113="",SUMIFS(JPK_KR!AL:AL,JPK_KR!W:W,N113),SUMIFS(JPK_KR!BF:BF,JPK_KR!BE:BE,N113,JPK_KR!BG:BG,O113)),"")</f>
        <v/>
      </c>
      <c r="Q113" s="126" t="str">
        <f>IF(M113&lt;&gt;"",IF(O113="",SUMIFS(JPK_KR!AM:AM,JPK_KR!W:W,N113),SUMIFS(JPK_KR!BI:BI,JPK_KR!BH:BH,N113,JPK_KR!BJ:BJ,O113)),"")</f>
        <v/>
      </c>
      <c r="U113" s="24" t="str">
        <f>IF(R113&lt;&gt;"",SUMIFS(JPK_KR!AL:AL,JPK_KR!W:W,S113),"")</f>
        <v/>
      </c>
      <c r="V113" s="126" t="str">
        <f>IF(R113&lt;&gt;"",SUMIFS(JPK_KR!AM:AM,JPK_KR!W:W,S113),"")</f>
        <v/>
      </c>
    </row>
    <row r="114" spans="3:22" x14ac:dyDescent="0.3">
      <c r="C114" s="24" t="str">
        <f>IF(A114&lt;&gt;"",SUMIFS(JPK_KR!AL:AL,JPK_KR!W:W,B114),"")</f>
        <v/>
      </c>
      <c r="D114" s="126" t="str">
        <f>IF(A114&lt;&gt;"",SUMIFS(JPK_KR!AM:AM,JPK_KR!W:W,B114),"")</f>
        <v/>
      </c>
      <c r="G114" s="24" t="str">
        <f>IF(E114&lt;&gt;"",SUMIFS(JPK_KR!AL:AL,JPK_KR!W:W,F114),"")</f>
        <v/>
      </c>
      <c r="H114" s="126" t="str">
        <f>IF(E114&lt;&gt;"",SUMIFS(JPK_KR!AM:AM,JPK_KR!W:W,F114),"")</f>
        <v/>
      </c>
      <c r="K114" s="24" t="str">
        <f>IF(I114&lt;&gt;"",SUMIFS(JPK_KR!AL:AL,JPK_KR!W:W,J114),"")</f>
        <v/>
      </c>
      <c r="L114" s="126" t="str">
        <f>IF(I114&lt;&gt;"",SUMIFS(JPK_KR!AM:AM,JPK_KR!W:W,J114),"")</f>
        <v/>
      </c>
      <c r="P114" s="24" t="str">
        <f>IF(M114&lt;&gt;"",IF(O114="",SUMIFS(JPK_KR!AL:AL,JPK_KR!W:W,N114),SUMIFS(JPK_KR!BF:BF,JPK_KR!BE:BE,N114,JPK_KR!BG:BG,O114)),"")</f>
        <v/>
      </c>
      <c r="Q114" s="126" t="str">
        <f>IF(M114&lt;&gt;"",IF(O114="",SUMIFS(JPK_KR!AM:AM,JPK_KR!W:W,N114),SUMIFS(JPK_KR!BI:BI,JPK_KR!BH:BH,N114,JPK_KR!BJ:BJ,O114)),"")</f>
        <v/>
      </c>
      <c r="U114" s="24" t="str">
        <f>IF(R114&lt;&gt;"",SUMIFS(JPK_KR!AL:AL,JPK_KR!W:W,S114),"")</f>
        <v/>
      </c>
      <c r="V114" s="126" t="str">
        <f>IF(R114&lt;&gt;"",SUMIFS(JPK_KR!AM:AM,JPK_KR!W:W,S114),"")</f>
        <v/>
      </c>
    </row>
    <row r="115" spans="3:22" x14ac:dyDescent="0.3">
      <c r="C115" s="24" t="str">
        <f>IF(A115&lt;&gt;"",SUMIFS(JPK_KR!AL:AL,JPK_KR!W:W,B115),"")</f>
        <v/>
      </c>
      <c r="D115" s="126" t="str">
        <f>IF(A115&lt;&gt;"",SUMIFS(JPK_KR!AM:AM,JPK_KR!W:W,B115),"")</f>
        <v/>
      </c>
      <c r="G115" s="24" t="str">
        <f>IF(E115&lt;&gt;"",SUMIFS(JPK_KR!AL:AL,JPK_KR!W:W,F115),"")</f>
        <v/>
      </c>
      <c r="H115" s="126" t="str">
        <f>IF(E115&lt;&gt;"",SUMIFS(JPK_KR!AM:AM,JPK_KR!W:W,F115),"")</f>
        <v/>
      </c>
      <c r="K115" s="24" t="str">
        <f>IF(I115&lt;&gt;"",SUMIFS(JPK_KR!AL:AL,JPK_KR!W:W,J115),"")</f>
        <v/>
      </c>
      <c r="L115" s="126" t="str">
        <f>IF(I115&lt;&gt;"",SUMIFS(JPK_KR!AM:AM,JPK_KR!W:W,J115),"")</f>
        <v/>
      </c>
      <c r="P115" s="24" t="str">
        <f>IF(M115&lt;&gt;"",IF(O115="",SUMIFS(JPK_KR!AL:AL,JPK_KR!W:W,N115),SUMIFS(JPK_KR!BF:BF,JPK_KR!BE:BE,N115,JPK_KR!BG:BG,O115)),"")</f>
        <v/>
      </c>
      <c r="Q115" s="126" t="str">
        <f>IF(M115&lt;&gt;"",IF(O115="",SUMIFS(JPK_KR!AM:AM,JPK_KR!W:W,N115),SUMIFS(JPK_KR!BI:BI,JPK_KR!BH:BH,N115,JPK_KR!BJ:BJ,O115)),"")</f>
        <v/>
      </c>
      <c r="U115" s="24" t="str">
        <f>IF(R115&lt;&gt;"",SUMIFS(JPK_KR!AL:AL,JPK_KR!W:W,S115),"")</f>
        <v/>
      </c>
      <c r="V115" s="126" t="str">
        <f>IF(R115&lt;&gt;"",SUMIFS(JPK_KR!AM:AM,JPK_KR!W:W,S115),"")</f>
        <v/>
      </c>
    </row>
    <row r="116" spans="3:22" x14ac:dyDescent="0.3">
      <c r="C116" s="24" t="str">
        <f>IF(A116&lt;&gt;"",SUMIFS(JPK_KR!AL:AL,JPK_KR!W:W,B116),"")</f>
        <v/>
      </c>
      <c r="D116" s="126" t="str">
        <f>IF(A116&lt;&gt;"",SUMIFS(JPK_KR!AM:AM,JPK_KR!W:W,B116),"")</f>
        <v/>
      </c>
      <c r="G116" s="24" t="str">
        <f>IF(E116&lt;&gt;"",SUMIFS(JPK_KR!AL:AL,JPK_KR!W:W,F116),"")</f>
        <v/>
      </c>
      <c r="H116" s="126" t="str">
        <f>IF(E116&lt;&gt;"",SUMIFS(JPK_KR!AM:AM,JPK_KR!W:W,F116),"")</f>
        <v/>
      </c>
      <c r="K116" s="24" t="str">
        <f>IF(I116&lt;&gt;"",SUMIFS(JPK_KR!AL:AL,JPK_KR!W:W,J116),"")</f>
        <v/>
      </c>
      <c r="L116" s="126" t="str">
        <f>IF(I116&lt;&gt;"",SUMIFS(JPK_KR!AM:AM,JPK_KR!W:W,J116),"")</f>
        <v/>
      </c>
      <c r="P116" s="24" t="str">
        <f>IF(M116&lt;&gt;"",IF(O116="",SUMIFS(JPK_KR!AL:AL,JPK_KR!W:W,N116),SUMIFS(JPK_KR!BF:BF,JPK_KR!BE:BE,N116,JPK_KR!BG:BG,O116)),"")</f>
        <v/>
      </c>
      <c r="Q116" s="126" t="str">
        <f>IF(M116&lt;&gt;"",IF(O116="",SUMIFS(JPK_KR!AM:AM,JPK_KR!W:W,N116),SUMIFS(JPK_KR!BI:BI,JPK_KR!BH:BH,N116,JPK_KR!BJ:BJ,O116)),"")</f>
        <v/>
      </c>
      <c r="U116" s="24" t="str">
        <f>IF(R116&lt;&gt;"",SUMIFS(JPK_KR!AL:AL,JPK_KR!W:W,S116),"")</f>
        <v/>
      </c>
      <c r="V116" s="126" t="str">
        <f>IF(R116&lt;&gt;"",SUMIFS(JPK_KR!AM:AM,JPK_KR!W:W,S116),"")</f>
        <v/>
      </c>
    </row>
    <row r="117" spans="3:22" x14ac:dyDescent="0.3">
      <c r="C117" s="24" t="str">
        <f>IF(A117&lt;&gt;"",SUMIFS(JPK_KR!AL:AL,JPK_KR!W:W,B117),"")</f>
        <v/>
      </c>
      <c r="D117" s="126" t="str">
        <f>IF(A117&lt;&gt;"",SUMIFS(JPK_KR!AM:AM,JPK_KR!W:W,B117),"")</f>
        <v/>
      </c>
      <c r="G117" s="24" t="str">
        <f>IF(E117&lt;&gt;"",SUMIFS(JPK_KR!AL:AL,JPK_KR!W:W,F117),"")</f>
        <v/>
      </c>
      <c r="H117" s="126" t="str">
        <f>IF(E117&lt;&gt;"",SUMIFS(JPK_KR!AM:AM,JPK_KR!W:W,F117),"")</f>
        <v/>
      </c>
      <c r="K117" s="24" t="str">
        <f>IF(I117&lt;&gt;"",SUMIFS(JPK_KR!AL:AL,JPK_KR!W:W,J117),"")</f>
        <v/>
      </c>
      <c r="L117" s="126" t="str">
        <f>IF(I117&lt;&gt;"",SUMIFS(JPK_KR!AM:AM,JPK_KR!W:W,J117),"")</f>
        <v/>
      </c>
      <c r="P117" s="24" t="str">
        <f>IF(M117&lt;&gt;"",IF(O117="",SUMIFS(JPK_KR!AL:AL,JPK_KR!W:W,N117),SUMIFS(JPK_KR!BF:BF,JPK_KR!BE:BE,N117,JPK_KR!BG:BG,O117)),"")</f>
        <v/>
      </c>
      <c r="Q117" s="126" t="str">
        <f>IF(M117&lt;&gt;"",IF(O117="",SUMIFS(JPK_KR!AM:AM,JPK_KR!W:W,N117),SUMIFS(JPK_KR!BI:BI,JPK_KR!BH:BH,N117,JPK_KR!BJ:BJ,O117)),"")</f>
        <v/>
      </c>
      <c r="U117" s="24" t="str">
        <f>IF(R117&lt;&gt;"",SUMIFS(JPK_KR!AL:AL,JPK_KR!W:W,S117),"")</f>
        <v/>
      </c>
      <c r="V117" s="126" t="str">
        <f>IF(R117&lt;&gt;"",SUMIFS(JPK_KR!AM:AM,JPK_KR!W:W,S117),"")</f>
        <v/>
      </c>
    </row>
    <row r="118" spans="3:22" x14ac:dyDescent="0.3">
      <c r="C118" s="24" t="str">
        <f>IF(A118&lt;&gt;"",SUMIFS(JPK_KR!AL:AL,JPK_KR!W:W,B118),"")</f>
        <v/>
      </c>
      <c r="D118" s="126" t="str">
        <f>IF(A118&lt;&gt;"",SUMIFS(JPK_KR!AM:AM,JPK_KR!W:W,B118),"")</f>
        <v/>
      </c>
      <c r="G118" s="24" t="str">
        <f>IF(E118&lt;&gt;"",SUMIFS(JPK_KR!AL:AL,JPK_KR!W:W,F118),"")</f>
        <v/>
      </c>
      <c r="H118" s="126" t="str">
        <f>IF(E118&lt;&gt;"",SUMIFS(JPK_KR!AM:AM,JPK_KR!W:W,F118),"")</f>
        <v/>
      </c>
      <c r="K118" s="24" t="str">
        <f>IF(I118&lt;&gt;"",SUMIFS(JPK_KR!AL:AL,JPK_KR!W:W,J118),"")</f>
        <v/>
      </c>
      <c r="L118" s="126" t="str">
        <f>IF(I118&lt;&gt;"",SUMIFS(JPK_KR!AM:AM,JPK_KR!W:W,J118),"")</f>
        <v/>
      </c>
      <c r="P118" s="24" t="str">
        <f>IF(M118&lt;&gt;"",IF(O118="",SUMIFS(JPK_KR!AL:AL,JPK_KR!W:W,N118),SUMIFS(JPK_KR!BF:BF,JPK_KR!BE:BE,N118,JPK_KR!BG:BG,O118)),"")</f>
        <v/>
      </c>
      <c r="Q118" s="126" t="str">
        <f>IF(M118&lt;&gt;"",IF(O118="",SUMIFS(JPK_KR!AM:AM,JPK_KR!W:W,N118),SUMIFS(JPK_KR!BI:BI,JPK_KR!BH:BH,N118,JPK_KR!BJ:BJ,O118)),"")</f>
        <v/>
      </c>
      <c r="U118" s="24" t="str">
        <f>IF(R118&lt;&gt;"",SUMIFS(JPK_KR!AL:AL,JPK_KR!W:W,S118),"")</f>
        <v/>
      </c>
      <c r="V118" s="126" t="str">
        <f>IF(R118&lt;&gt;"",SUMIFS(JPK_KR!AM:AM,JPK_KR!W:W,S118),"")</f>
        <v/>
      </c>
    </row>
    <row r="119" spans="3:22" x14ac:dyDescent="0.3">
      <c r="C119" s="24" t="str">
        <f>IF(A119&lt;&gt;"",SUMIFS(JPK_KR!AL:AL,JPK_KR!W:W,B119),"")</f>
        <v/>
      </c>
      <c r="D119" s="126" t="str">
        <f>IF(A119&lt;&gt;"",SUMIFS(JPK_KR!AM:AM,JPK_KR!W:W,B119),"")</f>
        <v/>
      </c>
      <c r="G119" s="24" t="str">
        <f>IF(E119&lt;&gt;"",SUMIFS(JPK_KR!AL:AL,JPK_KR!W:W,F119),"")</f>
        <v/>
      </c>
      <c r="H119" s="126" t="str">
        <f>IF(E119&lt;&gt;"",SUMIFS(JPK_KR!AM:AM,JPK_KR!W:W,F119),"")</f>
        <v/>
      </c>
      <c r="K119" s="24" t="str">
        <f>IF(I119&lt;&gt;"",SUMIFS(JPK_KR!AL:AL,JPK_KR!W:W,J119),"")</f>
        <v/>
      </c>
      <c r="L119" s="126" t="str">
        <f>IF(I119&lt;&gt;"",SUMIFS(JPK_KR!AM:AM,JPK_KR!W:W,J119),"")</f>
        <v/>
      </c>
      <c r="P119" s="24" t="str">
        <f>IF(M119&lt;&gt;"",IF(O119="",SUMIFS(JPK_KR!AL:AL,JPK_KR!W:W,N119),SUMIFS(JPK_KR!BF:BF,JPK_KR!BE:BE,N119,JPK_KR!BG:BG,O119)),"")</f>
        <v/>
      </c>
      <c r="Q119" s="126" t="str">
        <f>IF(M119&lt;&gt;"",IF(O119="",SUMIFS(JPK_KR!AM:AM,JPK_KR!W:W,N119),SUMIFS(JPK_KR!BI:BI,JPK_KR!BH:BH,N119,JPK_KR!BJ:BJ,O119)),"")</f>
        <v/>
      </c>
      <c r="U119" s="24" t="str">
        <f>IF(R119&lt;&gt;"",SUMIFS(JPK_KR!AL:AL,JPK_KR!W:W,S119),"")</f>
        <v/>
      </c>
      <c r="V119" s="126" t="str">
        <f>IF(R119&lt;&gt;"",SUMIFS(JPK_KR!AM:AM,JPK_KR!W:W,S119),"")</f>
        <v/>
      </c>
    </row>
    <row r="120" spans="3:22" x14ac:dyDescent="0.3">
      <c r="C120" s="24" t="str">
        <f>IF(A120&lt;&gt;"",SUMIFS(JPK_KR!AL:AL,JPK_KR!W:W,B120),"")</f>
        <v/>
      </c>
      <c r="D120" s="126" t="str">
        <f>IF(A120&lt;&gt;"",SUMIFS(JPK_KR!AM:AM,JPK_KR!W:W,B120),"")</f>
        <v/>
      </c>
      <c r="G120" s="24" t="str">
        <f>IF(E120&lt;&gt;"",SUMIFS(JPK_KR!AL:AL,JPK_KR!W:W,F120),"")</f>
        <v/>
      </c>
      <c r="H120" s="126" t="str">
        <f>IF(E120&lt;&gt;"",SUMIFS(JPK_KR!AM:AM,JPK_KR!W:W,F120),"")</f>
        <v/>
      </c>
      <c r="K120" s="24" t="str">
        <f>IF(I120&lt;&gt;"",SUMIFS(JPK_KR!AL:AL,JPK_KR!W:W,J120),"")</f>
        <v/>
      </c>
      <c r="L120" s="126" t="str">
        <f>IF(I120&lt;&gt;"",SUMIFS(JPK_KR!AM:AM,JPK_KR!W:W,J120),"")</f>
        <v/>
      </c>
      <c r="P120" s="24" t="str">
        <f>IF(M120&lt;&gt;"",IF(O120="",SUMIFS(JPK_KR!AL:AL,JPK_KR!W:W,N120),SUMIFS(JPK_KR!BF:BF,JPK_KR!BE:BE,N120,JPK_KR!BG:BG,O120)),"")</f>
        <v/>
      </c>
      <c r="Q120" s="126" t="str">
        <f>IF(M120&lt;&gt;"",IF(O120="",SUMIFS(JPK_KR!AM:AM,JPK_KR!W:W,N120),SUMIFS(JPK_KR!BI:BI,JPK_KR!BH:BH,N120,JPK_KR!BJ:BJ,O120)),"")</f>
        <v/>
      </c>
      <c r="U120" s="24" t="str">
        <f>IF(R120&lt;&gt;"",SUMIFS(JPK_KR!AL:AL,JPK_KR!W:W,S120),"")</f>
        <v/>
      </c>
      <c r="V120" s="126" t="str">
        <f>IF(R120&lt;&gt;"",SUMIFS(JPK_KR!AM:AM,JPK_KR!W:W,S120),"")</f>
        <v/>
      </c>
    </row>
    <row r="121" spans="3:22" x14ac:dyDescent="0.3">
      <c r="C121" s="24" t="str">
        <f>IF(A121&lt;&gt;"",SUMIFS(JPK_KR!AL:AL,JPK_KR!W:W,B121),"")</f>
        <v/>
      </c>
      <c r="D121" s="126" t="str">
        <f>IF(A121&lt;&gt;"",SUMIFS(JPK_KR!AM:AM,JPK_KR!W:W,B121),"")</f>
        <v/>
      </c>
      <c r="G121" s="24" t="str">
        <f>IF(E121&lt;&gt;"",SUMIFS(JPK_KR!AL:AL,JPK_KR!W:W,F121),"")</f>
        <v/>
      </c>
      <c r="H121" s="126" t="str">
        <f>IF(E121&lt;&gt;"",SUMIFS(JPK_KR!AM:AM,JPK_KR!W:W,F121),"")</f>
        <v/>
      </c>
      <c r="K121" s="24" t="str">
        <f>IF(I121&lt;&gt;"",SUMIFS(JPK_KR!AL:AL,JPK_KR!W:W,J121),"")</f>
        <v/>
      </c>
      <c r="L121" s="126" t="str">
        <f>IF(I121&lt;&gt;"",SUMIFS(JPK_KR!AM:AM,JPK_KR!W:W,J121),"")</f>
        <v/>
      </c>
      <c r="P121" s="24" t="str">
        <f>IF(M121&lt;&gt;"",IF(O121="",SUMIFS(JPK_KR!AL:AL,JPK_KR!W:W,N121),SUMIFS(JPK_KR!BF:BF,JPK_KR!BE:BE,N121,JPK_KR!BG:BG,O121)),"")</f>
        <v/>
      </c>
      <c r="Q121" s="126" t="str">
        <f>IF(M121&lt;&gt;"",IF(O121="",SUMIFS(JPK_KR!AM:AM,JPK_KR!W:W,N121),SUMIFS(JPK_KR!BI:BI,JPK_KR!BH:BH,N121,JPK_KR!BJ:BJ,O121)),"")</f>
        <v/>
      </c>
      <c r="U121" s="24" t="str">
        <f>IF(R121&lt;&gt;"",SUMIFS(JPK_KR!AL:AL,JPK_KR!W:W,S121),"")</f>
        <v/>
      </c>
      <c r="V121" s="126" t="str">
        <f>IF(R121&lt;&gt;"",SUMIFS(JPK_KR!AM:AM,JPK_KR!W:W,S121),"")</f>
        <v/>
      </c>
    </row>
    <row r="122" spans="3:22" x14ac:dyDescent="0.3">
      <c r="C122" s="24" t="str">
        <f>IF(A122&lt;&gt;"",SUMIFS(JPK_KR!AL:AL,JPK_KR!W:W,B122),"")</f>
        <v/>
      </c>
      <c r="D122" s="126" t="str">
        <f>IF(A122&lt;&gt;"",SUMIFS(JPK_KR!AM:AM,JPK_KR!W:W,B122),"")</f>
        <v/>
      </c>
      <c r="G122" s="24" t="str">
        <f>IF(E122&lt;&gt;"",SUMIFS(JPK_KR!AL:AL,JPK_KR!W:W,F122),"")</f>
        <v/>
      </c>
      <c r="H122" s="126" t="str">
        <f>IF(E122&lt;&gt;"",SUMIFS(JPK_KR!AM:AM,JPK_KR!W:W,F122),"")</f>
        <v/>
      </c>
      <c r="K122" s="24" t="str">
        <f>IF(I122&lt;&gt;"",SUMIFS(JPK_KR!AL:AL,JPK_KR!W:W,J122),"")</f>
        <v/>
      </c>
      <c r="L122" s="126" t="str">
        <f>IF(I122&lt;&gt;"",SUMIFS(JPK_KR!AM:AM,JPK_KR!W:W,J122),"")</f>
        <v/>
      </c>
      <c r="P122" s="24" t="str">
        <f>IF(M122&lt;&gt;"",IF(O122="",SUMIFS(JPK_KR!AL:AL,JPK_KR!W:W,N122),SUMIFS(JPK_KR!BF:BF,JPK_KR!BE:BE,N122,JPK_KR!BG:BG,O122)),"")</f>
        <v/>
      </c>
      <c r="Q122" s="126" t="str">
        <f>IF(M122&lt;&gt;"",IF(O122="",SUMIFS(JPK_KR!AM:AM,JPK_KR!W:W,N122),SUMIFS(JPK_KR!BI:BI,JPK_KR!BH:BH,N122,JPK_KR!BJ:BJ,O122)),"")</f>
        <v/>
      </c>
      <c r="U122" s="24" t="str">
        <f>IF(R122&lt;&gt;"",SUMIFS(JPK_KR!AL:AL,JPK_KR!W:W,S122),"")</f>
        <v/>
      </c>
      <c r="V122" s="126" t="str">
        <f>IF(R122&lt;&gt;"",SUMIFS(JPK_KR!AM:AM,JPK_KR!W:W,S122),"")</f>
        <v/>
      </c>
    </row>
    <row r="123" spans="3:22" x14ac:dyDescent="0.3">
      <c r="C123" s="24" t="str">
        <f>IF(A123&lt;&gt;"",SUMIFS(JPK_KR!AL:AL,JPK_KR!W:W,B123),"")</f>
        <v/>
      </c>
      <c r="D123" s="126" t="str">
        <f>IF(A123&lt;&gt;"",SUMIFS(JPK_KR!AM:AM,JPK_KR!W:W,B123),"")</f>
        <v/>
      </c>
      <c r="G123" s="24" t="str">
        <f>IF(E123&lt;&gt;"",SUMIFS(JPK_KR!AL:AL,JPK_KR!W:W,F123),"")</f>
        <v/>
      </c>
      <c r="H123" s="126" t="str">
        <f>IF(E123&lt;&gt;"",SUMIFS(JPK_KR!AM:AM,JPK_KR!W:W,F123),"")</f>
        <v/>
      </c>
      <c r="K123" s="24" t="str">
        <f>IF(I123&lt;&gt;"",SUMIFS(JPK_KR!AL:AL,JPK_KR!W:W,J123),"")</f>
        <v/>
      </c>
      <c r="L123" s="126" t="str">
        <f>IF(I123&lt;&gt;"",SUMIFS(JPK_KR!AM:AM,JPK_KR!W:W,J123),"")</f>
        <v/>
      </c>
      <c r="P123" s="24" t="str">
        <f>IF(M123&lt;&gt;"",IF(O123="",SUMIFS(JPK_KR!AL:AL,JPK_KR!W:W,N123),SUMIFS(JPK_KR!BF:BF,JPK_KR!BE:BE,N123,JPK_KR!BG:BG,O123)),"")</f>
        <v/>
      </c>
      <c r="Q123" s="126" t="str">
        <f>IF(M123&lt;&gt;"",IF(O123="",SUMIFS(JPK_KR!AM:AM,JPK_KR!W:W,N123),SUMIFS(JPK_KR!BI:BI,JPK_KR!BH:BH,N123,JPK_KR!BJ:BJ,O123)),"")</f>
        <v/>
      </c>
      <c r="U123" s="24" t="str">
        <f>IF(R123&lt;&gt;"",SUMIFS(JPK_KR!AL:AL,JPK_KR!W:W,S123),"")</f>
        <v/>
      </c>
      <c r="V123" s="126" t="str">
        <f>IF(R123&lt;&gt;"",SUMIFS(JPK_KR!AM:AM,JPK_KR!W:W,S123),"")</f>
        <v/>
      </c>
    </row>
    <row r="124" spans="3:22" x14ac:dyDescent="0.3">
      <c r="C124" s="24" t="str">
        <f>IF(A124&lt;&gt;"",SUMIFS(JPK_KR!AL:AL,JPK_KR!W:W,B124),"")</f>
        <v/>
      </c>
      <c r="D124" s="126" t="str">
        <f>IF(A124&lt;&gt;"",SUMIFS(JPK_KR!AM:AM,JPK_KR!W:W,B124),"")</f>
        <v/>
      </c>
      <c r="G124" s="24" t="str">
        <f>IF(E124&lt;&gt;"",SUMIFS(JPK_KR!AL:AL,JPK_KR!W:W,F124),"")</f>
        <v/>
      </c>
      <c r="H124" s="126" t="str">
        <f>IF(E124&lt;&gt;"",SUMIFS(JPK_KR!AM:AM,JPK_KR!W:W,F124),"")</f>
        <v/>
      </c>
      <c r="K124" s="24" t="str">
        <f>IF(I124&lt;&gt;"",SUMIFS(JPK_KR!AL:AL,JPK_KR!W:W,J124),"")</f>
        <v/>
      </c>
      <c r="L124" s="126" t="str">
        <f>IF(I124&lt;&gt;"",SUMIFS(JPK_KR!AM:AM,JPK_KR!W:W,J124),"")</f>
        <v/>
      </c>
      <c r="P124" s="24" t="str">
        <f>IF(M124&lt;&gt;"",IF(O124="",SUMIFS(JPK_KR!AL:AL,JPK_KR!W:W,N124),SUMIFS(JPK_KR!BF:BF,JPK_KR!BE:BE,N124,JPK_KR!BG:BG,O124)),"")</f>
        <v/>
      </c>
      <c r="Q124" s="126" t="str">
        <f>IF(M124&lt;&gt;"",IF(O124="",SUMIFS(JPK_KR!AM:AM,JPK_KR!W:W,N124),SUMIFS(JPK_KR!BI:BI,JPK_KR!BH:BH,N124,JPK_KR!BJ:BJ,O124)),"")</f>
        <v/>
      </c>
      <c r="U124" s="24" t="str">
        <f>IF(R124&lt;&gt;"",SUMIFS(JPK_KR!AL:AL,JPK_KR!W:W,S124),"")</f>
        <v/>
      </c>
      <c r="V124" s="126" t="str">
        <f>IF(R124&lt;&gt;"",SUMIFS(JPK_KR!AM:AM,JPK_KR!W:W,S124),"")</f>
        <v/>
      </c>
    </row>
    <row r="125" spans="3:22" x14ac:dyDescent="0.3">
      <c r="C125" s="24" t="str">
        <f>IF(A125&lt;&gt;"",SUMIFS(JPK_KR!AL:AL,JPK_KR!W:W,B125),"")</f>
        <v/>
      </c>
      <c r="D125" s="126" t="str">
        <f>IF(A125&lt;&gt;"",SUMIFS(JPK_KR!AM:AM,JPK_KR!W:W,B125),"")</f>
        <v/>
      </c>
      <c r="G125" s="24" t="str">
        <f>IF(E125&lt;&gt;"",SUMIFS(JPK_KR!AL:AL,JPK_KR!W:W,F125),"")</f>
        <v/>
      </c>
      <c r="H125" s="126" t="str">
        <f>IF(E125&lt;&gt;"",SUMIFS(JPK_KR!AM:AM,JPK_KR!W:W,F125),"")</f>
        <v/>
      </c>
      <c r="K125" s="24" t="str">
        <f>IF(I125&lt;&gt;"",SUMIFS(JPK_KR!AL:AL,JPK_KR!W:W,J125),"")</f>
        <v/>
      </c>
      <c r="L125" s="126" t="str">
        <f>IF(I125&lt;&gt;"",SUMIFS(JPK_KR!AM:AM,JPK_KR!W:W,J125),"")</f>
        <v/>
      </c>
      <c r="P125" s="24" t="str">
        <f>IF(M125&lt;&gt;"",IF(O125="",SUMIFS(JPK_KR!AL:AL,JPK_KR!W:W,N125),SUMIFS(JPK_KR!BF:BF,JPK_KR!BE:BE,N125,JPK_KR!BG:BG,O125)),"")</f>
        <v/>
      </c>
      <c r="Q125" s="126" t="str">
        <f>IF(M125&lt;&gt;"",IF(O125="",SUMIFS(JPK_KR!AM:AM,JPK_KR!W:W,N125),SUMIFS(JPK_KR!BI:BI,JPK_KR!BH:BH,N125,JPK_KR!BJ:BJ,O125)),"")</f>
        <v/>
      </c>
      <c r="U125" s="24" t="str">
        <f>IF(R125&lt;&gt;"",SUMIFS(JPK_KR!AL:AL,JPK_KR!W:W,S125),"")</f>
        <v/>
      </c>
      <c r="V125" s="126" t="str">
        <f>IF(R125&lt;&gt;"",SUMIFS(JPK_KR!AM:AM,JPK_KR!W:W,S125),"")</f>
        <v/>
      </c>
    </row>
    <row r="126" spans="3:22" x14ac:dyDescent="0.3">
      <c r="C126" s="24" t="str">
        <f>IF(A126&lt;&gt;"",SUMIFS(JPK_KR!AL:AL,JPK_KR!W:W,B126),"")</f>
        <v/>
      </c>
      <c r="D126" s="126" t="str">
        <f>IF(A126&lt;&gt;"",SUMIFS(JPK_KR!AM:AM,JPK_KR!W:W,B126),"")</f>
        <v/>
      </c>
      <c r="G126" s="24" t="str">
        <f>IF(E126&lt;&gt;"",SUMIFS(JPK_KR!AL:AL,JPK_KR!W:W,F126),"")</f>
        <v/>
      </c>
      <c r="H126" s="126" t="str">
        <f>IF(E126&lt;&gt;"",SUMIFS(JPK_KR!AM:AM,JPK_KR!W:W,F126),"")</f>
        <v/>
      </c>
      <c r="K126" s="24" t="str">
        <f>IF(I126&lt;&gt;"",SUMIFS(JPK_KR!AL:AL,JPK_KR!W:W,J126),"")</f>
        <v/>
      </c>
      <c r="L126" s="126" t="str">
        <f>IF(I126&lt;&gt;"",SUMIFS(JPK_KR!AM:AM,JPK_KR!W:W,J126),"")</f>
        <v/>
      </c>
      <c r="P126" s="24" t="str">
        <f>IF(M126&lt;&gt;"",IF(O126="",SUMIFS(JPK_KR!AL:AL,JPK_KR!W:W,N126),SUMIFS(JPK_KR!BF:BF,JPK_KR!BE:BE,N126,JPK_KR!BG:BG,O126)),"")</f>
        <v/>
      </c>
      <c r="Q126" s="126" t="str">
        <f>IF(M126&lt;&gt;"",IF(O126="",SUMIFS(JPK_KR!AM:AM,JPK_KR!W:W,N126),SUMIFS(JPK_KR!BI:BI,JPK_KR!BH:BH,N126,JPK_KR!BJ:BJ,O126)),"")</f>
        <v/>
      </c>
      <c r="U126" s="24" t="str">
        <f>IF(R126&lt;&gt;"",SUMIFS(JPK_KR!AL:AL,JPK_KR!W:W,S126),"")</f>
        <v/>
      </c>
      <c r="V126" s="126" t="str">
        <f>IF(R126&lt;&gt;"",SUMIFS(JPK_KR!AM:AM,JPK_KR!W:W,S126),"")</f>
        <v/>
      </c>
    </row>
    <row r="127" spans="3:22" x14ac:dyDescent="0.3">
      <c r="C127" s="24" t="str">
        <f>IF(A127&lt;&gt;"",SUMIFS(JPK_KR!AL:AL,JPK_KR!W:W,B127),"")</f>
        <v/>
      </c>
      <c r="D127" s="126" t="str">
        <f>IF(A127&lt;&gt;"",SUMIFS(JPK_KR!AM:AM,JPK_KR!W:W,B127),"")</f>
        <v/>
      </c>
      <c r="G127" s="24" t="str">
        <f>IF(E127&lt;&gt;"",SUMIFS(JPK_KR!AL:AL,JPK_KR!W:W,F127),"")</f>
        <v/>
      </c>
      <c r="H127" s="126" t="str">
        <f>IF(E127&lt;&gt;"",SUMIFS(JPK_KR!AM:AM,JPK_KR!W:W,F127),"")</f>
        <v/>
      </c>
      <c r="K127" s="24" t="str">
        <f>IF(I127&lt;&gt;"",SUMIFS(JPK_KR!AL:AL,JPK_KR!W:W,J127),"")</f>
        <v/>
      </c>
      <c r="L127" s="126" t="str">
        <f>IF(I127&lt;&gt;"",SUMIFS(JPK_KR!AM:AM,JPK_KR!W:W,J127),"")</f>
        <v/>
      </c>
      <c r="P127" s="24" t="str">
        <f>IF(M127&lt;&gt;"",IF(O127="",SUMIFS(JPK_KR!AL:AL,JPK_KR!W:W,N127),SUMIFS(JPK_KR!BF:BF,JPK_KR!BE:BE,N127,JPK_KR!BG:BG,O127)),"")</f>
        <v/>
      </c>
      <c r="Q127" s="126" t="str">
        <f>IF(M127&lt;&gt;"",IF(O127="",SUMIFS(JPK_KR!AM:AM,JPK_KR!W:W,N127),SUMIFS(JPK_KR!BI:BI,JPK_KR!BH:BH,N127,JPK_KR!BJ:BJ,O127)),"")</f>
        <v/>
      </c>
      <c r="U127" s="24" t="str">
        <f>IF(R127&lt;&gt;"",SUMIFS(JPK_KR!AL:AL,JPK_KR!W:W,S127),"")</f>
        <v/>
      </c>
      <c r="V127" s="126" t="str">
        <f>IF(R127&lt;&gt;"",SUMIFS(JPK_KR!AM:AM,JPK_KR!W:W,S127),"")</f>
        <v/>
      </c>
    </row>
    <row r="128" spans="3:22" x14ac:dyDescent="0.3">
      <c r="C128" s="24" t="str">
        <f>IF(A128&lt;&gt;"",SUMIFS(JPK_KR!AL:AL,JPK_KR!W:W,B128),"")</f>
        <v/>
      </c>
      <c r="D128" s="126" t="str">
        <f>IF(A128&lt;&gt;"",SUMIFS(JPK_KR!AM:AM,JPK_KR!W:W,B128),"")</f>
        <v/>
      </c>
      <c r="G128" s="24" t="str">
        <f>IF(E128&lt;&gt;"",SUMIFS(JPK_KR!AL:AL,JPK_KR!W:W,F128),"")</f>
        <v/>
      </c>
      <c r="H128" s="126" t="str">
        <f>IF(E128&lt;&gt;"",SUMIFS(JPK_KR!AM:AM,JPK_KR!W:W,F128),"")</f>
        <v/>
      </c>
      <c r="K128" s="24" t="str">
        <f>IF(I128&lt;&gt;"",SUMIFS(JPK_KR!AL:AL,JPK_KR!W:W,J128),"")</f>
        <v/>
      </c>
      <c r="L128" s="126" t="str">
        <f>IF(I128&lt;&gt;"",SUMIFS(JPK_KR!AM:AM,JPK_KR!W:W,J128),"")</f>
        <v/>
      </c>
      <c r="P128" s="24" t="str">
        <f>IF(M128&lt;&gt;"",IF(O128="",SUMIFS(JPK_KR!AL:AL,JPK_KR!W:W,N128),SUMIFS(JPK_KR!BF:BF,JPK_KR!BE:BE,N128,JPK_KR!BG:BG,O128)),"")</f>
        <v/>
      </c>
      <c r="Q128" s="126" t="str">
        <f>IF(M128&lt;&gt;"",IF(O128="",SUMIFS(JPK_KR!AM:AM,JPK_KR!W:W,N128),SUMIFS(JPK_KR!BI:BI,JPK_KR!BH:BH,N128,JPK_KR!BJ:BJ,O128)),"")</f>
        <v/>
      </c>
      <c r="U128" s="24" t="str">
        <f>IF(R128&lt;&gt;"",SUMIFS(JPK_KR!AL:AL,JPK_KR!W:W,S128),"")</f>
        <v/>
      </c>
      <c r="V128" s="126" t="str">
        <f>IF(R128&lt;&gt;"",SUMIFS(JPK_KR!AM:AM,JPK_KR!W:W,S128),"")</f>
        <v/>
      </c>
    </row>
    <row r="129" spans="3:22" x14ac:dyDescent="0.3">
      <c r="C129" s="24" t="str">
        <f>IF(A129&lt;&gt;"",SUMIFS(JPK_KR!AL:AL,JPK_KR!W:W,B129),"")</f>
        <v/>
      </c>
      <c r="D129" s="126" t="str">
        <f>IF(A129&lt;&gt;"",SUMIFS(JPK_KR!AM:AM,JPK_KR!W:W,B129),"")</f>
        <v/>
      </c>
      <c r="G129" s="24" t="str">
        <f>IF(E129&lt;&gt;"",SUMIFS(JPK_KR!AL:AL,JPK_KR!W:W,F129),"")</f>
        <v/>
      </c>
      <c r="H129" s="126" t="str">
        <f>IF(E129&lt;&gt;"",SUMIFS(JPK_KR!AM:AM,JPK_KR!W:W,F129),"")</f>
        <v/>
      </c>
      <c r="K129" s="24" t="str">
        <f>IF(I129&lt;&gt;"",SUMIFS(JPK_KR!AL:AL,JPK_KR!W:W,J129),"")</f>
        <v/>
      </c>
      <c r="L129" s="126" t="str">
        <f>IF(I129&lt;&gt;"",SUMIFS(JPK_KR!AM:AM,JPK_KR!W:W,J129),"")</f>
        <v/>
      </c>
      <c r="P129" s="24" t="str">
        <f>IF(M129&lt;&gt;"",IF(O129="",SUMIFS(JPK_KR!AL:AL,JPK_KR!W:W,N129),SUMIFS(JPK_KR!BF:BF,JPK_KR!BE:BE,N129,JPK_KR!BG:BG,O129)),"")</f>
        <v/>
      </c>
      <c r="Q129" s="126" t="str">
        <f>IF(M129&lt;&gt;"",IF(O129="",SUMIFS(JPK_KR!AM:AM,JPK_KR!W:W,N129),SUMIFS(JPK_KR!BI:BI,JPK_KR!BH:BH,N129,JPK_KR!BJ:BJ,O129)),"")</f>
        <v/>
      </c>
      <c r="U129" s="24" t="str">
        <f>IF(R129&lt;&gt;"",SUMIFS(JPK_KR!AL:AL,JPK_KR!W:W,S129),"")</f>
        <v/>
      </c>
      <c r="V129" s="126" t="str">
        <f>IF(R129&lt;&gt;"",SUMIFS(JPK_KR!AM:AM,JPK_KR!W:W,S129),"")</f>
        <v/>
      </c>
    </row>
    <row r="130" spans="3:22" x14ac:dyDescent="0.3">
      <c r="C130" s="24" t="str">
        <f>IF(A130&lt;&gt;"",SUMIFS(JPK_KR!AL:AL,JPK_KR!W:W,B130),"")</f>
        <v/>
      </c>
      <c r="D130" s="126" t="str">
        <f>IF(A130&lt;&gt;"",SUMIFS(JPK_KR!AM:AM,JPK_KR!W:W,B130),"")</f>
        <v/>
      </c>
      <c r="G130" s="24" t="str">
        <f>IF(E130&lt;&gt;"",SUMIFS(JPK_KR!AL:AL,JPK_KR!W:W,F130),"")</f>
        <v/>
      </c>
      <c r="H130" s="126" t="str">
        <f>IF(E130&lt;&gt;"",SUMIFS(JPK_KR!AM:AM,JPK_KR!W:W,F130),"")</f>
        <v/>
      </c>
      <c r="K130" s="24" t="str">
        <f>IF(I130&lt;&gt;"",SUMIFS(JPK_KR!AL:AL,JPK_KR!W:W,J130),"")</f>
        <v/>
      </c>
      <c r="L130" s="126" t="str">
        <f>IF(I130&lt;&gt;"",SUMIFS(JPK_KR!AM:AM,JPK_KR!W:W,J130),"")</f>
        <v/>
      </c>
      <c r="P130" s="24" t="str">
        <f>IF(M130&lt;&gt;"",IF(O130="",SUMIFS(JPK_KR!AL:AL,JPK_KR!W:W,N130),SUMIFS(JPK_KR!BF:BF,JPK_KR!BE:BE,N130,JPK_KR!BG:BG,O130)),"")</f>
        <v/>
      </c>
      <c r="Q130" s="126" t="str">
        <f>IF(M130&lt;&gt;"",IF(O130="",SUMIFS(JPK_KR!AM:AM,JPK_KR!W:W,N130),SUMIFS(JPK_KR!BI:BI,JPK_KR!BH:BH,N130,JPK_KR!BJ:BJ,O130)),"")</f>
        <v/>
      </c>
      <c r="U130" s="24" t="str">
        <f>IF(R130&lt;&gt;"",SUMIFS(JPK_KR!AL:AL,JPK_KR!W:W,S130),"")</f>
        <v/>
      </c>
      <c r="V130" s="126" t="str">
        <f>IF(R130&lt;&gt;"",SUMIFS(JPK_KR!AM:AM,JPK_KR!W:W,S130),"")</f>
        <v/>
      </c>
    </row>
    <row r="131" spans="3:22" x14ac:dyDescent="0.3">
      <c r="C131" s="24" t="str">
        <f>IF(A131&lt;&gt;"",SUMIFS(JPK_KR!AL:AL,JPK_KR!W:W,B131),"")</f>
        <v/>
      </c>
      <c r="D131" s="126" t="str">
        <f>IF(A131&lt;&gt;"",SUMIFS(JPK_KR!AM:AM,JPK_KR!W:W,B131),"")</f>
        <v/>
      </c>
      <c r="G131" s="24" t="str">
        <f>IF(E131&lt;&gt;"",SUMIFS(JPK_KR!AL:AL,JPK_KR!W:W,F131),"")</f>
        <v/>
      </c>
      <c r="H131" s="126" t="str">
        <f>IF(E131&lt;&gt;"",SUMIFS(JPK_KR!AM:AM,JPK_KR!W:W,F131),"")</f>
        <v/>
      </c>
      <c r="K131" s="24" t="str">
        <f>IF(I131&lt;&gt;"",SUMIFS(JPK_KR!AL:AL,JPK_KR!W:W,J131),"")</f>
        <v/>
      </c>
      <c r="L131" s="126" t="str">
        <f>IF(I131&lt;&gt;"",SUMIFS(JPK_KR!AM:AM,JPK_KR!W:W,J131),"")</f>
        <v/>
      </c>
      <c r="P131" s="24" t="str">
        <f>IF(M131&lt;&gt;"",IF(O131="",SUMIFS(JPK_KR!AL:AL,JPK_KR!W:W,N131),SUMIFS(JPK_KR!BF:BF,JPK_KR!BE:BE,N131,JPK_KR!BG:BG,O131)),"")</f>
        <v/>
      </c>
      <c r="Q131" s="126" t="str">
        <f>IF(M131&lt;&gt;"",IF(O131="",SUMIFS(JPK_KR!AM:AM,JPK_KR!W:W,N131),SUMIFS(JPK_KR!BI:BI,JPK_KR!BH:BH,N131,JPK_KR!BJ:BJ,O131)),"")</f>
        <v/>
      </c>
      <c r="U131" s="24" t="str">
        <f>IF(R131&lt;&gt;"",SUMIFS(JPK_KR!AL:AL,JPK_KR!W:W,S131),"")</f>
        <v/>
      </c>
      <c r="V131" s="126" t="str">
        <f>IF(R131&lt;&gt;"",SUMIFS(JPK_KR!AM:AM,JPK_KR!W:W,S131),"")</f>
        <v/>
      </c>
    </row>
    <row r="132" spans="3:22" x14ac:dyDescent="0.3">
      <c r="C132" s="24" t="str">
        <f>IF(A132&lt;&gt;"",SUMIFS(JPK_KR!AL:AL,JPK_KR!W:W,B132),"")</f>
        <v/>
      </c>
      <c r="D132" s="126" t="str">
        <f>IF(A132&lt;&gt;"",SUMIFS(JPK_KR!AM:AM,JPK_KR!W:W,B132),"")</f>
        <v/>
      </c>
      <c r="G132" s="24" t="str">
        <f>IF(E132&lt;&gt;"",SUMIFS(JPK_KR!AL:AL,JPK_KR!W:W,F132),"")</f>
        <v/>
      </c>
      <c r="H132" s="126" t="str">
        <f>IF(E132&lt;&gt;"",SUMIFS(JPK_KR!AM:AM,JPK_KR!W:W,F132),"")</f>
        <v/>
      </c>
      <c r="K132" s="24" t="str">
        <f>IF(I132&lt;&gt;"",SUMIFS(JPK_KR!AL:AL,JPK_KR!W:W,J132),"")</f>
        <v/>
      </c>
      <c r="L132" s="126" t="str">
        <f>IF(I132&lt;&gt;"",SUMIFS(JPK_KR!AM:AM,JPK_KR!W:W,J132),"")</f>
        <v/>
      </c>
      <c r="P132" s="24" t="str">
        <f>IF(M132&lt;&gt;"",IF(O132="",SUMIFS(JPK_KR!AL:AL,JPK_KR!W:W,N132),SUMIFS(JPK_KR!BF:BF,JPK_KR!BE:BE,N132,JPK_KR!BG:BG,O132)),"")</f>
        <v/>
      </c>
      <c r="Q132" s="126" t="str">
        <f>IF(M132&lt;&gt;"",IF(O132="",SUMIFS(JPK_KR!AM:AM,JPK_KR!W:W,N132),SUMIFS(JPK_KR!BI:BI,JPK_KR!BH:BH,N132,JPK_KR!BJ:BJ,O132)),"")</f>
        <v/>
      </c>
      <c r="U132" s="24" t="str">
        <f>IF(R132&lt;&gt;"",SUMIFS(JPK_KR!AL:AL,JPK_KR!W:W,S132),"")</f>
        <v/>
      </c>
      <c r="V132" s="126" t="str">
        <f>IF(R132&lt;&gt;"",SUMIFS(JPK_KR!AM:AM,JPK_KR!W:W,S132),"")</f>
        <v/>
      </c>
    </row>
    <row r="133" spans="3:22" x14ac:dyDescent="0.3">
      <c r="C133" s="24" t="str">
        <f>IF(A133&lt;&gt;"",SUMIFS(JPK_KR!AL:AL,JPK_KR!W:W,B133),"")</f>
        <v/>
      </c>
      <c r="D133" s="126" t="str">
        <f>IF(A133&lt;&gt;"",SUMIFS(JPK_KR!AM:AM,JPK_KR!W:W,B133),"")</f>
        <v/>
      </c>
      <c r="G133" s="24" t="str">
        <f>IF(E133&lt;&gt;"",SUMIFS(JPK_KR!AL:AL,JPK_KR!W:W,F133),"")</f>
        <v/>
      </c>
      <c r="H133" s="126" t="str">
        <f>IF(E133&lt;&gt;"",SUMIFS(JPK_KR!AM:AM,JPK_KR!W:W,F133),"")</f>
        <v/>
      </c>
      <c r="K133" s="24" t="str">
        <f>IF(I133&lt;&gt;"",SUMIFS(JPK_KR!AL:AL,JPK_KR!W:W,J133),"")</f>
        <v/>
      </c>
      <c r="L133" s="126" t="str">
        <f>IF(I133&lt;&gt;"",SUMIFS(JPK_KR!AM:AM,JPK_KR!W:W,J133),"")</f>
        <v/>
      </c>
      <c r="P133" s="24" t="str">
        <f>IF(M133&lt;&gt;"",IF(O133="",SUMIFS(JPK_KR!AL:AL,JPK_KR!W:W,N133),SUMIFS(JPK_KR!BF:BF,JPK_KR!BE:BE,N133,JPK_KR!BG:BG,O133)),"")</f>
        <v/>
      </c>
      <c r="Q133" s="126" t="str">
        <f>IF(M133&lt;&gt;"",IF(O133="",SUMIFS(JPK_KR!AM:AM,JPK_KR!W:W,N133),SUMIFS(JPK_KR!BI:BI,JPK_KR!BH:BH,N133,JPK_KR!BJ:BJ,O133)),"")</f>
        <v/>
      </c>
      <c r="U133" s="24" t="str">
        <f>IF(R133&lt;&gt;"",SUMIFS(JPK_KR!AL:AL,JPK_KR!W:W,S133),"")</f>
        <v/>
      </c>
      <c r="V133" s="126" t="str">
        <f>IF(R133&lt;&gt;"",SUMIFS(JPK_KR!AM:AM,JPK_KR!W:W,S133),"")</f>
        <v/>
      </c>
    </row>
    <row r="134" spans="3:22" x14ac:dyDescent="0.3">
      <c r="C134" s="24" t="str">
        <f>IF(A134&lt;&gt;"",SUMIFS(JPK_KR!AL:AL,JPK_KR!W:W,B134),"")</f>
        <v/>
      </c>
      <c r="D134" s="126" t="str">
        <f>IF(A134&lt;&gt;"",SUMIFS(JPK_KR!AM:AM,JPK_KR!W:W,B134),"")</f>
        <v/>
      </c>
      <c r="G134" s="24" t="str">
        <f>IF(E134&lt;&gt;"",SUMIFS(JPK_KR!AL:AL,JPK_KR!W:W,F134),"")</f>
        <v/>
      </c>
      <c r="H134" s="126" t="str">
        <f>IF(E134&lt;&gt;"",SUMIFS(JPK_KR!AM:AM,JPK_KR!W:W,F134),"")</f>
        <v/>
      </c>
      <c r="K134" s="24" t="str">
        <f>IF(I134&lt;&gt;"",SUMIFS(JPK_KR!AL:AL,JPK_KR!W:W,J134),"")</f>
        <v/>
      </c>
      <c r="L134" s="126" t="str">
        <f>IF(I134&lt;&gt;"",SUMIFS(JPK_KR!AM:AM,JPK_KR!W:W,J134),"")</f>
        <v/>
      </c>
      <c r="P134" s="24" t="str">
        <f>IF(M134&lt;&gt;"",IF(O134="",SUMIFS(JPK_KR!AL:AL,JPK_KR!W:W,N134),SUMIFS(JPK_KR!BF:BF,JPK_KR!BE:BE,N134,JPK_KR!BG:BG,O134)),"")</f>
        <v/>
      </c>
      <c r="Q134" s="126" t="str">
        <f>IF(M134&lt;&gt;"",IF(O134="",SUMIFS(JPK_KR!AM:AM,JPK_KR!W:W,N134),SUMIFS(JPK_KR!BI:BI,JPK_KR!BH:BH,N134,JPK_KR!BJ:BJ,O134)),"")</f>
        <v/>
      </c>
      <c r="U134" s="24" t="str">
        <f>IF(R134&lt;&gt;"",SUMIFS(JPK_KR!AL:AL,JPK_KR!W:W,S134),"")</f>
        <v/>
      </c>
      <c r="V134" s="126" t="str">
        <f>IF(R134&lt;&gt;"",SUMIFS(JPK_KR!AM:AM,JPK_KR!W:W,S134),"")</f>
        <v/>
      </c>
    </row>
    <row r="135" spans="3:22" x14ac:dyDescent="0.3">
      <c r="C135" s="24" t="str">
        <f>IF(A135&lt;&gt;"",SUMIFS(JPK_KR!AL:AL,JPK_KR!W:W,B135),"")</f>
        <v/>
      </c>
      <c r="D135" s="126" t="str">
        <f>IF(A135&lt;&gt;"",SUMIFS(JPK_KR!AM:AM,JPK_KR!W:W,B135),"")</f>
        <v/>
      </c>
      <c r="G135" s="24" t="str">
        <f>IF(E135&lt;&gt;"",SUMIFS(JPK_KR!AL:AL,JPK_KR!W:W,F135),"")</f>
        <v/>
      </c>
      <c r="H135" s="126" t="str">
        <f>IF(E135&lt;&gt;"",SUMIFS(JPK_KR!AM:AM,JPK_KR!W:W,F135),"")</f>
        <v/>
      </c>
      <c r="K135" s="24" t="str">
        <f>IF(I135&lt;&gt;"",SUMIFS(JPK_KR!AL:AL,JPK_KR!W:W,J135),"")</f>
        <v/>
      </c>
      <c r="L135" s="126" t="str">
        <f>IF(I135&lt;&gt;"",SUMIFS(JPK_KR!AM:AM,JPK_KR!W:W,J135),"")</f>
        <v/>
      </c>
      <c r="P135" s="24" t="str">
        <f>IF(M135&lt;&gt;"",IF(O135="",SUMIFS(JPK_KR!AL:AL,JPK_KR!W:W,N135),SUMIFS(JPK_KR!BF:BF,JPK_KR!BE:BE,N135,JPK_KR!BG:BG,O135)),"")</f>
        <v/>
      </c>
      <c r="Q135" s="126" t="str">
        <f>IF(M135&lt;&gt;"",IF(O135="",SUMIFS(JPK_KR!AM:AM,JPK_KR!W:W,N135),SUMIFS(JPK_KR!BI:BI,JPK_KR!BH:BH,N135,JPK_KR!BJ:BJ,O135)),"")</f>
        <v/>
      </c>
      <c r="U135" s="24" t="str">
        <f>IF(R135&lt;&gt;"",SUMIFS(JPK_KR!AL:AL,JPK_KR!W:W,S135),"")</f>
        <v/>
      </c>
      <c r="V135" s="126" t="str">
        <f>IF(R135&lt;&gt;"",SUMIFS(JPK_KR!AM:AM,JPK_KR!W:W,S135),"")</f>
        <v/>
      </c>
    </row>
    <row r="136" spans="3:22" x14ac:dyDescent="0.3">
      <c r="C136" s="24" t="str">
        <f>IF(A136&lt;&gt;"",SUMIFS(JPK_KR!AL:AL,JPK_KR!W:W,B136),"")</f>
        <v/>
      </c>
      <c r="D136" s="126" t="str">
        <f>IF(A136&lt;&gt;"",SUMIFS(JPK_KR!AM:AM,JPK_KR!W:W,B136),"")</f>
        <v/>
      </c>
      <c r="G136" s="24" t="str">
        <f>IF(E136&lt;&gt;"",SUMIFS(JPK_KR!AL:AL,JPK_KR!W:W,F136),"")</f>
        <v/>
      </c>
      <c r="H136" s="126" t="str">
        <f>IF(E136&lt;&gt;"",SUMIFS(JPK_KR!AM:AM,JPK_KR!W:W,F136),"")</f>
        <v/>
      </c>
      <c r="K136" s="24" t="str">
        <f>IF(I136&lt;&gt;"",SUMIFS(JPK_KR!AL:AL,JPK_KR!W:W,J136),"")</f>
        <v/>
      </c>
      <c r="L136" s="126" t="str">
        <f>IF(I136&lt;&gt;"",SUMIFS(JPK_KR!AM:AM,JPK_KR!W:W,J136),"")</f>
        <v/>
      </c>
      <c r="P136" s="24" t="str">
        <f>IF(M136&lt;&gt;"",IF(O136="",SUMIFS(JPK_KR!AL:AL,JPK_KR!W:W,N136),SUMIFS(JPK_KR!BF:BF,JPK_KR!BE:BE,N136,JPK_KR!BG:BG,O136)),"")</f>
        <v/>
      </c>
      <c r="Q136" s="126" t="str">
        <f>IF(M136&lt;&gt;"",IF(O136="",SUMIFS(JPK_KR!AM:AM,JPK_KR!W:W,N136),SUMIFS(JPK_KR!BI:BI,JPK_KR!BH:BH,N136,JPK_KR!BJ:BJ,O136)),"")</f>
        <v/>
      </c>
      <c r="U136" s="24" t="str">
        <f>IF(R136&lt;&gt;"",SUMIFS(JPK_KR!AL:AL,JPK_KR!W:W,S136),"")</f>
        <v/>
      </c>
      <c r="V136" s="126" t="str">
        <f>IF(R136&lt;&gt;"",SUMIFS(JPK_KR!AM:AM,JPK_KR!W:W,S136),"")</f>
        <v/>
      </c>
    </row>
    <row r="137" spans="3:22" x14ac:dyDescent="0.3">
      <c r="C137" s="24" t="str">
        <f>IF(A137&lt;&gt;"",SUMIFS(JPK_KR!AL:AL,JPK_KR!W:W,B137),"")</f>
        <v/>
      </c>
      <c r="D137" s="126" t="str">
        <f>IF(A137&lt;&gt;"",SUMIFS(JPK_KR!AM:AM,JPK_KR!W:W,B137),"")</f>
        <v/>
      </c>
      <c r="G137" s="24" t="str">
        <f>IF(E137&lt;&gt;"",SUMIFS(JPK_KR!AL:AL,JPK_KR!W:W,F137),"")</f>
        <v/>
      </c>
      <c r="H137" s="126" t="str">
        <f>IF(E137&lt;&gt;"",SUMIFS(JPK_KR!AM:AM,JPK_KR!W:W,F137),"")</f>
        <v/>
      </c>
      <c r="K137" s="24" t="str">
        <f>IF(I137&lt;&gt;"",SUMIFS(JPK_KR!AL:AL,JPK_KR!W:W,J137),"")</f>
        <v/>
      </c>
      <c r="L137" s="126" t="str">
        <f>IF(I137&lt;&gt;"",SUMIFS(JPK_KR!AM:AM,JPK_KR!W:W,J137),"")</f>
        <v/>
      </c>
      <c r="P137" s="24" t="str">
        <f>IF(M137&lt;&gt;"",IF(O137="",SUMIFS(JPK_KR!AL:AL,JPK_KR!W:W,N137),SUMIFS(JPK_KR!BF:BF,JPK_KR!BE:BE,N137,JPK_KR!BG:BG,O137)),"")</f>
        <v/>
      </c>
      <c r="Q137" s="126" t="str">
        <f>IF(M137&lt;&gt;"",IF(O137="",SUMIFS(JPK_KR!AM:AM,JPK_KR!W:W,N137),SUMIFS(JPK_KR!BI:BI,JPK_KR!BH:BH,N137,JPK_KR!BJ:BJ,O137)),"")</f>
        <v/>
      </c>
      <c r="U137" s="24" t="str">
        <f>IF(R137&lt;&gt;"",SUMIFS(JPK_KR!AL:AL,JPK_KR!W:W,S137),"")</f>
        <v/>
      </c>
      <c r="V137" s="126" t="str">
        <f>IF(R137&lt;&gt;"",SUMIFS(JPK_KR!AM:AM,JPK_KR!W:W,S137),"")</f>
        <v/>
      </c>
    </row>
    <row r="138" spans="3:22" x14ac:dyDescent="0.3">
      <c r="C138" s="24" t="str">
        <f>IF(A138&lt;&gt;"",SUMIFS(JPK_KR!AL:AL,JPK_KR!W:W,B138),"")</f>
        <v/>
      </c>
      <c r="D138" s="126" t="str">
        <f>IF(A138&lt;&gt;"",SUMIFS(JPK_KR!AM:AM,JPK_KR!W:W,B138),"")</f>
        <v/>
      </c>
      <c r="G138" s="24" t="str">
        <f>IF(E138&lt;&gt;"",SUMIFS(JPK_KR!AL:AL,JPK_KR!W:W,F138),"")</f>
        <v/>
      </c>
      <c r="H138" s="126" t="str">
        <f>IF(E138&lt;&gt;"",SUMIFS(JPK_KR!AM:AM,JPK_KR!W:W,F138),"")</f>
        <v/>
      </c>
      <c r="K138" s="24" t="str">
        <f>IF(I138&lt;&gt;"",SUMIFS(JPK_KR!AL:AL,JPK_KR!W:W,J138),"")</f>
        <v/>
      </c>
      <c r="L138" s="126" t="str">
        <f>IF(I138&lt;&gt;"",SUMIFS(JPK_KR!AM:AM,JPK_KR!W:W,J138),"")</f>
        <v/>
      </c>
      <c r="P138" s="24" t="str">
        <f>IF(M138&lt;&gt;"",IF(O138="",SUMIFS(JPK_KR!AL:AL,JPK_KR!W:W,N138),SUMIFS(JPK_KR!BF:BF,JPK_KR!BE:BE,N138,JPK_KR!BG:BG,O138)),"")</f>
        <v/>
      </c>
      <c r="Q138" s="126" t="str">
        <f>IF(M138&lt;&gt;"",IF(O138="",SUMIFS(JPK_KR!AM:AM,JPK_KR!W:W,N138),SUMIFS(JPK_KR!BI:BI,JPK_KR!BH:BH,N138,JPK_KR!BJ:BJ,O138)),"")</f>
        <v/>
      </c>
      <c r="U138" s="24" t="str">
        <f>IF(R138&lt;&gt;"",SUMIFS(JPK_KR!AL:AL,JPK_KR!W:W,S138),"")</f>
        <v/>
      </c>
      <c r="V138" s="126" t="str">
        <f>IF(R138&lt;&gt;"",SUMIFS(JPK_KR!AM:AM,JPK_KR!W:W,S138),"")</f>
        <v/>
      </c>
    </row>
    <row r="139" spans="3:22" x14ac:dyDescent="0.3">
      <c r="C139" s="24" t="str">
        <f>IF(A139&lt;&gt;"",SUMIFS(JPK_KR!AL:AL,JPK_KR!W:W,B139),"")</f>
        <v/>
      </c>
      <c r="D139" s="126" t="str">
        <f>IF(A139&lt;&gt;"",SUMIFS(JPK_KR!AM:AM,JPK_KR!W:W,B139),"")</f>
        <v/>
      </c>
      <c r="G139" s="24" t="str">
        <f>IF(E139&lt;&gt;"",SUMIFS(JPK_KR!AL:AL,JPK_KR!W:W,F139),"")</f>
        <v/>
      </c>
      <c r="H139" s="126" t="str">
        <f>IF(E139&lt;&gt;"",SUMIFS(JPK_KR!AM:AM,JPK_KR!W:W,F139),"")</f>
        <v/>
      </c>
      <c r="K139" s="24" t="str">
        <f>IF(I139&lt;&gt;"",SUMIFS(JPK_KR!AL:AL,JPK_KR!W:W,J139),"")</f>
        <v/>
      </c>
      <c r="L139" s="126" t="str">
        <f>IF(I139&lt;&gt;"",SUMIFS(JPK_KR!AM:AM,JPK_KR!W:W,J139),"")</f>
        <v/>
      </c>
      <c r="P139" s="24" t="str">
        <f>IF(M139&lt;&gt;"",IF(O139="",SUMIFS(JPK_KR!AL:AL,JPK_KR!W:W,N139),SUMIFS(JPK_KR!BF:BF,JPK_KR!BE:BE,N139,JPK_KR!BG:BG,O139)),"")</f>
        <v/>
      </c>
      <c r="Q139" s="126" t="str">
        <f>IF(M139&lt;&gt;"",IF(O139="",SUMIFS(JPK_KR!AM:AM,JPK_KR!W:W,N139),SUMIFS(JPK_KR!BI:BI,JPK_KR!BH:BH,N139,JPK_KR!BJ:BJ,O139)),"")</f>
        <v/>
      </c>
      <c r="U139" s="24" t="str">
        <f>IF(R139&lt;&gt;"",SUMIFS(JPK_KR!AL:AL,JPK_KR!W:W,S139),"")</f>
        <v/>
      </c>
      <c r="V139" s="126" t="str">
        <f>IF(R139&lt;&gt;"",SUMIFS(JPK_KR!AM:AM,JPK_KR!W:W,S139),"")</f>
        <v/>
      </c>
    </row>
    <row r="140" spans="3:22" x14ac:dyDescent="0.3">
      <c r="C140" s="24" t="str">
        <f>IF(A140&lt;&gt;"",SUMIFS(JPK_KR!AL:AL,JPK_KR!W:W,B140),"")</f>
        <v/>
      </c>
      <c r="D140" s="126" t="str">
        <f>IF(A140&lt;&gt;"",SUMIFS(JPK_KR!AM:AM,JPK_KR!W:W,B140),"")</f>
        <v/>
      </c>
      <c r="G140" s="24" t="str">
        <f>IF(E140&lt;&gt;"",SUMIFS(JPK_KR!AL:AL,JPK_KR!W:W,F140),"")</f>
        <v/>
      </c>
      <c r="H140" s="126" t="str">
        <f>IF(E140&lt;&gt;"",SUMIFS(JPK_KR!AM:AM,JPK_KR!W:W,F140),"")</f>
        <v/>
      </c>
      <c r="K140" s="24" t="str">
        <f>IF(I140&lt;&gt;"",SUMIFS(JPK_KR!AL:AL,JPK_KR!W:W,J140),"")</f>
        <v/>
      </c>
      <c r="L140" s="126" t="str">
        <f>IF(I140&lt;&gt;"",SUMIFS(JPK_KR!AM:AM,JPK_KR!W:W,J140),"")</f>
        <v/>
      </c>
      <c r="P140" s="24" t="str">
        <f>IF(M140&lt;&gt;"",IF(O140="",SUMIFS(JPK_KR!AL:AL,JPK_KR!W:W,N140),SUMIFS(JPK_KR!BF:BF,JPK_KR!BE:BE,N140,JPK_KR!BG:BG,O140)),"")</f>
        <v/>
      </c>
      <c r="Q140" s="126" t="str">
        <f>IF(M140&lt;&gt;"",IF(O140="",SUMIFS(JPK_KR!AM:AM,JPK_KR!W:W,N140),SUMIFS(JPK_KR!BI:BI,JPK_KR!BH:BH,N140,JPK_KR!BJ:BJ,O140)),"")</f>
        <v/>
      </c>
      <c r="U140" s="24" t="str">
        <f>IF(R140&lt;&gt;"",SUMIFS(JPK_KR!AL:AL,JPK_KR!W:W,S140),"")</f>
        <v/>
      </c>
      <c r="V140" s="126" t="str">
        <f>IF(R140&lt;&gt;"",SUMIFS(JPK_KR!AM:AM,JPK_KR!W:W,S140),"")</f>
        <v/>
      </c>
    </row>
    <row r="141" spans="3:22" x14ac:dyDescent="0.3">
      <c r="C141" s="24" t="str">
        <f>IF(A141&lt;&gt;"",SUMIFS(JPK_KR!AL:AL,JPK_KR!W:W,B141),"")</f>
        <v/>
      </c>
      <c r="D141" s="126" t="str">
        <f>IF(A141&lt;&gt;"",SUMIFS(JPK_KR!AM:AM,JPK_KR!W:W,B141),"")</f>
        <v/>
      </c>
      <c r="G141" s="24" t="str">
        <f>IF(E141&lt;&gt;"",SUMIFS(JPK_KR!AL:AL,JPK_KR!W:W,F141),"")</f>
        <v/>
      </c>
      <c r="H141" s="126" t="str">
        <f>IF(E141&lt;&gt;"",SUMIFS(JPK_KR!AM:AM,JPK_KR!W:W,F141),"")</f>
        <v/>
      </c>
      <c r="K141" s="24" t="str">
        <f>IF(I141&lt;&gt;"",SUMIFS(JPK_KR!AL:AL,JPK_KR!W:W,J141),"")</f>
        <v/>
      </c>
      <c r="L141" s="126" t="str">
        <f>IF(I141&lt;&gt;"",SUMIFS(JPK_KR!AM:AM,JPK_KR!W:W,J141),"")</f>
        <v/>
      </c>
      <c r="P141" s="24" t="str">
        <f>IF(M141&lt;&gt;"",IF(O141="",SUMIFS(JPK_KR!AL:AL,JPK_KR!W:W,N141),SUMIFS(JPK_KR!BF:BF,JPK_KR!BE:BE,N141,JPK_KR!BG:BG,O141)),"")</f>
        <v/>
      </c>
      <c r="Q141" s="126" t="str">
        <f>IF(M141&lt;&gt;"",IF(O141="",SUMIFS(JPK_KR!AM:AM,JPK_KR!W:W,N141),SUMIFS(JPK_KR!BI:BI,JPK_KR!BH:BH,N141,JPK_KR!BJ:BJ,O141)),"")</f>
        <v/>
      </c>
      <c r="U141" s="24" t="str">
        <f>IF(R141&lt;&gt;"",SUMIFS(JPK_KR!AL:AL,JPK_KR!W:W,S141),"")</f>
        <v/>
      </c>
      <c r="V141" s="126" t="str">
        <f>IF(R141&lt;&gt;"",SUMIFS(JPK_KR!AM:AM,JPK_KR!W:W,S141),"")</f>
        <v/>
      </c>
    </row>
    <row r="142" spans="3:22" x14ac:dyDescent="0.3">
      <c r="C142" s="24" t="str">
        <f>IF(A142&lt;&gt;"",SUMIFS(JPK_KR!AL:AL,JPK_KR!W:W,B142),"")</f>
        <v/>
      </c>
      <c r="D142" s="126" t="str">
        <f>IF(A142&lt;&gt;"",SUMIFS(JPK_KR!AM:AM,JPK_KR!W:W,B142),"")</f>
        <v/>
      </c>
      <c r="G142" s="24" t="str">
        <f>IF(E142&lt;&gt;"",SUMIFS(JPK_KR!AL:AL,JPK_KR!W:W,F142),"")</f>
        <v/>
      </c>
      <c r="H142" s="126" t="str">
        <f>IF(E142&lt;&gt;"",SUMIFS(JPK_KR!AM:AM,JPK_KR!W:W,F142),"")</f>
        <v/>
      </c>
      <c r="K142" s="24" t="str">
        <f>IF(I142&lt;&gt;"",SUMIFS(JPK_KR!AL:AL,JPK_KR!W:W,J142),"")</f>
        <v/>
      </c>
      <c r="L142" s="126" t="str">
        <f>IF(I142&lt;&gt;"",SUMIFS(JPK_KR!AM:AM,JPK_KR!W:W,J142),"")</f>
        <v/>
      </c>
      <c r="P142" s="24" t="str">
        <f>IF(M142&lt;&gt;"",IF(O142="",SUMIFS(JPK_KR!AL:AL,JPK_KR!W:W,N142),SUMIFS(JPK_KR!BF:BF,JPK_KR!BE:BE,N142,JPK_KR!BG:BG,O142)),"")</f>
        <v/>
      </c>
      <c r="Q142" s="126" t="str">
        <f>IF(M142&lt;&gt;"",IF(O142="",SUMIFS(JPK_KR!AM:AM,JPK_KR!W:W,N142),SUMIFS(JPK_KR!BI:BI,JPK_KR!BH:BH,N142,JPK_KR!BJ:BJ,O142)),"")</f>
        <v/>
      </c>
      <c r="U142" s="24" t="str">
        <f>IF(R142&lt;&gt;"",SUMIFS(JPK_KR!AL:AL,JPK_KR!W:W,S142),"")</f>
        <v/>
      </c>
      <c r="V142" s="126" t="str">
        <f>IF(R142&lt;&gt;"",SUMIFS(JPK_KR!AM:AM,JPK_KR!W:W,S142),"")</f>
        <v/>
      </c>
    </row>
    <row r="143" spans="3:22" x14ac:dyDescent="0.3">
      <c r="C143" s="24" t="str">
        <f>IF(A143&lt;&gt;"",SUMIFS(JPK_KR!AL:AL,JPK_KR!W:W,B143),"")</f>
        <v/>
      </c>
      <c r="D143" s="126" t="str">
        <f>IF(A143&lt;&gt;"",SUMIFS(JPK_KR!AM:AM,JPK_KR!W:W,B143),"")</f>
        <v/>
      </c>
      <c r="G143" s="24" t="str">
        <f>IF(E143&lt;&gt;"",SUMIFS(JPK_KR!AL:AL,JPK_KR!W:W,F143),"")</f>
        <v/>
      </c>
      <c r="H143" s="126" t="str">
        <f>IF(E143&lt;&gt;"",SUMIFS(JPK_KR!AM:AM,JPK_KR!W:W,F143),"")</f>
        <v/>
      </c>
      <c r="K143" s="24" t="str">
        <f>IF(I143&lt;&gt;"",SUMIFS(JPK_KR!AL:AL,JPK_KR!W:W,J143),"")</f>
        <v/>
      </c>
      <c r="L143" s="126" t="str">
        <f>IF(I143&lt;&gt;"",SUMIFS(JPK_KR!AM:AM,JPK_KR!W:W,J143),"")</f>
        <v/>
      </c>
      <c r="P143" s="24" t="str">
        <f>IF(M143&lt;&gt;"",IF(O143="",SUMIFS(JPK_KR!AL:AL,JPK_KR!W:W,N143),SUMIFS(JPK_KR!BF:BF,JPK_KR!BE:BE,N143,JPK_KR!BG:BG,O143)),"")</f>
        <v/>
      </c>
      <c r="Q143" s="126" t="str">
        <f>IF(M143&lt;&gt;"",IF(O143="",SUMIFS(JPK_KR!AM:AM,JPK_KR!W:W,N143),SUMIFS(JPK_KR!BI:BI,JPK_KR!BH:BH,N143,JPK_KR!BJ:BJ,O143)),"")</f>
        <v/>
      </c>
      <c r="U143" s="24" t="str">
        <f>IF(R143&lt;&gt;"",SUMIFS(JPK_KR!AL:AL,JPK_KR!W:W,S143),"")</f>
        <v/>
      </c>
      <c r="V143" s="126" t="str">
        <f>IF(R143&lt;&gt;"",SUMIFS(JPK_KR!AM:AM,JPK_KR!W:W,S143),"")</f>
        <v/>
      </c>
    </row>
    <row r="144" spans="3:22" x14ac:dyDescent="0.3">
      <c r="C144" s="24" t="str">
        <f>IF(A144&lt;&gt;"",SUMIFS(JPK_KR!AL:AL,JPK_KR!W:W,B144),"")</f>
        <v/>
      </c>
      <c r="D144" s="126" t="str">
        <f>IF(A144&lt;&gt;"",SUMIFS(JPK_KR!AM:AM,JPK_KR!W:W,B144),"")</f>
        <v/>
      </c>
      <c r="G144" s="24" t="str">
        <f>IF(E144&lt;&gt;"",SUMIFS(JPK_KR!AL:AL,JPK_KR!W:W,F144),"")</f>
        <v/>
      </c>
      <c r="H144" s="126" t="str">
        <f>IF(E144&lt;&gt;"",SUMIFS(JPK_KR!AM:AM,JPK_KR!W:W,F144),"")</f>
        <v/>
      </c>
      <c r="K144" s="24" t="str">
        <f>IF(I144&lt;&gt;"",SUMIFS(JPK_KR!AL:AL,JPK_KR!W:W,J144),"")</f>
        <v/>
      </c>
      <c r="L144" s="126" t="str">
        <f>IF(I144&lt;&gt;"",SUMIFS(JPK_KR!AM:AM,JPK_KR!W:W,J144),"")</f>
        <v/>
      </c>
      <c r="P144" s="24" t="str">
        <f>IF(M144&lt;&gt;"",IF(O144="",SUMIFS(JPK_KR!AL:AL,JPK_KR!W:W,N144),SUMIFS(JPK_KR!BF:BF,JPK_KR!BE:BE,N144,JPK_KR!BG:BG,O144)),"")</f>
        <v/>
      </c>
      <c r="Q144" s="126" t="str">
        <f>IF(M144&lt;&gt;"",IF(O144="",SUMIFS(JPK_KR!AM:AM,JPK_KR!W:W,N144),SUMIFS(JPK_KR!BI:BI,JPK_KR!BH:BH,N144,JPK_KR!BJ:BJ,O144)),"")</f>
        <v/>
      </c>
      <c r="U144" s="24" t="str">
        <f>IF(R144&lt;&gt;"",SUMIFS(JPK_KR!AL:AL,JPK_KR!W:W,S144),"")</f>
        <v/>
      </c>
      <c r="V144" s="126" t="str">
        <f>IF(R144&lt;&gt;"",SUMIFS(JPK_KR!AM:AM,JPK_KR!W:W,S144),"")</f>
        <v/>
      </c>
    </row>
    <row r="145" spans="3:22" x14ac:dyDescent="0.3">
      <c r="C145" s="24" t="str">
        <f>IF(A145&lt;&gt;"",SUMIFS(JPK_KR!AL:AL,JPK_KR!W:W,B145),"")</f>
        <v/>
      </c>
      <c r="D145" s="126" t="str">
        <f>IF(A145&lt;&gt;"",SUMIFS(JPK_KR!AM:AM,JPK_KR!W:W,B145),"")</f>
        <v/>
      </c>
      <c r="G145" s="24" t="str">
        <f>IF(E145&lt;&gt;"",SUMIFS(JPK_KR!AL:AL,JPK_KR!W:W,F145),"")</f>
        <v/>
      </c>
      <c r="H145" s="126" t="str">
        <f>IF(E145&lt;&gt;"",SUMIFS(JPK_KR!AM:AM,JPK_KR!W:W,F145),"")</f>
        <v/>
      </c>
      <c r="K145" s="24" t="str">
        <f>IF(I145&lt;&gt;"",SUMIFS(JPK_KR!AL:AL,JPK_KR!W:W,J145),"")</f>
        <v/>
      </c>
      <c r="L145" s="126" t="str">
        <f>IF(I145&lt;&gt;"",SUMIFS(JPK_KR!AM:AM,JPK_KR!W:W,J145),"")</f>
        <v/>
      </c>
      <c r="P145" s="24" t="str">
        <f>IF(M145&lt;&gt;"",IF(O145="",SUMIFS(JPK_KR!AL:AL,JPK_KR!W:W,N145),SUMIFS(JPK_KR!BF:BF,JPK_KR!BE:BE,N145,JPK_KR!BG:BG,O145)),"")</f>
        <v/>
      </c>
      <c r="Q145" s="126" t="str">
        <f>IF(M145&lt;&gt;"",IF(O145="",SUMIFS(JPK_KR!AM:AM,JPK_KR!W:W,N145),SUMIFS(JPK_KR!BI:BI,JPK_KR!BH:BH,N145,JPK_KR!BJ:BJ,O145)),"")</f>
        <v/>
      </c>
      <c r="U145" s="24" t="str">
        <f>IF(R145&lt;&gt;"",SUMIFS(JPK_KR!AL:AL,JPK_KR!W:W,S145),"")</f>
        <v/>
      </c>
      <c r="V145" s="126" t="str">
        <f>IF(R145&lt;&gt;"",SUMIFS(JPK_KR!AM:AM,JPK_KR!W:W,S145),"")</f>
        <v/>
      </c>
    </row>
    <row r="146" spans="3:22" x14ac:dyDescent="0.3">
      <c r="C146" s="24" t="str">
        <f>IF(A146&lt;&gt;"",SUMIFS(JPK_KR!AL:AL,JPK_KR!W:W,B146),"")</f>
        <v/>
      </c>
      <c r="D146" s="126" t="str">
        <f>IF(A146&lt;&gt;"",SUMIFS(JPK_KR!AM:AM,JPK_KR!W:W,B146),"")</f>
        <v/>
      </c>
      <c r="G146" s="24" t="str">
        <f>IF(E146&lt;&gt;"",SUMIFS(JPK_KR!AL:AL,JPK_KR!W:W,F146),"")</f>
        <v/>
      </c>
      <c r="H146" s="126" t="str">
        <f>IF(E146&lt;&gt;"",SUMIFS(JPK_KR!AM:AM,JPK_KR!W:W,F146),"")</f>
        <v/>
      </c>
      <c r="K146" s="24" t="str">
        <f>IF(I146&lt;&gt;"",SUMIFS(JPK_KR!AL:AL,JPK_KR!W:W,J146),"")</f>
        <v/>
      </c>
      <c r="L146" s="126" t="str">
        <f>IF(I146&lt;&gt;"",SUMIFS(JPK_KR!AM:AM,JPK_KR!W:W,J146),"")</f>
        <v/>
      </c>
      <c r="P146" s="24" t="str">
        <f>IF(M146&lt;&gt;"",IF(O146="",SUMIFS(JPK_KR!AL:AL,JPK_KR!W:W,N146),SUMIFS(JPK_KR!BF:BF,JPK_KR!BE:BE,N146,JPK_KR!BG:BG,O146)),"")</f>
        <v/>
      </c>
      <c r="Q146" s="126" t="str">
        <f>IF(M146&lt;&gt;"",IF(O146="",SUMIFS(JPK_KR!AM:AM,JPK_KR!W:W,N146),SUMIFS(JPK_KR!BI:BI,JPK_KR!BH:BH,N146,JPK_KR!BJ:BJ,O146)),"")</f>
        <v/>
      </c>
      <c r="U146" s="24" t="str">
        <f>IF(R146&lt;&gt;"",SUMIFS(JPK_KR!AL:AL,JPK_KR!W:W,S146),"")</f>
        <v/>
      </c>
      <c r="V146" s="126" t="str">
        <f>IF(R146&lt;&gt;"",SUMIFS(JPK_KR!AM:AM,JPK_KR!W:W,S146),"")</f>
        <v/>
      </c>
    </row>
    <row r="147" spans="3:22" x14ac:dyDescent="0.3">
      <c r="C147" s="24" t="str">
        <f>IF(A147&lt;&gt;"",SUMIFS(JPK_KR!AL:AL,JPK_KR!W:W,B147),"")</f>
        <v/>
      </c>
      <c r="D147" s="126" t="str">
        <f>IF(A147&lt;&gt;"",SUMIFS(JPK_KR!AM:AM,JPK_KR!W:W,B147),"")</f>
        <v/>
      </c>
      <c r="G147" s="24" t="str">
        <f>IF(E147&lt;&gt;"",SUMIFS(JPK_KR!AL:AL,JPK_KR!W:W,F147),"")</f>
        <v/>
      </c>
      <c r="H147" s="126" t="str">
        <f>IF(E147&lt;&gt;"",SUMIFS(JPK_KR!AM:AM,JPK_KR!W:W,F147),"")</f>
        <v/>
      </c>
      <c r="K147" s="24" t="str">
        <f>IF(I147&lt;&gt;"",SUMIFS(JPK_KR!AL:AL,JPK_KR!W:W,J147),"")</f>
        <v/>
      </c>
      <c r="L147" s="126" t="str">
        <f>IF(I147&lt;&gt;"",SUMIFS(JPK_KR!AM:AM,JPK_KR!W:W,J147),"")</f>
        <v/>
      </c>
      <c r="P147" s="24" t="str">
        <f>IF(M147&lt;&gt;"",IF(O147="",SUMIFS(JPK_KR!AL:AL,JPK_KR!W:W,N147),SUMIFS(JPK_KR!BF:BF,JPK_KR!BE:BE,N147,JPK_KR!BG:BG,O147)),"")</f>
        <v/>
      </c>
      <c r="Q147" s="126" t="str">
        <f>IF(M147&lt;&gt;"",IF(O147="",SUMIFS(JPK_KR!AM:AM,JPK_KR!W:W,N147),SUMIFS(JPK_KR!BI:BI,JPK_KR!BH:BH,N147,JPK_KR!BJ:BJ,O147)),"")</f>
        <v/>
      </c>
      <c r="U147" s="24" t="str">
        <f>IF(R147&lt;&gt;"",SUMIFS(JPK_KR!AL:AL,JPK_KR!W:W,S147),"")</f>
        <v/>
      </c>
      <c r="V147" s="126" t="str">
        <f>IF(R147&lt;&gt;"",SUMIFS(JPK_KR!AM:AM,JPK_KR!W:W,S147),"")</f>
        <v/>
      </c>
    </row>
    <row r="148" spans="3:22" x14ac:dyDescent="0.3">
      <c r="C148" s="24" t="str">
        <f>IF(A148&lt;&gt;"",SUMIFS(JPK_KR!AL:AL,JPK_KR!W:W,B148),"")</f>
        <v/>
      </c>
      <c r="D148" s="126" t="str">
        <f>IF(A148&lt;&gt;"",SUMIFS(JPK_KR!AM:AM,JPK_KR!W:W,B148),"")</f>
        <v/>
      </c>
      <c r="G148" s="24" t="str">
        <f>IF(E148&lt;&gt;"",SUMIFS(JPK_KR!AL:AL,JPK_KR!W:W,F148),"")</f>
        <v/>
      </c>
      <c r="H148" s="126" t="str">
        <f>IF(E148&lt;&gt;"",SUMIFS(JPK_KR!AM:AM,JPK_KR!W:W,F148),"")</f>
        <v/>
      </c>
      <c r="K148" s="24" t="str">
        <f>IF(I148&lt;&gt;"",SUMIFS(JPK_KR!AL:AL,JPK_KR!W:W,J148),"")</f>
        <v/>
      </c>
      <c r="L148" s="126" t="str">
        <f>IF(I148&lt;&gt;"",SUMIFS(JPK_KR!AM:AM,JPK_KR!W:W,J148),"")</f>
        <v/>
      </c>
      <c r="P148" s="24" t="str">
        <f>IF(M148&lt;&gt;"",IF(O148="",SUMIFS(JPK_KR!AL:AL,JPK_KR!W:W,N148),SUMIFS(JPK_KR!BF:BF,JPK_KR!BE:BE,N148,JPK_KR!BG:BG,O148)),"")</f>
        <v/>
      </c>
      <c r="Q148" s="126" t="str">
        <f>IF(M148&lt;&gt;"",IF(O148="",SUMIFS(JPK_KR!AM:AM,JPK_KR!W:W,N148),SUMIFS(JPK_KR!BI:BI,JPK_KR!BH:BH,N148,JPK_KR!BJ:BJ,O148)),"")</f>
        <v/>
      </c>
      <c r="U148" s="24" t="str">
        <f>IF(R148&lt;&gt;"",SUMIFS(JPK_KR!AL:AL,JPK_KR!W:W,S148),"")</f>
        <v/>
      </c>
      <c r="V148" s="126" t="str">
        <f>IF(R148&lt;&gt;"",SUMIFS(JPK_KR!AM:AM,JPK_KR!W:W,S148),"")</f>
        <v/>
      </c>
    </row>
    <row r="149" spans="3:22" x14ac:dyDescent="0.3">
      <c r="C149" s="24" t="str">
        <f>IF(A149&lt;&gt;"",SUMIFS(JPK_KR!AL:AL,JPK_KR!W:W,B149),"")</f>
        <v/>
      </c>
      <c r="D149" s="126" t="str">
        <f>IF(A149&lt;&gt;"",SUMIFS(JPK_KR!AM:AM,JPK_KR!W:W,B149),"")</f>
        <v/>
      </c>
      <c r="G149" s="24" t="str">
        <f>IF(E149&lt;&gt;"",SUMIFS(JPK_KR!AL:AL,JPK_KR!W:W,F149),"")</f>
        <v/>
      </c>
      <c r="H149" s="126" t="str">
        <f>IF(E149&lt;&gt;"",SUMIFS(JPK_KR!AM:AM,JPK_KR!W:W,F149),"")</f>
        <v/>
      </c>
      <c r="K149" s="24" t="str">
        <f>IF(I149&lt;&gt;"",SUMIFS(JPK_KR!AL:AL,JPK_KR!W:W,J149),"")</f>
        <v/>
      </c>
      <c r="L149" s="126" t="str">
        <f>IF(I149&lt;&gt;"",SUMIFS(JPK_KR!AM:AM,JPK_KR!W:W,J149),"")</f>
        <v/>
      </c>
      <c r="P149" s="24" t="str">
        <f>IF(M149&lt;&gt;"",IF(O149="",SUMIFS(JPK_KR!AL:AL,JPK_KR!W:W,N149),SUMIFS(JPK_KR!BF:BF,JPK_KR!BE:BE,N149,JPK_KR!BG:BG,O149)),"")</f>
        <v/>
      </c>
      <c r="Q149" s="126" t="str">
        <f>IF(M149&lt;&gt;"",IF(O149="",SUMIFS(JPK_KR!AM:AM,JPK_KR!W:W,N149),SUMIFS(JPK_KR!BI:BI,JPK_KR!BH:BH,N149,JPK_KR!BJ:BJ,O149)),"")</f>
        <v/>
      </c>
      <c r="U149" s="24" t="str">
        <f>IF(R149&lt;&gt;"",SUMIFS(JPK_KR!AL:AL,JPK_KR!W:W,S149),"")</f>
        <v/>
      </c>
      <c r="V149" s="126" t="str">
        <f>IF(R149&lt;&gt;"",SUMIFS(JPK_KR!AM:AM,JPK_KR!W:W,S149),"")</f>
        <v/>
      </c>
    </row>
    <row r="150" spans="3:22" x14ac:dyDescent="0.3">
      <c r="C150" s="24" t="str">
        <f>IF(A150&lt;&gt;"",SUMIFS(JPK_KR!AL:AL,JPK_KR!W:W,B150),"")</f>
        <v/>
      </c>
      <c r="D150" s="126" t="str">
        <f>IF(A150&lt;&gt;"",SUMIFS(JPK_KR!AM:AM,JPK_KR!W:W,B150),"")</f>
        <v/>
      </c>
      <c r="G150" s="24" t="str">
        <f>IF(E150&lt;&gt;"",SUMIFS(JPK_KR!AL:AL,JPK_KR!W:W,F150),"")</f>
        <v/>
      </c>
      <c r="H150" s="126" t="str">
        <f>IF(E150&lt;&gt;"",SUMIFS(JPK_KR!AM:AM,JPK_KR!W:W,F150),"")</f>
        <v/>
      </c>
      <c r="K150" s="24" t="str">
        <f>IF(I150&lt;&gt;"",SUMIFS(JPK_KR!AL:AL,JPK_KR!W:W,J150),"")</f>
        <v/>
      </c>
      <c r="L150" s="126" t="str">
        <f>IF(I150&lt;&gt;"",SUMIFS(JPK_KR!AM:AM,JPK_KR!W:W,J150),"")</f>
        <v/>
      </c>
      <c r="P150" s="24" t="str">
        <f>IF(M150&lt;&gt;"",IF(O150="",SUMIFS(JPK_KR!AL:AL,JPK_KR!W:W,N150),SUMIFS(JPK_KR!BF:BF,JPK_KR!BE:BE,N150,JPK_KR!BG:BG,O150)),"")</f>
        <v/>
      </c>
      <c r="Q150" s="126" t="str">
        <f>IF(M150&lt;&gt;"",IF(O150="",SUMIFS(JPK_KR!AM:AM,JPK_KR!W:W,N150),SUMIFS(JPK_KR!BI:BI,JPK_KR!BH:BH,N150,JPK_KR!BJ:BJ,O150)),"")</f>
        <v/>
      </c>
      <c r="U150" s="24" t="str">
        <f>IF(R150&lt;&gt;"",SUMIFS(JPK_KR!AL:AL,JPK_KR!W:W,S150),"")</f>
        <v/>
      </c>
      <c r="V150" s="126" t="str">
        <f>IF(R150&lt;&gt;"",SUMIFS(JPK_KR!AM:AM,JPK_KR!W:W,S150),"")</f>
        <v/>
      </c>
    </row>
    <row r="151" spans="3:22" x14ac:dyDescent="0.3">
      <c r="C151" s="24" t="str">
        <f>IF(A151&lt;&gt;"",SUMIFS(JPK_KR!AL:AL,JPK_KR!W:W,B151),"")</f>
        <v/>
      </c>
      <c r="D151" s="126" t="str">
        <f>IF(A151&lt;&gt;"",SUMIFS(JPK_KR!AM:AM,JPK_KR!W:W,B151),"")</f>
        <v/>
      </c>
      <c r="G151" s="24" t="str">
        <f>IF(E151&lt;&gt;"",SUMIFS(JPK_KR!AL:AL,JPK_KR!W:W,F151),"")</f>
        <v/>
      </c>
      <c r="H151" s="126" t="str">
        <f>IF(E151&lt;&gt;"",SUMIFS(JPK_KR!AM:AM,JPK_KR!W:W,F151),"")</f>
        <v/>
      </c>
      <c r="K151" s="24" t="str">
        <f>IF(I151&lt;&gt;"",SUMIFS(JPK_KR!AL:AL,JPK_KR!W:W,J151),"")</f>
        <v/>
      </c>
      <c r="L151" s="126" t="str">
        <f>IF(I151&lt;&gt;"",SUMIFS(JPK_KR!AM:AM,JPK_KR!W:W,J151),"")</f>
        <v/>
      </c>
      <c r="P151" s="24" t="str">
        <f>IF(M151&lt;&gt;"",IF(O151="",SUMIFS(JPK_KR!AL:AL,JPK_KR!W:W,N151),SUMIFS(JPK_KR!BF:BF,JPK_KR!BE:BE,N151,JPK_KR!BG:BG,O151)),"")</f>
        <v/>
      </c>
      <c r="Q151" s="126" t="str">
        <f>IF(M151&lt;&gt;"",IF(O151="",SUMIFS(JPK_KR!AM:AM,JPK_KR!W:W,N151),SUMIFS(JPK_KR!BI:BI,JPK_KR!BH:BH,N151,JPK_KR!BJ:BJ,O151)),"")</f>
        <v/>
      </c>
      <c r="U151" s="24" t="str">
        <f>IF(R151&lt;&gt;"",SUMIFS(JPK_KR!AL:AL,JPK_KR!W:W,S151),"")</f>
        <v/>
      </c>
      <c r="V151" s="126" t="str">
        <f>IF(R151&lt;&gt;"",SUMIFS(JPK_KR!AM:AM,JPK_KR!W:W,S151),"")</f>
        <v/>
      </c>
    </row>
    <row r="152" spans="3:22" x14ac:dyDescent="0.3">
      <c r="C152" s="24" t="str">
        <f>IF(A152&lt;&gt;"",SUMIFS(JPK_KR!AL:AL,JPK_KR!W:W,B152),"")</f>
        <v/>
      </c>
      <c r="D152" s="126" t="str">
        <f>IF(A152&lt;&gt;"",SUMIFS(JPK_KR!AM:AM,JPK_KR!W:W,B152),"")</f>
        <v/>
      </c>
      <c r="G152" s="24" t="str">
        <f>IF(E152&lt;&gt;"",SUMIFS(JPK_KR!AL:AL,JPK_KR!W:W,F152),"")</f>
        <v/>
      </c>
      <c r="H152" s="126" t="str">
        <f>IF(E152&lt;&gt;"",SUMIFS(JPK_KR!AM:AM,JPK_KR!W:W,F152),"")</f>
        <v/>
      </c>
      <c r="K152" s="24" t="str">
        <f>IF(I152&lt;&gt;"",SUMIFS(JPK_KR!AL:AL,JPK_KR!W:W,J152),"")</f>
        <v/>
      </c>
      <c r="L152" s="126" t="str">
        <f>IF(I152&lt;&gt;"",SUMIFS(JPK_KR!AM:AM,JPK_KR!W:W,J152),"")</f>
        <v/>
      </c>
      <c r="P152" s="24" t="str">
        <f>IF(M152&lt;&gt;"",IF(O152="",SUMIFS(JPK_KR!AL:AL,JPK_KR!W:W,N152),SUMIFS(JPK_KR!BF:BF,JPK_KR!BE:BE,N152,JPK_KR!BG:BG,O152)),"")</f>
        <v/>
      </c>
      <c r="Q152" s="126" t="str">
        <f>IF(M152&lt;&gt;"",IF(O152="",SUMIFS(JPK_KR!AM:AM,JPK_KR!W:W,N152),SUMIFS(JPK_KR!BI:BI,JPK_KR!BH:BH,N152,JPK_KR!BJ:BJ,O152)),"")</f>
        <v/>
      </c>
      <c r="U152" s="24" t="str">
        <f>IF(R152&lt;&gt;"",SUMIFS(JPK_KR!AL:AL,JPK_KR!W:W,S152),"")</f>
        <v/>
      </c>
      <c r="V152" s="126" t="str">
        <f>IF(R152&lt;&gt;"",SUMIFS(JPK_KR!AM:AM,JPK_KR!W:W,S152),"")</f>
        <v/>
      </c>
    </row>
    <row r="153" spans="3:22" x14ac:dyDescent="0.3">
      <c r="C153" s="24" t="str">
        <f>IF(A153&lt;&gt;"",SUMIFS(JPK_KR!AL:AL,JPK_KR!W:W,B153),"")</f>
        <v/>
      </c>
      <c r="D153" s="126" t="str">
        <f>IF(A153&lt;&gt;"",SUMIFS(JPK_KR!AM:AM,JPK_KR!W:W,B153),"")</f>
        <v/>
      </c>
      <c r="G153" s="24" t="str">
        <f>IF(E153&lt;&gt;"",SUMIFS(JPK_KR!AL:AL,JPK_KR!W:W,F153),"")</f>
        <v/>
      </c>
      <c r="H153" s="126" t="str">
        <f>IF(E153&lt;&gt;"",SUMIFS(JPK_KR!AM:AM,JPK_KR!W:W,F153),"")</f>
        <v/>
      </c>
      <c r="K153" s="24" t="str">
        <f>IF(I153&lt;&gt;"",SUMIFS(JPK_KR!AL:AL,JPK_KR!W:W,J153),"")</f>
        <v/>
      </c>
      <c r="L153" s="126" t="str">
        <f>IF(I153&lt;&gt;"",SUMIFS(JPK_KR!AM:AM,JPK_KR!W:W,J153),"")</f>
        <v/>
      </c>
      <c r="P153" s="24" t="str">
        <f>IF(M153&lt;&gt;"",IF(O153="",SUMIFS(JPK_KR!AL:AL,JPK_KR!W:W,N153),SUMIFS(JPK_KR!BF:BF,JPK_KR!BE:BE,N153,JPK_KR!BG:BG,O153)),"")</f>
        <v/>
      </c>
      <c r="Q153" s="126" t="str">
        <f>IF(M153&lt;&gt;"",IF(O153="",SUMIFS(JPK_KR!AM:AM,JPK_KR!W:W,N153),SUMIFS(JPK_KR!BI:BI,JPK_KR!BH:BH,N153,JPK_KR!BJ:BJ,O153)),"")</f>
        <v/>
      </c>
      <c r="U153" s="24" t="str">
        <f>IF(R153&lt;&gt;"",SUMIFS(JPK_KR!AL:AL,JPK_KR!W:W,S153),"")</f>
        <v/>
      </c>
      <c r="V153" s="126" t="str">
        <f>IF(R153&lt;&gt;"",SUMIFS(JPK_KR!AM:AM,JPK_KR!W:W,S153),"")</f>
        <v/>
      </c>
    </row>
    <row r="154" spans="3:22" x14ac:dyDescent="0.3">
      <c r="C154" s="24" t="str">
        <f>IF(A154&lt;&gt;"",SUMIFS(JPK_KR!AL:AL,JPK_KR!W:W,B154),"")</f>
        <v/>
      </c>
      <c r="D154" s="126" t="str">
        <f>IF(A154&lt;&gt;"",SUMIFS(JPK_KR!AM:AM,JPK_KR!W:W,B154),"")</f>
        <v/>
      </c>
      <c r="G154" s="24" t="str">
        <f>IF(E154&lt;&gt;"",SUMIFS(JPK_KR!AL:AL,JPK_KR!W:W,F154),"")</f>
        <v/>
      </c>
      <c r="H154" s="126" t="str">
        <f>IF(E154&lt;&gt;"",SUMIFS(JPK_KR!AM:AM,JPK_KR!W:W,F154),"")</f>
        <v/>
      </c>
      <c r="K154" s="24" t="str">
        <f>IF(I154&lt;&gt;"",SUMIFS(JPK_KR!AL:AL,JPK_KR!W:W,J154),"")</f>
        <v/>
      </c>
      <c r="L154" s="126" t="str">
        <f>IF(I154&lt;&gt;"",SUMIFS(JPK_KR!AM:AM,JPK_KR!W:W,J154),"")</f>
        <v/>
      </c>
      <c r="P154" s="24" t="str">
        <f>IF(M154&lt;&gt;"",IF(O154="",SUMIFS(JPK_KR!AL:AL,JPK_KR!W:W,N154),SUMIFS(JPK_KR!BF:BF,JPK_KR!BE:BE,N154,JPK_KR!BG:BG,O154)),"")</f>
        <v/>
      </c>
      <c r="Q154" s="126" t="str">
        <f>IF(M154&lt;&gt;"",IF(O154="",SUMIFS(JPK_KR!AM:AM,JPK_KR!W:W,N154),SUMIFS(JPK_KR!BI:BI,JPK_KR!BH:BH,N154,JPK_KR!BJ:BJ,O154)),"")</f>
        <v/>
      </c>
      <c r="U154" s="24" t="str">
        <f>IF(R154&lt;&gt;"",SUMIFS(JPK_KR!AL:AL,JPK_KR!W:W,S154),"")</f>
        <v/>
      </c>
      <c r="V154" s="126" t="str">
        <f>IF(R154&lt;&gt;"",SUMIFS(JPK_KR!AM:AM,JPK_KR!W:W,S154),"")</f>
        <v/>
      </c>
    </row>
    <row r="155" spans="3:22" x14ac:dyDescent="0.3">
      <c r="C155" s="24" t="str">
        <f>IF(A155&lt;&gt;"",SUMIFS(JPK_KR!AL:AL,JPK_KR!W:W,B155),"")</f>
        <v/>
      </c>
      <c r="D155" s="126" t="str">
        <f>IF(A155&lt;&gt;"",SUMIFS(JPK_KR!AM:AM,JPK_KR!W:W,B155),"")</f>
        <v/>
      </c>
      <c r="G155" s="24" t="str">
        <f>IF(E155&lt;&gt;"",SUMIFS(JPK_KR!AL:AL,JPK_KR!W:W,F155),"")</f>
        <v/>
      </c>
      <c r="H155" s="126" t="str">
        <f>IF(E155&lt;&gt;"",SUMIFS(JPK_KR!AM:AM,JPK_KR!W:W,F155),"")</f>
        <v/>
      </c>
      <c r="K155" s="24" t="str">
        <f>IF(I155&lt;&gt;"",SUMIFS(JPK_KR!AL:AL,JPK_KR!W:W,J155),"")</f>
        <v/>
      </c>
      <c r="L155" s="126" t="str">
        <f>IF(I155&lt;&gt;"",SUMIFS(JPK_KR!AM:AM,JPK_KR!W:W,J155),"")</f>
        <v/>
      </c>
      <c r="P155" s="24" t="str">
        <f>IF(M155&lt;&gt;"",IF(O155="",SUMIFS(JPK_KR!AL:AL,JPK_KR!W:W,N155),SUMIFS(JPK_KR!BF:BF,JPK_KR!BE:BE,N155,JPK_KR!BG:BG,O155)),"")</f>
        <v/>
      </c>
      <c r="Q155" s="126" t="str">
        <f>IF(M155&lt;&gt;"",IF(O155="",SUMIFS(JPK_KR!AM:AM,JPK_KR!W:W,N155),SUMIFS(JPK_KR!BI:BI,JPK_KR!BH:BH,N155,JPK_KR!BJ:BJ,O155)),"")</f>
        <v/>
      </c>
      <c r="U155" s="24" t="str">
        <f>IF(R155&lt;&gt;"",SUMIFS(JPK_KR!AL:AL,JPK_KR!W:W,S155),"")</f>
        <v/>
      </c>
      <c r="V155" s="126" t="str">
        <f>IF(R155&lt;&gt;"",SUMIFS(JPK_KR!AM:AM,JPK_KR!W:W,S155),"")</f>
        <v/>
      </c>
    </row>
    <row r="156" spans="3:22" x14ac:dyDescent="0.3">
      <c r="C156" s="24" t="str">
        <f>IF(A156&lt;&gt;"",SUMIFS(JPK_KR!AL:AL,JPK_KR!W:W,B156),"")</f>
        <v/>
      </c>
      <c r="D156" s="126" t="str">
        <f>IF(A156&lt;&gt;"",SUMIFS(JPK_KR!AM:AM,JPK_KR!W:W,B156),"")</f>
        <v/>
      </c>
      <c r="G156" s="24" t="str">
        <f>IF(E156&lt;&gt;"",SUMIFS(JPK_KR!AL:AL,JPK_KR!W:W,F156),"")</f>
        <v/>
      </c>
      <c r="H156" s="126" t="str">
        <f>IF(E156&lt;&gt;"",SUMIFS(JPK_KR!AM:AM,JPK_KR!W:W,F156),"")</f>
        <v/>
      </c>
      <c r="K156" s="24" t="str">
        <f>IF(I156&lt;&gt;"",SUMIFS(JPK_KR!AL:AL,JPK_KR!W:W,J156),"")</f>
        <v/>
      </c>
      <c r="L156" s="126" t="str">
        <f>IF(I156&lt;&gt;"",SUMIFS(JPK_KR!AM:AM,JPK_KR!W:W,J156),"")</f>
        <v/>
      </c>
      <c r="P156" s="24" t="str">
        <f>IF(M156&lt;&gt;"",IF(O156="",SUMIFS(JPK_KR!AL:AL,JPK_KR!W:W,N156),SUMIFS(JPK_KR!BF:BF,JPK_KR!BE:BE,N156,JPK_KR!BG:BG,O156)),"")</f>
        <v/>
      </c>
      <c r="Q156" s="126" t="str">
        <f>IF(M156&lt;&gt;"",IF(O156="",SUMIFS(JPK_KR!AM:AM,JPK_KR!W:W,N156),SUMIFS(JPK_KR!BI:BI,JPK_KR!BH:BH,N156,JPK_KR!BJ:BJ,O156)),"")</f>
        <v/>
      </c>
      <c r="U156" s="24" t="str">
        <f>IF(R156&lt;&gt;"",SUMIFS(JPK_KR!AL:AL,JPK_KR!W:W,S156),"")</f>
        <v/>
      </c>
      <c r="V156" s="126" t="str">
        <f>IF(R156&lt;&gt;"",SUMIFS(JPK_KR!AM:AM,JPK_KR!W:W,S156),"")</f>
        <v/>
      </c>
    </row>
    <row r="157" spans="3:22" x14ac:dyDescent="0.3">
      <c r="C157" s="24" t="str">
        <f>IF(A157&lt;&gt;"",SUMIFS(JPK_KR!AL:AL,JPK_KR!W:W,B157),"")</f>
        <v/>
      </c>
      <c r="D157" s="126" t="str">
        <f>IF(A157&lt;&gt;"",SUMIFS(JPK_KR!AM:AM,JPK_KR!W:W,B157),"")</f>
        <v/>
      </c>
      <c r="G157" s="24" t="str">
        <f>IF(E157&lt;&gt;"",SUMIFS(JPK_KR!AL:AL,JPK_KR!W:W,F157),"")</f>
        <v/>
      </c>
      <c r="H157" s="126" t="str">
        <f>IF(E157&lt;&gt;"",SUMIFS(JPK_KR!AM:AM,JPK_KR!W:W,F157),"")</f>
        <v/>
      </c>
      <c r="K157" s="24" t="str">
        <f>IF(I157&lt;&gt;"",SUMIFS(JPK_KR!AL:AL,JPK_KR!W:W,J157),"")</f>
        <v/>
      </c>
      <c r="L157" s="126" t="str">
        <f>IF(I157&lt;&gt;"",SUMIFS(JPK_KR!AM:AM,JPK_KR!W:W,J157),"")</f>
        <v/>
      </c>
      <c r="P157" s="24" t="str">
        <f>IF(M157&lt;&gt;"",IF(O157="",SUMIFS(JPK_KR!AL:AL,JPK_KR!W:W,N157),SUMIFS(JPK_KR!BF:BF,JPK_KR!BE:BE,N157,JPK_KR!BG:BG,O157)),"")</f>
        <v/>
      </c>
      <c r="Q157" s="126" t="str">
        <f>IF(M157&lt;&gt;"",IF(O157="",SUMIFS(JPK_KR!AM:AM,JPK_KR!W:W,N157),SUMIFS(JPK_KR!BI:BI,JPK_KR!BH:BH,N157,JPK_KR!BJ:BJ,O157)),"")</f>
        <v/>
      </c>
      <c r="U157" s="24" t="str">
        <f>IF(R157&lt;&gt;"",SUMIFS(JPK_KR!AL:AL,JPK_KR!W:W,S157),"")</f>
        <v/>
      </c>
      <c r="V157" s="126" t="str">
        <f>IF(R157&lt;&gt;"",SUMIFS(JPK_KR!AM:AM,JPK_KR!W:W,S157),"")</f>
        <v/>
      </c>
    </row>
    <row r="158" spans="3:22" x14ac:dyDescent="0.3">
      <c r="C158" s="24" t="str">
        <f>IF(A158&lt;&gt;"",SUMIFS(JPK_KR!AL:AL,JPK_KR!W:W,B158),"")</f>
        <v/>
      </c>
      <c r="D158" s="126" t="str">
        <f>IF(A158&lt;&gt;"",SUMIFS(JPK_KR!AM:AM,JPK_KR!W:W,B158),"")</f>
        <v/>
      </c>
      <c r="G158" s="24" t="str">
        <f>IF(E158&lt;&gt;"",SUMIFS(JPK_KR!AL:AL,JPK_KR!W:W,F158),"")</f>
        <v/>
      </c>
      <c r="H158" s="126" t="str">
        <f>IF(E158&lt;&gt;"",SUMIFS(JPK_KR!AM:AM,JPK_KR!W:W,F158),"")</f>
        <v/>
      </c>
      <c r="K158" s="24" t="str">
        <f>IF(I158&lt;&gt;"",SUMIFS(JPK_KR!AL:AL,JPK_KR!W:W,J158),"")</f>
        <v/>
      </c>
      <c r="L158" s="126" t="str">
        <f>IF(I158&lt;&gt;"",SUMIFS(JPK_KR!AM:AM,JPK_KR!W:W,J158),"")</f>
        <v/>
      </c>
      <c r="P158" s="24" t="str">
        <f>IF(M158&lt;&gt;"",IF(O158="",SUMIFS(JPK_KR!AL:AL,JPK_KR!W:W,N158),SUMIFS(JPK_KR!BF:BF,JPK_KR!BE:BE,N158,JPK_KR!BG:BG,O158)),"")</f>
        <v/>
      </c>
      <c r="Q158" s="126" t="str">
        <f>IF(M158&lt;&gt;"",IF(O158="",SUMIFS(JPK_KR!AM:AM,JPK_KR!W:W,N158),SUMIFS(JPK_KR!BI:BI,JPK_KR!BH:BH,N158,JPK_KR!BJ:BJ,O158)),"")</f>
        <v/>
      </c>
      <c r="U158" s="24" t="str">
        <f>IF(R158&lt;&gt;"",SUMIFS(JPK_KR!AL:AL,JPK_KR!W:W,S158),"")</f>
        <v/>
      </c>
      <c r="V158" s="126" t="str">
        <f>IF(R158&lt;&gt;"",SUMIFS(JPK_KR!AM:AM,JPK_KR!W:W,S158),"")</f>
        <v/>
      </c>
    </row>
    <row r="159" spans="3:22" x14ac:dyDescent="0.3">
      <c r="C159" s="24" t="str">
        <f>IF(A159&lt;&gt;"",SUMIFS(JPK_KR!AL:AL,JPK_KR!W:W,B159),"")</f>
        <v/>
      </c>
      <c r="D159" s="126" t="str">
        <f>IF(A159&lt;&gt;"",SUMIFS(JPK_KR!AM:AM,JPK_KR!W:W,B159),"")</f>
        <v/>
      </c>
      <c r="G159" s="24" t="str">
        <f>IF(E159&lt;&gt;"",SUMIFS(JPK_KR!AL:AL,JPK_KR!W:W,F159),"")</f>
        <v/>
      </c>
      <c r="H159" s="126" t="str">
        <f>IF(E159&lt;&gt;"",SUMIFS(JPK_KR!AM:AM,JPK_KR!W:W,F159),"")</f>
        <v/>
      </c>
      <c r="K159" s="24" t="str">
        <f>IF(I159&lt;&gt;"",SUMIFS(JPK_KR!AL:AL,JPK_KR!W:W,J159),"")</f>
        <v/>
      </c>
      <c r="L159" s="126" t="str">
        <f>IF(I159&lt;&gt;"",SUMIFS(JPK_KR!AM:AM,JPK_KR!W:W,J159),"")</f>
        <v/>
      </c>
      <c r="P159" s="24" t="str">
        <f>IF(M159&lt;&gt;"",IF(O159="",SUMIFS(JPK_KR!AL:AL,JPK_KR!W:W,N159),SUMIFS(JPK_KR!BF:BF,JPK_KR!BE:BE,N159,JPK_KR!BG:BG,O159)),"")</f>
        <v/>
      </c>
      <c r="Q159" s="126" t="str">
        <f>IF(M159&lt;&gt;"",IF(O159="",SUMIFS(JPK_KR!AM:AM,JPK_KR!W:W,N159),SUMIFS(JPK_KR!BI:BI,JPK_KR!BH:BH,N159,JPK_KR!BJ:BJ,O159)),"")</f>
        <v/>
      </c>
      <c r="U159" s="24" t="str">
        <f>IF(R159&lt;&gt;"",SUMIFS(JPK_KR!AL:AL,JPK_KR!W:W,S159),"")</f>
        <v/>
      </c>
      <c r="V159" s="126" t="str">
        <f>IF(R159&lt;&gt;"",SUMIFS(JPK_KR!AM:AM,JPK_KR!W:W,S159),"")</f>
        <v/>
      </c>
    </row>
    <row r="160" spans="3:22" x14ac:dyDescent="0.3">
      <c r="C160" s="24" t="str">
        <f>IF(A160&lt;&gt;"",SUMIFS(JPK_KR!AL:AL,JPK_KR!W:W,B160),"")</f>
        <v/>
      </c>
      <c r="D160" s="126" t="str">
        <f>IF(A160&lt;&gt;"",SUMIFS(JPK_KR!AM:AM,JPK_KR!W:W,B160),"")</f>
        <v/>
      </c>
      <c r="G160" s="24" t="str">
        <f>IF(E160&lt;&gt;"",SUMIFS(JPK_KR!AL:AL,JPK_KR!W:W,F160),"")</f>
        <v/>
      </c>
      <c r="H160" s="126" t="str">
        <f>IF(E160&lt;&gt;"",SUMIFS(JPK_KR!AM:AM,JPK_KR!W:W,F160),"")</f>
        <v/>
      </c>
      <c r="K160" s="24" t="str">
        <f>IF(I160&lt;&gt;"",SUMIFS(JPK_KR!AL:AL,JPK_KR!W:W,J160),"")</f>
        <v/>
      </c>
      <c r="L160" s="126" t="str">
        <f>IF(I160&lt;&gt;"",SUMIFS(JPK_KR!AM:AM,JPK_KR!W:W,J160),"")</f>
        <v/>
      </c>
      <c r="P160" s="24" t="str">
        <f>IF(M160&lt;&gt;"",IF(O160="",SUMIFS(JPK_KR!AL:AL,JPK_KR!W:W,N160),SUMIFS(JPK_KR!BF:BF,JPK_KR!BE:BE,N160,JPK_KR!BG:BG,O160)),"")</f>
        <v/>
      </c>
      <c r="Q160" s="126" t="str">
        <f>IF(M160&lt;&gt;"",IF(O160="",SUMIFS(JPK_KR!AM:AM,JPK_KR!W:W,N160),SUMIFS(JPK_KR!BI:BI,JPK_KR!BH:BH,N160,JPK_KR!BJ:BJ,O160)),"")</f>
        <v/>
      </c>
      <c r="U160" s="24" t="str">
        <f>IF(R160&lt;&gt;"",SUMIFS(JPK_KR!AL:AL,JPK_KR!W:W,S160),"")</f>
        <v/>
      </c>
      <c r="V160" s="126" t="str">
        <f>IF(R160&lt;&gt;"",SUMIFS(JPK_KR!AM:AM,JPK_KR!W:W,S160),"")</f>
        <v/>
      </c>
    </row>
    <row r="161" spans="3:22" x14ac:dyDescent="0.3">
      <c r="C161" s="24" t="str">
        <f>IF(A161&lt;&gt;"",SUMIFS(JPK_KR!AL:AL,JPK_KR!W:W,B161),"")</f>
        <v/>
      </c>
      <c r="D161" s="126" t="str">
        <f>IF(A161&lt;&gt;"",SUMIFS(JPK_KR!AM:AM,JPK_KR!W:W,B161),"")</f>
        <v/>
      </c>
      <c r="G161" s="24" t="str">
        <f>IF(E161&lt;&gt;"",SUMIFS(JPK_KR!AL:AL,JPK_KR!W:W,F161),"")</f>
        <v/>
      </c>
      <c r="H161" s="126" t="str">
        <f>IF(E161&lt;&gt;"",SUMIFS(JPK_KR!AM:AM,JPK_KR!W:W,F161),"")</f>
        <v/>
      </c>
      <c r="K161" s="24" t="str">
        <f>IF(I161&lt;&gt;"",SUMIFS(JPK_KR!AL:AL,JPK_KR!W:W,J161),"")</f>
        <v/>
      </c>
      <c r="L161" s="126" t="str">
        <f>IF(I161&lt;&gt;"",SUMIFS(JPK_KR!AM:AM,JPK_KR!W:W,J161),"")</f>
        <v/>
      </c>
      <c r="P161" s="24" t="str">
        <f>IF(M161&lt;&gt;"",IF(O161="",SUMIFS(JPK_KR!AL:AL,JPK_KR!W:W,N161),SUMIFS(JPK_KR!BF:BF,JPK_KR!BE:BE,N161,JPK_KR!BG:BG,O161)),"")</f>
        <v/>
      </c>
      <c r="Q161" s="126" t="str">
        <f>IF(M161&lt;&gt;"",IF(O161="",SUMIFS(JPK_KR!AM:AM,JPK_KR!W:W,N161),SUMIFS(JPK_KR!BI:BI,JPK_KR!BH:BH,N161,JPK_KR!BJ:BJ,O161)),"")</f>
        <v/>
      </c>
      <c r="U161" s="24" t="str">
        <f>IF(R161&lt;&gt;"",SUMIFS(JPK_KR!AL:AL,JPK_KR!W:W,S161),"")</f>
        <v/>
      </c>
      <c r="V161" s="126" t="str">
        <f>IF(R161&lt;&gt;"",SUMIFS(JPK_KR!AM:AM,JPK_KR!W:W,S161),"")</f>
        <v/>
      </c>
    </row>
    <row r="162" spans="3:22" x14ac:dyDescent="0.3">
      <c r="C162" s="24" t="str">
        <f>IF(A162&lt;&gt;"",SUMIFS(JPK_KR!AL:AL,JPK_KR!W:W,B162),"")</f>
        <v/>
      </c>
      <c r="D162" s="126" t="str">
        <f>IF(A162&lt;&gt;"",SUMIFS(JPK_KR!AM:AM,JPK_KR!W:W,B162),"")</f>
        <v/>
      </c>
      <c r="G162" s="24" t="str">
        <f>IF(E162&lt;&gt;"",SUMIFS(JPK_KR!AL:AL,JPK_KR!W:W,F162),"")</f>
        <v/>
      </c>
      <c r="H162" s="126" t="str">
        <f>IF(E162&lt;&gt;"",SUMIFS(JPK_KR!AM:AM,JPK_KR!W:W,F162),"")</f>
        <v/>
      </c>
      <c r="K162" s="24" t="str">
        <f>IF(I162&lt;&gt;"",SUMIFS(JPK_KR!AL:AL,JPK_KR!W:W,J162),"")</f>
        <v/>
      </c>
      <c r="L162" s="126" t="str">
        <f>IF(I162&lt;&gt;"",SUMIFS(JPK_KR!AM:AM,JPK_KR!W:W,J162),"")</f>
        <v/>
      </c>
      <c r="P162" s="24" t="str">
        <f>IF(M162&lt;&gt;"",IF(O162="",SUMIFS(JPK_KR!AL:AL,JPK_KR!W:W,N162),SUMIFS(JPK_KR!BF:BF,JPK_KR!BE:BE,N162,JPK_KR!BG:BG,O162)),"")</f>
        <v/>
      </c>
      <c r="Q162" s="126" t="str">
        <f>IF(M162&lt;&gt;"",IF(O162="",SUMIFS(JPK_KR!AM:AM,JPK_KR!W:W,N162),SUMIFS(JPK_KR!BI:BI,JPK_KR!BH:BH,N162,JPK_KR!BJ:BJ,O162)),"")</f>
        <v/>
      </c>
      <c r="U162" s="24" t="str">
        <f>IF(R162&lt;&gt;"",SUMIFS(JPK_KR!AL:AL,JPK_KR!W:W,S162),"")</f>
        <v/>
      </c>
      <c r="V162" s="126" t="str">
        <f>IF(R162&lt;&gt;"",SUMIFS(JPK_KR!AM:AM,JPK_KR!W:W,S162),"")</f>
        <v/>
      </c>
    </row>
    <row r="163" spans="3:22" x14ac:dyDescent="0.3">
      <c r="C163" s="24" t="str">
        <f>IF(A163&lt;&gt;"",SUMIFS(JPK_KR!AL:AL,JPK_KR!W:W,B163),"")</f>
        <v/>
      </c>
      <c r="D163" s="126" t="str">
        <f>IF(A163&lt;&gt;"",SUMIFS(JPK_KR!AM:AM,JPK_KR!W:W,B163),"")</f>
        <v/>
      </c>
      <c r="G163" s="24" t="str">
        <f>IF(E163&lt;&gt;"",SUMIFS(JPK_KR!AL:AL,JPK_KR!W:W,F163),"")</f>
        <v/>
      </c>
      <c r="H163" s="126" t="str">
        <f>IF(E163&lt;&gt;"",SUMIFS(JPK_KR!AM:AM,JPK_KR!W:W,F163),"")</f>
        <v/>
      </c>
      <c r="K163" s="24" t="str">
        <f>IF(I163&lt;&gt;"",SUMIFS(JPK_KR!AL:AL,JPK_KR!W:W,J163),"")</f>
        <v/>
      </c>
      <c r="L163" s="126" t="str">
        <f>IF(I163&lt;&gt;"",SUMIFS(JPK_KR!AM:AM,JPK_KR!W:W,J163),"")</f>
        <v/>
      </c>
      <c r="P163" s="24" t="str">
        <f>IF(M163&lt;&gt;"",IF(O163="",SUMIFS(JPK_KR!AL:AL,JPK_KR!W:W,N163),SUMIFS(JPK_KR!BF:BF,JPK_KR!BE:BE,N163,JPK_KR!BG:BG,O163)),"")</f>
        <v/>
      </c>
      <c r="Q163" s="126" t="str">
        <f>IF(M163&lt;&gt;"",IF(O163="",SUMIFS(JPK_KR!AM:AM,JPK_KR!W:W,N163),SUMIFS(JPK_KR!BI:BI,JPK_KR!BH:BH,N163,JPK_KR!BJ:BJ,O163)),"")</f>
        <v/>
      </c>
      <c r="U163" s="24" t="str">
        <f>IF(R163&lt;&gt;"",SUMIFS(JPK_KR!AL:AL,JPK_KR!W:W,S163),"")</f>
        <v/>
      </c>
      <c r="V163" s="126" t="str">
        <f>IF(R163&lt;&gt;"",SUMIFS(JPK_KR!AM:AM,JPK_KR!W:W,S163),"")</f>
        <v/>
      </c>
    </row>
    <row r="164" spans="3:22" x14ac:dyDescent="0.3">
      <c r="C164" s="24" t="str">
        <f>IF(A164&lt;&gt;"",SUMIFS(JPK_KR!AL:AL,JPK_KR!W:W,B164),"")</f>
        <v/>
      </c>
      <c r="D164" s="126" t="str">
        <f>IF(A164&lt;&gt;"",SUMIFS(JPK_KR!AM:AM,JPK_KR!W:W,B164),"")</f>
        <v/>
      </c>
      <c r="G164" s="24" t="str">
        <f>IF(E164&lt;&gt;"",SUMIFS(JPK_KR!AL:AL,JPK_KR!W:W,F164),"")</f>
        <v/>
      </c>
      <c r="H164" s="126" t="str">
        <f>IF(E164&lt;&gt;"",SUMIFS(JPK_KR!AM:AM,JPK_KR!W:W,F164),"")</f>
        <v/>
      </c>
      <c r="K164" s="24" t="str">
        <f>IF(I164&lt;&gt;"",SUMIFS(JPK_KR!AL:AL,JPK_KR!W:W,J164),"")</f>
        <v/>
      </c>
      <c r="L164" s="126" t="str">
        <f>IF(I164&lt;&gt;"",SUMIFS(JPK_KR!AM:AM,JPK_KR!W:W,J164),"")</f>
        <v/>
      </c>
      <c r="P164" s="24" t="str">
        <f>IF(M164&lt;&gt;"",IF(O164="",SUMIFS(JPK_KR!AL:AL,JPK_KR!W:W,N164),SUMIFS(JPK_KR!BF:BF,JPK_KR!BE:BE,N164,JPK_KR!BG:BG,O164)),"")</f>
        <v/>
      </c>
      <c r="Q164" s="126" t="str">
        <f>IF(M164&lt;&gt;"",IF(O164="",SUMIFS(JPK_KR!AM:AM,JPK_KR!W:W,N164),SUMIFS(JPK_KR!BI:BI,JPK_KR!BH:BH,N164,JPK_KR!BJ:BJ,O164)),"")</f>
        <v/>
      </c>
      <c r="U164" s="24" t="str">
        <f>IF(R164&lt;&gt;"",SUMIFS(JPK_KR!AL:AL,JPK_KR!W:W,S164),"")</f>
        <v/>
      </c>
      <c r="V164" s="126" t="str">
        <f>IF(R164&lt;&gt;"",SUMIFS(JPK_KR!AM:AM,JPK_KR!W:W,S164),"")</f>
        <v/>
      </c>
    </row>
    <row r="165" spans="3:22" x14ac:dyDescent="0.3">
      <c r="C165" s="24" t="str">
        <f>IF(A165&lt;&gt;"",SUMIFS(JPK_KR!AL:AL,JPK_KR!W:W,B165),"")</f>
        <v/>
      </c>
      <c r="D165" s="126" t="str">
        <f>IF(A165&lt;&gt;"",SUMIFS(JPK_KR!AM:AM,JPK_KR!W:W,B165),"")</f>
        <v/>
      </c>
      <c r="G165" s="24" t="str">
        <f>IF(E165&lt;&gt;"",SUMIFS(JPK_KR!AL:AL,JPK_KR!W:W,F165),"")</f>
        <v/>
      </c>
      <c r="H165" s="126" t="str">
        <f>IF(E165&lt;&gt;"",SUMIFS(JPK_KR!AM:AM,JPK_KR!W:W,F165),"")</f>
        <v/>
      </c>
      <c r="K165" s="24" t="str">
        <f>IF(I165&lt;&gt;"",SUMIFS(JPK_KR!AL:AL,JPK_KR!W:W,J165),"")</f>
        <v/>
      </c>
      <c r="L165" s="126" t="str">
        <f>IF(I165&lt;&gt;"",SUMIFS(JPK_KR!AM:AM,JPK_KR!W:W,J165),"")</f>
        <v/>
      </c>
      <c r="P165" s="24" t="str">
        <f>IF(M165&lt;&gt;"",IF(O165="",SUMIFS(JPK_KR!AL:AL,JPK_KR!W:W,N165),SUMIFS(JPK_KR!BF:BF,JPK_KR!BE:BE,N165,JPK_KR!BG:BG,O165)),"")</f>
        <v/>
      </c>
      <c r="Q165" s="126" t="str">
        <f>IF(M165&lt;&gt;"",IF(O165="",SUMIFS(JPK_KR!AM:AM,JPK_KR!W:W,N165),SUMIFS(JPK_KR!BI:BI,JPK_KR!BH:BH,N165,JPK_KR!BJ:BJ,O165)),"")</f>
        <v/>
      </c>
      <c r="U165" s="24" t="str">
        <f>IF(R165&lt;&gt;"",SUMIFS(JPK_KR!AL:AL,JPK_KR!W:W,S165),"")</f>
        <v/>
      </c>
      <c r="V165" s="126" t="str">
        <f>IF(R165&lt;&gt;"",SUMIFS(JPK_KR!AM:AM,JPK_KR!W:W,S165),"")</f>
        <v/>
      </c>
    </row>
    <row r="166" spans="3:22" x14ac:dyDescent="0.3">
      <c r="C166" s="24" t="str">
        <f>IF(A166&lt;&gt;"",SUMIFS(JPK_KR!AL:AL,JPK_KR!W:W,B166),"")</f>
        <v/>
      </c>
      <c r="D166" s="126" t="str">
        <f>IF(A166&lt;&gt;"",SUMIFS(JPK_KR!AM:AM,JPK_KR!W:W,B166),"")</f>
        <v/>
      </c>
      <c r="G166" s="24" t="str">
        <f>IF(E166&lt;&gt;"",SUMIFS(JPK_KR!AL:AL,JPK_KR!W:W,F166),"")</f>
        <v/>
      </c>
      <c r="H166" s="126" t="str">
        <f>IF(E166&lt;&gt;"",SUMIFS(JPK_KR!AM:AM,JPK_KR!W:W,F166),"")</f>
        <v/>
      </c>
      <c r="K166" s="24" t="str">
        <f>IF(I166&lt;&gt;"",SUMIFS(JPK_KR!AL:AL,JPK_KR!W:W,J166),"")</f>
        <v/>
      </c>
      <c r="L166" s="126" t="str">
        <f>IF(I166&lt;&gt;"",SUMIFS(JPK_KR!AM:AM,JPK_KR!W:W,J166),"")</f>
        <v/>
      </c>
      <c r="P166" s="24" t="str">
        <f>IF(M166&lt;&gt;"",IF(O166="",SUMIFS(JPK_KR!AL:AL,JPK_KR!W:W,N166),SUMIFS(JPK_KR!BF:BF,JPK_KR!BE:BE,N166,JPK_KR!BG:BG,O166)),"")</f>
        <v/>
      </c>
      <c r="Q166" s="126" t="str">
        <f>IF(M166&lt;&gt;"",IF(O166="",SUMIFS(JPK_KR!AM:AM,JPK_KR!W:W,N166),SUMIFS(JPK_KR!BI:BI,JPK_KR!BH:BH,N166,JPK_KR!BJ:BJ,O166)),"")</f>
        <v/>
      </c>
      <c r="U166" s="24" t="str">
        <f>IF(R166&lt;&gt;"",SUMIFS(JPK_KR!AL:AL,JPK_KR!W:W,S166),"")</f>
        <v/>
      </c>
      <c r="V166" s="126" t="str">
        <f>IF(R166&lt;&gt;"",SUMIFS(JPK_KR!AM:AM,JPK_KR!W:W,S166),"")</f>
        <v/>
      </c>
    </row>
    <row r="167" spans="3:22" x14ac:dyDescent="0.3">
      <c r="C167" s="24" t="str">
        <f>IF(A167&lt;&gt;"",SUMIFS(JPK_KR!AL:AL,JPK_KR!W:W,B167),"")</f>
        <v/>
      </c>
      <c r="D167" s="126" t="str">
        <f>IF(A167&lt;&gt;"",SUMIFS(JPK_KR!AM:AM,JPK_KR!W:W,B167),"")</f>
        <v/>
      </c>
      <c r="G167" s="24" t="str">
        <f>IF(E167&lt;&gt;"",SUMIFS(JPK_KR!AL:AL,JPK_KR!W:W,F167),"")</f>
        <v/>
      </c>
      <c r="H167" s="126" t="str">
        <f>IF(E167&lt;&gt;"",SUMIFS(JPK_KR!AM:AM,JPK_KR!W:W,F167),"")</f>
        <v/>
      </c>
      <c r="K167" s="24" t="str">
        <f>IF(I167&lt;&gt;"",SUMIFS(JPK_KR!AL:AL,JPK_KR!W:W,J167),"")</f>
        <v/>
      </c>
      <c r="L167" s="126" t="str">
        <f>IF(I167&lt;&gt;"",SUMIFS(JPK_KR!AM:AM,JPK_KR!W:W,J167),"")</f>
        <v/>
      </c>
      <c r="P167" s="24" t="str">
        <f>IF(M167&lt;&gt;"",IF(O167="",SUMIFS(JPK_KR!AL:AL,JPK_KR!W:W,N167),SUMIFS(JPK_KR!BF:BF,JPK_KR!BE:BE,N167,JPK_KR!BG:BG,O167)),"")</f>
        <v/>
      </c>
      <c r="Q167" s="126" t="str">
        <f>IF(M167&lt;&gt;"",IF(O167="",SUMIFS(JPK_KR!AM:AM,JPK_KR!W:W,N167),SUMIFS(JPK_KR!BI:BI,JPK_KR!BH:BH,N167,JPK_KR!BJ:BJ,O167)),"")</f>
        <v/>
      </c>
      <c r="U167" s="24" t="str">
        <f>IF(R167&lt;&gt;"",SUMIFS(JPK_KR!AL:AL,JPK_KR!W:W,S167),"")</f>
        <v/>
      </c>
      <c r="V167" s="126" t="str">
        <f>IF(R167&lt;&gt;"",SUMIFS(JPK_KR!AM:AM,JPK_KR!W:W,S167),"")</f>
        <v/>
      </c>
    </row>
    <row r="168" spans="3:22" x14ac:dyDescent="0.3">
      <c r="C168" s="24" t="str">
        <f>IF(A168&lt;&gt;"",SUMIFS(JPK_KR!AL:AL,JPK_KR!W:W,B168),"")</f>
        <v/>
      </c>
      <c r="D168" s="126" t="str">
        <f>IF(A168&lt;&gt;"",SUMIFS(JPK_KR!AM:AM,JPK_KR!W:W,B168),"")</f>
        <v/>
      </c>
      <c r="G168" s="24" t="str">
        <f>IF(E168&lt;&gt;"",SUMIFS(JPK_KR!AL:AL,JPK_KR!W:W,F168),"")</f>
        <v/>
      </c>
      <c r="H168" s="126" t="str">
        <f>IF(E168&lt;&gt;"",SUMIFS(JPK_KR!AM:AM,JPK_KR!W:W,F168),"")</f>
        <v/>
      </c>
      <c r="K168" s="24" t="str">
        <f>IF(I168&lt;&gt;"",SUMIFS(JPK_KR!AL:AL,JPK_KR!W:W,J168),"")</f>
        <v/>
      </c>
      <c r="L168" s="126" t="str">
        <f>IF(I168&lt;&gt;"",SUMIFS(JPK_KR!AM:AM,JPK_KR!W:W,J168),"")</f>
        <v/>
      </c>
      <c r="P168" s="24" t="str">
        <f>IF(M168&lt;&gt;"",IF(O168="",SUMIFS(JPK_KR!AL:AL,JPK_KR!W:W,N168),SUMIFS(JPK_KR!BF:BF,JPK_KR!BE:BE,N168,JPK_KR!BG:BG,O168)),"")</f>
        <v/>
      </c>
      <c r="Q168" s="126" t="str">
        <f>IF(M168&lt;&gt;"",IF(O168="",SUMIFS(JPK_KR!AM:AM,JPK_KR!W:W,N168),SUMIFS(JPK_KR!BI:BI,JPK_KR!BH:BH,N168,JPK_KR!BJ:BJ,O168)),"")</f>
        <v/>
      </c>
      <c r="U168" s="24" t="str">
        <f>IF(R168&lt;&gt;"",SUMIFS(JPK_KR!AL:AL,JPK_KR!W:W,S168),"")</f>
        <v/>
      </c>
      <c r="V168" s="126" t="str">
        <f>IF(R168&lt;&gt;"",SUMIFS(JPK_KR!AM:AM,JPK_KR!W:W,S168),"")</f>
        <v/>
      </c>
    </row>
    <row r="169" spans="3:22" x14ac:dyDescent="0.3">
      <c r="C169" s="24" t="str">
        <f>IF(A169&lt;&gt;"",SUMIFS(JPK_KR!AL:AL,JPK_KR!W:W,B169),"")</f>
        <v/>
      </c>
      <c r="D169" s="126" t="str">
        <f>IF(A169&lt;&gt;"",SUMIFS(JPK_KR!AM:AM,JPK_KR!W:W,B169),"")</f>
        <v/>
      </c>
      <c r="G169" s="24" t="str">
        <f>IF(E169&lt;&gt;"",SUMIFS(JPK_KR!AL:AL,JPK_KR!W:W,F169),"")</f>
        <v/>
      </c>
      <c r="H169" s="126" t="str">
        <f>IF(E169&lt;&gt;"",SUMIFS(JPK_KR!AM:AM,JPK_KR!W:W,F169),"")</f>
        <v/>
      </c>
      <c r="K169" s="24" t="str">
        <f>IF(I169&lt;&gt;"",SUMIFS(JPK_KR!AL:AL,JPK_KR!W:W,J169),"")</f>
        <v/>
      </c>
      <c r="L169" s="126" t="str">
        <f>IF(I169&lt;&gt;"",SUMIFS(JPK_KR!AM:AM,JPK_KR!W:W,J169),"")</f>
        <v/>
      </c>
      <c r="P169" s="24" t="str">
        <f>IF(M169&lt;&gt;"",IF(O169="",SUMIFS(JPK_KR!AL:AL,JPK_KR!W:W,N169),SUMIFS(JPK_KR!BF:BF,JPK_KR!BE:BE,N169,JPK_KR!BG:BG,O169)),"")</f>
        <v/>
      </c>
      <c r="Q169" s="126" t="str">
        <f>IF(M169&lt;&gt;"",IF(O169="",SUMIFS(JPK_KR!AM:AM,JPK_KR!W:W,N169),SUMIFS(JPK_KR!BI:BI,JPK_KR!BH:BH,N169,JPK_KR!BJ:BJ,O169)),"")</f>
        <v/>
      </c>
      <c r="U169" s="24" t="str">
        <f>IF(R169&lt;&gt;"",SUMIFS(JPK_KR!AL:AL,JPK_KR!W:W,S169),"")</f>
        <v/>
      </c>
      <c r="V169" s="126" t="str">
        <f>IF(R169&lt;&gt;"",SUMIFS(JPK_KR!AM:AM,JPK_KR!W:W,S169),"")</f>
        <v/>
      </c>
    </row>
    <row r="170" spans="3:22" x14ac:dyDescent="0.3">
      <c r="C170" s="24" t="str">
        <f>IF(A170&lt;&gt;"",SUMIFS(JPK_KR!AL:AL,JPK_KR!W:W,B170),"")</f>
        <v/>
      </c>
      <c r="D170" s="126" t="str">
        <f>IF(A170&lt;&gt;"",SUMIFS(JPK_KR!AM:AM,JPK_KR!W:W,B170),"")</f>
        <v/>
      </c>
      <c r="G170" s="24" t="str">
        <f>IF(E170&lt;&gt;"",SUMIFS(JPK_KR!AL:AL,JPK_KR!W:W,F170),"")</f>
        <v/>
      </c>
      <c r="H170" s="126" t="str">
        <f>IF(E170&lt;&gt;"",SUMIFS(JPK_KR!AM:AM,JPK_KR!W:W,F170),"")</f>
        <v/>
      </c>
      <c r="K170" s="24" t="str">
        <f>IF(I170&lt;&gt;"",SUMIFS(JPK_KR!AL:AL,JPK_KR!W:W,J170),"")</f>
        <v/>
      </c>
      <c r="L170" s="126" t="str">
        <f>IF(I170&lt;&gt;"",SUMIFS(JPK_KR!AM:AM,JPK_KR!W:W,J170),"")</f>
        <v/>
      </c>
      <c r="P170" s="24" t="str">
        <f>IF(M170&lt;&gt;"",IF(O170="",SUMIFS(JPK_KR!AL:AL,JPK_KR!W:W,N170),SUMIFS(JPK_KR!BF:BF,JPK_KR!BE:BE,N170,JPK_KR!BG:BG,O170)),"")</f>
        <v/>
      </c>
      <c r="Q170" s="126" t="str">
        <f>IF(M170&lt;&gt;"",IF(O170="",SUMIFS(JPK_KR!AM:AM,JPK_KR!W:W,N170),SUMIFS(JPK_KR!BI:BI,JPK_KR!BH:BH,N170,JPK_KR!BJ:BJ,O170)),"")</f>
        <v/>
      </c>
      <c r="U170" s="24" t="str">
        <f>IF(R170&lt;&gt;"",SUMIFS(JPK_KR!AL:AL,JPK_KR!W:W,S170),"")</f>
        <v/>
      </c>
      <c r="V170" s="126" t="str">
        <f>IF(R170&lt;&gt;"",SUMIFS(JPK_KR!AM:AM,JPK_KR!W:W,S170),"")</f>
        <v/>
      </c>
    </row>
    <row r="171" spans="3:22" x14ac:dyDescent="0.3">
      <c r="C171" s="24" t="str">
        <f>IF(A171&lt;&gt;"",SUMIFS(JPK_KR!AL:AL,JPK_KR!W:W,B171),"")</f>
        <v/>
      </c>
      <c r="D171" s="126" t="str">
        <f>IF(A171&lt;&gt;"",SUMIFS(JPK_KR!AM:AM,JPK_KR!W:W,B171),"")</f>
        <v/>
      </c>
      <c r="G171" s="24" t="str">
        <f>IF(E171&lt;&gt;"",SUMIFS(JPK_KR!AL:AL,JPK_KR!W:W,F171),"")</f>
        <v/>
      </c>
      <c r="H171" s="126" t="str">
        <f>IF(E171&lt;&gt;"",SUMIFS(JPK_KR!AM:AM,JPK_KR!W:W,F171),"")</f>
        <v/>
      </c>
      <c r="K171" s="24" t="str">
        <f>IF(I171&lt;&gt;"",SUMIFS(JPK_KR!AL:AL,JPK_KR!W:W,J171),"")</f>
        <v/>
      </c>
      <c r="L171" s="126" t="str">
        <f>IF(I171&lt;&gt;"",SUMIFS(JPK_KR!AM:AM,JPK_KR!W:W,J171),"")</f>
        <v/>
      </c>
      <c r="P171" s="24" t="str">
        <f>IF(M171&lt;&gt;"",IF(O171="",SUMIFS(JPK_KR!AL:AL,JPK_KR!W:W,N171),SUMIFS(JPK_KR!BF:BF,JPK_KR!BE:BE,N171,JPK_KR!BG:BG,O171)),"")</f>
        <v/>
      </c>
      <c r="Q171" s="126" t="str">
        <f>IF(M171&lt;&gt;"",IF(O171="",SUMIFS(JPK_KR!AM:AM,JPK_KR!W:W,N171),SUMIFS(JPK_KR!BI:BI,JPK_KR!BH:BH,N171,JPK_KR!BJ:BJ,O171)),"")</f>
        <v/>
      </c>
      <c r="U171" s="24" t="str">
        <f>IF(R171&lt;&gt;"",SUMIFS(JPK_KR!AL:AL,JPK_KR!W:W,S171),"")</f>
        <v/>
      </c>
      <c r="V171" s="126" t="str">
        <f>IF(R171&lt;&gt;"",SUMIFS(JPK_KR!AM:AM,JPK_KR!W:W,S171),"")</f>
        <v/>
      </c>
    </row>
    <row r="172" spans="3:22" x14ac:dyDescent="0.3">
      <c r="C172" s="24" t="str">
        <f>IF(A172&lt;&gt;"",SUMIFS(JPK_KR!AL:AL,JPK_KR!W:W,B172),"")</f>
        <v/>
      </c>
      <c r="D172" s="126" t="str">
        <f>IF(A172&lt;&gt;"",SUMIFS(JPK_KR!AM:AM,JPK_KR!W:W,B172),"")</f>
        <v/>
      </c>
      <c r="G172" s="24" t="str">
        <f>IF(E172&lt;&gt;"",SUMIFS(JPK_KR!AL:AL,JPK_KR!W:W,F172),"")</f>
        <v/>
      </c>
      <c r="H172" s="126" t="str">
        <f>IF(E172&lt;&gt;"",SUMIFS(JPK_KR!AM:AM,JPK_KR!W:W,F172),"")</f>
        <v/>
      </c>
      <c r="K172" s="24" t="str">
        <f>IF(I172&lt;&gt;"",SUMIFS(JPK_KR!AL:AL,JPK_KR!W:W,J172),"")</f>
        <v/>
      </c>
      <c r="L172" s="126" t="str">
        <f>IF(I172&lt;&gt;"",SUMIFS(JPK_KR!AM:AM,JPK_KR!W:W,J172),"")</f>
        <v/>
      </c>
      <c r="P172" s="24" t="str">
        <f>IF(M172&lt;&gt;"",IF(O172="",SUMIFS(JPK_KR!AL:AL,JPK_KR!W:W,N172),SUMIFS(JPK_KR!BF:BF,JPK_KR!BE:BE,N172,JPK_KR!BG:BG,O172)),"")</f>
        <v/>
      </c>
      <c r="Q172" s="126" t="str">
        <f>IF(M172&lt;&gt;"",IF(O172="",SUMIFS(JPK_KR!AM:AM,JPK_KR!W:W,N172),SUMIFS(JPK_KR!BI:BI,JPK_KR!BH:BH,N172,JPK_KR!BJ:BJ,O172)),"")</f>
        <v/>
      </c>
      <c r="U172" s="24" t="str">
        <f>IF(R172&lt;&gt;"",SUMIFS(JPK_KR!AL:AL,JPK_KR!W:W,S172),"")</f>
        <v/>
      </c>
      <c r="V172" s="126" t="str">
        <f>IF(R172&lt;&gt;"",SUMIFS(JPK_KR!AM:AM,JPK_KR!W:W,S172),"")</f>
        <v/>
      </c>
    </row>
    <row r="173" spans="3:22" x14ac:dyDescent="0.3">
      <c r="C173" s="24" t="str">
        <f>IF(A173&lt;&gt;"",SUMIFS(JPK_KR!AL:AL,JPK_KR!W:W,B173),"")</f>
        <v/>
      </c>
      <c r="D173" s="126" t="str">
        <f>IF(A173&lt;&gt;"",SUMIFS(JPK_KR!AM:AM,JPK_KR!W:W,B173),"")</f>
        <v/>
      </c>
      <c r="G173" s="24" t="str">
        <f>IF(E173&lt;&gt;"",SUMIFS(JPK_KR!AL:AL,JPK_KR!W:W,F173),"")</f>
        <v/>
      </c>
      <c r="H173" s="126" t="str">
        <f>IF(E173&lt;&gt;"",SUMIFS(JPK_KR!AM:AM,JPK_KR!W:W,F173),"")</f>
        <v/>
      </c>
      <c r="K173" s="24" t="str">
        <f>IF(I173&lt;&gt;"",SUMIFS(JPK_KR!AL:AL,JPK_KR!W:W,J173),"")</f>
        <v/>
      </c>
      <c r="L173" s="126" t="str">
        <f>IF(I173&lt;&gt;"",SUMIFS(JPK_KR!AM:AM,JPK_KR!W:W,J173),"")</f>
        <v/>
      </c>
      <c r="P173" s="24" t="str">
        <f>IF(M173&lt;&gt;"",IF(O173="",SUMIFS(JPK_KR!AL:AL,JPK_KR!W:W,N173),SUMIFS(JPK_KR!BF:BF,JPK_KR!BE:BE,N173,JPK_KR!BG:BG,O173)),"")</f>
        <v/>
      </c>
      <c r="Q173" s="126" t="str">
        <f>IF(M173&lt;&gt;"",IF(O173="",SUMIFS(JPK_KR!AM:AM,JPK_KR!W:W,N173),SUMIFS(JPK_KR!BI:BI,JPK_KR!BH:BH,N173,JPK_KR!BJ:BJ,O173)),"")</f>
        <v/>
      </c>
      <c r="U173" s="24" t="str">
        <f>IF(R173&lt;&gt;"",SUMIFS(JPK_KR!AL:AL,JPK_KR!W:W,S173),"")</f>
        <v/>
      </c>
      <c r="V173" s="126" t="str">
        <f>IF(R173&lt;&gt;"",SUMIFS(JPK_KR!AM:AM,JPK_KR!W:W,S173),"")</f>
        <v/>
      </c>
    </row>
    <row r="174" spans="3:22" x14ac:dyDescent="0.3">
      <c r="C174" s="24" t="str">
        <f>IF(A174&lt;&gt;"",SUMIFS(JPK_KR!AL:AL,JPK_KR!W:W,B174),"")</f>
        <v/>
      </c>
      <c r="D174" s="126" t="str">
        <f>IF(A174&lt;&gt;"",SUMIFS(JPK_KR!AM:AM,JPK_KR!W:W,B174),"")</f>
        <v/>
      </c>
      <c r="G174" s="24" t="str">
        <f>IF(E174&lt;&gt;"",SUMIFS(JPK_KR!AL:AL,JPK_KR!W:W,F174),"")</f>
        <v/>
      </c>
      <c r="H174" s="126" t="str">
        <f>IF(E174&lt;&gt;"",SUMIFS(JPK_KR!AM:AM,JPK_KR!W:W,F174),"")</f>
        <v/>
      </c>
      <c r="K174" s="24" t="str">
        <f>IF(I174&lt;&gt;"",SUMIFS(JPK_KR!AL:AL,JPK_KR!W:W,J174),"")</f>
        <v/>
      </c>
      <c r="L174" s="126" t="str">
        <f>IF(I174&lt;&gt;"",SUMIFS(JPK_KR!AM:AM,JPK_KR!W:W,J174),"")</f>
        <v/>
      </c>
      <c r="P174" s="24" t="str">
        <f>IF(M174&lt;&gt;"",IF(O174="",SUMIFS(JPK_KR!AL:AL,JPK_KR!W:W,N174),SUMIFS(JPK_KR!BF:BF,JPK_KR!BE:BE,N174,JPK_KR!BG:BG,O174)),"")</f>
        <v/>
      </c>
      <c r="Q174" s="126" t="str">
        <f>IF(M174&lt;&gt;"",IF(O174="",SUMIFS(JPK_KR!AM:AM,JPK_KR!W:W,N174),SUMIFS(JPK_KR!BI:BI,JPK_KR!BH:BH,N174,JPK_KR!BJ:BJ,O174)),"")</f>
        <v/>
      </c>
      <c r="U174" s="24" t="str">
        <f>IF(R174&lt;&gt;"",SUMIFS(JPK_KR!AL:AL,JPK_KR!W:W,S174),"")</f>
        <v/>
      </c>
      <c r="V174" s="126" t="str">
        <f>IF(R174&lt;&gt;"",SUMIFS(JPK_KR!AM:AM,JPK_KR!W:W,S174),"")</f>
        <v/>
      </c>
    </row>
    <row r="175" spans="3:22" x14ac:dyDescent="0.3">
      <c r="C175" s="24" t="str">
        <f>IF(A175&lt;&gt;"",SUMIFS(JPK_KR!AL:AL,JPK_KR!W:W,B175),"")</f>
        <v/>
      </c>
      <c r="D175" s="126" t="str">
        <f>IF(A175&lt;&gt;"",SUMIFS(JPK_KR!AM:AM,JPK_KR!W:W,B175),"")</f>
        <v/>
      </c>
      <c r="G175" s="24" t="str">
        <f>IF(E175&lt;&gt;"",SUMIFS(JPK_KR!AL:AL,JPK_KR!W:W,F175),"")</f>
        <v/>
      </c>
      <c r="H175" s="126" t="str">
        <f>IF(E175&lt;&gt;"",SUMIFS(JPK_KR!AM:AM,JPK_KR!W:W,F175),"")</f>
        <v/>
      </c>
      <c r="K175" s="24" t="str">
        <f>IF(I175&lt;&gt;"",SUMIFS(JPK_KR!AL:AL,JPK_KR!W:W,J175),"")</f>
        <v/>
      </c>
      <c r="L175" s="126" t="str">
        <f>IF(I175&lt;&gt;"",SUMIFS(JPK_KR!AM:AM,JPK_KR!W:W,J175),"")</f>
        <v/>
      </c>
      <c r="P175" s="24" t="str">
        <f>IF(M175&lt;&gt;"",IF(O175="",SUMIFS(JPK_KR!AL:AL,JPK_KR!W:W,N175),SUMIFS(JPK_KR!BF:BF,JPK_KR!BE:BE,N175,JPK_KR!BG:BG,O175)),"")</f>
        <v/>
      </c>
      <c r="Q175" s="126" t="str">
        <f>IF(M175&lt;&gt;"",IF(O175="",SUMIFS(JPK_KR!AM:AM,JPK_KR!W:W,N175),SUMIFS(JPK_KR!BI:BI,JPK_KR!BH:BH,N175,JPK_KR!BJ:BJ,O175)),"")</f>
        <v/>
      </c>
      <c r="U175" s="24" t="str">
        <f>IF(R175&lt;&gt;"",SUMIFS(JPK_KR!AL:AL,JPK_KR!W:W,S175),"")</f>
        <v/>
      </c>
      <c r="V175" s="126" t="str">
        <f>IF(R175&lt;&gt;"",SUMIFS(JPK_KR!AM:AM,JPK_KR!W:W,S175),"")</f>
        <v/>
      </c>
    </row>
    <row r="176" spans="3:22" x14ac:dyDescent="0.3">
      <c r="C176" s="24" t="str">
        <f>IF(A176&lt;&gt;"",SUMIFS(JPK_KR!AL:AL,JPK_KR!W:W,B176),"")</f>
        <v/>
      </c>
      <c r="D176" s="126" t="str">
        <f>IF(A176&lt;&gt;"",SUMIFS(JPK_KR!AM:AM,JPK_KR!W:W,B176),"")</f>
        <v/>
      </c>
      <c r="G176" s="24" t="str">
        <f>IF(E176&lt;&gt;"",SUMIFS(JPK_KR!AL:AL,JPK_KR!W:W,F176),"")</f>
        <v/>
      </c>
      <c r="H176" s="126" t="str">
        <f>IF(E176&lt;&gt;"",SUMIFS(JPK_KR!AM:AM,JPK_KR!W:W,F176),"")</f>
        <v/>
      </c>
      <c r="K176" s="24" t="str">
        <f>IF(I176&lt;&gt;"",SUMIFS(JPK_KR!AL:AL,JPK_KR!W:W,J176),"")</f>
        <v/>
      </c>
      <c r="L176" s="126" t="str">
        <f>IF(I176&lt;&gt;"",SUMIFS(JPK_KR!AM:AM,JPK_KR!W:W,J176),"")</f>
        <v/>
      </c>
      <c r="P176" s="24" t="str">
        <f>IF(M176&lt;&gt;"",IF(O176="",SUMIFS(JPK_KR!AL:AL,JPK_KR!W:W,N176),SUMIFS(JPK_KR!BF:BF,JPK_KR!BE:BE,N176,JPK_KR!BG:BG,O176)),"")</f>
        <v/>
      </c>
      <c r="Q176" s="126" t="str">
        <f>IF(M176&lt;&gt;"",IF(O176="",SUMIFS(JPK_KR!AM:AM,JPK_KR!W:W,N176),SUMIFS(JPK_KR!BI:BI,JPK_KR!BH:BH,N176,JPK_KR!BJ:BJ,O176)),"")</f>
        <v/>
      </c>
      <c r="U176" s="24" t="str">
        <f>IF(R176&lt;&gt;"",SUMIFS(JPK_KR!AL:AL,JPK_KR!W:W,S176),"")</f>
        <v/>
      </c>
      <c r="V176" s="126" t="str">
        <f>IF(R176&lt;&gt;"",SUMIFS(JPK_KR!AM:AM,JPK_KR!W:W,S176),"")</f>
        <v/>
      </c>
    </row>
    <row r="177" spans="3:22" x14ac:dyDescent="0.3">
      <c r="C177" s="24" t="str">
        <f>IF(A177&lt;&gt;"",SUMIFS(JPK_KR!AL:AL,JPK_KR!W:W,B177),"")</f>
        <v/>
      </c>
      <c r="D177" s="126" t="str">
        <f>IF(A177&lt;&gt;"",SUMIFS(JPK_KR!AM:AM,JPK_KR!W:W,B177),"")</f>
        <v/>
      </c>
      <c r="G177" s="24" t="str">
        <f>IF(E177&lt;&gt;"",SUMIFS(JPK_KR!AL:AL,JPK_KR!W:W,F177),"")</f>
        <v/>
      </c>
      <c r="H177" s="126" t="str">
        <f>IF(E177&lt;&gt;"",SUMIFS(JPK_KR!AM:AM,JPK_KR!W:W,F177),"")</f>
        <v/>
      </c>
      <c r="K177" s="24" t="str">
        <f>IF(I177&lt;&gt;"",SUMIFS(JPK_KR!AL:AL,JPK_KR!W:W,J177),"")</f>
        <v/>
      </c>
      <c r="L177" s="126" t="str">
        <f>IF(I177&lt;&gt;"",SUMIFS(JPK_KR!AM:AM,JPK_KR!W:W,J177),"")</f>
        <v/>
      </c>
      <c r="P177" s="24" t="str">
        <f>IF(M177&lt;&gt;"",IF(O177="",SUMIFS(JPK_KR!AL:AL,JPK_KR!W:W,N177),SUMIFS(JPK_KR!BF:BF,JPK_KR!BE:BE,N177,JPK_KR!BG:BG,O177)),"")</f>
        <v/>
      </c>
      <c r="Q177" s="126" t="str">
        <f>IF(M177&lt;&gt;"",IF(O177="",SUMIFS(JPK_KR!AM:AM,JPK_KR!W:W,N177),SUMIFS(JPK_KR!BI:BI,JPK_KR!BH:BH,N177,JPK_KR!BJ:BJ,O177)),"")</f>
        <v/>
      </c>
      <c r="U177" s="24" t="str">
        <f>IF(R177&lt;&gt;"",SUMIFS(JPK_KR!AL:AL,JPK_KR!W:W,S177),"")</f>
        <v/>
      </c>
      <c r="V177" s="126" t="str">
        <f>IF(R177&lt;&gt;"",SUMIFS(JPK_KR!AM:AM,JPK_KR!W:W,S177),"")</f>
        <v/>
      </c>
    </row>
    <row r="178" spans="3:22" x14ac:dyDescent="0.3">
      <c r="C178" s="24" t="str">
        <f>IF(A178&lt;&gt;"",SUMIFS(JPK_KR!AL:AL,JPK_KR!W:W,B178),"")</f>
        <v/>
      </c>
      <c r="D178" s="126" t="str">
        <f>IF(A178&lt;&gt;"",SUMIFS(JPK_KR!AM:AM,JPK_KR!W:W,B178),"")</f>
        <v/>
      </c>
      <c r="G178" s="24" t="str">
        <f>IF(E178&lt;&gt;"",SUMIFS(JPK_KR!AL:AL,JPK_KR!W:W,F178),"")</f>
        <v/>
      </c>
      <c r="H178" s="126" t="str">
        <f>IF(E178&lt;&gt;"",SUMIFS(JPK_KR!AM:AM,JPK_KR!W:W,F178),"")</f>
        <v/>
      </c>
      <c r="K178" s="24" t="str">
        <f>IF(I178&lt;&gt;"",SUMIFS(JPK_KR!AL:AL,JPK_KR!W:W,J178),"")</f>
        <v/>
      </c>
      <c r="L178" s="126" t="str">
        <f>IF(I178&lt;&gt;"",SUMIFS(JPK_KR!AM:AM,JPK_KR!W:W,J178),"")</f>
        <v/>
      </c>
      <c r="P178" s="24" t="str">
        <f>IF(M178&lt;&gt;"",IF(O178="",SUMIFS(JPK_KR!AL:AL,JPK_KR!W:W,N178),SUMIFS(JPK_KR!BF:BF,JPK_KR!BE:BE,N178,JPK_KR!BG:BG,O178)),"")</f>
        <v/>
      </c>
      <c r="Q178" s="126" t="str">
        <f>IF(M178&lt;&gt;"",IF(O178="",SUMIFS(JPK_KR!AM:AM,JPK_KR!W:W,N178),SUMIFS(JPK_KR!BI:BI,JPK_KR!BH:BH,N178,JPK_KR!BJ:BJ,O178)),"")</f>
        <v/>
      </c>
      <c r="U178" s="24" t="str">
        <f>IF(R178&lt;&gt;"",SUMIFS(JPK_KR!AL:AL,JPK_KR!W:W,S178),"")</f>
        <v/>
      </c>
      <c r="V178" s="126" t="str">
        <f>IF(R178&lt;&gt;"",SUMIFS(JPK_KR!AM:AM,JPK_KR!W:W,S178),"")</f>
        <v/>
      </c>
    </row>
    <row r="179" spans="3:22" x14ac:dyDescent="0.3">
      <c r="C179" s="24" t="str">
        <f>IF(A179&lt;&gt;"",SUMIFS(JPK_KR!AL:AL,JPK_KR!W:W,B179),"")</f>
        <v/>
      </c>
      <c r="D179" s="126" t="str">
        <f>IF(A179&lt;&gt;"",SUMIFS(JPK_KR!AM:AM,JPK_KR!W:W,B179),"")</f>
        <v/>
      </c>
      <c r="G179" s="24" t="str">
        <f>IF(E179&lt;&gt;"",SUMIFS(JPK_KR!AL:AL,JPK_KR!W:W,F179),"")</f>
        <v/>
      </c>
      <c r="H179" s="126" t="str">
        <f>IF(E179&lt;&gt;"",SUMIFS(JPK_KR!AM:AM,JPK_KR!W:W,F179),"")</f>
        <v/>
      </c>
      <c r="K179" s="24" t="str">
        <f>IF(I179&lt;&gt;"",SUMIFS(JPK_KR!AL:AL,JPK_KR!W:W,J179),"")</f>
        <v/>
      </c>
      <c r="L179" s="126" t="str">
        <f>IF(I179&lt;&gt;"",SUMIFS(JPK_KR!AM:AM,JPK_KR!W:W,J179),"")</f>
        <v/>
      </c>
      <c r="P179" s="24" t="str">
        <f>IF(M179&lt;&gt;"",IF(O179="",SUMIFS(JPK_KR!AL:AL,JPK_KR!W:W,N179),SUMIFS(JPK_KR!BF:BF,JPK_KR!BE:BE,N179,JPK_KR!BG:BG,O179)),"")</f>
        <v/>
      </c>
      <c r="Q179" s="126" t="str">
        <f>IF(M179&lt;&gt;"",IF(O179="",SUMIFS(JPK_KR!AM:AM,JPK_KR!W:W,N179),SUMIFS(JPK_KR!BI:BI,JPK_KR!BH:BH,N179,JPK_KR!BJ:BJ,O179)),"")</f>
        <v/>
      </c>
      <c r="U179" s="24" t="str">
        <f>IF(R179&lt;&gt;"",SUMIFS(JPK_KR!AL:AL,JPK_KR!W:W,S179),"")</f>
        <v/>
      </c>
      <c r="V179" s="126" t="str">
        <f>IF(R179&lt;&gt;"",SUMIFS(JPK_KR!AM:AM,JPK_KR!W:W,S179),"")</f>
        <v/>
      </c>
    </row>
    <row r="180" spans="3:22" x14ac:dyDescent="0.3">
      <c r="C180" s="24" t="str">
        <f>IF(A180&lt;&gt;"",SUMIFS(JPK_KR!AL:AL,JPK_KR!W:W,B180),"")</f>
        <v/>
      </c>
      <c r="D180" s="126" t="str">
        <f>IF(A180&lt;&gt;"",SUMIFS(JPK_KR!AM:AM,JPK_KR!W:W,B180),"")</f>
        <v/>
      </c>
      <c r="G180" s="24" t="str">
        <f>IF(E180&lt;&gt;"",SUMIFS(JPK_KR!AL:AL,JPK_KR!W:W,F180),"")</f>
        <v/>
      </c>
      <c r="H180" s="126" t="str">
        <f>IF(E180&lt;&gt;"",SUMIFS(JPK_KR!AM:AM,JPK_KR!W:W,F180),"")</f>
        <v/>
      </c>
      <c r="K180" s="24" t="str">
        <f>IF(I180&lt;&gt;"",SUMIFS(JPK_KR!AL:AL,JPK_KR!W:W,J180),"")</f>
        <v/>
      </c>
      <c r="L180" s="126" t="str">
        <f>IF(I180&lt;&gt;"",SUMIFS(JPK_KR!AM:AM,JPK_KR!W:W,J180),"")</f>
        <v/>
      </c>
      <c r="P180" s="24" t="str">
        <f>IF(M180&lt;&gt;"",IF(O180="",SUMIFS(JPK_KR!AL:AL,JPK_KR!W:W,N180),SUMIFS(JPK_KR!BF:BF,JPK_KR!BE:BE,N180,JPK_KR!BG:BG,O180)),"")</f>
        <v/>
      </c>
      <c r="Q180" s="126" t="str">
        <f>IF(M180&lt;&gt;"",IF(O180="",SUMIFS(JPK_KR!AM:AM,JPK_KR!W:W,N180),SUMIFS(JPK_KR!BI:BI,JPK_KR!BH:BH,N180,JPK_KR!BJ:BJ,O180)),"")</f>
        <v/>
      </c>
      <c r="U180" s="24" t="str">
        <f>IF(R180&lt;&gt;"",SUMIFS(JPK_KR!AL:AL,JPK_KR!W:W,S180),"")</f>
        <v/>
      </c>
      <c r="V180" s="126" t="str">
        <f>IF(R180&lt;&gt;"",SUMIFS(JPK_KR!AM:AM,JPK_KR!W:W,S180),"")</f>
        <v/>
      </c>
    </row>
    <row r="181" spans="3:22" x14ac:dyDescent="0.3">
      <c r="C181" s="24" t="str">
        <f>IF(A181&lt;&gt;"",SUMIFS(JPK_KR!AL:AL,JPK_KR!W:W,B181),"")</f>
        <v/>
      </c>
      <c r="D181" s="126" t="str">
        <f>IF(A181&lt;&gt;"",SUMIFS(JPK_KR!AM:AM,JPK_KR!W:W,B181),"")</f>
        <v/>
      </c>
      <c r="G181" s="24" t="str">
        <f>IF(E181&lt;&gt;"",SUMIFS(JPK_KR!AL:AL,JPK_KR!W:W,F181),"")</f>
        <v/>
      </c>
      <c r="H181" s="126" t="str">
        <f>IF(E181&lt;&gt;"",SUMIFS(JPK_KR!AM:AM,JPK_KR!W:W,F181),"")</f>
        <v/>
      </c>
      <c r="K181" s="24" t="str">
        <f>IF(I181&lt;&gt;"",SUMIFS(JPK_KR!AL:AL,JPK_KR!W:W,J181),"")</f>
        <v/>
      </c>
      <c r="L181" s="126" t="str">
        <f>IF(I181&lt;&gt;"",SUMIFS(JPK_KR!AM:AM,JPK_KR!W:W,J181),"")</f>
        <v/>
      </c>
      <c r="P181" s="24" t="str">
        <f>IF(M181&lt;&gt;"",IF(O181="",SUMIFS(JPK_KR!AL:AL,JPK_KR!W:W,N181),SUMIFS(JPK_KR!BF:BF,JPK_KR!BE:BE,N181,JPK_KR!BG:BG,O181)),"")</f>
        <v/>
      </c>
      <c r="Q181" s="126" t="str">
        <f>IF(M181&lt;&gt;"",IF(O181="",SUMIFS(JPK_KR!AM:AM,JPK_KR!W:W,N181),SUMIFS(JPK_KR!BI:BI,JPK_KR!BH:BH,N181,JPK_KR!BJ:BJ,O181)),"")</f>
        <v/>
      </c>
      <c r="U181" s="24" t="str">
        <f>IF(R181&lt;&gt;"",SUMIFS(JPK_KR!AL:AL,JPK_KR!W:W,S181),"")</f>
        <v/>
      </c>
      <c r="V181" s="126" t="str">
        <f>IF(R181&lt;&gt;"",SUMIFS(JPK_KR!AM:AM,JPK_KR!W:W,S181),"")</f>
        <v/>
      </c>
    </row>
    <row r="182" spans="3:22" x14ac:dyDescent="0.3">
      <c r="C182" s="24" t="str">
        <f>IF(A182&lt;&gt;"",SUMIFS(JPK_KR!AL:AL,JPK_KR!W:W,B182),"")</f>
        <v/>
      </c>
      <c r="D182" s="126" t="str">
        <f>IF(A182&lt;&gt;"",SUMIFS(JPK_KR!AM:AM,JPK_KR!W:W,B182),"")</f>
        <v/>
      </c>
      <c r="G182" s="24" t="str">
        <f>IF(E182&lt;&gt;"",SUMIFS(JPK_KR!AL:AL,JPK_KR!W:W,F182),"")</f>
        <v/>
      </c>
      <c r="H182" s="126" t="str">
        <f>IF(E182&lt;&gt;"",SUMIFS(JPK_KR!AM:AM,JPK_KR!W:W,F182),"")</f>
        <v/>
      </c>
      <c r="K182" s="24" t="str">
        <f>IF(I182&lt;&gt;"",SUMIFS(JPK_KR!AL:AL,JPK_KR!W:W,J182),"")</f>
        <v/>
      </c>
      <c r="L182" s="126" t="str">
        <f>IF(I182&lt;&gt;"",SUMIFS(JPK_KR!AM:AM,JPK_KR!W:W,J182),"")</f>
        <v/>
      </c>
      <c r="P182" s="24" t="str">
        <f>IF(M182&lt;&gt;"",IF(O182="",SUMIFS(JPK_KR!AL:AL,JPK_KR!W:W,N182),SUMIFS(JPK_KR!BF:BF,JPK_KR!BE:BE,N182,JPK_KR!BG:BG,O182)),"")</f>
        <v/>
      </c>
      <c r="Q182" s="126" t="str">
        <f>IF(M182&lt;&gt;"",IF(O182="",SUMIFS(JPK_KR!AM:AM,JPK_KR!W:W,N182),SUMIFS(JPK_KR!BI:BI,JPK_KR!BH:BH,N182,JPK_KR!BJ:BJ,O182)),"")</f>
        <v/>
      </c>
      <c r="U182" s="24" t="str">
        <f>IF(R182&lt;&gt;"",SUMIFS(JPK_KR!AL:AL,JPK_KR!W:W,S182),"")</f>
        <v/>
      </c>
      <c r="V182" s="126" t="str">
        <f>IF(R182&lt;&gt;"",SUMIFS(JPK_KR!AM:AM,JPK_KR!W:W,S182),"")</f>
        <v/>
      </c>
    </row>
    <row r="183" spans="3:22" x14ac:dyDescent="0.3">
      <c r="C183" s="24" t="str">
        <f>IF(A183&lt;&gt;"",SUMIFS(JPK_KR!AL:AL,JPK_KR!W:W,B183),"")</f>
        <v/>
      </c>
      <c r="D183" s="126" t="str">
        <f>IF(A183&lt;&gt;"",SUMIFS(JPK_KR!AM:AM,JPK_KR!W:W,B183),"")</f>
        <v/>
      </c>
      <c r="G183" s="24" t="str">
        <f>IF(E183&lt;&gt;"",SUMIFS(JPK_KR!AL:AL,JPK_KR!W:W,F183),"")</f>
        <v/>
      </c>
      <c r="H183" s="126" t="str">
        <f>IF(E183&lt;&gt;"",SUMIFS(JPK_KR!AM:AM,JPK_KR!W:W,F183),"")</f>
        <v/>
      </c>
      <c r="K183" s="24" t="str">
        <f>IF(I183&lt;&gt;"",SUMIFS(JPK_KR!AL:AL,JPK_KR!W:W,J183),"")</f>
        <v/>
      </c>
      <c r="L183" s="126" t="str">
        <f>IF(I183&lt;&gt;"",SUMIFS(JPK_KR!AM:AM,JPK_KR!W:W,J183),"")</f>
        <v/>
      </c>
      <c r="P183" s="24" t="str">
        <f>IF(M183&lt;&gt;"",IF(O183="",SUMIFS(JPK_KR!AL:AL,JPK_KR!W:W,N183),SUMIFS(JPK_KR!BF:BF,JPK_KR!BE:BE,N183,JPK_KR!BG:BG,O183)),"")</f>
        <v/>
      </c>
      <c r="Q183" s="126" t="str">
        <f>IF(M183&lt;&gt;"",IF(O183="",SUMIFS(JPK_KR!AM:AM,JPK_KR!W:W,N183),SUMIFS(JPK_KR!BI:BI,JPK_KR!BH:BH,N183,JPK_KR!BJ:BJ,O183)),"")</f>
        <v/>
      </c>
      <c r="U183" s="24" t="str">
        <f>IF(R183&lt;&gt;"",SUMIFS(JPK_KR!AL:AL,JPK_KR!W:W,S183),"")</f>
        <v/>
      </c>
      <c r="V183" s="126" t="str">
        <f>IF(R183&lt;&gt;"",SUMIFS(JPK_KR!AM:AM,JPK_KR!W:W,S183),"")</f>
        <v/>
      </c>
    </row>
    <row r="184" spans="3:22" x14ac:dyDescent="0.3">
      <c r="C184" s="24" t="str">
        <f>IF(A184&lt;&gt;"",SUMIFS(JPK_KR!AL:AL,JPK_KR!W:W,B184),"")</f>
        <v/>
      </c>
      <c r="D184" s="126" t="str">
        <f>IF(A184&lt;&gt;"",SUMIFS(JPK_KR!AM:AM,JPK_KR!W:W,B184),"")</f>
        <v/>
      </c>
      <c r="G184" s="24" t="str">
        <f>IF(E184&lt;&gt;"",SUMIFS(JPK_KR!AL:AL,JPK_KR!W:W,F184),"")</f>
        <v/>
      </c>
      <c r="H184" s="126" t="str">
        <f>IF(E184&lt;&gt;"",SUMIFS(JPK_KR!AM:AM,JPK_KR!W:W,F184),"")</f>
        <v/>
      </c>
      <c r="K184" s="24" t="str">
        <f>IF(I184&lt;&gt;"",SUMIFS(JPK_KR!AL:AL,JPK_KR!W:W,J184),"")</f>
        <v/>
      </c>
      <c r="L184" s="126" t="str">
        <f>IF(I184&lt;&gt;"",SUMIFS(JPK_KR!AM:AM,JPK_KR!W:W,J184),"")</f>
        <v/>
      </c>
      <c r="P184" s="24" t="str">
        <f>IF(M184&lt;&gt;"",IF(O184="",SUMIFS(JPK_KR!AL:AL,JPK_KR!W:W,N184),SUMIFS(JPK_KR!BF:BF,JPK_KR!BE:BE,N184,JPK_KR!BG:BG,O184)),"")</f>
        <v/>
      </c>
      <c r="Q184" s="126" t="str">
        <f>IF(M184&lt;&gt;"",IF(O184="",SUMIFS(JPK_KR!AM:AM,JPK_KR!W:W,N184),SUMIFS(JPK_KR!BI:BI,JPK_KR!BH:BH,N184,JPK_KR!BJ:BJ,O184)),"")</f>
        <v/>
      </c>
      <c r="U184" s="24" t="str">
        <f>IF(R184&lt;&gt;"",SUMIFS(JPK_KR!AL:AL,JPK_KR!W:W,S184),"")</f>
        <v/>
      </c>
      <c r="V184" s="126" t="str">
        <f>IF(R184&lt;&gt;"",SUMIFS(JPK_KR!AM:AM,JPK_KR!W:W,S184),"")</f>
        <v/>
      </c>
    </row>
    <row r="185" spans="3:22" x14ac:dyDescent="0.3">
      <c r="C185" s="24" t="str">
        <f>IF(A185&lt;&gt;"",SUMIFS(JPK_KR!AL:AL,JPK_KR!W:W,B185),"")</f>
        <v/>
      </c>
      <c r="D185" s="126" t="str">
        <f>IF(A185&lt;&gt;"",SUMIFS(JPK_KR!AM:AM,JPK_KR!W:W,B185),"")</f>
        <v/>
      </c>
      <c r="G185" s="24" t="str">
        <f>IF(E185&lt;&gt;"",SUMIFS(JPK_KR!AL:AL,JPK_KR!W:W,F185),"")</f>
        <v/>
      </c>
      <c r="H185" s="126" t="str">
        <f>IF(E185&lt;&gt;"",SUMIFS(JPK_KR!AM:AM,JPK_KR!W:W,F185),"")</f>
        <v/>
      </c>
      <c r="K185" s="24" t="str">
        <f>IF(I185&lt;&gt;"",SUMIFS(JPK_KR!AL:AL,JPK_KR!W:W,J185),"")</f>
        <v/>
      </c>
      <c r="L185" s="126" t="str">
        <f>IF(I185&lt;&gt;"",SUMIFS(JPK_KR!AM:AM,JPK_KR!W:W,J185),"")</f>
        <v/>
      </c>
      <c r="P185" s="24" t="str">
        <f>IF(M185&lt;&gt;"",IF(O185="",SUMIFS(JPK_KR!AL:AL,JPK_KR!W:W,N185),SUMIFS(JPK_KR!BF:BF,JPK_KR!BE:BE,N185,JPK_KR!BG:BG,O185)),"")</f>
        <v/>
      </c>
      <c r="Q185" s="126" t="str">
        <f>IF(M185&lt;&gt;"",IF(O185="",SUMIFS(JPK_KR!AM:AM,JPK_KR!W:W,N185),SUMIFS(JPK_KR!BI:BI,JPK_KR!BH:BH,N185,JPK_KR!BJ:BJ,O185)),"")</f>
        <v/>
      </c>
      <c r="U185" s="24" t="str">
        <f>IF(R185&lt;&gt;"",SUMIFS(JPK_KR!AL:AL,JPK_KR!W:W,S185),"")</f>
        <v/>
      </c>
      <c r="V185" s="126" t="str">
        <f>IF(R185&lt;&gt;"",SUMIFS(JPK_KR!AM:AM,JPK_KR!W:W,S185),"")</f>
        <v/>
      </c>
    </row>
    <row r="186" spans="3:22" x14ac:dyDescent="0.3">
      <c r="C186" s="24" t="str">
        <f>IF(A186&lt;&gt;"",SUMIFS(JPK_KR!AL:AL,JPK_KR!W:W,B186),"")</f>
        <v/>
      </c>
      <c r="D186" s="126" t="str">
        <f>IF(A186&lt;&gt;"",SUMIFS(JPK_KR!AM:AM,JPK_KR!W:W,B186),"")</f>
        <v/>
      </c>
      <c r="G186" s="24" t="str">
        <f>IF(E186&lt;&gt;"",SUMIFS(JPK_KR!AL:AL,JPK_KR!W:W,F186),"")</f>
        <v/>
      </c>
      <c r="H186" s="126" t="str">
        <f>IF(E186&lt;&gt;"",SUMIFS(JPK_KR!AM:AM,JPK_KR!W:W,F186),"")</f>
        <v/>
      </c>
      <c r="K186" s="24" t="str">
        <f>IF(I186&lt;&gt;"",SUMIFS(JPK_KR!AL:AL,JPK_KR!W:W,J186),"")</f>
        <v/>
      </c>
      <c r="L186" s="126" t="str">
        <f>IF(I186&lt;&gt;"",SUMIFS(JPK_KR!AM:AM,JPK_KR!W:W,J186),"")</f>
        <v/>
      </c>
      <c r="P186" s="24" t="str">
        <f>IF(M186&lt;&gt;"",IF(O186="",SUMIFS(JPK_KR!AL:AL,JPK_KR!W:W,N186),SUMIFS(JPK_KR!BF:BF,JPK_KR!BE:BE,N186,JPK_KR!BG:BG,O186)),"")</f>
        <v/>
      </c>
      <c r="Q186" s="126" t="str">
        <f>IF(M186&lt;&gt;"",IF(O186="",SUMIFS(JPK_KR!AM:AM,JPK_KR!W:W,N186),SUMIFS(JPK_KR!BI:BI,JPK_KR!BH:BH,N186,JPK_KR!BJ:BJ,O186)),"")</f>
        <v/>
      </c>
      <c r="U186" s="24" t="str">
        <f>IF(R186&lt;&gt;"",SUMIFS(JPK_KR!AL:AL,JPK_KR!W:W,S186),"")</f>
        <v/>
      </c>
      <c r="V186" s="126" t="str">
        <f>IF(R186&lt;&gt;"",SUMIFS(JPK_KR!AM:AM,JPK_KR!W:W,S186),"")</f>
        <v/>
      </c>
    </row>
    <row r="187" spans="3:22" x14ac:dyDescent="0.3">
      <c r="C187" s="24" t="str">
        <f>IF(A187&lt;&gt;"",SUMIFS(JPK_KR!AL:AL,JPK_KR!W:W,B187),"")</f>
        <v/>
      </c>
      <c r="D187" s="126" t="str">
        <f>IF(A187&lt;&gt;"",SUMIFS(JPK_KR!AM:AM,JPK_KR!W:W,B187),"")</f>
        <v/>
      </c>
      <c r="G187" s="24" t="str">
        <f>IF(E187&lt;&gt;"",SUMIFS(JPK_KR!AL:AL,JPK_KR!W:W,F187),"")</f>
        <v/>
      </c>
      <c r="H187" s="126" t="str">
        <f>IF(E187&lt;&gt;"",SUMIFS(JPK_KR!AM:AM,JPK_KR!W:W,F187),"")</f>
        <v/>
      </c>
      <c r="K187" s="24" t="str">
        <f>IF(I187&lt;&gt;"",SUMIFS(JPK_KR!AL:AL,JPK_KR!W:W,J187),"")</f>
        <v/>
      </c>
      <c r="L187" s="126" t="str">
        <f>IF(I187&lt;&gt;"",SUMIFS(JPK_KR!AM:AM,JPK_KR!W:W,J187),"")</f>
        <v/>
      </c>
      <c r="P187" s="24" t="str">
        <f>IF(M187&lt;&gt;"",IF(O187="",SUMIFS(JPK_KR!AL:AL,JPK_KR!W:W,N187),SUMIFS(JPK_KR!BF:BF,JPK_KR!BE:BE,N187,JPK_KR!BG:BG,O187)),"")</f>
        <v/>
      </c>
      <c r="Q187" s="126" t="str">
        <f>IF(M187&lt;&gt;"",IF(O187="",SUMIFS(JPK_KR!AM:AM,JPK_KR!W:W,N187),SUMIFS(JPK_KR!BI:BI,JPK_KR!BH:BH,N187,JPK_KR!BJ:BJ,O187)),"")</f>
        <v/>
      </c>
      <c r="U187" s="24" t="str">
        <f>IF(R187&lt;&gt;"",SUMIFS(JPK_KR!AL:AL,JPK_KR!W:W,S187),"")</f>
        <v/>
      </c>
      <c r="V187" s="126" t="str">
        <f>IF(R187&lt;&gt;"",SUMIFS(JPK_KR!AM:AM,JPK_KR!W:W,S187),"")</f>
        <v/>
      </c>
    </row>
    <row r="188" spans="3:22" x14ac:dyDescent="0.3">
      <c r="C188" s="24" t="str">
        <f>IF(A188&lt;&gt;"",SUMIFS(JPK_KR!AL:AL,JPK_KR!W:W,B188),"")</f>
        <v/>
      </c>
      <c r="D188" s="126" t="str">
        <f>IF(A188&lt;&gt;"",SUMIFS(JPK_KR!AM:AM,JPK_KR!W:W,B188),"")</f>
        <v/>
      </c>
      <c r="G188" s="24" t="str">
        <f>IF(E188&lt;&gt;"",SUMIFS(JPK_KR!AL:AL,JPK_KR!W:W,F188),"")</f>
        <v/>
      </c>
      <c r="H188" s="126" t="str">
        <f>IF(E188&lt;&gt;"",SUMIFS(JPK_KR!AM:AM,JPK_KR!W:W,F188),"")</f>
        <v/>
      </c>
      <c r="K188" s="24" t="str">
        <f>IF(I188&lt;&gt;"",SUMIFS(JPK_KR!AL:AL,JPK_KR!W:W,J188),"")</f>
        <v/>
      </c>
      <c r="L188" s="126" t="str">
        <f>IF(I188&lt;&gt;"",SUMIFS(JPK_KR!AM:AM,JPK_KR!W:W,J188),"")</f>
        <v/>
      </c>
      <c r="P188" s="24" t="str">
        <f>IF(M188&lt;&gt;"",IF(O188="",SUMIFS(JPK_KR!AL:AL,JPK_KR!W:W,N188),SUMIFS(JPK_KR!BF:BF,JPK_KR!BE:BE,N188,JPK_KR!BG:BG,O188)),"")</f>
        <v/>
      </c>
      <c r="Q188" s="126" t="str">
        <f>IF(M188&lt;&gt;"",IF(O188="",SUMIFS(JPK_KR!AM:AM,JPK_KR!W:W,N188),SUMIFS(JPK_KR!BI:BI,JPK_KR!BH:BH,N188,JPK_KR!BJ:BJ,O188)),"")</f>
        <v/>
      </c>
      <c r="U188" s="24" t="str">
        <f>IF(R188&lt;&gt;"",SUMIFS(JPK_KR!AL:AL,JPK_KR!W:W,S188),"")</f>
        <v/>
      </c>
      <c r="V188" s="126" t="str">
        <f>IF(R188&lt;&gt;"",SUMIFS(JPK_KR!AM:AM,JPK_KR!W:W,S188),"")</f>
        <v/>
      </c>
    </row>
    <row r="189" spans="3:22" x14ac:dyDescent="0.3">
      <c r="C189" s="24" t="str">
        <f>IF(A189&lt;&gt;"",SUMIFS(JPK_KR!AL:AL,JPK_KR!W:W,B189),"")</f>
        <v/>
      </c>
      <c r="D189" s="126" t="str">
        <f>IF(A189&lt;&gt;"",SUMIFS(JPK_KR!AM:AM,JPK_KR!W:W,B189),"")</f>
        <v/>
      </c>
      <c r="G189" s="24" t="str">
        <f>IF(E189&lt;&gt;"",SUMIFS(JPK_KR!AL:AL,JPK_KR!W:W,F189),"")</f>
        <v/>
      </c>
      <c r="H189" s="126" t="str">
        <f>IF(E189&lt;&gt;"",SUMIFS(JPK_KR!AM:AM,JPK_KR!W:W,F189),"")</f>
        <v/>
      </c>
      <c r="K189" s="24" t="str">
        <f>IF(I189&lt;&gt;"",SUMIFS(JPK_KR!AL:AL,JPK_KR!W:W,J189),"")</f>
        <v/>
      </c>
      <c r="L189" s="126" t="str">
        <f>IF(I189&lt;&gt;"",SUMIFS(JPK_KR!AM:AM,JPK_KR!W:W,J189),"")</f>
        <v/>
      </c>
      <c r="P189" s="24" t="str">
        <f>IF(M189&lt;&gt;"",IF(O189="",SUMIFS(JPK_KR!AL:AL,JPK_KR!W:W,N189),SUMIFS(JPK_KR!BF:BF,JPK_KR!BE:BE,N189,JPK_KR!BG:BG,O189)),"")</f>
        <v/>
      </c>
      <c r="Q189" s="126" t="str">
        <f>IF(M189&lt;&gt;"",IF(O189="",SUMIFS(JPK_KR!AM:AM,JPK_KR!W:W,N189),SUMIFS(JPK_KR!BI:BI,JPK_KR!BH:BH,N189,JPK_KR!BJ:BJ,O189)),"")</f>
        <v/>
      </c>
      <c r="U189" s="24" t="str">
        <f>IF(R189&lt;&gt;"",SUMIFS(JPK_KR!AL:AL,JPK_KR!W:W,S189),"")</f>
        <v/>
      </c>
      <c r="V189" s="126" t="str">
        <f>IF(R189&lt;&gt;"",SUMIFS(JPK_KR!AM:AM,JPK_KR!W:W,S189),"")</f>
        <v/>
      </c>
    </row>
    <row r="190" spans="3:22" x14ac:dyDescent="0.3">
      <c r="C190" s="24" t="str">
        <f>IF(A190&lt;&gt;"",SUMIFS(JPK_KR!AL:AL,JPK_KR!W:W,B190),"")</f>
        <v/>
      </c>
      <c r="D190" s="126" t="str">
        <f>IF(A190&lt;&gt;"",SUMIFS(JPK_KR!AM:AM,JPK_KR!W:W,B190),"")</f>
        <v/>
      </c>
      <c r="G190" s="24" t="str">
        <f>IF(E190&lt;&gt;"",SUMIFS(JPK_KR!AL:AL,JPK_KR!W:W,F190),"")</f>
        <v/>
      </c>
      <c r="H190" s="126" t="str">
        <f>IF(E190&lt;&gt;"",SUMIFS(JPK_KR!AM:AM,JPK_KR!W:W,F190),"")</f>
        <v/>
      </c>
      <c r="K190" s="24" t="str">
        <f>IF(I190&lt;&gt;"",SUMIFS(JPK_KR!AL:AL,JPK_KR!W:W,J190),"")</f>
        <v/>
      </c>
      <c r="L190" s="126" t="str">
        <f>IF(I190&lt;&gt;"",SUMIFS(JPK_KR!AM:AM,JPK_KR!W:W,J190),"")</f>
        <v/>
      </c>
      <c r="P190" s="24" t="str">
        <f>IF(M190&lt;&gt;"",IF(O190="",SUMIFS(JPK_KR!AL:AL,JPK_KR!W:W,N190),SUMIFS(JPK_KR!BF:BF,JPK_KR!BE:BE,N190,JPK_KR!BG:BG,O190)),"")</f>
        <v/>
      </c>
      <c r="Q190" s="126" t="str">
        <f>IF(M190&lt;&gt;"",IF(O190="",SUMIFS(JPK_KR!AM:AM,JPK_KR!W:W,N190),SUMIFS(JPK_KR!BI:BI,JPK_KR!BH:BH,N190,JPK_KR!BJ:BJ,O190)),"")</f>
        <v/>
      </c>
      <c r="U190" s="24" t="str">
        <f>IF(R190&lt;&gt;"",SUMIFS(JPK_KR!AL:AL,JPK_KR!W:W,S190),"")</f>
        <v/>
      </c>
      <c r="V190" s="126" t="str">
        <f>IF(R190&lt;&gt;"",SUMIFS(JPK_KR!AM:AM,JPK_KR!W:W,S190),"")</f>
        <v/>
      </c>
    </row>
    <row r="191" spans="3:22" x14ac:dyDescent="0.3">
      <c r="C191" s="24" t="str">
        <f>IF(A191&lt;&gt;"",SUMIFS(JPK_KR!AL:AL,JPK_KR!W:W,B191),"")</f>
        <v/>
      </c>
      <c r="D191" s="126" t="str">
        <f>IF(A191&lt;&gt;"",SUMIFS(JPK_KR!AM:AM,JPK_KR!W:W,B191),"")</f>
        <v/>
      </c>
      <c r="G191" s="24" t="str">
        <f>IF(E191&lt;&gt;"",SUMIFS(JPK_KR!AL:AL,JPK_KR!W:W,F191),"")</f>
        <v/>
      </c>
      <c r="H191" s="126" t="str">
        <f>IF(E191&lt;&gt;"",SUMIFS(JPK_KR!AM:AM,JPK_KR!W:W,F191),"")</f>
        <v/>
      </c>
      <c r="K191" s="24" t="str">
        <f>IF(I191&lt;&gt;"",SUMIFS(JPK_KR!AL:AL,JPK_KR!W:W,J191),"")</f>
        <v/>
      </c>
      <c r="L191" s="126" t="str">
        <f>IF(I191&lt;&gt;"",SUMIFS(JPK_KR!AM:AM,JPK_KR!W:W,J191),"")</f>
        <v/>
      </c>
      <c r="P191" s="24" t="str">
        <f>IF(M191&lt;&gt;"",IF(O191="",SUMIFS(JPK_KR!AL:AL,JPK_KR!W:W,N191),SUMIFS(JPK_KR!BF:BF,JPK_KR!BE:BE,N191,JPK_KR!BG:BG,O191)),"")</f>
        <v/>
      </c>
      <c r="Q191" s="126" t="str">
        <f>IF(M191&lt;&gt;"",IF(O191="",SUMIFS(JPK_KR!AM:AM,JPK_KR!W:W,N191),SUMIFS(JPK_KR!BI:BI,JPK_KR!BH:BH,N191,JPK_KR!BJ:BJ,O191)),"")</f>
        <v/>
      </c>
      <c r="U191" s="24" t="str">
        <f>IF(R191&lt;&gt;"",SUMIFS(JPK_KR!AL:AL,JPK_KR!W:W,S191),"")</f>
        <v/>
      </c>
      <c r="V191" s="126" t="str">
        <f>IF(R191&lt;&gt;"",SUMIFS(JPK_KR!AM:AM,JPK_KR!W:W,S191),"")</f>
        <v/>
      </c>
    </row>
    <row r="192" spans="3:22" x14ac:dyDescent="0.3">
      <c r="C192" s="24" t="str">
        <f>IF(A192&lt;&gt;"",SUMIFS(JPK_KR!AL:AL,JPK_KR!W:W,B192),"")</f>
        <v/>
      </c>
      <c r="D192" s="126" t="str">
        <f>IF(A192&lt;&gt;"",SUMIFS(JPK_KR!AM:AM,JPK_KR!W:W,B192),"")</f>
        <v/>
      </c>
      <c r="G192" s="24" t="str">
        <f>IF(E192&lt;&gt;"",SUMIFS(JPK_KR!AL:AL,JPK_KR!W:W,F192),"")</f>
        <v/>
      </c>
      <c r="H192" s="126" t="str">
        <f>IF(E192&lt;&gt;"",SUMIFS(JPK_KR!AM:AM,JPK_KR!W:W,F192),"")</f>
        <v/>
      </c>
      <c r="K192" s="24" t="str">
        <f>IF(I192&lt;&gt;"",SUMIFS(JPK_KR!AL:AL,JPK_KR!W:W,J192),"")</f>
        <v/>
      </c>
      <c r="L192" s="126" t="str">
        <f>IF(I192&lt;&gt;"",SUMIFS(JPK_KR!AM:AM,JPK_KR!W:W,J192),"")</f>
        <v/>
      </c>
      <c r="P192" s="24" t="str">
        <f>IF(M192&lt;&gt;"",IF(O192="",SUMIFS(JPK_KR!AL:AL,JPK_KR!W:W,N192),SUMIFS(JPK_KR!BF:BF,JPK_KR!BE:BE,N192,JPK_KR!BG:BG,O192)),"")</f>
        <v/>
      </c>
      <c r="Q192" s="126" t="str">
        <f>IF(M192&lt;&gt;"",IF(O192="",SUMIFS(JPK_KR!AM:AM,JPK_KR!W:W,N192),SUMIFS(JPK_KR!BI:BI,JPK_KR!BH:BH,N192,JPK_KR!BJ:BJ,O192)),"")</f>
        <v/>
      </c>
      <c r="U192" s="24" t="str">
        <f>IF(R192&lt;&gt;"",SUMIFS(JPK_KR!AL:AL,JPK_KR!W:W,S192),"")</f>
        <v/>
      </c>
      <c r="V192" s="126" t="str">
        <f>IF(R192&lt;&gt;"",SUMIFS(JPK_KR!AM:AM,JPK_KR!W:W,S192),"")</f>
        <v/>
      </c>
    </row>
    <row r="193" spans="3:22" x14ac:dyDescent="0.3">
      <c r="C193" s="24" t="str">
        <f>IF(A193&lt;&gt;"",SUMIFS(JPK_KR!AL:AL,JPK_KR!W:W,B193),"")</f>
        <v/>
      </c>
      <c r="D193" s="126" t="str">
        <f>IF(A193&lt;&gt;"",SUMIFS(JPK_KR!AM:AM,JPK_KR!W:W,B193),"")</f>
        <v/>
      </c>
      <c r="G193" s="24" t="str">
        <f>IF(E193&lt;&gt;"",SUMIFS(JPK_KR!AL:AL,JPK_KR!W:W,F193),"")</f>
        <v/>
      </c>
      <c r="H193" s="126" t="str">
        <f>IF(E193&lt;&gt;"",SUMIFS(JPK_KR!AM:AM,JPK_KR!W:W,F193),"")</f>
        <v/>
      </c>
      <c r="K193" s="24" t="str">
        <f>IF(I193&lt;&gt;"",SUMIFS(JPK_KR!AL:AL,JPK_KR!W:W,J193),"")</f>
        <v/>
      </c>
      <c r="L193" s="126" t="str">
        <f>IF(I193&lt;&gt;"",SUMIFS(JPK_KR!AM:AM,JPK_KR!W:W,J193),"")</f>
        <v/>
      </c>
      <c r="P193" s="24" t="str">
        <f>IF(M193&lt;&gt;"",IF(O193="",SUMIFS(JPK_KR!AL:AL,JPK_KR!W:W,N193),SUMIFS(JPK_KR!BF:BF,JPK_KR!BE:BE,N193,JPK_KR!BG:BG,O193)),"")</f>
        <v/>
      </c>
      <c r="Q193" s="126" t="str">
        <f>IF(M193&lt;&gt;"",IF(O193="",SUMIFS(JPK_KR!AM:AM,JPK_KR!W:W,N193),SUMIFS(JPK_KR!BI:BI,JPK_KR!BH:BH,N193,JPK_KR!BJ:BJ,O193)),"")</f>
        <v/>
      </c>
      <c r="U193" s="24" t="str">
        <f>IF(R193&lt;&gt;"",SUMIFS(JPK_KR!AL:AL,JPK_KR!W:W,S193),"")</f>
        <v/>
      </c>
      <c r="V193" s="126" t="str">
        <f>IF(R193&lt;&gt;"",SUMIFS(JPK_KR!AM:AM,JPK_KR!W:W,S193),"")</f>
        <v/>
      </c>
    </row>
    <row r="194" spans="3:22" x14ac:dyDescent="0.3">
      <c r="C194" s="24" t="str">
        <f>IF(A194&lt;&gt;"",SUMIFS(JPK_KR!AL:AL,JPK_KR!W:W,B194),"")</f>
        <v/>
      </c>
      <c r="D194" s="126" t="str">
        <f>IF(A194&lt;&gt;"",SUMIFS(JPK_KR!AM:AM,JPK_KR!W:W,B194),"")</f>
        <v/>
      </c>
      <c r="G194" s="24" t="str">
        <f>IF(E194&lt;&gt;"",SUMIFS(JPK_KR!AL:AL,JPK_KR!W:W,F194),"")</f>
        <v/>
      </c>
      <c r="H194" s="126" t="str">
        <f>IF(E194&lt;&gt;"",SUMIFS(JPK_KR!AM:AM,JPK_KR!W:W,F194),"")</f>
        <v/>
      </c>
      <c r="K194" s="24" t="str">
        <f>IF(I194&lt;&gt;"",SUMIFS(JPK_KR!AL:AL,JPK_KR!W:W,J194),"")</f>
        <v/>
      </c>
      <c r="L194" s="126" t="str">
        <f>IF(I194&lt;&gt;"",SUMIFS(JPK_KR!AM:AM,JPK_KR!W:W,J194),"")</f>
        <v/>
      </c>
      <c r="P194" s="24" t="str">
        <f>IF(M194&lt;&gt;"",IF(O194="",SUMIFS(JPK_KR!AL:AL,JPK_KR!W:W,N194),SUMIFS(JPK_KR!BF:BF,JPK_KR!BE:BE,N194,JPK_KR!BG:BG,O194)),"")</f>
        <v/>
      </c>
      <c r="Q194" s="126" t="str">
        <f>IF(M194&lt;&gt;"",IF(O194="",SUMIFS(JPK_KR!AM:AM,JPK_KR!W:W,N194),SUMIFS(JPK_KR!BI:BI,JPK_KR!BH:BH,N194,JPK_KR!BJ:BJ,O194)),"")</f>
        <v/>
      </c>
      <c r="U194" s="24" t="str">
        <f>IF(R194&lt;&gt;"",SUMIFS(JPK_KR!AL:AL,JPK_KR!W:W,S194),"")</f>
        <v/>
      </c>
      <c r="V194" s="126" t="str">
        <f>IF(R194&lt;&gt;"",SUMIFS(JPK_KR!AM:AM,JPK_KR!W:W,S194),"")</f>
        <v/>
      </c>
    </row>
    <row r="195" spans="3:22" x14ac:dyDescent="0.3">
      <c r="C195" s="24" t="str">
        <f>IF(A195&lt;&gt;"",SUMIFS(JPK_KR!AL:AL,JPK_KR!W:W,B195),"")</f>
        <v/>
      </c>
      <c r="D195" s="126" t="str">
        <f>IF(A195&lt;&gt;"",SUMIFS(JPK_KR!AM:AM,JPK_KR!W:W,B195),"")</f>
        <v/>
      </c>
      <c r="G195" s="24" t="str">
        <f>IF(E195&lt;&gt;"",SUMIFS(JPK_KR!AL:AL,JPK_KR!W:W,F195),"")</f>
        <v/>
      </c>
      <c r="H195" s="126" t="str">
        <f>IF(E195&lt;&gt;"",SUMIFS(JPK_KR!AM:AM,JPK_KR!W:W,F195),"")</f>
        <v/>
      </c>
      <c r="K195" s="24" t="str">
        <f>IF(I195&lt;&gt;"",SUMIFS(JPK_KR!AL:AL,JPK_KR!W:W,J195),"")</f>
        <v/>
      </c>
      <c r="L195" s="126" t="str">
        <f>IF(I195&lt;&gt;"",SUMIFS(JPK_KR!AM:AM,JPK_KR!W:W,J195),"")</f>
        <v/>
      </c>
      <c r="P195" s="24" t="str">
        <f>IF(M195&lt;&gt;"",IF(O195="",SUMIFS(JPK_KR!AL:AL,JPK_KR!W:W,N195),SUMIFS(JPK_KR!BF:BF,JPK_KR!BE:BE,N195,JPK_KR!BG:BG,O195)),"")</f>
        <v/>
      </c>
      <c r="Q195" s="126" t="str">
        <f>IF(M195&lt;&gt;"",IF(O195="",SUMIFS(JPK_KR!AM:AM,JPK_KR!W:W,N195),SUMIFS(JPK_KR!BI:BI,JPK_KR!BH:BH,N195,JPK_KR!BJ:BJ,O195)),"")</f>
        <v/>
      </c>
      <c r="U195" s="24" t="str">
        <f>IF(R195&lt;&gt;"",SUMIFS(JPK_KR!AL:AL,JPK_KR!W:W,S195),"")</f>
        <v/>
      </c>
      <c r="V195" s="126" t="str">
        <f>IF(R195&lt;&gt;"",SUMIFS(JPK_KR!AM:AM,JPK_KR!W:W,S195),"")</f>
        <v/>
      </c>
    </row>
    <row r="196" spans="3:22" x14ac:dyDescent="0.3">
      <c r="C196" s="24" t="str">
        <f>IF(A196&lt;&gt;"",SUMIFS(JPK_KR!AL:AL,JPK_KR!W:W,B196),"")</f>
        <v/>
      </c>
      <c r="D196" s="126" t="str">
        <f>IF(A196&lt;&gt;"",SUMIFS(JPK_KR!AM:AM,JPK_KR!W:W,B196),"")</f>
        <v/>
      </c>
      <c r="G196" s="24" t="str">
        <f>IF(E196&lt;&gt;"",SUMIFS(JPK_KR!AL:AL,JPK_KR!W:W,F196),"")</f>
        <v/>
      </c>
      <c r="H196" s="126" t="str">
        <f>IF(E196&lt;&gt;"",SUMIFS(JPK_KR!AM:AM,JPK_KR!W:W,F196),"")</f>
        <v/>
      </c>
      <c r="K196" s="24" t="str">
        <f>IF(I196&lt;&gt;"",SUMIFS(JPK_KR!AL:AL,JPK_KR!W:W,J196),"")</f>
        <v/>
      </c>
      <c r="L196" s="126" t="str">
        <f>IF(I196&lt;&gt;"",SUMIFS(JPK_KR!AM:AM,JPK_KR!W:W,J196),"")</f>
        <v/>
      </c>
      <c r="P196" s="24" t="str">
        <f>IF(M196&lt;&gt;"",IF(O196="",SUMIFS(JPK_KR!AL:AL,JPK_KR!W:W,N196),SUMIFS(JPK_KR!BF:BF,JPK_KR!BE:BE,N196,JPK_KR!BG:BG,O196)),"")</f>
        <v/>
      </c>
      <c r="Q196" s="126" t="str">
        <f>IF(M196&lt;&gt;"",IF(O196="",SUMIFS(JPK_KR!AM:AM,JPK_KR!W:W,N196),SUMIFS(JPK_KR!BI:BI,JPK_KR!BH:BH,N196,JPK_KR!BJ:BJ,O196)),"")</f>
        <v/>
      </c>
      <c r="U196" s="24" t="str">
        <f>IF(R196&lt;&gt;"",SUMIFS(JPK_KR!AL:AL,JPK_KR!W:W,S196),"")</f>
        <v/>
      </c>
      <c r="V196" s="126" t="str">
        <f>IF(R196&lt;&gt;"",SUMIFS(JPK_KR!AM:AM,JPK_KR!W:W,S196),"")</f>
        <v/>
      </c>
    </row>
    <row r="197" spans="3:22" x14ac:dyDescent="0.3">
      <c r="C197" s="24" t="str">
        <f>IF(A197&lt;&gt;"",SUMIFS(JPK_KR!AL:AL,JPK_KR!W:W,B197),"")</f>
        <v/>
      </c>
      <c r="D197" s="126" t="str">
        <f>IF(A197&lt;&gt;"",SUMIFS(JPK_KR!AM:AM,JPK_KR!W:W,B197),"")</f>
        <v/>
      </c>
      <c r="G197" s="24" t="str">
        <f>IF(E197&lt;&gt;"",SUMIFS(JPK_KR!AL:AL,JPK_KR!W:W,F197),"")</f>
        <v/>
      </c>
      <c r="H197" s="126" t="str">
        <f>IF(E197&lt;&gt;"",SUMIFS(JPK_KR!AM:AM,JPK_KR!W:W,F197),"")</f>
        <v/>
      </c>
      <c r="K197" s="24" t="str">
        <f>IF(I197&lt;&gt;"",SUMIFS(JPK_KR!AL:AL,JPK_KR!W:W,J197),"")</f>
        <v/>
      </c>
      <c r="L197" s="126" t="str">
        <f>IF(I197&lt;&gt;"",SUMIFS(JPK_KR!AM:AM,JPK_KR!W:W,J197),"")</f>
        <v/>
      </c>
      <c r="P197" s="24" t="str">
        <f>IF(M197&lt;&gt;"",IF(O197="",SUMIFS(JPK_KR!AL:AL,JPK_KR!W:W,N197),SUMIFS(JPK_KR!BF:BF,JPK_KR!BE:BE,N197,JPK_KR!BG:BG,O197)),"")</f>
        <v/>
      </c>
      <c r="Q197" s="126" t="str">
        <f>IF(M197&lt;&gt;"",IF(O197="",SUMIFS(JPK_KR!AM:AM,JPK_KR!W:W,N197),SUMIFS(JPK_KR!BI:BI,JPK_KR!BH:BH,N197,JPK_KR!BJ:BJ,O197)),"")</f>
        <v/>
      </c>
      <c r="U197" s="24" t="str">
        <f>IF(R197&lt;&gt;"",SUMIFS(JPK_KR!AL:AL,JPK_KR!W:W,S197),"")</f>
        <v/>
      </c>
      <c r="V197" s="126" t="str">
        <f>IF(R197&lt;&gt;"",SUMIFS(JPK_KR!AM:AM,JPK_KR!W:W,S197),"")</f>
        <v/>
      </c>
    </row>
    <row r="198" spans="3:22" x14ac:dyDescent="0.3">
      <c r="C198" s="24" t="str">
        <f>IF(A198&lt;&gt;"",SUMIFS(JPK_KR!AL:AL,JPK_KR!W:W,B198),"")</f>
        <v/>
      </c>
      <c r="D198" s="126" t="str">
        <f>IF(A198&lt;&gt;"",SUMIFS(JPK_KR!AM:AM,JPK_KR!W:W,B198),"")</f>
        <v/>
      </c>
      <c r="G198" s="24" t="str">
        <f>IF(E198&lt;&gt;"",SUMIFS(JPK_KR!AL:AL,JPK_KR!W:W,F198),"")</f>
        <v/>
      </c>
      <c r="H198" s="126" t="str">
        <f>IF(E198&lt;&gt;"",SUMIFS(JPK_KR!AM:AM,JPK_KR!W:W,F198),"")</f>
        <v/>
      </c>
      <c r="K198" s="24" t="str">
        <f>IF(I198&lt;&gt;"",SUMIFS(JPK_KR!AL:AL,JPK_KR!W:W,J198),"")</f>
        <v/>
      </c>
      <c r="L198" s="126" t="str">
        <f>IF(I198&lt;&gt;"",SUMIFS(JPK_KR!AM:AM,JPK_KR!W:W,J198),"")</f>
        <v/>
      </c>
      <c r="P198" s="24" t="str">
        <f>IF(M198&lt;&gt;"",IF(O198="",SUMIFS(JPK_KR!AL:AL,JPK_KR!W:W,N198),SUMIFS(JPK_KR!BF:BF,JPK_KR!BE:BE,N198,JPK_KR!BG:BG,O198)),"")</f>
        <v/>
      </c>
      <c r="Q198" s="126" t="str">
        <f>IF(M198&lt;&gt;"",IF(O198="",SUMIFS(JPK_KR!AM:AM,JPK_KR!W:W,N198),SUMIFS(JPK_KR!BI:BI,JPK_KR!BH:BH,N198,JPK_KR!BJ:BJ,O198)),"")</f>
        <v/>
      </c>
      <c r="U198" s="24" t="str">
        <f>IF(R198&lt;&gt;"",SUMIFS(JPK_KR!AL:AL,JPK_KR!W:W,S198),"")</f>
        <v/>
      </c>
      <c r="V198" s="126" t="str">
        <f>IF(R198&lt;&gt;"",SUMIFS(JPK_KR!AM:AM,JPK_KR!W:W,S198),"")</f>
        <v/>
      </c>
    </row>
    <row r="199" spans="3:22" x14ac:dyDescent="0.3">
      <c r="C199" s="24" t="str">
        <f>IF(A199&lt;&gt;"",SUMIFS(JPK_KR!AL:AL,JPK_KR!W:W,B199),"")</f>
        <v/>
      </c>
      <c r="D199" s="126" t="str">
        <f>IF(A199&lt;&gt;"",SUMIFS(JPK_KR!AM:AM,JPK_KR!W:W,B199),"")</f>
        <v/>
      </c>
      <c r="G199" s="24" t="str">
        <f>IF(E199&lt;&gt;"",SUMIFS(JPK_KR!AL:AL,JPK_KR!W:W,F199),"")</f>
        <v/>
      </c>
      <c r="H199" s="126" t="str">
        <f>IF(E199&lt;&gt;"",SUMIFS(JPK_KR!AM:AM,JPK_KR!W:W,F199),"")</f>
        <v/>
      </c>
      <c r="K199" s="24" t="str">
        <f>IF(I199&lt;&gt;"",SUMIFS(JPK_KR!AL:AL,JPK_KR!W:W,J199),"")</f>
        <v/>
      </c>
      <c r="L199" s="126" t="str">
        <f>IF(I199&lt;&gt;"",SUMIFS(JPK_KR!AM:AM,JPK_KR!W:W,J199),"")</f>
        <v/>
      </c>
      <c r="P199" s="24" t="str">
        <f>IF(M199&lt;&gt;"",IF(O199="",SUMIFS(JPK_KR!AL:AL,JPK_KR!W:W,N199),SUMIFS(JPK_KR!BF:BF,JPK_KR!BE:BE,N199,JPK_KR!BG:BG,O199)),"")</f>
        <v/>
      </c>
      <c r="Q199" s="126" t="str">
        <f>IF(M199&lt;&gt;"",IF(O199="",SUMIFS(JPK_KR!AM:AM,JPK_KR!W:W,N199),SUMIFS(JPK_KR!BI:BI,JPK_KR!BH:BH,N199,JPK_KR!BJ:BJ,O199)),"")</f>
        <v/>
      </c>
      <c r="U199" s="24" t="str">
        <f>IF(R199&lt;&gt;"",SUMIFS(JPK_KR!AL:AL,JPK_KR!W:W,S199),"")</f>
        <v/>
      </c>
      <c r="V199" s="126" t="str">
        <f>IF(R199&lt;&gt;"",SUMIFS(JPK_KR!AM:AM,JPK_KR!W:W,S199),"")</f>
        <v/>
      </c>
    </row>
    <row r="200" spans="3:22" x14ac:dyDescent="0.3">
      <c r="C200" s="24" t="str">
        <f>IF(A200&lt;&gt;"",SUMIFS(JPK_KR!AL:AL,JPK_KR!W:W,B200),"")</f>
        <v/>
      </c>
      <c r="D200" s="126" t="str">
        <f>IF(A200&lt;&gt;"",SUMIFS(JPK_KR!AM:AM,JPK_KR!W:W,B200),"")</f>
        <v/>
      </c>
      <c r="G200" s="24" t="str">
        <f>IF(E200&lt;&gt;"",SUMIFS(JPK_KR!AL:AL,JPK_KR!W:W,F200),"")</f>
        <v/>
      </c>
      <c r="H200" s="126" t="str">
        <f>IF(E200&lt;&gt;"",SUMIFS(JPK_KR!AM:AM,JPK_KR!W:W,F200),"")</f>
        <v/>
      </c>
      <c r="K200" s="24" t="str">
        <f>IF(I200&lt;&gt;"",SUMIFS(JPK_KR!AL:AL,JPK_KR!W:W,J200),"")</f>
        <v/>
      </c>
      <c r="L200" s="126" t="str">
        <f>IF(I200&lt;&gt;"",SUMIFS(JPK_KR!AM:AM,JPK_KR!W:W,J200),"")</f>
        <v/>
      </c>
      <c r="P200" s="24" t="str">
        <f>IF(M200&lt;&gt;"",IF(O200="",SUMIFS(JPK_KR!AL:AL,JPK_KR!W:W,N200),SUMIFS(JPK_KR!BF:BF,JPK_KR!BE:BE,N200,JPK_KR!BG:BG,O200)),"")</f>
        <v/>
      </c>
      <c r="Q200" s="126" t="str">
        <f>IF(M200&lt;&gt;"",IF(O200="",SUMIFS(JPK_KR!AM:AM,JPK_KR!W:W,N200),SUMIFS(JPK_KR!BI:BI,JPK_KR!BH:BH,N200,JPK_KR!BJ:BJ,O200)),"")</f>
        <v/>
      </c>
      <c r="U200" s="24" t="str">
        <f>IF(R200&lt;&gt;"",SUMIFS(JPK_KR!AL:AL,JPK_KR!W:W,S200),"")</f>
        <v/>
      </c>
      <c r="V200" s="126" t="str">
        <f>IF(R200&lt;&gt;"",SUMIFS(JPK_KR!AM:AM,JPK_KR!W:W,S200),"")</f>
        <v/>
      </c>
    </row>
    <row r="201" spans="3:22" x14ac:dyDescent="0.3">
      <c r="C201" s="24" t="str">
        <f>IF(A201&lt;&gt;"",SUMIFS(JPK_KR!AL:AL,JPK_KR!W:W,B201),"")</f>
        <v/>
      </c>
      <c r="D201" s="126" t="str">
        <f>IF(A201&lt;&gt;"",SUMIFS(JPK_KR!AM:AM,JPK_KR!W:W,B201),"")</f>
        <v/>
      </c>
      <c r="G201" s="24" t="str">
        <f>IF(E201&lt;&gt;"",SUMIFS(JPK_KR!AL:AL,JPK_KR!W:W,F201),"")</f>
        <v/>
      </c>
      <c r="H201" s="126" t="str">
        <f>IF(E201&lt;&gt;"",SUMIFS(JPK_KR!AM:AM,JPK_KR!W:W,F201),"")</f>
        <v/>
      </c>
      <c r="K201" s="24" t="str">
        <f>IF(I201&lt;&gt;"",SUMIFS(JPK_KR!AL:AL,JPK_KR!W:W,J201),"")</f>
        <v/>
      </c>
      <c r="L201" s="126" t="str">
        <f>IF(I201&lt;&gt;"",SUMIFS(JPK_KR!AM:AM,JPK_KR!W:W,J201),"")</f>
        <v/>
      </c>
      <c r="P201" s="24" t="str">
        <f>IF(M201&lt;&gt;"",IF(O201="",SUMIFS(JPK_KR!AL:AL,JPK_KR!W:W,N201),SUMIFS(JPK_KR!BF:BF,JPK_KR!BE:BE,N201,JPK_KR!BG:BG,O201)),"")</f>
        <v/>
      </c>
      <c r="Q201" s="126" t="str">
        <f>IF(M201&lt;&gt;"",IF(O201="",SUMIFS(JPK_KR!AM:AM,JPK_KR!W:W,N201),SUMIFS(JPK_KR!BI:BI,JPK_KR!BH:BH,N201,JPK_KR!BJ:BJ,O201)),"")</f>
        <v/>
      </c>
      <c r="U201" s="24" t="str">
        <f>IF(R201&lt;&gt;"",SUMIFS(JPK_KR!AL:AL,JPK_KR!W:W,S201),"")</f>
        <v/>
      </c>
      <c r="V201" s="126" t="str">
        <f>IF(R201&lt;&gt;"",SUMIFS(JPK_KR!AM:AM,JPK_KR!W:W,S201),"")</f>
        <v/>
      </c>
    </row>
    <row r="202" spans="3:22" x14ac:dyDescent="0.3">
      <c r="C202" s="24" t="str">
        <f>IF(A202&lt;&gt;"",SUMIFS(JPK_KR!AL:AL,JPK_KR!W:W,B202),"")</f>
        <v/>
      </c>
      <c r="D202" s="126" t="str">
        <f>IF(A202&lt;&gt;"",SUMIFS(JPK_KR!AM:AM,JPK_KR!W:W,B202),"")</f>
        <v/>
      </c>
      <c r="G202" s="24" t="str">
        <f>IF(E202&lt;&gt;"",SUMIFS(JPK_KR!AL:AL,JPK_KR!W:W,F202),"")</f>
        <v/>
      </c>
      <c r="H202" s="126" t="str">
        <f>IF(E202&lt;&gt;"",SUMIFS(JPK_KR!AM:AM,JPK_KR!W:W,F202),"")</f>
        <v/>
      </c>
      <c r="K202" s="24" t="str">
        <f>IF(I202&lt;&gt;"",SUMIFS(JPK_KR!AL:AL,JPK_KR!W:W,J202),"")</f>
        <v/>
      </c>
      <c r="L202" s="126" t="str">
        <f>IF(I202&lt;&gt;"",SUMIFS(JPK_KR!AM:AM,JPK_KR!W:W,J202),"")</f>
        <v/>
      </c>
      <c r="P202" s="24" t="str">
        <f>IF(M202&lt;&gt;"",IF(O202="",SUMIFS(JPK_KR!AL:AL,JPK_KR!W:W,N202),SUMIFS(JPK_KR!BF:BF,JPK_KR!BE:BE,N202,JPK_KR!BG:BG,O202)),"")</f>
        <v/>
      </c>
      <c r="Q202" s="126" t="str">
        <f>IF(M202&lt;&gt;"",IF(O202="",SUMIFS(JPK_KR!AM:AM,JPK_KR!W:W,N202),SUMIFS(JPK_KR!BI:BI,JPK_KR!BH:BH,N202,JPK_KR!BJ:BJ,O202)),"")</f>
        <v/>
      </c>
      <c r="U202" s="24" t="str">
        <f>IF(R202&lt;&gt;"",SUMIFS(JPK_KR!AL:AL,JPK_KR!W:W,S202),"")</f>
        <v/>
      </c>
      <c r="V202" s="126" t="str">
        <f>IF(R202&lt;&gt;"",SUMIFS(JPK_KR!AM:AM,JPK_KR!W:W,S202),"")</f>
        <v/>
      </c>
    </row>
    <row r="203" spans="3:22" x14ac:dyDescent="0.3">
      <c r="C203" s="24" t="str">
        <f>IF(A203&lt;&gt;"",SUMIFS(JPK_KR!AL:AL,JPK_KR!W:W,B203),"")</f>
        <v/>
      </c>
      <c r="D203" s="126" t="str">
        <f>IF(A203&lt;&gt;"",SUMIFS(JPK_KR!AM:AM,JPK_KR!W:W,B203),"")</f>
        <v/>
      </c>
      <c r="G203" s="24" t="str">
        <f>IF(E203&lt;&gt;"",SUMIFS(JPK_KR!AL:AL,JPK_KR!W:W,F203),"")</f>
        <v/>
      </c>
      <c r="H203" s="126" t="str">
        <f>IF(E203&lt;&gt;"",SUMIFS(JPK_KR!AM:AM,JPK_KR!W:W,F203),"")</f>
        <v/>
      </c>
      <c r="K203" s="24" t="str">
        <f>IF(I203&lt;&gt;"",SUMIFS(JPK_KR!AL:AL,JPK_KR!W:W,J203),"")</f>
        <v/>
      </c>
      <c r="L203" s="126" t="str">
        <f>IF(I203&lt;&gt;"",SUMIFS(JPK_KR!AM:AM,JPK_KR!W:W,J203),"")</f>
        <v/>
      </c>
      <c r="P203" s="24" t="str">
        <f>IF(M203&lt;&gt;"",IF(O203="",SUMIFS(JPK_KR!AL:AL,JPK_KR!W:W,N203),SUMIFS(JPK_KR!BF:BF,JPK_KR!BE:BE,N203,JPK_KR!BG:BG,O203)),"")</f>
        <v/>
      </c>
      <c r="Q203" s="126" t="str">
        <f>IF(M203&lt;&gt;"",IF(O203="",SUMIFS(JPK_KR!AM:AM,JPK_KR!W:W,N203),SUMIFS(JPK_KR!BI:BI,JPK_KR!BH:BH,N203,JPK_KR!BJ:BJ,O203)),"")</f>
        <v/>
      </c>
      <c r="U203" s="24" t="str">
        <f>IF(R203&lt;&gt;"",SUMIFS(JPK_KR!AL:AL,JPK_KR!W:W,S203),"")</f>
        <v/>
      </c>
      <c r="V203" s="126" t="str">
        <f>IF(R203&lt;&gt;"",SUMIFS(JPK_KR!AM:AM,JPK_KR!W:W,S203),"")</f>
        <v/>
      </c>
    </row>
    <row r="204" spans="3:22" x14ac:dyDescent="0.3">
      <c r="C204" s="24" t="str">
        <f>IF(A204&lt;&gt;"",SUMIFS(JPK_KR!AL:AL,JPK_KR!W:W,B204),"")</f>
        <v/>
      </c>
      <c r="D204" s="126" t="str">
        <f>IF(A204&lt;&gt;"",SUMIFS(JPK_KR!AM:AM,JPK_KR!W:W,B204),"")</f>
        <v/>
      </c>
      <c r="G204" s="24" t="str">
        <f>IF(E204&lt;&gt;"",SUMIFS(JPK_KR!AL:AL,JPK_KR!W:W,F204),"")</f>
        <v/>
      </c>
      <c r="H204" s="126" t="str">
        <f>IF(E204&lt;&gt;"",SUMIFS(JPK_KR!AM:AM,JPK_KR!W:W,F204),"")</f>
        <v/>
      </c>
      <c r="K204" s="24" t="str">
        <f>IF(I204&lt;&gt;"",SUMIFS(JPK_KR!AL:AL,JPK_KR!W:W,J204),"")</f>
        <v/>
      </c>
      <c r="L204" s="126" t="str">
        <f>IF(I204&lt;&gt;"",SUMIFS(JPK_KR!AM:AM,JPK_KR!W:W,J204),"")</f>
        <v/>
      </c>
      <c r="P204" s="24" t="str">
        <f>IF(M204&lt;&gt;"",IF(O204="",SUMIFS(JPK_KR!AL:AL,JPK_KR!W:W,N204),SUMIFS(JPK_KR!BF:BF,JPK_KR!BE:BE,N204,JPK_KR!BG:BG,O204)),"")</f>
        <v/>
      </c>
      <c r="Q204" s="126" t="str">
        <f>IF(M204&lt;&gt;"",IF(O204="",SUMIFS(JPK_KR!AM:AM,JPK_KR!W:W,N204),SUMIFS(JPK_KR!BI:BI,JPK_KR!BH:BH,N204,JPK_KR!BJ:BJ,O204)),"")</f>
        <v/>
      </c>
      <c r="U204" s="24" t="str">
        <f>IF(R204&lt;&gt;"",SUMIFS(JPK_KR!AL:AL,JPK_KR!W:W,S204),"")</f>
        <v/>
      </c>
      <c r="V204" s="126" t="str">
        <f>IF(R204&lt;&gt;"",SUMIFS(JPK_KR!AM:AM,JPK_KR!W:W,S204),"")</f>
        <v/>
      </c>
    </row>
    <row r="205" spans="3:22" x14ac:dyDescent="0.3">
      <c r="C205" s="24" t="str">
        <f>IF(A205&lt;&gt;"",SUMIFS(JPK_KR!AL:AL,JPK_KR!W:W,B205),"")</f>
        <v/>
      </c>
      <c r="D205" s="126" t="str">
        <f>IF(A205&lt;&gt;"",SUMIFS(JPK_KR!AM:AM,JPK_KR!W:W,B205),"")</f>
        <v/>
      </c>
      <c r="G205" s="24" t="str">
        <f>IF(E205&lt;&gt;"",SUMIFS(JPK_KR!AL:AL,JPK_KR!W:W,F205),"")</f>
        <v/>
      </c>
      <c r="H205" s="126" t="str">
        <f>IF(E205&lt;&gt;"",SUMIFS(JPK_KR!AM:AM,JPK_KR!W:W,F205),"")</f>
        <v/>
      </c>
      <c r="K205" s="24" t="str">
        <f>IF(I205&lt;&gt;"",SUMIFS(JPK_KR!AL:AL,JPK_KR!W:W,J205),"")</f>
        <v/>
      </c>
      <c r="L205" s="126" t="str">
        <f>IF(I205&lt;&gt;"",SUMIFS(JPK_KR!AM:AM,JPK_KR!W:W,J205),"")</f>
        <v/>
      </c>
      <c r="P205" s="24" t="str">
        <f>IF(M205&lt;&gt;"",IF(O205="",SUMIFS(JPK_KR!AL:AL,JPK_KR!W:W,N205),SUMIFS(JPK_KR!BF:BF,JPK_KR!BE:BE,N205,JPK_KR!BG:BG,O205)),"")</f>
        <v/>
      </c>
      <c r="Q205" s="126" t="str">
        <f>IF(M205&lt;&gt;"",IF(O205="",SUMIFS(JPK_KR!AM:AM,JPK_KR!W:W,N205),SUMIFS(JPK_KR!BI:BI,JPK_KR!BH:BH,N205,JPK_KR!BJ:BJ,O205)),"")</f>
        <v/>
      </c>
      <c r="U205" s="24" t="str">
        <f>IF(R205&lt;&gt;"",SUMIFS(JPK_KR!AL:AL,JPK_KR!W:W,S205),"")</f>
        <v/>
      </c>
      <c r="V205" s="126" t="str">
        <f>IF(R205&lt;&gt;"",SUMIFS(JPK_KR!AM:AM,JPK_KR!W:W,S205),"")</f>
        <v/>
      </c>
    </row>
    <row r="206" spans="3:22" x14ac:dyDescent="0.3">
      <c r="C206" s="24" t="str">
        <f>IF(A206&lt;&gt;"",SUMIFS(JPK_KR!AL:AL,JPK_KR!W:W,B206),"")</f>
        <v/>
      </c>
      <c r="D206" s="126" t="str">
        <f>IF(A206&lt;&gt;"",SUMIFS(JPK_KR!AM:AM,JPK_KR!W:W,B206),"")</f>
        <v/>
      </c>
      <c r="G206" s="24" t="str">
        <f>IF(E206&lt;&gt;"",SUMIFS(JPK_KR!AL:AL,JPK_KR!W:W,F206),"")</f>
        <v/>
      </c>
      <c r="H206" s="126" t="str">
        <f>IF(E206&lt;&gt;"",SUMIFS(JPK_KR!AM:AM,JPK_KR!W:W,F206),"")</f>
        <v/>
      </c>
      <c r="K206" s="24" t="str">
        <f>IF(I206&lt;&gt;"",SUMIFS(JPK_KR!AL:AL,JPK_KR!W:W,J206),"")</f>
        <v/>
      </c>
      <c r="L206" s="126" t="str">
        <f>IF(I206&lt;&gt;"",SUMIFS(JPK_KR!AM:AM,JPK_KR!W:W,J206),"")</f>
        <v/>
      </c>
      <c r="P206" s="24" t="str">
        <f>IF(M206&lt;&gt;"",IF(O206="",SUMIFS(JPK_KR!AL:AL,JPK_KR!W:W,N206),SUMIFS(JPK_KR!BF:BF,JPK_KR!BE:BE,N206,JPK_KR!BG:BG,O206)),"")</f>
        <v/>
      </c>
      <c r="Q206" s="126" t="str">
        <f>IF(M206&lt;&gt;"",IF(O206="",SUMIFS(JPK_KR!AM:AM,JPK_KR!W:W,N206),SUMIFS(JPK_KR!BI:BI,JPK_KR!BH:BH,N206,JPK_KR!BJ:BJ,O206)),"")</f>
        <v/>
      </c>
      <c r="U206" s="24" t="str">
        <f>IF(R206&lt;&gt;"",SUMIFS(JPK_KR!AL:AL,JPK_KR!W:W,S206),"")</f>
        <v/>
      </c>
      <c r="V206" s="126" t="str">
        <f>IF(R206&lt;&gt;"",SUMIFS(JPK_KR!AM:AM,JPK_KR!W:W,S206),"")</f>
        <v/>
      </c>
    </row>
    <row r="207" spans="3:22" x14ac:dyDescent="0.3">
      <c r="C207" s="24" t="str">
        <f>IF(A207&lt;&gt;"",SUMIFS(JPK_KR!AL:AL,JPK_KR!W:W,B207),"")</f>
        <v/>
      </c>
      <c r="D207" s="126" t="str">
        <f>IF(A207&lt;&gt;"",SUMIFS(JPK_KR!AM:AM,JPK_KR!W:W,B207),"")</f>
        <v/>
      </c>
      <c r="G207" s="24" t="str">
        <f>IF(E207&lt;&gt;"",SUMIFS(JPK_KR!AL:AL,JPK_KR!W:W,F207),"")</f>
        <v/>
      </c>
      <c r="H207" s="126" t="str">
        <f>IF(E207&lt;&gt;"",SUMIFS(JPK_KR!AM:AM,JPK_KR!W:W,F207),"")</f>
        <v/>
      </c>
      <c r="K207" s="24" t="str">
        <f>IF(I207&lt;&gt;"",SUMIFS(JPK_KR!AL:AL,JPK_KR!W:W,J207),"")</f>
        <v/>
      </c>
      <c r="L207" s="126" t="str">
        <f>IF(I207&lt;&gt;"",SUMIFS(JPK_KR!AM:AM,JPK_KR!W:W,J207),"")</f>
        <v/>
      </c>
      <c r="P207" s="24" t="str">
        <f>IF(M207&lt;&gt;"",IF(O207="",SUMIFS(JPK_KR!AL:AL,JPK_KR!W:W,N207),SUMIFS(JPK_KR!BF:BF,JPK_KR!BE:BE,N207,JPK_KR!BG:BG,O207)),"")</f>
        <v/>
      </c>
      <c r="Q207" s="126" t="str">
        <f>IF(M207&lt;&gt;"",IF(O207="",SUMIFS(JPK_KR!AM:AM,JPK_KR!W:W,N207),SUMIFS(JPK_KR!BI:BI,JPK_KR!BH:BH,N207,JPK_KR!BJ:BJ,O207)),"")</f>
        <v/>
      </c>
      <c r="U207" s="24" t="str">
        <f>IF(R207&lt;&gt;"",SUMIFS(JPK_KR!AL:AL,JPK_KR!W:W,S207),"")</f>
        <v/>
      </c>
      <c r="V207" s="126" t="str">
        <f>IF(R207&lt;&gt;"",SUMIFS(JPK_KR!AM:AM,JPK_KR!W:W,S207),"")</f>
        <v/>
      </c>
    </row>
    <row r="208" spans="3:22" x14ac:dyDescent="0.3">
      <c r="C208" s="24" t="str">
        <f>IF(A208&lt;&gt;"",SUMIFS(JPK_KR!AL:AL,JPK_KR!W:W,B208),"")</f>
        <v/>
      </c>
      <c r="D208" s="126" t="str">
        <f>IF(A208&lt;&gt;"",SUMIFS(JPK_KR!AM:AM,JPK_KR!W:W,B208),"")</f>
        <v/>
      </c>
      <c r="G208" s="24" t="str">
        <f>IF(E208&lt;&gt;"",SUMIFS(JPK_KR!AL:AL,JPK_KR!W:W,F208),"")</f>
        <v/>
      </c>
      <c r="H208" s="126" t="str">
        <f>IF(E208&lt;&gt;"",SUMIFS(JPK_KR!AM:AM,JPK_KR!W:W,F208),"")</f>
        <v/>
      </c>
      <c r="K208" s="24" t="str">
        <f>IF(I208&lt;&gt;"",SUMIFS(JPK_KR!AL:AL,JPK_KR!W:W,J208),"")</f>
        <v/>
      </c>
      <c r="L208" s="126" t="str">
        <f>IF(I208&lt;&gt;"",SUMIFS(JPK_KR!AM:AM,JPK_KR!W:W,J208),"")</f>
        <v/>
      </c>
      <c r="P208" s="24" t="str">
        <f>IF(M208&lt;&gt;"",IF(O208="",SUMIFS(JPK_KR!AL:AL,JPK_KR!W:W,N208),SUMIFS(JPK_KR!BF:BF,JPK_KR!BE:BE,N208,JPK_KR!BG:BG,O208)),"")</f>
        <v/>
      </c>
      <c r="Q208" s="126" t="str">
        <f>IF(M208&lt;&gt;"",IF(O208="",SUMIFS(JPK_KR!AM:AM,JPK_KR!W:W,N208),SUMIFS(JPK_KR!BI:BI,JPK_KR!BH:BH,N208,JPK_KR!BJ:BJ,O208)),"")</f>
        <v/>
      </c>
      <c r="U208" s="24" t="str">
        <f>IF(R208&lt;&gt;"",SUMIFS(JPK_KR!AL:AL,JPK_KR!W:W,S208),"")</f>
        <v/>
      </c>
      <c r="V208" s="126" t="str">
        <f>IF(R208&lt;&gt;"",SUMIFS(JPK_KR!AM:AM,JPK_KR!W:W,S208),"")</f>
        <v/>
      </c>
    </row>
    <row r="209" spans="3:22" x14ac:dyDescent="0.3">
      <c r="C209" s="24" t="str">
        <f>IF(A209&lt;&gt;"",SUMIFS(JPK_KR!AL:AL,JPK_KR!W:W,B209),"")</f>
        <v/>
      </c>
      <c r="D209" s="126" t="str">
        <f>IF(A209&lt;&gt;"",SUMIFS(JPK_KR!AM:AM,JPK_KR!W:W,B209),"")</f>
        <v/>
      </c>
      <c r="G209" s="24" t="str">
        <f>IF(E209&lt;&gt;"",SUMIFS(JPK_KR!AL:AL,JPK_KR!W:W,F209),"")</f>
        <v/>
      </c>
      <c r="H209" s="126" t="str">
        <f>IF(E209&lt;&gt;"",SUMIFS(JPK_KR!AM:AM,JPK_KR!W:W,F209),"")</f>
        <v/>
      </c>
      <c r="K209" s="24" t="str">
        <f>IF(I209&lt;&gt;"",SUMIFS(JPK_KR!AL:AL,JPK_KR!W:W,J209),"")</f>
        <v/>
      </c>
      <c r="L209" s="126" t="str">
        <f>IF(I209&lt;&gt;"",SUMIFS(JPK_KR!AM:AM,JPK_KR!W:W,J209),"")</f>
        <v/>
      </c>
      <c r="P209" s="24" t="str">
        <f>IF(M209&lt;&gt;"",IF(O209="",SUMIFS(JPK_KR!AL:AL,JPK_KR!W:W,N209),SUMIFS(JPK_KR!BF:BF,JPK_KR!BE:BE,N209,JPK_KR!BG:BG,O209)),"")</f>
        <v/>
      </c>
      <c r="Q209" s="126" t="str">
        <f>IF(M209&lt;&gt;"",IF(O209="",SUMIFS(JPK_KR!AM:AM,JPK_KR!W:W,N209),SUMIFS(JPK_KR!BI:BI,JPK_KR!BH:BH,N209,JPK_KR!BJ:BJ,O209)),"")</f>
        <v/>
      </c>
      <c r="U209" s="24" t="str">
        <f>IF(R209&lt;&gt;"",SUMIFS(JPK_KR!AL:AL,JPK_KR!W:W,S209),"")</f>
        <v/>
      </c>
      <c r="V209" s="126" t="str">
        <f>IF(R209&lt;&gt;"",SUMIFS(JPK_KR!AM:AM,JPK_KR!W:W,S209),"")</f>
        <v/>
      </c>
    </row>
    <row r="210" spans="3:22" x14ac:dyDescent="0.3">
      <c r="C210" s="24" t="str">
        <f>IF(A210&lt;&gt;"",SUMIFS(JPK_KR!AL:AL,JPK_KR!W:W,B210),"")</f>
        <v/>
      </c>
      <c r="D210" s="126" t="str">
        <f>IF(A210&lt;&gt;"",SUMIFS(JPK_KR!AM:AM,JPK_KR!W:W,B210),"")</f>
        <v/>
      </c>
      <c r="G210" s="24" t="str">
        <f>IF(E210&lt;&gt;"",SUMIFS(JPK_KR!AL:AL,JPK_KR!W:W,F210),"")</f>
        <v/>
      </c>
      <c r="H210" s="126" t="str">
        <f>IF(E210&lt;&gt;"",SUMIFS(JPK_KR!AM:AM,JPK_KR!W:W,F210),"")</f>
        <v/>
      </c>
      <c r="K210" s="24" t="str">
        <f>IF(I210&lt;&gt;"",SUMIFS(JPK_KR!AL:AL,JPK_KR!W:W,J210),"")</f>
        <v/>
      </c>
      <c r="L210" s="126" t="str">
        <f>IF(I210&lt;&gt;"",SUMIFS(JPK_KR!AM:AM,JPK_KR!W:W,J210),"")</f>
        <v/>
      </c>
      <c r="P210" s="24" t="str">
        <f>IF(M210&lt;&gt;"",IF(O210="",SUMIFS(JPK_KR!AL:AL,JPK_KR!W:W,N210),SUMIFS(JPK_KR!BF:BF,JPK_KR!BE:BE,N210,JPK_KR!BG:BG,O210)),"")</f>
        <v/>
      </c>
      <c r="Q210" s="126" t="str">
        <f>IF(M210&lt;&gt;"",IF(O210="",SUMIFS(JPK_KR!AM:AM,JPK_KR!W:W,N210),SUMIFS(JPK_KR!BI:BI,JPK_KR!BH:BH,N210,JPK_KR!BJ:BJ,O210)),"")</f>
        <v/>
      </c>
      <c r="U210" s="24" t="str">
        <f>IF(R210&lt;&gt;"",SUMIFS(JPK_KR!AL:AL,JPK_KR!W:W,S210),"")</f>
        <v/>
      </c>
      <c r="V210" s="126" t="str">
        <f>IF(R210&lt;&gt;"",SUMIFS(JPK_KR!AM:AM,JPK_KR!W:W,S210),"")</f>
        <v/>
      </c>
    </row>
    <row r="211" spans="3:22" x14ac:dyDescent="0.3">
      <c r="C211" s="24" t="str">
        <f>IF(A211&lt;&gt;"",SUMIFS(JPK_KR!AL:AL,JPK_KR!W:W,B211),"")</f>
        <v/>
      </c>
      <c r="D211" s="126" t="str">
        <f>IF(A211&lt;&gt;"",SUMIFS(JPK_KR!AM:AM,JPK_KR!W:W,B211),"")</f>
        <v/>
      </c>
      <c r="G211" s="24" t="str">
        <f>IF(E211&lt;&gt;"",SUMIFS(JPK_KR!AL:AL,JPK_KR!W:W,F211),"")</f>
        <v/>
      </c>
      <c r="H211" s="126" t="str">
        <f>IF(E211&lt;&gt;"",SUMIFS(JPK_KR!AM:AM,JPK_KR!W:W,F211),"")</f>
        <v/>
      </c>
      <c r="K211" s="24" t="str">
        <f>IF(I211&lt;&gt;"",SUMIFS(JPK_KR!AL:AL,JPK_KR!W:W,J211),"")</f>
        <v/>
      </c>
      <c r="L211" s="126" t="str">
        <f>IF(I211&lt;&gt;"",SUMIFS(JPK_KR!AM:AM,JPK_KR!W:W,J211),"")</f>
        <v/>
      </c>
      <c r="P211" s="24" t="str">
        <f>IF(M211&lt;&gt;"",IF(O211="",SUMIFS(JPK_KR!AL:AL,JPK_KR!W:W,N211),SUMIFS(JPK_KR!BF:BF,JPK_KR!BE:BE,N211,JPK_KR!BG:BG,O211)),"")</f>
        <v/>
      </c>
      <c r="Q211" s="126" t="str">
        <f>IF(M211&lt;&gt;"",IF(O211="",SUMIFS(JPK_KR!AM:AM,JPK_KR!W:W,N211),SUMIFS(JPK_KR!BI:BI,JPK_KR!BH:BH,N211,JPK_KR!BJ:BJ,O211)),"")</f>
        <v/>
      </c>
      <c r="U211" s="24" t="str">
        <f>IF(R211&lt;&gt;"",SUMIFS(JPK_KR!AL:AL,JPK_KR!W:W,S211),"")</f>
        <v/>
      </c>
      <c r="V211" s="126" t="str">
        <f>IF(R211&lt;&gt;"",SUMIFS(JPK_KR!AM:AM,JPK_KR!W:W,S211),"")</f>
        <v/>
      </c>
    </row>
    <row r="212" spans="3:22" x14ac:dyDescent="0.3">
      <c r="C212" s="24" t="str">
        <f>IF(A212&lt;&gt;"",SUMIFS(JPK_KR!AL:AL,JPK_KR!W:W,B212),"")</f>
        <v/>
      </c>
      <c r="D212" s="126" t="str">
        <f>IF(A212&lt;&gt;"",SUMIFS(JPK_KR!AM:AM,JPK_KR!W:W,B212),"")</f>
        <v/>
      </c>
      <c r="G212" s="24" t="str">
        <f>IF(E212&lt;&gt;"",SUMIFS(JPK_KR!AL:AL,JPK_KR!W:W,F212),"")</f>
        <v/>
      </c>
      <c r="H212" s="126" t="str">
        <f>IF(E212&lt;&gt;"",SUMIFS(JPK_KR!AM:AM,JPK_KR!W:W,F212),"")</f>
        <v/>
      </c>
      <c r="K212" s="24" t="str">
        <f>IF(I212&lt;&gt;"",SUMIFS(JPK_KR!AL:AL,JPK_KR!W:W,J212),"")</f>
        <v/>
      </c>
      <c r="L212" s="126" t="str">
        <f>IF(I212&lt;&gt;"",SUMIFS(JPK_KR!AM:AM,JPK_KR!W:W,J212),"")</f>
        <v/>
      </c>
      <c r="P212" s="24" t="str">
        <f>IF(M212&lt;&gt;"",IF(O212="",SUMIFS(JPK_KR!AL:AL,JPK_KR!W:W,N212),SUMIFS(JPK_KR!BF:BF,JPK_KR!BE:BE,N212,JPK_KR!BG:BG,O212)),"")</f>
        <v/>
      </c>
      <c r="Q212" s="126" t="str">
        <f>IF(M212&lt;&gt;"",IF(O212="",SUMIFS(JPK_KR!AM:AM,JPK_KR!W:W,N212),SUMIFS(JPK_KR!BI:BI,JPK_KR!BH:BH,N212,JPK_KR!BJ:BJ,O212)),"")</f>
        <v/>
      </c>
      <c r="U212" s="24" t="str">
        <f>IF(R212&lt;&gt;"",SUMIFS(JPK_KR!AL:AL,JPK_KR!W:W,S212),"")</f>
        <v/>
      </c>
      <c r="V212" s="126" t="str">
        <f>IF(R212&lt;&gt;"",SUMIFS(JPK_KR!AM:AM,JPK_KR!W:W,S212),"")</f>
        <v/>
      </c>
    </row>
    <row r="213" spans="3:22" x14ac:dyDescent="0.3">
      <c r="C213" s="24" t="str">
        <f>IF(A213&lt;&gt;"",SUMIFS(JPK_KR!AL:AL,JPK_KR!W:W,B213),"")</f>
        <v/>
      </c>
      <c r="D213" s="126" t="str">
        <f>IF(A213&lt;&gt;"",SUMIFS(JPK_KR!AM:AM,JPK_KR!W:W,B213),"")</f>
        <v/>
      </c>
      <c r="G213" s="24" t="str">
        <f>IF(E213&lt;&gt;"",SUMIFS(JPK_KR!AL:AL,JPK_KR!W:W,F213),"")</f>
        <v/>
      </c>
      <c r="H213" s="126" t="str">
        <f>IF(E213&lt;&gt;"",SUMIFS(JPK_KR!AM:AM,JPK_KR!W:W,F213),"")</f>
        <v/>
      </c>
      <c r="K213" s="24" t="str">
        <f>IF(I213&lt;&gt;"",SUMIFS(JPK_KR!AL:AL,JPK_KR!W:W,J213),"")</f>
        <v/>
      </c>
      <c r="L213" s="126" t="str">
        <f>IF(I213&lt;&gt;"",SUMIFS(JPK_KR!AM:AM,JPK_KR!W:W,J213),"")</f>
        <v/>
      </c>
      <c r="P213" s="24" t="str">
        <f>IF(M213&lt;&gt;"",IF(O213="",SUMIFS(JPK_KR!AL:AL,JPK_KR!W:W,N213),SUMIFS(JPK_KR!BF:BF,JPK_KR!BE:BE,N213,JPK_KR!BG:BG,O213)),"")</f>
        <v/>
      </c>
      <c r="Q213" s="126" t="str">
        <f>IF(M213&lt;&gt;"",IF(O213="",SUMIFS(JPK_KR!AM:AM,JPK_KR!W:W,N213),SUMIFS(JPK_KR!BI:BI,JPK_KR!BH:BH,N213,JPK_KR!BJ:BJ,O213)),"")</f>
        <v/>
      </c>
      <c r="U213" s="24" t="str">
        <f>IF(R213&lt;&gt;"",SUMIFS(JPK_KR!AL:AL,JPK_KR!W:W,S213),"")</f>
        <v/>
      </c>
      <c r="V213" s="126" t="str">
        <f>IF(R213&lt;&gt;"",SUMIFS(JPK_KR!AM:AM,JPK_KR!W:W,S213),"")</f>
        <v/>
      </c>
    </row>
    <row r="214" spans="3:22" x14ac:dyDescent="0.3">
      <c r="C214" s="24" t="str">
        <f>IF(A214&lt;&gt;"",SUMIFS(JPK_KR!AL:AL,JPK_KR!W:W,B214),"")</f>
        <v/>
      </c>
      <c r="D214" s="126" t="str">
        <f>IF(A214&lt;&gt;"",SUMIFS(JPK_KR!AM:AM,JPK_KR!W:W,B214),"")</f>
        <v/>
      </c>
      <c r="G214" s="24" t="str">
        <f>IF(E214&lt;&gt;"",SUMIFS(JPK_KR!AL:AL,JPK_KR!W:W,F214),"")</f>
        <v/>
      </c>
      <c r="H214" s="126" t="str">
        <f>IF(E214&lt;&gt;"",SUMIFS(JPK_KR!AM:AM,JPK_KR!W:W,F214),"")</f>
        <v/>
      </c>
      <c r="K214" s="24" t="str">
        <f>IF(I214&lt;&gt;"",SUMIFS(JPK_KR!AL:AL,JPK_KR!W:W,J214),"")</f>
        <v/>
      </c>
      <c r="L214" s="126" t="str">
        <f>IF(I214&lt;&gt;"",SUMIFS(JPK_KR!AM:AM,JPK_KR!W:W,J214),"")</f>
        <v/>
      </c>
      <c r="P214" s="24" t="str">
        <f>IF(M214&lt;&gt;"",IF(O214="",SUMIFS(JPK_KR!AL:AL,JPK_KR!W:W,N214),SUMIFS(JPK_KR!BF:BF,JPK_KR!BE:BE,N214,JPK_KR!BG:BG,O214)),"")</f>
        <v/>
      </c>
      <c r="Q214" s="126" t="str">
        <f>IF(M214&lt;&gt;"",IF(O214="",SUMIFS(JPK_KR!AM:AM,JPK_KR!W:W,N214),SUMIFS(JPK_KR!BI:BI,JPK_KR!BH:BH,N214,JPK_KR!BJ:BJ,O214)),"")</f>
        <v/>
      </c>
      <c r="U214" s="24" t="str">
        <f>IF(R214&lt;&gt;"",SUMIFS(JPK_KR!AL:AL,JPK_KR!W:W,S214),"")</f>
        <v/>
      </c>
      <c r="V214" s="126" t="str">
        <f>IF(R214&lt;&gt;"",SUMIFS(JPK_KR!AM:AM,JPK_KR!W:W,S214),"")</f>
        <v/>
      </c>
    </row>
    <row r="215" spans="3:22" x14ac:dyDescent="0.3">
      <c r="C215" s="24" t="str">
        <f>IF(A215&lt;&gt;"",SUMIFS(JPK_KR!AL:AL,JPK_KR!W:W,B215),"")</f>
        <v/>
      </c>
      <c r="D215" s="126" t="str">
        <f>IF(A215&lt;&gt;"",SUMIFS(JPK_KR!AM:AM,JPK_KR!W:W,B215),"")</f>
        <v/>
      </c>
      <c r="G215" s="24" t="str">
        <f>IF(E215&lt;&gt;"",SUMIFS(JPK_KR!AL:AL,JPK_KR!W:W,F215),"")</f>
        <v/>
      </c>
      <c r="H215" s="126" t="str">
        <f>IF(E215&lt;&gt;"",SUMIFS(JPK_KR!AM:AM,JPK_KR!W:W,F215),"")</f>
        <v/>
      </c>
      <c r="K215" s="24" t="str">
        <f>IF(I215&lt;&gt;"",SUMIFS(JPK_KR!AL:AL,JPK_KR!W:W,J215),"")</f>
        <v/>
      </c>
      <c r="L215" s="126" t="str">
        <f>IF(I215&lt;&gt;"",SUMIFS(JPK_KR!AM:AM,JPK_KR!W:W,J215),"")</f>
        <v/>
      </c>
      <c r="P215" s="24" t="str">
        <f>IF(M215&lt;&gt;"",IF(O215="",SUMIFS(JPK_KR!AL:AL,JPK_KR!W:W,N215),SUMIFS(JPK_KR!BF:BF,JPK_KR!BE:BE,N215,JPK_KR!BG:BG,O215)),"")</f>
        <v/>
      </c>
      <c r="Q215" s="126" t="str">
        <f>IF(M215&lt;&gt;"",IF(O215="",SUMIFS(JPK_KR!AM:AM,JPK_KR!W:W,N215),SUMIFS(JPK_KR!BI:BI,JPK_KR!BH:BH,N215,JPK_KR!BJ:BJ,O215)),"")</f>
        <v/>
      </c>
      <c r="U215" s="24" t="str">
        <f>IF(R215&lt;&gt;"",SUMIFS(JPK_KR!AL:AL,JPK_KR!W:W,S215),"")</f>
        <v/>
      </c>
      <c r="V215" s="126" t="str">
        <f>IF(R215&lt;&gt;"",SUMIFS(JPK_KR!AM:AM,JPK_KR!W:W,S215),"")</f>
        <v/>
      </c>
    </row>
    <row r="216" spans="3:22" x14ac:dyDescent="0.3">
      <c r="C216" s="24" t="str">
        <f>IF(A216&lt;&gt;"",SUMIFS(JPK_KR!AL:AL,JPK_KR!W:W,B216),"")</f>
        <v/>
      </c>
      <c r="D216" s="126" t="str">
        <f>IF(A216&lt;&gt;"",SUMIFS(JPK_KR!AM:AM,JPK_KR!W:W,B216),"")</f>
        <v/>
      </c>
      <c r="G216" s="24" t="str">
        <f>IF(E216&lt;&gt;"",SUMIFS(JPK_KR!AL:AL,JPK_KR!W:W,F216),"")</f>
        <v/>
      </c>
      <c r="H216" s="126" t="str">
        <f>IF(E216&lt;&gt;"",SUMIFS(JPK_KR!AM:AM,JPK_KR!W:W,F216),"")</f>
        <v/>
      </c>
      <c r="K216" s="24" t="str">
        <f>IF(I216&lt;&gt;"",SUMIFS(JPK_KR!AL:AL,JPK_KR!W:W,J216),"")</f>
        <v/>
      </c>
      <c r="L216" s="126" t="str">
        <f>IF(I216&lt;&gt;"",SUMIFS(JPK_KR!AM:AM,JPK_KR!W:W,J216),"")</f>
        <v/>
      </c>
      <c r="P216" s="24" t="str">
        <f>IF(M216&lt;&gt;"",IF(O216="",SUMIFS(JPK_KR!AL:AL,JPK_KR!W:W,N216),SUMIFS(JPK_KR!BF:BF,JPK_KR!BE:BE,N216,JPK_KR!BG:BG,O216)),"")</f>
        <v/>
      </c>
      <c r="Q216" s="126" t="str">
        <f>IF(M216&lt;&gt;"",IF(O216="",SUMIFS(JPK_KR!AM:AM,JPK_KR!W:W,N216),SUMIFS(JPK_KR!BI:BI,JPK_KR!BH:BH,N216,JPK_KR!BJ:BJ,O216)),"")</f>
        <v/>
      </c>
      <c r="U216" s="24" t="str">
        <f>IF(R216&lt;&gt;"",SUMIFS(JPK_KR!AL:AL,JPK_KR!W:W,S216),"")</f>
        <v/>
      </c>
      <c r="V216" s="126" t="str">
        <f>IF(R216&lt;&gt;"",SUMIFS(JPK_KR!AM:AM,JPK_KR!W:W,S216),"")</f>
        <v/>
      </c>
    </row>
    <row r="217" spans="3:22" x14ac:dyDescent="0.3">
      <c r="C217" s="24" t="str">
        <f>IF(A217&lt;&gt;"",SUMIFS(JPK_KR!AL:AL,JPK_KR!W:W,B217),"")</f>
        <v/>
      </c>
      <c r="D217" s="126" t="str">
        <f>IF(A217&lt;&gt;"",SUMIFS(JPK_KR!AM:AM,JPK_KR!W:W,B217),"")</f>
        <v/>
      </c>
      <c r="G217" s="24" t="str">
        <f>IF(E217&lt;&gt;"",SUMIFS(JPK_KR!AL:AL,JPK_KR!W:W,F217),"")</f>
        <v/>
      </c>
      <c r="H217" s="126" t="str">
        <f>IF(E217&lt;&gt;"",SUMIFS(JPK_KR!AM:AM,JPK_KR!W:W,F217),"")</f>
        <v/>
      </c>
      <c r="K217" s="24" t="str">
        <f>IF(I217&lt;&gt;"",SUMIFS(JPK_KR!AL:AL,JPK_KR!W:W,J217),"")</f>
        <v/>
      </c>
      <c r="L217" s="126" t="str">
        <f>IF(I217&lt;&gt;"",SUMIFS(JPK_KR!AM:AM,JPK_KR!W:W,J217),"")</f>
        <v/>
      </c>
      <c r="P217" s="24" t="str">
        <f>IF(M217&lt;&gt;"",IF(O217="",SUMIFS(JPK_KR!AL:AL,JPK_KR!W:W,N217),SUMIFS(JPK_KR!BF:BF,JPK_KR!BE:BE,N217,JPK_KR!BG:BG,O217)),"")</f>
        <v/>
      </c>
      <c r="Q217" s="126" t="str">
        <f>IF(M217&lt;&gt;"",IF(O217="",SUMIFS(JPK_KR!AM:AM,JPK_KR!W:W,N217),SUMIFS(JPK_KR!BI:BI,JPK_KR!BH:BH,N217,JPK_KR!BJ:BJ,O217)),"")</f>
        <v/>
      </c>
      <c r="U217" s="24" t="str">
        <f>IF(R217&lt;&gt;"",SUMIFS(JPK_KR!AL:AL,JPK_KR!W:W,S217),"")</f>
        <v/>
      </c>
      <c r="V217" s="126" t="str">
        <f>IF(R217&lt;&gt;"",SUMIFS(JPK_KR!AM:AM,JPK_KR!W:W,S217),"")</f>
        <v/>
      </c>
    </row>
    <row r="218" spans="3:22" x14ac:dyDescent="0.3">
      <c r="C218" s="24" t="str">
        <f>IF(A218&lt;&gt;"",SUMIFS(JPK_KR!AL:AL,JPK_KR!W:W,B218),"")</f>
        <v/>
      </c>
      <c r="D218" s="126" t="str">
        <f>IF(A218&lt;&gt;"",SUMIFS(JPK_KR!AM:AM,JPK_KR!W:W,B218),"")</f>
        <v/>
      </c>
      <c r="G218" s="24" t="str">
        <f>IF(E218&lt;&gt;"",SUMIFS(JPK_KR!AL:AL,JPK_KR!W:W,F218),"")</f>
        <v/>
      </c>
      <c r="H218" s="126" t="str">
        <f>IF(E218&lt;&gt;"",SUMIFS(JPK_KR!AM:AM,JPK_KR!W:W,F218),"")</f>
        <v/>
      </c>
      <c r="K218" s="24" t="str">
        <f>IF(I218&lt;&gt;"",SUMIFS(JPK_KR!AL:AL,JPK_KR!W:W,J218),"")</f>
        <v/>
      </c>
      <c r="L218" s="126" t="str">
        <f>IF(I218&lt;&gt;"",SUMIFS(JPK_KR!AM:AM,JPK_KR!W:W,J218),"")</f>
        <v/>
      </c>
      <c r="P218" s="24" t="str">
        <f>IF(M218&lt;&gt;"",IF(O218="",SUMIFS(JPK_KR!AL:AL,JPK_KR!W:W,N218),SUMIFS(JPK_KR!BF:BF,JPK_KR!BE:BE,N218,JPK_KR!BG:BG,O218)),"")</f>
        <v/>
      </c>
      <c r="Q218" s="126" t="str">
        <f>IF(M218&lt;&gt;"",IF(O218="",SUMIFS(JPK_KR!AM:AM,JPK_KR!W:W,N218),SUMIFS(JPK_KR!BI:BI,JPK_KR!BH:BH,N218,JPK_KR!BJ:BJ,O218)),"")</f>
        <v/>
      </c>
      <c r="U218" s="24" t="str">
        <f>IF(R218&lt;&gt;"",SUMIFS(JPK_KR!AL:AL,JPK_KR!W:W,S218),"")</f>
        <v/>
      </c>
      <c r="V218" s="126" t="str">
        <f>IF(R218&lt;&gt;"",SUMIFS(JPK_KR!AM:AM,JPK_KR!W:W,S218),"")</f>
        <v/>
      </c>
    </row>
    <row r="219" spans="3:22" x14ac:dyDescent="0.3">
      <c r="C219" s="24" t="str">
        <f>IF(A219&lt;&gt;"",SUMIFS(JPK_KR!AL:AL,JPK_KR!W:W,B219),"")</f>
        <v/>
      </c>
      <c r="D219" s="126" t="str">
        <f>IF(A219&lt;&gt;"",SUMIFS(JPK_KR!AM:AM,JPK_KR!W:W,B219),"")</f>
        <v/>
      </c>
      <c r="G219" s="24" t="str">
        <f>IF(E219&lt;&gt;"",SUMIFS(JPK_KR!AL:AL,JPK_KR!W:W,F219),"")</f>
        <v/>
      </c>
      <c r="H219" s="126" t="str">
        <f>IF(E219&lt;&gt;"",SUMIFS(JPK_KR!AM:AM,JPK_KR!W:W,F219),"")</f>
        <v/>
      </c>
      <c r="K219" s="24" t="str">
        <f>IF(I219&lt;&gt;"",SUMIFS(JPK_KR!AL:AL,JPK_KR!W:W,J219),"")</f>
        <v/>
      </c>
      <c r="L219" s="126" t="str">
        <f>IF(I219&lt;&gt;"",SUMIFS(JPK_KR!AM:AM,JPK_KR!W:W,J219),"")</f>
        <v/>
      </c>
      <c r="P219" s="24" t="str">
        <f>IF(M219&lt;&gt;"",IF(O219="",SUMIFS(JPK_KR!AL:AL,JPK_KR!W:W,N219),SUMIFS(JPK_KR!BF:BF,JPK_KR!BE:BE,N219,JPK_KR!BG:BG,O219)),"")</f>
        <v/>
      </c>
      <c r="Q219" s="126" t="str">
        <f>IF(M219&lt;&gt;"",IF(O219="",SUMIFS(JPK_KR!AM:AM,JPK_KR!W:W,N219),SUMIFS(JPK_KR!BI:BI,JPK_KR!BH:BH,N219,JPK_KR!BJ:BJ,O219)),"")</f>
        <v/>
      </c>
      <c r="U219" s="24" t="str">
        <f>IF(R219&lt;&gt;"",SUMIFS(JPK_KR!AL:AL,JPK_KR!W:W,S219),"")</f>
        <v/>
      </c>
      <c r="V219" s="126" t="str">
        <f>IF(R219&lt;&gt;"",SUMIFS(JPK_KR!AM:AM,JPK_KR!W:W,S219),"")</f>
        <v/>
      </c>
    </row>
    <row r="220" spans="3:22" x14ac:dyDescent="0.3">
      <c r="C220" s="24" t="str">
        <f>IF(A220&lt;&gt;"",SUMIFS(JPK_KR!AL:AL,JPK_KR!W:W,B220),"")</f>
        <v/>
      </c>
      <c r="D220" s="126" t="str">
        <f>IF(A220&lt;&gt;"",SUMIFS(JPK_KR!AM:AM,JPK_KR!W:W,B220),"")</f>
        <v/>
      </c>
      <c r="G220" s="24" t="str">
        <f>IF(E220&lt;&gt;"",SUMIFS(JPK_KR!AL:AL,JPK_KR!W:W,F220),"")</f>
        <v/>
      </c>
      <c r="H220" s="126" t="str">
        <f>IF(E220&lt;&gt;"",SUMIFS(JPK_KR!AM:AM,JPK_KR!W:W,F220),"")</f>
        <v/>
      </c>
      <c r="K220" s="24" t="str">
        <f>IF(I220&lt;&gt;"",SUMIFS(JPK_KR!AL:AL,JPK_KR!W:W,J220),"")</f>
        <v/>
      </c>
      <c r="L220" s="126" t="str">
        <f>IF(I220&lt;&gt;"",SUMIFS(JPK_KR!AM:AM,JPK_KR!W:W,J220),"")</f>
        <v/>
      </c>
      <c r="P220" s="24" t="str">
        <f>IF(M220&lt;&gt;"",IF(O220="",SUMIFS(JPK_KR!AL:AL,JPK_KR!W:W,N220),SUMIFS(JPK_KR!BF:BF,JPK_KR!BE:BE,N220,JPK_KR!BG:BG,O220)),"")</f>
        <v/>
      </c>
      <c r="Q220" s="126" t="str">
        <f>IF(M220&lt;&gt;"",IF(O220="",SUMIFS(JPK_KR!AM:AM,JPK_KR!W:W,N220),SUMIFS(JPK_KR!BI:BI,JPK_KR!BH:BH,N220,JPK_KR!BJ:BJ,O220)),"")</f>
        <v/>
      </c>
      <c r="U220" s="24" t="str">
        <f>IF(R220&lt;&gt;"",SUMIFS(JPK_KR!AL:AL,JPK_KR!W:W,S220),"")</f>
        <v/>
      </c>
      <c r="V220" s="126" t="str">
        <f>IF(R220&lt;&gt;"",SUMIFS(JPK_KR!AM:AM,JPK_KR!W:W,S220),"")</f>
        <v/>
      </c>
    </row>
    <row r="221" spans="3:22" x14ac:dyDescent="0.3">
      <c r="C221" s="24" t="str">
        <f>IF(A221&lt;&gt;"",SUMIFS(JPK_KR!AL:AL,JPK_KR!W:W,B221),"")</f>
        <v/>
      </c>
      <c r="D221" s="126" t="str">
        <f>IF(A221&lt;&gt;"",SUMIFS(JPK_KR!AM:AM,JPK_KR!W:W,B221),"")</f>
        <v/>
      </c>
      <c r="G221" s="24" t="str">
        <f>IF(E221&lt;&gt;"",SUMIFS(JPK_KR!AL:AL,JPK_KR!W:W,F221),"")</f>
        <v/>
      </c>
      <c r="H221" s="126" t="str">
        <f>IF(E221&lt;&gt;"",SUMIFS(JPK_KR!AM:AM,JPK_KR!W:W,F221),"")</f>
        <v/>
      </c>
      <c r="K221" s="24" t="str">
        <f>IF(I221&lt;&gt;"",SUMIFS(JPK_KR!AL:AL,JPK_KR!W:W,J221),"")</f>
        <v/>
      </c>
      <c r="L221" s="126" t="str">
        <f>IF(I221&lt;&gt;"",SUMIFS(JPK_KR!AM:AM,JPK_KR!W:W,J221),"")</f>
        <v/>
      </c>
      <c r="P221" s="24" t="str">
        <f>IF(M221&lt;&gt;"",IF(O221="",SUMIFS(JPK_KR!AL:AL,JPK_KR!W:W,N221),SUMIFS(JPK_KR!BF:BF,JPK_KR!BE:BE,N221,JPK_KR!BG:BG,O221)),"")</f>
        <v/>
      </c>
      <c r="Q221" s="126" t="str">
        <f>IF(M221&lt;&gt;"",IF(O221="",SUMIFS(JPK_KR!AM:AM,JPK_KR!W:W,N221),SUMIFS(JPK_KR!BI:BI,JPK_KR!BH:BH,N221,JPK_KR!BJ:BJ,O221)),"")</f>
        <v/>
      </c>
      <c r="U221" s="24" t="str">
        <f>IF(R221&lt;&gt;"",SUMIFS(JPK_KR!AL:AL,JPK_KR!W:W,S221),"")</f>
        <v/>
      </c>
      <c r="V221" s="126" t="str">
        <f>IF(R221&lt;&gt;"",SUMIFS(JPK_KR!AM:AM,JPK_KR!W:W,S221),"")</f>
        <v/>
      </c>
    </row>
    <row r="222" spans="3:22" x14ac:dyDescent="0.3">
      <c r="C222" s="24" t="str">
        <f>IF(A222&lt;&gt;"",SUMIFS(JPK_KR!AL:AL,JPK_KR!W:W,B222),"")</f>
        <v/>
      </c>
      <c r="D222" s="126" t="str">
        <f>IF(A222&lt;&gt;"",SUMIFS(JPK_KR!AM:AM,JPK_KR!W:W,B222),"")</f>
        <v/>
      </c>
      <c r="G222" s="24" t="str">
        <f>IF(E222&lt;&gt;"",SUMIFS(JPK_KR!AL:AL,JPK_KR!W:W,F222),"")</f>
        <v/>
      </c>
      <c r="H222" s="126" t="str">
        <f>IF(E222&lt;&gt;"",SUMIFS(JPK_KR!AM:AM,JPK_KR!W:W,F222),"")</f>
        <v/>
      </c>
      <c r="K222" s="24" t="str">
        <f>IF(I222&lt;&gt;"",SUMIFS(JPK_KR!AL:AL,JPK_KR!W:W,J222),"")</f>
        <v/>
      </c>
      <c r="L222" s="126" t="str">
        <f>IF(I222&lt;&gt;"",SUMIFS(JPK_KR!AM:AM,JPK_KR!W:W,J222),"")</f>
        <v/>
      </c>
      <c r="P222" s="24" t="str">
        <f>IF(M222&lt;&gt;"",IF(O222="",SUMIFS(JPK_KR!AL:AL,JPK_KR!W:W,N222),SUMIFS(JPK_KR!BF:BF,JPK_KR!BE:BE,N222,JPK_KR!BG:BG,O222)),"")</f>
        <v/>
      </c>
      <c r="Q222" s="126" t="str">
        <f>IF(M222&lt;&gt;"",IF(O222="",SUMIFS(JPK_KR!AM:AM,JPK_KR!W:W,N222),SUMIFS(JPK_KR!BI:BI,JPK_KR!BH:BH,N222,JPK_KR!BJ:BJ,O222)),"")</f>
        <v/>
      </c>
      <c r="U222" s="24" t="str">
        <f>IF(R222&lt;&gt;"",SUMIFS(JPK_KR!AL:AL,JPK_KR!W:W,S222),"")</f>
        <v/>
      </c>
      <c r="V222" s="126" t="str">
        <f>IF(R222&lt;&gt;"",SUMIFS(JPK_KR!AM:AM,JPK_KR!W:W,S222),"")</f>
        <v/>
      </c>
    </row>
    <row r="223" spans="3:22" x14ac:dyDescent="0.3">
      <c r="C223" s="24" t="str">
        <f>IF(A223&lt;&gt;"",SUMIFS(JPK_KR!AL:AL,JPK_KR!W:W,B223),"")</f>
        <v/>
      </c>
      <c r="D223" s="126" t="str">
        <f>IF(A223&lt;&gt;"",SUMIFS(JPK_KR!AM:AM,JPK_KR!W:W,B223),"")</f>
        <v/>
      </c>
      <c r="G223" s="24" t="str">
        <f>IF(E223&lt;&gt;"",SUMIFS(JPK_KR!AL:AL,JPK_KR!W:W,F223),"")</f>
        <v/>
      </c>
      <c r="H223" s="126" t="str">
        <f>IF(E223&lt;&gt;"",SUMIFS(JPK_KR!AM:AM,JPK_KR!W:W,F223),"")</f>
        <v/>
      </c>
      <c r="K223" s="24" t="str">
        <f>IF(I223&lt;&gt;"",SUMIFS(JPK_KR!AL:AL,JPK_KR!W:W,J223),"")</f>
        <v/>
      </c>
      <c r="L223" s="126" t="str">
        <f>IF(I223&lt;&gt;"",SUMIFS(JPK_KR!AM:AM,JPK_KR!W:W,J223),"")</f>
        <v/>
      </c>
      <c r="P223" s="24" t="str">
        <f>IF(M223&lt;&gt;"",IF(O223="",SUMIFS(JPK_KR!AL:AL,JPK_KR!W:W,N223),SUMIFS(JPK_KR!BF:BF,JPK_KR!BE:BE,N223,JPK_KR!BG:BG,O223)),"")</f>
        <v/>
      </c>
      <c r="Q223" s="126" t="str">
        <f>IF(M223&lt;&gt;"",IF(O223="",SUMIFS(JPK_KR!AM:AM,JPK_KR!W:W,N223),SUMIFS(JPK_KR!BI:BI,JPK_KR!BH:BH,N223,JPK_KR!BJ:BJ,O223)),"")</f>
        <v/>
      </c>
      <c r="U223" s="24" t="str">
        <f>IF(R223&lt;&gt;"",SUMIFS(JPK_KR!AL:AL,JPK_KR!W:W,S223),"")</f>
        <v/>
      </c>
      <c r="V223" s="126" t="str">
        <f>IF(R223&lt;&gt;"",SUMIFS(JPK_KR!AM:AM,JPK_KR!W:W,S223),"")</f>
        <v/>
      </c>
    </row>
    <row r="224" spans="3:22" x14ac:dyDescent="0.3">
      <c r="C224" s="24" t="str">
        <f>IF(A224&lt;&gt;"",SUMIFS(JPK_KR!AL:AL,JPK_KR!W:W,B224),"")</f>
        <v/>
      </c>
      <c r="D224" s="126" t="str">
        <f>IF(A224&lt;&gt;"",SUMIFS(JPK_KR!AM:AM,JPK_KR!W:W,B224),"")</f>
        <v/>
      </c>
      <c r="G224" s="24" t="str">
        <f>IF(E224&lt;&gt;"",SUMIFS(JPK_KR!AL:AL,JPK_KR!W:W,F224),"")</f>
        <v/>
      </c>
      <c r="H224" s="126" t="str">
        <f>IF(E224&lt;&gt;"",SUMIFS(JPK_KR!AM:AM,JPK_KR!W:W,F224),"")</f>
        <v/>
      </c>
      <c r="K224" s="24" t="str">
        <f>IF(I224&lt;&gt;"",SUMIFS(JPK_KR!AL:AL,JPK_KR!W:W,J224),"")</f>
        <v/>
      </c>
      <c r="L224" s="126" t="str">
        <f>IF(I224&lt;&gt;"",SUMIFS(JPK_KR!AM:AM,JPK_KR!W:W,J224),"")</f>
        <v/>
      </c>
      <c r="P224" s="24" t="str">
        <f>IF(M224&lt;&gt;"",IF(O224="",SUMIFS(JPK_KR!AL:AL,JPK_KR!W:W,N224),SUMIFS(JPK_KR!BF:BF,JPK_KR!BE:BE,N224,JPK_KR!BG:BG,O224)),"")</f>
        <v/>
      </c>
      <c r="Q224" s="126" t="str">
        <f>IF(M224&lt;&gt;"",IF(O224="",SUMIFS(JPK_KR!AM:AM,JPK_KR!W:W,N224),SUMIFS(JPK_KR!BI:BI,JPK_KR!BH:BH,N224,JPK_KR!BJ:BJ,O224)),"")</f>
        <v/>
      </c>
      <c r="U224" s="24" t="str">
        <f>IF(R224&lt;&gt;"",SUMIFS(JPK_KR!AL:AL,JPK_KR!W:W,S224),"")</f>
        <v/>
      </c>
      <c r="V224" s="126" t="str">
        <f>IF(R224&lt;&gt;"",SUMIFS(JPK_KR!AM:AM,JPK_KR!W:W,S224),"")</f>
        <v/>
      </c>
    </row>
    <row r="225" spans="3:22" x14ac:dyDescent="0.3">
      <c r="C225" s="24" t="str">
        <f>IF(A225&lt;&gt;"",SUMIFS(JPK_KR!AL:AL,JPK_KR!W:W,B225),"")</f>
        <v/>
      </c>
      <c r="D225" s="126" t="str">
        <f>IF(A225&lt;&gt;"",SUMIFS(JPK_KR!AM:AM,JPK_KR!W:W,B225),"")</f>
        <v/>
      </c>
      <c r="G225" s="24" t="str">
        <f>IF(E225&lt;&gt;"",SUMIFS(JPK_KR!AL:AL,JPK_KR!W:W,F225),"")</f>
        <v/>
      </c>
      <c r="H225" s="126" t="str">
        <f>IF(E225&lt;&gt;"",SUMIFS(JPK_KR!AM:AM,JPK_KR!W:W,F225),"")</f>
        <v/>
      </c>
      <c r="K225" s="24" t="str">
        <f>IF(I225&lt;&gt;"",SUMIFS(JPK_KR!AL:AL,JPK_KR!W:W,J225),"")</f>
        <v/>
      </c>
      <c r="L225" s="126" t="str">
        <f>IF(I225&lt;&gt;"",SUMIFS(JPK_KR!AM:AM,JPK_KR!W:W,J225),"")</f>
        <v/>
      </c>
      <c r="P225" s="24" t="str">
        <f>IF(M225&lt;&gt;"",IF(O225="",SUMIFS(JPK_KR!AL:AL,JPK_KR!W:W,N225),SUMIFS(JPK_KR!BF:BF,JPK_KR!BE:BE,N225,JPK_KR!BG:BG,O225)),"")</f>
        <v/>
      </c>
      <c r="Q225" s="126" t="str">
        <f>IF(M225&lt;&gt;"",IF(O225="",SUMIFS(JPK_KR!AM:AM,JPK_KR!W:W,N225),SUMIFS(JPK_KR!BI:BI,JPK_KR!BH:BH,N225,JPK_KR!BJ:BJ,O225)),"")</f>
        <v/>
      </c>
      <c r="U225" s="24" t="str">
        <f>IF(R225&lt;&gt;"",SUMIFS(JPK_KR!AL:AL,JPK_KR!W:W,S225),"")</f>
        <v/>
      </c>
      <c r="V225" s="126" t="str">
        <f>IF(R225&lt;&gt;"",SUMIFS(JPK_KR!AM:AM,JPK_KR!W:W,S225),"")</f>
        <v/>
      </c>
    </row>
    <row r="226" spans="3:22" x14ac:dyDescent="0.3">
      <c r="C226" s="24" t="str">
        <f>IF(A226&lt;&gt;"",SUMIFS(JPK_KR!AL:AL,JPK_KR!W:W,B226),"")</f>
        <v/>
      </c>
      <c r="D226" s="126" t="str">
        <f>IF(A226&lt;&gt;"",SUMIFS(JPK_KR!AM:AM,JPK_KR!W:W,B226),"")</f>
        <v/>
      </c>
      <c r="G226" s="24" t="str">
        <f>IF(E226&lt;&gt;"",SUMIFS(JPK_KR!AL:AL,JPK_KR!W:W,F226),"")</f>
        <v/>
      </c>
      <c r="H226" s="126" t="str">
        <f>IF(E226&lt;&gt;"",SUMIFS(JPK_KR!AM:AM,JPK_KR!W:W,F226),"")</f>
        <v/>
      </c>
      <c r="K226" s="24" t="str">
        <f>IF(I226&lt;&gt;"",SUMIFS(JPK_KR!AL:AL,JPK_KR!W:W,J226),"")</f>
        <v/>
      </c>
      <c r="L226" s="126" t="str">
        <f>IF(I226&lt;&gt;"",SUMIFS(JPK_KR!AM:AM,JPK_KR!W:W,J226),"")</f>
        <v/>
      </c>
      <c r="P226" s="24" t="str">
        <f>IF(M226&lt;&gt;"",IF(O226="",SUMIFS(JPK_KR!AL:AL,JPK_KR!W:W,N226),SUMIFS(JPK_KR!BF:BF,JPK_KR!BE:BE,N226,JPK_KR!BG:BG,O226)),"")</f>
        <v/>
      </c>
      <c r="Q226" s="126" t="str">
        <f>IF(M226&lt;&gt;"",IF(O226="",SUMIFS(JPK_KR!AM:AM,JPK_KR!W:W,N226),SUMIFS(JPK_KR!BI:BI,JPK_KR!BH:BH,N226,JPK_KR!BJ:BJ,O226)),"")</f>
        <v/>
      </c>
      <c r="U226" s="24" t="str">
        <f>IF(R226&lt;&gt;"",SUMIFS(JPK_KR!AL:AL,JPK_KR!W:W,S226),"")</f>
        <v/>
      </c>
      <c r="V226" s="126" t="str">
        <f>IF(R226&lt;&gt;"",SUMIFS(JPK_KR!AM:AM,JPK_KR!W:W,S226),"")</f>
        <v/>
      </c>
    </row>
    <row r="227" spans="3:22" x14ac:dyDescent="0.3">
      <c r="C227" s="24" t="str">
        <f>IF(A227&lt;&gt;"",SUMIFS(JPK_KR!AL:AL,JPK_KR!W:W,B227),"")</f>
        <v/>
      </c>
      <c r="D227" s="126" t="str">
        <f>IF(A227&lt;&gt;"",SUMIFS(JPK_KR!AM:AM,JPK_KR!W:W,B227),"")</f>
        <v/>
      </c>
      <c r="G227" s="24" t="str">
        <f>IF(E227&lt;&gt;"",SUMIFS(JPK_KR!AL:AL,JPK_KR!W:W,F227),"")</f>
        <v/>
      </c>
      <c r="H227" s="126" t="str">
        <f>IF(E227&lt;&gt;"",SUMIFS(JPK_KR!AM:AM,JPK_KR!W:W,F227),"")</f>
        <v/>
      </c>
      <c r="K227" s="24" t="str">
        <f>IF(I227&lt;&gt;"",SUMIFS(JPK_KR!AL:AL,JPK_KR!W:W,J227),"")</f>
        <v/>
      </c>
      <c r="L227" s="126" t="str">
        <f>IF(I227&lt;&gt;"",SUMIFS(JPK_KR!AM:AM,JPK_KR!W:W,J227),"")</f>
        <v/>
      </c>
      <c r="P227" s="24" t="str">
        <f>IF(M227&lt;&gt;"",IF(O227="",SUMIFS(JPK_KR!AL:AL,JPK_KR!W:W,N227),SUMIFS(JPK_KR!BF:BF,JPK_KR!BE:BE,N227,JPK_KR!BG:BG,O227)),"")</f>
        <v/>
      </c>
      <c r="Q227" s="126" t="str">
        <f>IF(M227&lt;&gt;"",IF(O227="",SUMIFS(JPK_KR!AM:AM,JPK_KR!W:W,N227),SUMIFS(JPK_KR!BI:BI,JPK_KR!BH:BH,N227,JPK_KR!BJ:BJ,O227)),"")</f>
        <v/>
      </c>
      <c r="U227" s="24" t="str">
        <f>IF(R227&lt;&gt;"",SUMIFS(JPK_KR!AL:AL,JPK_KR!W:W,S227),"")</f>
        <v/>
      </c>
      <c r="V227" s="126" t="str">
        <f>IF(R227&lt;&gt;"",SUMIFS(JPK_KR!AM:AM,JPK_KR!W:W,S227),"")</f>
        <v/>
      </c>
    </row>
    <row r="228" spans="3:22" x14ac:dyDescent="0.3">
      <c r="C228" s="24" t="str">
        <f>IF(A228&lt;&gt;"",SUMIFS(JPK_KR!AL:AL,JPK_KR!W:W,B228),"")</f>
        <v/>
      </c>
      <c r="D228" s="126" t="str">
        <f>IF(A228&lt;&gt;"",SUMIFS(JPK_KR!AM:AM,JPK_KR!W:W,B228),"")</f>
        <v/>
      </c>
      <c r="G228" s="24" t="str">
        <f>IF(E228&lt;&gt;"",SUMIFS(JPK_KR!AL:AL,JPK_KR!W:W,F228),"")</f>
        <v/>
      </c>
      <c r="H228" s="126" t="str">
        <f>IF(E228&lt;&gt;"",SUMIFS(JPK_KR!AM:AM,JPK_KR!W:W,F228),"")</f>
        <v/>
      </c>
      <c r="K228" s="24" t="str">
        <f>IF(I228&lt;&gt;"",SUMIFS(JPK_KR!AL:AL,JPK_KR!W:W,J228),"")</f>
        <v/>
      </c>
      <c r="L228" s="126" t="str">
        <f>IF(I228&lt;&gt;"",SUMIFS(JPK_KR!AM:AM,JPK_KR!W:W,J228),"")</f>
        <v/>
      </c>
      <c r="P228" s="24" t="str">
        <f>IF(M228&lt;&gt;"",IF(O228="",SUMIFS(JPK_KR!AL:AL,JPK_KR!W:W,N228),SUMIFS(JPK_KR!BF:BF,JPK_KR!BE:BE,N228,JPK_KR!BG:BG,O228)),"")</f>
        <v/>
      </c>
      <c r="Q228" s="126" t="str">
        <f>IF(M228&lt;&gt;"",IF(O228="",SUMIFS(JPK_KR!AM:AM,JPK_KR!W:W,N228),SUMIFS(JPK_KR!BI:BI,JPK_KR!BH:BH,N228,JPK_KR!BJ:BJ,O228)),"")</f>
        <v/>
      </c>
      <c r="U228" s="24" t="str">
        <f>IF(R228&lt;&gt;"",SUMIFS(JPK_KR!AL:AL,JPK_KR!W:W,S228),"")</f>
        <v/>
      </c>
      <c r="V228" s="126" t="str">
        <f>IF(R228&lt;&gt;"",SUMIFS(JPK_KR!AM:AM,JPK_KR!W:W,S228),"")</f>
        <v/>
      </c>
    </row>
    <row r="229" spans="3:22" x14ac:dyDescent="0.3">
      <c r="C229" s="24" t="str">
        <f>IF(A229&lt;&gt;"",SUMIFS(JPK_KR!AL:AL,JPK_KR!W:W,B229),"")</f>
        <v/>
      </c>
      <c r="D229" s="126" t="str">
        <f>IF(A229&lt;&gt;"",SUMIFS(JPK_KR!AM:AM,JPK_KR!W:W,B229),"")</f>
        <v/>
      </c>
      <c r="G229" s="24" t="str">
        <f>IF(E229&lt;&gt;"",SUMIFS(JPK_KR!AL:AL,JPK_KR!W:W,F229),"")</f>
        <v/>
      </c>
      <c r="H229" s="126" t="str">
        <f>IF(E229&lt;&gt;"",SUMIFS(JPK_KR!AM:AM,JPK_KR!W:W,F229),"")</f>
        <v/>
      </c>
      <c r="K229" s="24" t="str">
        <f>IF(I229&lt;&gt;"",SUMIFS(JPK_KR!AL:AL,JPK_KR!W:W,J229),"")</f>
        <v/>
      </c>
      <c r="L229" s="126" t="str">
        <f>IF(I229&lt;&gt;"",SUMIFS(JPK_KR!AM:AM,JPK_KR!W:W,J229),"")</f>
        <v/>
      </c>
      <c r="P229" s="24" t="str">
        <f>IF(M229&lt;&gt;"",IF(O229="",SUMIFS(JPK_KR!AL:AL,JPK_KR!W:W,N229),SUMIFS(JPK_KR!BF:BF,JPK_KR!BE:BE,N229,JPK_KR!BG:BG,O229)),"")</f>
        <v/>
      </c>
      <c r="Q229" s="126" t="str">
        <f>IF(M229&lt;&gt;"",IF(O229="",SUMIFS(JPK_KR!AM:AM,JPK_KR!W:W,N229),SUMIFS(JPK_KR!BI:BI,JPK_KR!BH:BH,N229,JPK_KR!BJ:BJ,O229)),"")</f>
        <v/>
      </c>
      <c r="U229" s="24" t="str">
        <f>IF(R229&lt;&gt;"",SUMIFS(JPK_KR!AL:AL,JPK_KR!W:W,S229),"")</f>
        <v/>
      </c>
      <c r="V229" s="126" t="str">
        <f>IF(R229&lt;&gt;"",SUMIFS(JPK_KR!AM:AM,JPK_KR!W:W,S229),"")</f>
        <v/>
      </c>
    </row>
    <row r="230" spans="3:22" x14ac:dyDescent="0.3">
      <c r="C230" s="24" t="str">
        <f>IF(A230&lt;&gt;"",SUMIFS(JPK_KR!AL:AL,JPK_KR!W:W,B230),"")</f>
        <v/>
      </c>
      <c r="D230" s="126" t="str">
        <f>IF(A230&lt;&gt;"",SUMIFS(JPK_KR!AM:AM,JPK_KR!W:W,B230),"")</f>
        <v/>
      </c>
      <c r="G230" s="24" t="str">
        <f>IF(E230&lt;&gt;"",SUMIFS(JPK_KR!AL:AL,JPK_KR!W:W,F230),"")</f>
        <v/>
      </c>
      <c r="H230" s="126" t="str">
        <f>IF(E230&lt;&gt;"",SUMIFS(JPK_KR!AM:AM,JPK_KR!W:W,F230),"")</f>
        <v/>
      </c>
      <c r="K230" s="24" t="str">
        <f>IF(I230&lt;&gt;"",SUMIFS(JPK_KR!AL:AL,JPK_KR!W:W,J230),"")</f>
        <v/>
      </c>
      <c r="L230" s="126" t="str">
        <f>IF(I230&lt;&gt;"",SUMIFS(JPK_KR!AM:AM,JPK_KR!W:W,J230),"")</f>
        <v/>
      </c>
      <c r="P230" s="24" t="str">
        <f>IF(M230&lt;&gt;"",IF(O230="",SUMIFS(JPK_KR!AL:AL,JPK_KR!W:W,N230),SUMIFS(JPK_KR!BF:BF,JPK_KR!BE:BE,N230,JPK_KR!BG:BG,O230)),"")</f>
        <v/>
      </c>
      <c r="Q230" s="126" t="str">
        <f>IF(M230&lt;&gt;"",IF(O230="",SUMIFS(JPK_KR!AM:AM,JPK_KR!W:W,N230),SUMIFS(JPK_KR!BI:BI,JPK_KR!BH:BH,N230,JPK_KR!BJ:BJ,O230)),"")</f>
        <v/>
      </c>
      <c r="U230" s="24" t="str">
        <f>IF(R230&lt;&gt;"",SUMIFS(JPK_KR!AL:AL,JPK_KR!W:W,S230),"")</f>
        <v/>
      </c>
      <c r="V230" s="126" t="str">
        <f>IF(R230&lt;&gt;"",SUMIFS(JPK_KR!AM:AM,JPK_KR!W:W,S230),"")</f>
        <v/>
      </c>
    </row>
    <row r="231" spans="3:22" x14ac:dyDescent="0.3">
      <c r="C231" s="24" t="str">
        <f>IF(A231&lt;&gt;"",SUMIFS(JPK_KR!AL:AL,JPK_KR!W:W,B231),"")</f>
        <v/>
      </c>
      <c r="D231" s="126" t="str">
        <f>IF(A231&lt;&gt;"",SUMIFS(JPK_KR!AM:AM,JPK_KR!W:W,B231),"")</f>
        <v/>
      </c>
      <c r="G231" s="24" t="str">
        <f>IF(E231&lt;&gt;"",SUMIFS(JPK_KR!AL:AL,JPK_KR!W:W,F231),"")</f>
        <v/>
      </c>
      <c r="H231" s="126" t="str">
        <f>IF(E231&lt;&gt;"",SUMIFS(JPK_KR!AM:AM,JPK_KR!W:W,F231),"")</f>
        <v/>
      </c>
      <c r="K231" s="24" t="str">
        <f>IF(I231&lt;&gt;"",SUMIFS(JPK_KR!AL:AL,JPK_KR!W:W,J231),"")</f>
        <v/>
      </c>
      <c r="L231" s="126" t="str">
        <f>IF(I231&lt;&gt;"",SUMIFS(JPK_KR!AM:AM,JPK_KR!W:W,J231),"")</f>
        <v/>
      </c>
      <c r="P231" s="24" t="str">
        <f>IF(M231&lt;&gt;"",IF(O231="",SUMIFS(JPK_KR!AL:AL,JPK_KR!W:W,N231),SUMIFS(JPK_KR!BF:BF,JPK_KR!BE:BE,N231,JPK_KR!BG:BG,O231)),"")</f>
        <v/>
      </c>
      <c r="Q231" s="126" t="str">
        <f>IF(M231&lt;&gt;"",IF(O231="",SUMIFS(JPK_KR!AM:AM,JPK_KR!W:W,N231),SUMIFS(JPK_KR!BI:BI,JPK_KR!BH:BH,N231,JPK_KR!BJ:BJ,O231)),"")</f>
        <v/>
      </c>
      <c r="U231" s="24" t="str">
        <f>IF(R231&lt;&gt;"",SUMIFS(JPK_KR!AL:AL,JPK_KR!W:W,S231),"")</f>
        <v/>
      </c>
      <c r="V231" s="126" t="str">
        <f>IF(R231&lt;&gt;"",SUMIFS(JPK_KR!AM:AM,JPK_KR!W:W,S231),"")</f>
        <v/>
      </c>
    </row>
    <row r="232" spans="3:22" x14ac:dyDescent="0.3">
      <c r="C232" s="24" t="str">
        <f>IF(A232&lt;&gt;"",SUMIFS(JPK_KR!AL:AL,JPK_KR!W:W,B232),"")</f>
        <v/>
      </c>
      <c r="D232" s="126" t="str">
        <f>IF(A232&lt;&gt;"",SUMIFS(JPK_KR!AM:AM,JPK_KR!W:W,B232),"")</f>
        <v/>
      </c>
      <c r="G232" s="24" t="str">
        <f>IF(E232&lt;&gt;"",SUMIFS(JPK_KR!AL:AL,JPK_KR!W:W,F232),"")</f>
        <v/>
      </c>
      <c r="H232" s="126" t="str">
        <f>IF(E232&lt;&gt;"",SUMIFS(JPK_KR!AM:AM,JPK_KR!W:W,F232),"")</f>
        <v/>
      </c>
      <c r="K232" s="24" t="str">
        <f>IF(I232&lt;&gt;"",SUMIFS(JPK_KR!AL:AL,JPK_KR!W:W,J232),"")</f>
        <v/>
      </c>
      <c r="L232" s="126" t="str">
        <f>IF(I232&lt;&gt;"",SUMIFS(JPK_KR!AM:AM,JPK_KR!W:W,J232),"")</f>
        <v/>
      </c>
      <c r="P232" s="24" t="str">
        <f>IF(M232&lt;&gt;"",IF(O232="",SUMIFS(JPK_KR!AL:AL,JPK_KR!W:W,N232),SUMIFS(JPK_KR!BF:BF,JPK_KR!BE:BE,N232,JPK_KR!BG:BG,O232)),"")</f>
        <v/>
      </c>
      <c r="Q232" s="126" t="str">
        <f>IF(M232&lt;&gt;"",IF(O232="",SUMIFS(JPK_KR!AM:AM,JPK_KR!W:W,N232),SUMIFS(JPK_KR!BI:BI,JPK_KR!BH:BH,N232,JPK_KR!BJ:BJ,O232)),"")</f>
        <v/>
      </c>
      <c r="U232" s="24" t="str">
        <f>IF(R232&lt;&gt;"",SUMIFS(JPK_KR!AL:AL,JPK_KR!W:W,S232),"")</f>
        <v/>
      </c>
      <c r="V232" s="126" t="str">
        <f>IF(R232&lt;&gt;"",SUMIFS(JPK_KR!AM:AM,JPK_KR!W:W,S232),"")</f>
        <v/>
      </c>
    </row>
    <row r="233" spans="3:22" x14ac:dyDescent="0.3">
      <c r="C233" s="24" t="str">
        <f>IF(A233&lt;&gt;"",SUMIFS(JPK_KR!AL:AL,JPK_KR!W:W,B233),"")</f>
        <v/>
      </c>
      <c r="D233" s="126" t="str">
        <f>IF(A233&lt;&gt;"",SUMIFS(JPK_KR!AM:AM,JPK_KR!W:W,B233),"")</f>
        <v/>
      </c>
      <c r="G233" s="24" t="str">
        <f>IF(E233&lt;&gt;"",SUMIFS(JPK_KR!AL:AL,JPK_KR!W:W,F233),"")</f>
        <v/>
      </c>
      <c r="H233" s="126" t="str">
        <f>IF(E233&lt;&gt;"",SUMIFS(JPK_KR!AM:AM,JPK_KR!W:W,F233),"")</f>
        <v/>
      </c>
      <c r="K233" s="24" t="str">
        <f>IF(I233&lt;&gt;"",SUMIFS(JPK_KR!AL:AL,JPK_KR!W:W,J233),"")</f>
        <v/>
      </c>
      <c r="L233" s="126" t="str">
        <f>IF(I233&lt;&gt;"",SUMIFS(JPK_KR!AM:AM,JPK_KR!W:W,J233),"")</f>
        <v/>
      </c>
      <c r="P233" s="24" t="str">
        <f>IF(M233&lt;&gt;"",IF(O233="",SUMIFS(JPK_KR!AL:AL,JPK_KR!W:W,N233),SUMIFS(JPK_KR!BF:BF,JPK_KR!BE:BE,N233,JPK_KR!BG:BG,O233)),"")</f>
        <v/>
      </c>
      <c r="Q233" s="126" t="str">
        <f>IF(M233&lt;&gt;"",IF(O233="",SUMIFS(JPK_KR!AM:AM,JPK_KR!W:W,N233),SUMIFS(JPK_KR!BI:BI,JPK_KR!BH:BH,N233,JPK_KR!BJ:BJ,O233)),"")</f>
        <v/>
      </c>
      <c r="U233" s="24" t="str">
        <f>IF(R233&lt;&gt;"",SUMIFS(JPK_KR!AL:AL,JPK_KR!W:W,S233),"")</f>
        <v/>
      </c>
      <c r="V233" s="126" t="str">
        <f>IF(R233&lt;&gt;"",SUMIFS(JPK_KR!AM:AM,JPK_KR!W:W,S233),"")</f>
        <v/>
      </c>
    </row>
    <row r="234" spans="3:22" x14ac:dyDescent="0.3">
      <c r="C234" s="24" t="str">
        <f>IF(A234&lt;&gt;"",SUMIFS(JPK_KR!AL:AL,JPK_KR!W:W,B234),"")</f>
        <v/>
      </c>
      <c r="D234" s="126" t="str">
        <f>IF(A234&lt;&gt;"",SUMIFS(JPK_KR!AM:AM,JPK_KR!W:W,B234),"")</f>
        <v/>
      </c>
      <c r="G234" s="24" t="str">
        <f>IF(E234&lt;&gt;"",SUMIFS(JPK_KR!AL:AL,JPK_KR!W:W,F234),"")</f>
        <v/>
      </c>
      <c r="H234" s="126" t="str">
        <f>IF(E234&lt;&gt;"",SUMIFS(JPK_KR!AM:AM,JPK_KR!W:W,F234),"")</f>
        <v/>
      </c>
      <c r="K234" s="24" t="str">
        <f>IF(I234&lt;&gt;"",SUMIFS(JPK_KR!AL:AL,JPK_KR!W:W,J234),"")</f>
        <v/>
      </c>
      <c r="L234" s="126" t="str">
        <f>IF(I234&lt;&gt;"",SUMIFS(JPK_KR!AM:AM,JPK_KR!W:W,J234),"")</f>
        <v/>
      </c>
      <c r="P234" s="24" t="str">
        <f>IF(M234&lt;&gt;"",IF(O234="",SUMIFS(JPK_KR!AL:AL,JPK_KR!W:W,N234),SUMIFS(JPK_KR!BF:BF,JPK_KR!BE:BE,N234,JPK_KR!BG:BG,O234)),"")</f>
        <v/>
      </c>
      <c r="Q234" s="126" t="str">
        <f>IF(M234&lt;&gt;"",IF(O234="",SUMIFS(JPK_KR!AM:AM,JPK_KR!W:W,N234),SUMIFS(JPK_KR!BI:BI,JPK_KR!BH:BH,N234,JPK_KR!BJ:BJ,O234)),"")</f>
        <v/>
      </c>
      <c r="U234" s="24" t="str">
        <f>IF(R234&lt;&gt;"",SUMIFS(JPK_KR!AL:AL,JPK_KR!W:W,S234),"")</f>
        <v/>
      </c>
      <c r="V234" s="126" t="str">
        <f>IF(R234&lt;&gt;"",SUMIFS(JPK_KR!AM:AM,JPK_KR!W:W,S234),"")</f>
        <v/>
      </c>
    </row>
    <row r="235" spans="3:22" x14ac:dyDescent="0.3">
      <c r="C235" s="24" t="str">
        <f>IF(A235&lt;&gt;"",SUMIFS(JPK_KR!AL:AL,JPK_KR!W:W,B235),"")</f>
        <v/>
      </c>
      <c r="D235" s="126" t="str">
        <f>IF(A235&lt;&gt;"",SUMIFS(JPK_KR!AM:AM,JPK_KR!W:W,B235),"")</f>
        <v/>
      </c>
      <c r="G235" s="24" t="str">
        <f>IF(E235&lt;&gt;"",SUMIFS(JPK_KR!AL:AL,JPK_KR!W:W,F235),"")</f>
        <v/>
      </c>
      <c r="H235" s="126" t="str">
        <f>IF(E235&lt;&gt;"",SUMIFS(JPK_KR!AM:AM,JPK_KR!W:W,F235),"")</f>
        <v/>
      </c>
      <c r="K235" s="24" t="str">
        <f>IF(I235&lt;&gt;"",SUMIFS(JPK_KR!AL:AL,JPK_KR!W:W,J235),"")</f>
        <v/>
      </c>
      <c r="L235" s="126" t="str">
        <f>IF(I235&lt;&gt;"",SUMIFS(JPK_KR!AM:AM,JPK_KR!W:W,J235),"")</f>
        <v/>
      </c>
      <c r="P235" s="24" t="str">
        <f>IF(M235&lt;&gt;"",IF(O235="",SUMIFS(JPK_KR!AL:AL,JPK_KR!W:W,N235),SUMIFS(JPK_KR!BF:BF,JPK_KR!BE:BE,N235,JPK_KR!BG:BG,O235)),"")</f>
        <v/>
      </c>
      <c r="Q235" s="126" t="str">
        <f>IF(M235&lt;&gt;"",IF(O235="",SUMIFS(JPK_KR!AM:AM,JPK_KR!W:W,N235),SUMIFS(JPK_KR!BI:BI,JPK_KR!BH:BH,N235,JPK_KR!BJ:BJ,O235)),"")</f>
        <v/>
      </c>
      <c r="U235" s="24" t="str">
        <f>IF(R235&lt;&gt;"",SUMIFS(JPK_KR!AL:AL,JPK_KR!W:W,S235),"")</f>
        <v/>
      </c>
      <c r="V235" s="126" t="str">
        <f>IF(R235&lt;&gt;"",SUMIFS(JPK_KR!AM:AM,JPK_KR!W:W,S235),"")</f>
        <v/>
      </c>
    </row>
    <row r="236" spans="3:22" x14ac:dyDescent="0.3">
      <c r="C236" s="24" t="str">
        <f>IF(A236&lt;&gt;"",SUMIFS(JPK_KR!AL:AL,JPK_KR!W:W,B236),"")</f>
        <v/>
      </c>
      <c r="D236" s="126" t="str">
        <f>IF(A236&lt;&gt;"",SUMIFS(JPK_KR!AM:AM,JPK_KR!W:W,B236),"")</f>
        <v/>
      </c>
      <c r="G236" s="24" t="str">
        <f>IF(E236&lt;&gt;"",SUMIFS(JPK_KR!AL:AL,JPK_KR!W:W,F236),"")</f>
        <v/>
      </c>
      <c r="H236" s="126" t="str">
        <f>IF(E236&lt;&gt;"",SUMIFS(JPK_KR!AM:AM,JPK_KR!W:W,F236),"")</f>
        <v/>
      </c>
      <c r="K236" s="24" t="str">
        <f>IF(I236&lt;&gt;"",SUMIFS(JPK_KR!AL:AL,JPK_KR!W:W,J236),"")</f>
        <v/>
      </c>
      <c r="L236" s="126" t="str">
        <f>IF(I236&lt;&gt;"",SUMIFS(JPK_KR!AM:AM,JPK_KR!W:W,J236),"")</f>
        <v/>
      </c>
      <c r="P236" s="24" t="str">
        <f>IF(M236&lt;&gt;"",IF(O236="",SUMIFS(JPK_KR!AL:AL,JPK_KR!W:W,N236),SUMIFS(JPK_KR!BF:BF,JPK_KR!BE:BE,N236,JPK_KR!BG:BG,O236)),"")</f>
        <v/>
      </c>
      <c r="Q236" s="126" t="str">
        <f>IF(M236&lt;&gt;"",IF(O236="",SUMIFS(JPK_KR!AM:AM,JPK_KR!W:W,N236),SUMIFS(JPK_KR!BI:BI,JPK_KR!BH:BH,N236,JPK_KR!BJ:BJ,O236)),"")</f>
        <v/>
      </c>
      <c r="U236" s="24" t="str">
        <f>IF(R236&lt;&gt;"",SUMIFS(JPK_KR!AL:AL,JPK_KR!W:W,S236),"")</f>
        <v/>
      </c>
      <c r="V236" s="126" t="str">
        <f>IF(R236&lt;&gt;"",SUMIFS(JPK_KR!AM:AM,JPK_KR!W:W,S236),"")</f>
        <v/>
      </c>
    </row>
    <row r="237" spans="3:22" x14ac:dyDescent="0.3">
      <c r="C237" s="24" t="str">
        <f>IF(A237&lt;&gt;"",SUMIFS(JPK_KR!AL:AL,JPK_KR!W:W,B237),"")</f>
        <v/>
      </c>
      <c r="D237" s="126" t="str">
        <f>IF(A237&lt;&gt;"",SUMIFS(JPK_KR!AM:AM,JPK_KR!W:W,B237),"")</f>
        <v/>
      </c>
      <c r="G237" s="24" t="str">
        <f>IF(E237&lt;&gt;"",SUMIFS(JPK_KR!AL:AL,JPK_KR!W:W,F237),"")</f>
        <v/>
      </c>
      <c r="H237" s="126" t="str">
        <f>IF(E237&lt;&gt;"",SUMIFS(JPK_KR!AM:AM,JPK_KR!W:W,F237),"")</f>
        <v/>
      </c>
      <c r="K237" s="24" t="str">
        <f>IF(I237&lt;&gt;"",SUMIFS(JPK_KR!AL:AL,JPK_KR!W:W,J237),"")</f>
        <v/>
      </c>
      <c r="L237" s="126" t="str">
        <f>IF(I237&lt;&gt;"",SUMIFS(JPK_KR!AM:AM,JPK_KR!W:W,J237),"")</f>
        <v/>
      </c>
      <c r="P237" s="24" t="str">
        <f>IF(M237&lt;&gt;"",IF(O237="",SUMIFS(JPK_KR!AL:AL,JPK_KR!W:W,N237),SUMIFS(JPK_KR!BF:BF,JPK_KR!BE:BE,N237,JPK_KR!BG:BG,O237)),"")</f>
        <v/>
      </c>
      <c r="Q237" s="126" t="str">
        <f>IF(M237&lt;&gt;"",IF(O237="",SUMIFS(JPK_KR!AM:AM,JPK_KR!W:W,N237),SUMIFS(JPK_KR!BI:BI,JPK_KR!BH:BH,N237,JPK_KR!BJ:BJ,O237)),"")</f>
        <v/>
      </c>
      <c r="U237" s="24" t="str">
        <f>IF(R237&lt;&gt;"",SUMIFS(JPK_KR!AL:AL,JPK_KR!W:W,S237),"")</f>
        <v/>
      </c>
      <c r="V237" s="126" t="str">
        <f>IF(R237&lt;&gt;"",SUMIFS(JPK_KR!AM:AM,JPK_KR!W:W,S237),"")</f>
        <v/>
      </c>
    </row>
    <row r="238" spans="3:22" x14ac:dyDescent="0.3">
      <c r="C238" s="24" t="str">
        <f>IF(A238&lt;&gt;"",SUMIFS(JPK_KR!AL:AL,JPK_KR!W:W,B238),"")</f>
        <v/>
      </c>
      <c r="D238" s="126" t="str">
        <f>IF(A238&lt;&gt;"",SUMIFS(JPK_KR!AM:AM,JPK_KR!W:W,B238),"")</f>
        <v/>
      </c>
      <c r="G238" s="24" t="str">
        <f>IF(E238&lt;&gt;"",SUMIFS(JPK_KR!AL:AL,JPK_KR!W:W,F238),"")</f>
        <v/>
      </c>
      <c r="H238" s="126" t="str">
        <f>IF(E238&lt;&gt;"",SUMIFS(JPK_KR!AM:AM,JPK_KR!W:W,F238),"")</f>
        <v/>
      </c>
      <c r="K238" s="24" t="str">
        <f>IF(I238&lt;&gt;"",SUMIFS(JPK_KR!AL:AL,JPK_KR!W:W,J238),"")</f>
        <v/>
      </c>
      <c r="L238" s="126" t="str">
        <f>IF(I238&lt;&gt;"",SUMIFS(JPK_KR!AM:AM,JPK_KR!W:W,J238),"")</f>
        <v/>
      </c>
      <c r="P238" s="24" t="str">
        <f>IF(M238&lt;&gt;"",IF(O238="",SUMIFS(JPK_KR!AL:AL,JPK_KR!W:W,N238),SUMIFS(JPK_KR!BF:BF,JPK_KR!BE:BE,N238,JPK_KR!BG:BG,O238)),"")</f>
        <v/>
      </c>
      <c r="Q238" s="126" t="str">
        <f>IF(M238&lt;&gt;"",IF(O238="",SUMIFS(JPK_KR!AM:AM,JPK_KR!W:W,N238),SUMIFS(JPK_KR!BI:BI,JPK_KR!BH:BH,N238,JPK_KR!BJ:BJ,O238)),"")</f>
        <v/>
      </c>
      <c r="U238" s="24" t="str">
        <f>IF(R238&lt;&gt;"",SUMIFS(JPK_KR!AL:AL,JPK_KR!W:W,S238),"")</f>
        <v/>
      </c>
      <c r="V238" s="126" t="str">
        <f>IF(R238&lt;&gt;"",SUMIFS(JPK_KR!AM:AM,JPK_KR!W:W,S238),"")</f>
        <v/>
      </c>
    </row>
    <row r="239" spans="3:22" x14ac:dyDescent="0.3">
      <c r="C239" s="24" t="str">
        <f>IF(A239&lt;&gt;"",SUMIFS(JPK_KR!AL:AL,JPK_KR!W:W,B239),"")</f>
        <v/>
      </c>
      <c r="D239" s="126" t="str">
        <f>IF(A239&lt;&gt;"",SUMIFS(JPK_KR!AM:AM,JPK_KR!W:W,B239),"")</f>
        <v/>
      </c>
      <c r="G239" s="24" t="str">
        <f>IF(E239&lt;&gt;"",SUMIFS(JPK_KR!AL:AL,JPK_KR!W:W,F239),"")</f>
        <v/>
      </c>
      <c r="H239" s="126" t="str">
        <f>IF(E239&lt;&gt;"",SUMIFS(JPK_KR!AM:AM,JPK_KR!W:W,F239),"")</f>
        <v/>
      </c>
      <c r="K239" s="24" t="str">
        <f>IF(I239&lt;&gt;"",SUMIFS(JPK_KR!AL:AL,JPK_KR!W:W,J239),"")</f>
        <v/>
      </c>
      <c r="L239" s="126" t="str">
        <f>IF(I239&lt;&gt;"",SUMIFS(JPK_KR!AM:AM,JPK_KR!W:W,J239),"")</f>
        <v/>
      </c>
      <c r="P239" s="24" t="str">
        <f>IF(M239&lt;&gt;"",IF(O239="",SUMIFS(JPK_KR!AL:AL,JPK_KR!W:W,N239),SUMIFS(JPK_KR!BF:BF,JPK_KR!BE:BE,N239,JPK_KR!BG:BG,O239)),"")</f>
        <v/>
      </c>
      <c r="Q239" s="126" t="str">
        <f>IF(M239&lt;&gt;"",IF(O239="",SUMIFS(JPK_KR!AM:AM,JPK_KR!W:W,N239),SUMIFS(JPK_KR!BI:BI,JPK_KR!BH:BH,N239,JPK_KR!BJ:BJ,O239)),"")</f>
        <v/>
      </c>
      <c r="U239" s="24" t="str">
        <f>IF(R239&lt;&gt;"",SUMIFS(JPK_KR!AL:AL,JPK_KR!W:W,S239),"")</f>
        <v/>
      </c>
      <c r="V239" s="126" t="str">
        <f>IF(R239&lt;&gt;"",SUMIFS(JPK_KR!AM:AM,JPK_KR!W:W,S239),"")</f>
        <v/>
      </c>
    </row>
    <row r="240" spans="3:22" x14ac:dyDescent="0.3">
      <c r="C240" s="24" t="str">
        <f>IF(A240&lt;&gt;"",SUMIFS(JPK_KR!AL:AL,JPK_KR!W:W,B240),"")</f>
        <v/>
      </c>
      <c r="D240" s="126" t="str">
        <f>IF(A240&lt;&gt;"",SUMIFS(JPK_KR!AM:AM,JPK_KR!W:W,B240),"")</f>
        <v/>
      </c>
      <c r="G240" s="24" t="str">
        <f>IF(E240&lt;&gt;"",SUMIFS(JPK_KR!AL:AL,JPK_KR!W:W,F240),"")</f>
        <v/>
      </c>
      <c r="H240" s="126" t="str">
        <f>IF(E240&lt;&gt;"",SUMIFS(JPK_KR!AM:AM,JPK_KR!W:W,F240),"")</f>
        <v/>
      </c>
      <c r="K240" s="24" t="str">
        <f>IF(I240&lt;&gt;"",SUMIFS(JPK_KR!AL:AL,JPK_KR!W:W,J240),"")</f>
        <v/>
      </c>
      <c r="L240" s="126" t="str">
        <f>IF(I240&lt;&gt;"",SUMIFS(JPK_KR!AM:AM,JPK_KR!W:W,J240),"")</f>
        <v/>
      </c>
      <c r="P240" s="24" t="str">
        <f>IF(M240&lt;&gt;"",IF(O240="",SUMIFS(JPK_KR!AL:AL,JPK_KR!W:W,N240),SUMIFS(JPK_KR!BF:BF,JPK_KR!BE:BE,N240,JPK_KR!BG:BG,O240)),"")</f>
        <v/>
      </c>
      <c r="Q240" s="126" t="str">
        <f>IF(M240&lt;&gt;"",IF(O240="",SUMIFS(JPK_KR!AM:AM,JPK_KR!W:W,N240),SUMIFS(JPK_KR!BI:BI,JPK_KR!BH:BH,N240,JPK_KR!BJ:BJ,O240)),"")</f>
        <v/>
      </c>
      <c r="U240" s="24" t="str">
        <f>IF(R240&lt;&gt;"",SUMIFS(JPK_KR!AL:AL,JPK_KR!W:W,S240),"")</f>
        <v/>
      </c>
      <c r="V240" s="126" t="str">
        <f>IF(R240&lt;&gt;"",SUMIFS(JPK_KR!AM:AM,JPK_KR!W:W,S240),"")</f>
        <v/>
      </c>
    </row>
    <row r="241" spans="3:22" x14ac:dyDescent="0.3">
      <c r="C241" s="24" t="str">
        <f>IF(A241&lt;&gt;"",SUMIFS(JPK_KR!AL:AL,JPK_KR!W:W,B241),"")</f>
        <v/>
      </c>
      <c r="D241" s="126" t="str">
        <f>IF(A241&lt;&gt;"",SUMIFS(JPK_KR!AM:AM,JPK_KR!W:W,B241),"")</f>
        <v/>
      </c>
      <c r="G241" s="24" t="str">
        <f>IF(E241&lt;&gt;"",SUMIFS(JPK_KR!AL:AL,JPK_KR!W:W,F241),"")</f>
        <v/>
      </c>
      <c r="H241" s="126" t="str">
        <f>IF(E241&lt;&gt;"",SUMIFS(JPK_KR!AM:AM,JPK_KR!W:W,F241),"")</f>
        <v/>
      </c>
      <c r="K241" s="24" t="str">
        <f>IF(I241&lt;&gt;"",SUMIFS(JPK_KR!AL:AL,JPK_KR!W:W,J241),"")</f>
        <v/>
      </c>
      <c r="L241" s="126" t="str">
        <f>IF(I241&lt;&gt;"",SUMIFS(JPK_KR!AM:AM,JPK_KR!W:W,J241),"")</f>
        <v/>
      </c>
      <c r="P241" s="24" t="str">
        <f>IF(M241&lt;&gt;"",IF(O241="",SUMIFS(JPK_KR!AL:AL,JPK_KR!W:W,N241),SUMIFS(JPK_KR!BF:BF,JPK_KR!BE:BE,N241,JPK_KR!BG:BG,O241)),"")</f>
        <v/>
      </c>
      <c r="Q241" s="126" t="str">
        <f>IF(M241&lt;&gt;"",IF(O241="",SUMIFS(JPK_KR!AM:AM,JPK_KR!W:W,N241),SUMIFS(JPK_KR!BI:BI,JPK_KR!BH:BH,N241,JPK_KR!BJ:BJ,O241)),"")</f>
        <v/>
      </c>
      <c r="U241" s="24" t="str">
        <f>IF(R241&lt;&gt;"",SUMIFS(JPK_KR!AL:AL,JPK_KR!W:W,S241),"")</f>
        <v/>
      </c>
      <c r="V241" s="126" t="str">
        <f>IF(R241&lt;&gt;"",SUMIFS(JPK_KR!AM:AM,JPK_KR!W:W,S241),"")</f>
        <v/>
      </c>
    </row>
    <row r="242" spans="3:22" x14ac:dyDescent="0.3">
      <c r="C242" s="24" t="str">
        <f>IF(A242&lt;&gt;"",SUMIFS(JPK_KR!AL:AL,JPK_KR!W:W,B242),"")</f>
        <v/>
      </c>
      <c r="D242" s="126" t="str">
        <f>IF(A242&lt;&gt;"",SUMIFS(JPK_KR!AM:AM,JPK_KR!W:W,B242),"")</f>
        <v/>
      </c>
      <c r="G242" s="24" t="str">
        <f>IF(E242&lt;&gt;"",SUMIFS(JPK_KR!AL:AL,JPK_KR!W:W,F242),"")</f>
        <v/>
      </c>
      <c r="H242" s="126" t="str">
        <f>IF(E242&lt;&gt;"",SUMIFS(JPK_KR!AM:AM,JPK_KR!W:W,F242),"")</f>
        <v/>
      </c>
      <c r="K242" s="24" t="str">
        <f>IF(I242&lt;&gt;"",SUMIFS(JPK_KR!AL:AL,JPK_KR!W:W,J242),"")</f>
        <v/>
      </c>
      <c r="L242" s="126" t="str">
        <f>IF(I242&lt;&gt;"",SUMIFS(JPK_KR!AM:AM,JPK_KR!W:W,J242),"")</f>
        <v/>
      </c>
      <c r="P242" s="24" t="str">
        <f>IF(M242&lt;&gt;"",IF(O242="",SUMIFS(JPK_KR!AL:AL,JPK_KR!W:W,N242),SUMIFS(JPK_KR!BF:BF,JPK_KR!BE:BE,N242,JPK_KR!BG:BG,O242)),"")</f>
        <v/>
      </c>
      <c r="Q242" s="126" t="str">
        <f>IF(M242&lt;&gt;"",IF(O242="",SUMIFS(JPK_KR!AM:AM,JPK_KR!W:W,N242),SUMIFS(JPK_KR!BI:BI,JPK_KR!BH:BH,N242,JPK_KR!BJ:BJ,O242)),"")</f>
        <v/>
      </c>
      <c r="U242" s="24" t="str">
        <f>IF(R242&lt;&gt;"",SUMIFS(JPK_KR!AL:AL,JPK_KR!W:W,S242),"")</f>
        <v/>
      </c>
      <c r="V242" s="126" t="str">
        <f>IF(R242&lt;&gt;"",SUMIFS(JPK_KR!AM:AM,JPK_KR!W:W,S242),"")</f>
        <v/>
      </c>
    </row>
    <row r="243" spans="3:22" x14ac:dyDescent="0.3">
      <c r="C243" s="24" t="str">
        <f>IF(A243&lt;&gt;"",SUMIFS(JPK_KR!AL:AL,JPK_KR!W:W,B243),"")</f>
        <v/>
      </c>
      <c r="D243" s="126" t="str">
        <f>IF(A243&lt;&gt;"",SUMIFS(JPK_KR!AM:AM,JPK_KR!W:W,B243),"")</f>
        <v/>
      </c>
      <c r="G243" s="24" t="str">
        <f>IF(E243&lt;&gt;"",SUMIFS(JPK_KR!AL:AL,JPK_KR!W:W,F243),"")</f>
        <v/>
      </c>
      <c r="H243" s="126" t="str">
        <f>IF(E243&lt;&gt;"",SUMIFS(JPK_KR!AM:AM,JPK_KR!W:W,F243),"")</f>
        <v/>
      </c>
      <c r="K243" s="24" t="str">
        <f>IF(I243&lt;&gt;"",SUMIFS(JPK_KR!AL:AL,JPK_KR!W:W,J243),"")</f>
        <v/>
      </c>
      <c r="L243" s="126" t="str">
        <f>IF(I243&lt;&gt;"",SUMIFS(JPK_KR!AM:AM,JPK_KR!W:W,J243),"")</f>
        <v/>
      </c>
      <c r="P243" s="24" t="str">
        <f>IF(M243&lt;&gt;"",IF(O243="",SUMIFS(JPK_KR!AL:AL,JPK_KR!W:W,N243),SUMIFS(JPK_KR!BF:BF,JPK_KR!BE:BE,N243,JPK_KR!BG:BG,O243)),"")</f>
        <v/>
      </c>
      <c r="Q243" s="126" t="str">
        <f>IF(M243&lt;&gt;"",IF(O243="",SUMIFS(JPK_KR!AM:AM,JPK_KR!W:W,N243),SUMIFS(JPK_KR!BI:BI,JPK_KR!BH:BH,N243,JPK_KR!BJ:BJ,O243)),"")</f>
        <v/>
      </c>
      <c r="U243" s="24" t="str">
        <f>IF(R243&lt;&gt;"",SUMIFS(JPK_KR!AL:AL,JPK_KR!W:W,S243),"")</f>
        <v/>
      </c>
      <c r="V243" s="126" t="str">
        <f>IF(R243&lt;&gt;"",SUMIFS(JPK_KR!AM:AM,JPK_KR!W:W,S243),"")</f>
        <v/>
      </c>
    </row>
    <row r="244" spans="3:22" x14ac:dyDescent="0.3">
      <c r="C244" s="24" t="str">
        <f>IF(A244&lt;&gt;"",SUMIFS(JPK_KR!AL:AL,JPK_KR!W:W,B244),"")</f>
        <v/>
      </c>
      <c r="D244" s="126" t="str">
        <f>IF(A244&lt;&gt;"",SUMIFS(JPK_KR!AM:AM,JPK_KR!W:W,B244),"")</f>
        <v/>
      </c>
      <c r="G244" s="24" t="str">
        <f>IF(E244&lt;&gt;"",SUMIFS(JPK_KR!AL:AL,JPK_KR!W:W,F244),"")</f>
        <v/>
      </c>
      <c r="H244" s="126" t="str">
        <f>IF(E244&lt;&gt;"",SUMIFS(JPK_KR!AM:AM,JPK_KR!W:W,F244),"")</f>
        <v/>
      </c>
      <c r="K244" s="24" t="str">
        <f>IF(I244&lt;&gt;"",SUMIFS(JPK_KR!AL:AL,JPK_KR!W:W,J244),"")</f>
        <v/>
      </c>
      <c r="L244" s="126" t="str">
        <f>IF(I244&lt;&gt;"",SUMIFS(JPK_KR!AM:AM,JPK_KR!W:W,J244),"")</f>
        <v/>
      </c>
      <c r="P244" s="24" t="str">
        <f>IF(M244&lt;&gt;"",IF(O244="",SUMIFS(JPK_KR!AL:AL,JPK_KR!W:W,N244),SUMIFS(JPK_KR!BF:BF,JPK_KR!BE:BE,N244,JPK_KR!BG:BG,O244)),"")</f>
        <v/>
      </c>
      <c r="Q244" s="126" t="str">
        <f>IF(M244&lt;&gt;"",IF(O244="",SUMIFS(JPK_KR!AM:AM,JPK_KR!W:W,N244),SUMIFS(JPK_KR!BI:BI,JPK_KR!BH:BH,N244,JPK_KR!BJ:BJ,O244)),"")</f>
        <v/>
      </c>
      <c r="U244" s="24" t="str">
        <f>IF(R244&lt;&gt;"",SUMIFS(JPK_KR!AL:AL,JPK_KR!W:W,S244),"")</f>
        <v/>
      </c>
      <c r="V244" s="126" t="str">
        <f>IF(R244&lt;&gt;"",SUMIFS(JPK_KR!AM:AM,JPK_KR!W:W,S244),"")</f>
        <v/>
      </c>
    </row>
    <row r="245" spans="3:22" x14ac:dyDescent="0.3">
      <c r="C245" s="24" t="str">
        <f>IF(A245&lt;&gt;"",SUMIFS(JPK_KR!AL:AL,JPK_KR!W:W,B245),"")</f>
        <v/>
      </c>
      <c r="D245" s="126" t="str">
        <f>IF(A245&lt;&gt;"",SUMIFS(JPK_KR!AM:AM,JPK_KR!W:W,B245),"")</f>
        <v/>
      </c>
      <c r="G245" s="24" t="str">
        <f>IF(E245&lt;&gt;"",SUMIFS(JPK_KR!AL:AL,JPK_KR!W:W,F245),"")</f>
        <v/>
      </c>
      <c r="H245" s="126" t="str">
        <f>IF(E245&lt;&gt;"",SUMIFS(JPK_KR!AM:AM,JPK_KR!W:W,F245),"")</f>
        <v/>
      </c>
      <c r="K245" s="24" t="str">
        <f>IF(I245&lt;&gt;"",SUMIFS(JPK_KR!AL:AL,JPK_KR!W:W,J245),"")</f>
        <v/>
      </c>
      <c r="L245" s="126" t="str">
        <f>IF(I245&lt;&gt;"",SUMIFS(JPK_KR!AM:AM,JPK_KR!W:W,J245),"")</f>
        <v/>
      </c>
      <c r="P245" s="24" t="str">
        <f>IF(M245&lt;&gt;"",IF(O245="",SUMIFS(JPK_KR!AL:AL,JPK_KR!W:W,N245),SUMIFS(JPK_KR!BF:BF,JPK_KR!BE:BE,N245,JPK_KR!BG:BG,O245)),"")</f>
        <v/>
      </c>
      <c r="Q245" s="126" t="str">
        <f>IF(M245&lt;&gt;"",IF(O245="",SUMIFS(JPK_KR!AM:AM,JPK_KR!W:W,N245),SUMIFS(JPK_KR!BI:BI,JPK_KR!BH:BH,N245,JPK_KR!BJ:BJ,O245)),"")</f>
        <v/>
      </c>
      <c r="U245" s="24" t="str">
        <f>IF(R245&lt;&gt;"",SUMIFS(JPK_KR!AL:AL,JPK_KR!W:W,S245),"")</f>
        <v/>
      </c>
      <c r="V245" s="126" t="str">
        <f>IF(R245&lt;&gt;"",SUMIFS(JPK_KR!AM:AM,JPK_KR!W:W,S245),"")</f>
        <v/>
      </c>
    </row>
    <row r="246" spans="3:22" x14ac:dyDescent="0.3">
      <c r="C246" s="24" t="str">
        <f>IF(A246&lt;&gt;"",SUMIFS(JPK_KR!AL:AL,JPK_KR!W:W,B246),"")</f>
        <v/>
      </c>
      <c r="D246" s="126" t="str">
        <f>IF(A246&lt;&gt;"",SUMIFS(JPK_KR!AM:AM,JPK_KR!W:W,B246),"")</f>
        <v/>
      </c>
      <c r="G246" s="24" t="str">
        <f>IF(E246&lt;&gt;"",SUMIFS(JPK_KR!AL:AL,JPK_KR!W:W,F246),"")</f>
        <v/>
      </c>
      <c r="H246" s="126" t="str">
        <f>IF(E246&lt;&gt;"",SUMIFS(JPK_KR!AM:AM,JPK_KR!W:W,F246),"")</f>
        <v/>
      </c>
      <c r="K246" s="24" t="str">
        <f>IF(I246&lt;&gt;"",SUMIFS(JPK_KR!AL:AL,JPK_KR!W:W,J246),"")</f>
        <v/>
      </c>
      <c r="L246" s="126" t="str">
        <f>IF(I246&lt;&gt;"",SUMIFS(JPK_KR!AM:AM,JPK_KR!W:W,J246),"")</f>
        <v/>
      </c>
      <c r="P246" s="24" t="str">
        <f>IF(M246&lt;&gt;"",IF(O246="",SUMIFS(JPK_KR!AL:AL,JPK_KR!W:W,N246),SUMIFS(JPK_KR!BF:BF,JPK_KR!BE:BE,N246,JPK_KR!BG:BG,O246)),"")</f>
        <v/>
      </c>
      <c r="Q246" s="126" t="str">
        <f>IF(M246&lt;&gt;"",IF(O246="",SUMIFS(JPK_KR!AM:AM,JPK_KR!W:W,N246),SUMIFS(JPK_KR!BI:BI,JPK_KR!BH:BH,N246,JPK_KR!BJ:BJ,O246)),"")</f>
        <v/>
      </c>
      <c r="U246" s="24" t="str">
        <f>IF(R246&lt;&gt;"",SUMIFS(JPK_KR!AL:AL,JPK_KR!W:W,S246),"")</f>
        <v/>
      </c>
      <c r="V246" s="126" t="str">
        <f>IF(R246&lt;&gt;"",SUMIFS(JPK_KR!AM:AM,JPK_KR!W:W,S246),"")</f>
        <v/>
      </c>
    </row>
    <row r="247" spans="3:22" x14ac:dyDescent="0.3">
      <c r="C247" s="24" t="str">
        <f>IF(A247&lt;&gt;"",SUMIFS(JPK_KR!AL:AL,JPK_KR!W:W,B247),"")</f>
        <v/>
      </c>
      <c r="D247" s="126" t="str">
        <f>IF(A247&lt;&gt;"",SUMIFS(JPK_KR!AM:AM,JPK_KR!W:W,B247),"")</f>
        <v/>
      </c>
      <c r="G247" s="24" t="str">
        <f>IF(E247&lt;&gt;"",SUMIFS(JPK_KR!AL:AL,JPK_KR!W:W,F247),"")</f>
        <v/>
      </c>
      <c r="H247" s="126" t="str">
        <f>IF(E247&lt;&gt;"",SUMIFS(JPK_KR!AM:AM,JPK_KR!W:W,F247),"")</f>
        <v/>
      </c>
      <c r="K247" s="24" t="str">
        <f>IF(I247&lt;&gt;"",SUMIFS(JPK_KR!AL:AL,JPK_KR!W:W,J247),"")</f>
        <v/>
      </c>
      <c r="L247" s="126" t="str">
        <f>IF(I247&lt;&gt;"",SUMIFS(JPK_KR!AM:AM,JPK_KR!W:W,J247),"")</f>
        <v/>
      </c>
      <c r="P247" s="24" t="str">
        <f>IF(M247&lt;&gt;"",IF(O247="",SUMIFS(JPK_KR!AL:AL,JPK_KR!W:W,N247),SUMIFS(JPK_KR!BF:BF,JPK_KR!BE:BE,N247,JPK_KR!BG:BG,O247)),"")</f>
        <v/>
      </c>
      <c r="Q247" s="126" t="str">
        <f>IF(M247&lt;&gt;"",IF(O247="",SUMIFS(JPK_KR!AM:AM,JPK_KR!W:W,N247),SUMIFS(JPK_KR!BI:BI,JPK_KR!BH:BH,N247,JPK_KR!BJ:BJ,O247)),"")</f>
        <v/>
      </c>
      <c r="U247" s="24" t="str">
        <f>IF(R247&lt;&gt;"",SUMIFS(JPK_KR!AL:AL,JPK_KR!W:W,S247),"")</f>
        <v/>
      </c>
      <c r="V247" s="126" t="str">
        <f>IF(R247&lt;&gt;"",SUMIFS(JPK_KR!AM:AM,JPK_KR!W:W,S247),"")</f>
        <v/>
      </c>
    </row>
    <row r="248" spans="3:22" x14ac:dyDescent="0.3">
      <c r="C248" s="24" t="str">
        <f>IF(A248&lt;&gt;"",SUMIFS(JPK_KR!AL:AL,JPK_KR!W:W,B248),"")</f>
        <v/>
      </c>
      <c r="D248" s="126" t="str">
        <f>IF(A248&lt;&gt;"",SUMIFS(JPK_KR!AM:AM,JPK_KR!W:W,B248),"")</f>
        <v/>
      </c>
      <c r="G248" s="24" t="str">
        <f>IF(E248&lt;&gt;"",SUMIFS(JPK_KR!AL:AL,JPK_KR!W:W,F248),"")</f>
        <v/>
      </c>
      <c r="H248" s="126" t="str">
        <f>IF(E248&lt;&gt;"",SUMIFS(JPK_KR!AM:AM,JPK_KR!W:W,F248),"")</f>
        <v/>
      </c>
      <c r="K248" s="24" t="str">
        <f>IF(I248&lt;&gt;"",SUMIFS(JPK_KR!AL:AL,JPK_KR!W:W,J248),"")</f>
        <v/>
      </c>
      <c r="L248" s="126" t="str">
        <f>IF(I248&lt;&gt;"",SUMIFS(JPK_KR!AM:AM,JPK_KR!W:W,J248),"")</f>
        <v/>
      </c>
      <c r="P248" s="24" t="str">
        <f>IF(M248&lt;&gt;"",IF(O248="",SUMIFS(JPK_KR!AL:AL,JPK_KR!W:W,N248),SUMIFS(JPK_KR!BF:BF,JPK_KR!BE:BE,N248,JPK_KR!BG:BG,O248)),"")</f>
        <v/>
      </c>
      <c r="Q248" s="126" t="str">
        <f>IF(M248&lt;&gt;"",IF(O248="",SUMIFS(JPK_KR!AM:AM,JPK_KR!W:W,N248),SUMIFS(JPK_KR!BI:BI,JPK_KR!BH:BH,N248,JPK_KR!BJ:BJ,O248)),"")</f>
        <v/>
      </c>
      <c r="U248" s="24" t="str">
        <f>IF(R248&lt;&gt;"",SUMIFS(JPK_KR!AL:AL,JPK_KR!W:W,S248),"")</f>
        <v/>
      </c>
      <c r="V248" s="126" t="str">
        <f>IF(R248&lt;&gt;"",SUMIFS(JPK_KR!AM:AM,JPK_KR!W:W,S248),"")</f>
        <v/>
      </c>
    </row>
    <row r="249" spans="3:22" x14ac:dyDescent="0.3">
      <c r="C249" s="24" t="str">
        <f>IF(A249&lt;&gt;"",SUMIFS(JPK_KR!AL:AL,JPK_KR!W:W,B249),"")</f>
        <v/>
      </c>
      <c r="D249" s="126" t="str">
        <f>IF(A249&lt;&gt;"",SUMIFS(JPK_KR!AM:AM,JPK_KR!W:W,B249),"")</f>
        <v/>
      </c>
      <c r="G249" s="24" t="str">
        <f>IF(E249&lt;&gt;"",SUMIFS(JPK_KR!AL:AL,JPK_KR!W:W,F249),"")</f>
        <v/>
      </c>
      <c r="H249" s="126" t="str">
        <f>IF(E249&lt;&gt;"",SUMIFS(JPK_KR!AM:AM,JPK_KR!W:W,F249),"")</f>
        <v/>
      </c>
      <c r="K249" s="24" t="str">
        <f>IF(I249&lt;&gt;"",SUMIFS(JPK_KR!AL:AL,JPK_KR!W:W,J249),"")</f>
        <v/>
      </c>
      <c r="L249" s="126" t="str">
        <f>IF(I249&lt;&gt;"",SUMIFS(JPK_KR!AM:AM,JPK_KR!W:W,J249),"")</f>
        <v/>
      </c>
      <c r="P249" s="24" t="str">
        <f>IF(M249&lt;&gt;"",IF(O249="",SUMIFS(JPK_KR!AL:AL,JPK_KR!W:W,N249),SUMIFS(JPK_KR!BF:BF,JPK_KR!BE:BE,N249,JPK_KR!BG:BG,O249)),"")</f>
        <v/>
      </c>
      <c r="Q249" s="126" t="str">
        <f>IF(M249&lt;&gt;"",IF(O249="",SUMIFS(JPK_KR!AM:AM,JPK_KR!W:W,N249),SUMIFS(JPK_KR!BI:BI,JPK_KR!BH:BH,N249,JPK_KR!BJ:BJ,O249)),"")</f>
        <v/>
      </c>
      <c r="U249" s="24" t="str">
        <f>IF(R249&lt;&gt;"",SUMIFS(JPK_KR!AL:AL,JPK_KR!W:W,S249),"")</f>
        <v/>
      </c>
      <c r="V249" s="126" t="str">
        <f>IF(R249&lt;&gt;"",SUMIFS(JPK_KR!AM:AM,JPK_KR!W:W,S249),"")</f>
        <v/>
      </c>
    </row>
    <row r="250" spans="3:22" x14ac:dyDescent="0.3">
      <c r="C250" s="24" t="str">
        <f>IF(A250&lt;&gt;"",SUMIFS(JPK_KR!AL:AL,JPK_KR!W:W,B250),"")</f>
        <v/>
      </c>
      <c r="D250" s="126" t="str">
        <f>IF(A250&lt;&gt;"",SUMIFS(JPK_KR!AM:AM,JPK_KR!W:W,B250),"")</f>
        <v/>
      </c>
      <c r="G250" s="24" t="str">
        <f>IF(E250&lt;&gt;"",SUMIFS(JPK_KR!AL:AL,JPK_KR!W:W,F250),"")</f>
        <v/>
      </c>
      <c r="H250" s="126" t="str">
        <f>IF(E250&lt;&gt;"",SUMIFS(JPK_KR!AM:AM,JPK_KR!W:W,F250),"")</f>
        <v/>
      </c>
      <c r="K250" s="24" t="str">
        <f>IF(I250&lt;&gt;"",SUMIFS(JPK_KR!AL:AL,JPK_KR!W:W,J250),"")</f>
        <v/>
      </c>
      <c r="L250" s="126" t="str">
        <f>IF(I250&lt;&gt;"",SUMIFS(JPK_KR!AM:AM,JPK_KR!W:W,J250),"")</f>
        <v/>
      </c>
      <c r="P250" s="24" t="str">
        <f>IF(M250&lt;&gt;"",IF(O250="",SUMIFS(JPK_KR!AL:AL,JPK_KR!W:W,N250),SUMIFS(JPK_KR!BF:BF,JPK_KR!BE:BE,N250,JPK_KR!BG:BG,O250)),"")</f>
        <v/>
      </c>
      <c r="Q250" s="126" t="str">
        <f>IF(M250&lt;&gt;"",IF(O250="",SUMIFS(JPK_KR!AM:AM,JPK_KR!W:W,N250),SUMIFS(JPK_KR!BI:BI,JPK_KR!BH:BH,N250,JPK_KR!BJ:BJ,O250)),"")</f>
        <v/>
      </c>
      <c r="U250" s="24" t="str">
        <f>IF(R250&lt;&gt;"",SUMIFS(JPK_KR!AL:AL,JPK_KR!W:W,S250),"")</f>
        <v/>
      </c>
      <c r="V250" s="126" t="str">
        <f>IF(R250&lt;&gt;"",SUMIFS(JPK_KR!AM:AM,JPK_KR!W:W,S250),"")</f>
        <v/>
      </c>
    </row>
    <row r="251" spans="3:22" x14ac:dyDescent="0.3">
      <c r="C251" s="24" t="str">
        <f>IF(A251&lt;&gt;"",SUMIFS(JPK_KR!AL:AL,JPK_KR!W:W,B251),"")</f>
        <v/>
      </c>
      <c r="D251" s="126" t="str">
        <f>IF(A251&lt;&gt;"",SUMIFS(JPK_KR!AM:AM,JPK_KR!W:W,B251),"")</f>
        <v/>
      </c>
      <c r="G251" s="24" t="str">
        <f>IF(E251&lt;&gt;"",SUMIFS(JPK_KR!AL:AL,JPK_KR!W:W,F251),"")</f>
        <v/>
      </c>
      <c r="H251" s="126" t="str">
        <f>IF(E251&lt;&gt;"",SUMIFS(JPK_KR!AM:AM,JPK_KR!W:W,F251),"")</f>
        <v/>
      </c>
      <c r="K251" s="24" t="str">
        <f>IF(I251&lt;&gt;"",SUMIFS(JPK_KR!AL:AL,JPK_KR!W:W,J251),"")</f>
        <v/>
      </c>
      <c r="L251" s="126" t="str">
        <f>IF(I251&lt;&gt;"",SUMIFS(JPK_KR!AM:AM,JPK_KR!W:W,J251),"")</f>
        <v/>
      </c>
      <c r="P251" s="24" t="str">
        <f>IF(M251&lt;&gt;"",IF(O251="",SUMIFS(JPK_KR!AL:AL,JPK_KR!W:W,N251),SUMIFS(JPK_KR!BF:BF,JPK_KR!BE:BE,N251,JPK_KR!BG:BG,O251)),"")</f>
        <v/>
      </c>
      <c r="Q251" s="126" t="str">
        <f>IF(M251&lt;&gt;"",IF(O251="",SUMIFS(JPK_KR!AM:AM,JPK_KR!W:W,N251),SUMIFS(JPK_KR!BI:BI,JPK_KR!BH:BH,N251,JPK_KR!BJ:BJ,O251)),"")</f>
        <v/>
      </c>
      <c r="U251" s="24" t="str">
        <f>IF(R251&lt;&gt;"",SUMIFS(JPK_KR!AL:AL,JPK_KR!W:W,S251),"")</f>
        <v/>
      </c>
      <c r="V251" s="126" t="str">
        <f>IF(R251&lt;&gt;"",SUMIFS(JPK_KR!AM:AM,JPK_KR!W:W,S251),"")</f>
        <v/>
      </c>
    </row>
    <row r="252" spans="3:22" x14ac:dyDescent="0.3">
      <c r="C252" s="24" t="str">
        <f>IF(A252&lt;&gt;"",SUMIFS(JPK_KR!AL:AL,JPK_KR!W:W,B252),"")</f>
        <v/>
      </c>
      <c r="D252" s="126" t="str">
        <f>IF(A252&lt;&gt;"",SUMIFS(JPK_KR!AM:AM,JPK_KR!W:W,B252),"")</f>
        <v/>
      </c>
      <c r="G252" s="24" t="str">
        <f>IF(E252&lt;&gt;"",SUMIFS(JPK_KR!AL:AL,JPK_KR!W:W,F252),"")</f>
        <v/>
      </c>
      <c r="H252" s="126" t="str">
        <f>IF(E252&lt;&gt;"",SUMIFS(JPK_KR!AM:AM,JPK_KR!W:W,F252),"")</f>
        <v/>
      </c>
      <c r="K252" s="24" t="str">
        <f>IF(I252&lt;&gt;"",SUMIFS(JPK_KR!AL:AL,JPK_KR!W:W,J252),"")</f>
        <v/>
      </c>
      <c r="L252" s="126" t="str">
        <f>IF(I252&lt;&gt;"",SUMIFS(JPK_KR!AM:AM,JPK_KR!W:W,J252),"")</f>
        <v/>
      </c>
      <c r="P252" s="24" t="str">
        <f>IF(M252&lt;&gt;"",IF(O252="",SUMIFS(JPK_KR!AL:AL,JPK_KR!W:W,N252),SUMIFS(JPK_KR!BF:BF,JPK_KR!BE:BE,N252,JPK_KR!BG:BG,O252)),"")</f>
        <v/>
      </c>
      <c r="Q252" s="126" t="str">
        <f>IF(M252&lt;&gt;"",IF(O252="",SUMIFS(JPK_KR!AM:AM,JPK_KR!W:W,N252),SUMIFS(JPK_KR!BI:BI,JPK_KR!BH:BH,N252,JPK_KR!BJ:BJ,O252)),"")</f>
        <v/>
      </c>
      <c r="U252" s="24" t="str">
        <f>IF(R252&lt;&gt;"",SUMIFS(JPK_KR!AL:AL,JPK_KR!W:W,S252),"")</f>
        <v/>
      </c>
      <c r="V252" s="126" t="str">
        <f>IF(R252&lt;&gt;"",SUMIFS(JPK_KR!AM:AM,JPK_KR!W:W,S252),"")</f>
        <v/>
      </c>
    </row>
    <row r="253" spans="3:22" x14ac:dyDescent="0.3">
      <c r="C253" s="24" t="str">
        <f>IF(A253&lt;&gt;"",SUMIFS(JPK_KR!AL:AL,JPK_KR!W:W,B253),"")</f>
        <v/>
      </c>
      <c r="D253" s="126" t="str">
        <f>IF(A253&lt;&gt;"",SUMIFS(JPK_KR!AM:AM,JPK_KR!W:W,B253),"")</f>
        <v/>
      </c>
      <c r="G253" s="24" t="str">
        <f>IF(E253&lt;&gt;"",SUMIFS(JPK_KR!AL:AL,JPK_KR!W:W,F253),"")</f>
        <v/>
      </c>
      <c r="H253" s="126" t="str">
        <f>IF(E253&lt;&gt;"",SUMIFS(JPK_KR!AM:AM,JPK_KR!W:W,F253),"")</f>
        <v/>
      </c>
      <c r="K253" s="24" t="str">
        <f>IF(I253&lt;&gt;"",SUMIFS(JPK_KR!AL:AL,JPK_KR!W:W,J253),"")</f>
        <v/>
      </c>
      <c r="L253" s="126" t="str">
        <f>IF(I253&lt;&gt;"",SUMIFS(JPK_KR!AM:AM,JPK_KR!W:W,J253),"")</f>
        <v/>
      </c>
      <c r="P253" s="24" t="str">
        <f>IF(M253&lt;&gt;"",IF(O253="",SUMIFS(JPK_KR!AL:AL,JPK_KR!W:W,N253),SUMIFS(JPK_KR!BF:BF,JPK_KR!BE:BE,N253,JPK_KR!BG:BG,O253)),"")</f>
        <v/>
      </c>
      <c r="Q253" s="126" t="str">
        <f>IF(M253&lt;&gt;"",IF(O253="",SUMIFS(JPK_KR!AM:AM,JPK_KR!W:W,N253),SUMIFS(JPK_KR!BI:BI,JPK_KR!BH:BH,N253,JPK_KR!BJ:BJ,O253)),"")</f>
        <v/>
      </c>
      <c r="U253" s="24" t="str">
        <f>IF(R253&lt;&gt;"",SUMIFS(JPK_KR!AL:AL,JPK_KR!W:W,S253),"")</f>
        <v/>
      </c>
      <c r="V253" s="126" t="str">
        <f>IF(R253&lt;&gt;"",SUMIFS(JPK_KR!AM:AM,JPK_KR!W:W,S253),"")</f>
        <v/>
      </c>
    </row>
    <row r="254" spans="3:22" x14ac:dyDescent="0.3">
      <c r="C254" s="24" t="str">
        <f>IF(A254&lt;&gt;"",SUMIFS(JPK_KR!AL:AL,JPK_KR!W:W,B254),"")</f>
        <v/>
      </c>
      <c r="D254" s="126" t="str">
        <f>IF(A254&lt;&gt;"",SUMIFS(JPK_KR!AM:AM,JPK_KR!W:W,B254),"")</f>
        <v/>
      </c>
      <c r="G254" s="24" t="str">
        <f>IF(E254&lt;&gt;"",SUMIFS(JPK_KR!AL:AL,JPK_KR!W:W,F254),"")</f>
        <v/>
      </c>
      <c r="H254" s="126" t="str">
        <f>IF(E254&lt;&gt;"",SUMIFS(JPK_KR!AM:AM,JPK_KR!W:W,F254),"")</f>
        <v/>
      </c>
      <c r="K254" s="24" t="str">
        <f>IF(I254&lt;&gt;"",SUMIFS(JPK_KR!AL:AL,JPK_KR!W:W,J254),"")</f>
        <v/>
      </c>
      <c r="L254" s="126" t="str">
        <f>IF(I254&lt;&gt;"",SUMIFS(JPK_KR!AM:AM,JPK_KR!W:W,J254),"")</f>
        <v/>
      </c>
      <c r="P254" s="24" t="str">
        <f>IF(M254&lt;&gt;"",IF(O254="",SUMIFS(JPK_KR!AL:AL,JPK_KR!W:W,N254),SUMIFS(JPK_KR!BF:BF,JPK_KR!BE:BE,N254,JPK_KR!BG:BG,O254)),"")</f>
        <v/>
      </c>
      <c r="Q254" s="126" t="str">
        <f>IF(M254&lt;&gt;"",IF(O254="",SUMIFS(JPK_KR!AM:AM,JPK_KR!W:W,N254),SUMIFS(JPK_KR!BI:BI,JPK_KR!BH:BH,N254,JPK_KR!BJ:BJ,O254)),"")</f>
        <v/>
      </c>
      <c r="U254" s="24" t="str">
        <f>IF(R254&lt;&gt;"",SUMIFS(JPK_KR!AL:AL,JPK_KR!W:W,S254),"")</f>
        <v/>
      </c>
      <c r="V254" s="126" t="str">
        <f>IF(R254&lt;&gt;"",SUMIFS(JPK_KR!AM:AM,JPK_KR!W:W,S254),"")</f>
        <v/>
      </c>
    </row>
    <row r="255" spans="3:22" x14ac:dyDescent="0.3">
      <c r="C255" s="24" t="str">
        <f>IF(A255&lt;&gt;"",SUMIFS(JPK_KR!AL:AL,JPK_KR!W:W,B255),"")</f>
        <v/>
      </c>
      <c r="D255" s="126" t="str">
        <f>IF(A255&lt;&gt;"",SUMIFS(JPK_KR!AM:AM,JPK_KR!W:W,B255),"")</f>
        <v/>
      </c>
      <c r="G255" s="24" t="str">
        <f>IF(E255&lt;&gt;"",SUMIFS(JPK_KR!AL:AL,JPK_KR!W:W,F255),"")</f>
        <v/>
      </c>
      <c r="H255" s="126" t="str">
        <f>IF(E255&lt;&gt;"",SUMIFS(JPK_KR!AM:AM,JPK_KR!W:W,F255),"")</f>
        <v/>
      </c>
      <c r="K255" s="24" t="str">
        <f>IF(I255&lt;&gt;"",SUMIFS(JPK_KR!AL:AL,JPK_KR!W:W,J255),"")</f>
        <v/>
      </c>
      <c r="L255" s="126" t="str">
        <f>IF(I255&lt;&gt;"",SUMIFS(JPK_KR!AM:AM,JPK_KR!W:W,J255),"")</f>
        <v/>
      </c>
      <c r="P255" s="24" t="str">
        <f>IF(M255&lt;&gt;"",IF(O255="",SUMIFS(JPK_KR!AL:AL,JPK_KR!W:W,N255),SUMIFS(JPK_KR!BF:BF,JPK_KR!BE:BE,N255,JPK_KR!BG:BG,O255)),"")</f>
        <v/>
      </c>
      <c r="Q255" s="126" t="str">
        <f>IF(M255&lt;&gt;"",IF(O255="",SUMIFS(JPK_KR!AM:AM,JPK_KR!W:W,N255),SUMIFS(JPK_KR!BI:BI,JPK_KR!BH:BH,N255,JPK_KR!BJ:BJ,O255)),"")</f>
        <v/>
      </c>
      <c r="U255" s="24" t="str">
        <f>IF(R255&lt;&gt;"",SUMIFS(JPK_KR!AL:AL,JPK_KR!W:W,S255),"")</f>
        <v/>
      </c>
      <c r="V255" s="126" t="str">
        <f>IF(R255&lt;&gt;"",SUMIFS(JPK_KR!AM:AM,JPK_KR!W:W,S255),"")</f>
        <v/>
      </c>
    </row>
    <row r="256" spans="3:22" x14ac:dyDescent="0.3">
      <c r="C256" s="24" t="str">
        <f>IF(A256&lt;&gt;"",SUMIFS(JPK_KR!AL:AL,JPK_KR!W:W,B256),"")</f>
        <v/>
      </c>
      <c r="D256" s="126" t="str">
        <f>IF(A256&lt;&gt;"",SUMIFS(JPK_KR!AM:AM,JPK_KR!W:W,B256),"")</f>
        <v/>
      </c>
      <c r="G256" s="24" t="str">
        <f>IF(E256&lt;&gt;"",SUMIFS(JPK_KR!AL:AL,JPK_KR!W:W,F256),"")</f>
        <v/>
      </c>
      <c r="H256" s="126" t="str">
        <f>IF(E256&lt;&gt;"",SUMIFS(JPK_KR!AM:AM,JPK_KR!W:W,F256),"")</f>
        <v/>
      </c>
      <c r="K256" s="24" t="str">
        <f>IF(I256&lt;&gt;"",SUMIFS(JPK_KR!AL:AL,JPK_KR!W:W,J256),"")</f>
        <v/>
      </c>
      <c r="L256" s="126" t="str">
        <f>IF(I256&lt;&gt;"",SUMIFS(JPK_KR!AM:AM,JPK_KR!W:W,J256),"")</f>
        <v/>
      </c>
      <c r="P256" s="24" t="str">
        <f>IF(M256&lt;&gt;"",IF(O256="",SUMIFS(JPK_KR!AL:AL,JPK_KR!W:W,N256),SUMIFS(JPK_KR!BF:BF,JPK_KR!BE:BE,N256,JPK_KR!BG:BG,O256)),"")</f>
        <v/>
      </c>
      <c r="Q256" s="126" t="str">
        <f>IF(M256&lt;&gt;"",IF(O256="",SUMIFS(JPK_KR!AM:AM,JPK_KR!W:W,N256),SUMIFS(JPK_KR!BI:BI,JPK_KR!BH:BH,N256,JPK_KR!BJ:BJ,O256)),"")</f>
        <v/>
      </c>
      <c r="U256" s="24" t="str">
        <f>IF(R256&lt;&gt;"",SUMIFS(JPK_KR!AL:AL,JPK_KR!W:W,S256),"")</f>
        <v/>
      </c>
      <c r="V256" s="126" t="str">
        <f>IF(R256&lt;&gt;"",SUMIFS(JPK_KR!AM:AM,JPK_KR!W:W,S256),"")</f>
        <v/>
      </c>
    </row>
    <row r="257" spans="3:22" x14ac:dyDescent="0.3">
      <c r="C257" s="24" t="str">
        <f>IF(A257&lt;&gt;"",SUMIFS(JPK_KR!AL:AL,JPK_KR!W:W,B257),"")</f>
        <v/>
      </c>
      <c r="D257" s="126" t="str">
        <f>IF(A257&lt;&gt;"",SUMIFS(JPK_KR!AM:AM,JPK_KR!W:W,B257),"")</f>
        <v/>
      </c>
      <c r="G257" s="24" t="str">
        <f>IF(E257&lt;&gt;"",SUMIFS(JPK_KR!AL:AL,JPK_KR!W:W,F257),"")</f>
        <v/>
      </c>
      <c r="H257" s="126" t="str">
        <f>IF(E257&lt;&gt;"",SUMIFS(JPK_KR!AM:AM,JPK_KR!W:W,F257),"")</f>
        <v/>
      </c>
      <c r="K257" s="24" t="str">
        <f>IF(I257&lt;&gt;"",SUMIFS(JPK_KR!AL:AL,JPK_KR!W:W,J257),"")</f>
        <v/>
      </c>
      <c r="L257" s="126" t="str">
        <f>IF(I257&lt;&gt;"",SUMIFS(JPK_KR!AM:AM,JPK_KR!W:W,J257),"")</f>
        <v/>
      </c>
      <c r="P257" s="24" t="str">
        <f>IF(M257&lt;&gt;"",IF(O257="",SUMIFS(JPK_KR!AL:AL,JPK_KR!W:W,N257),SUMIFS(JPK_KR!BF:BF,JPK_KR!BE:BE,N257,JPK_KR!BG:BG,O257)),"")</f>
        <v/>
      </c>
      <c r="Q257" s="126" t="str">
        <f>IF(M257&lt;&gt;"",IF(O257="",SUMIFS(JPK_KR!AM:AM,JPK_KR!W:W,N257),SUMIFS(JPK_KR!BI:BI,JPK_KR!BH:BH,N257,JPK_KR!BJ:BJ,O257)),"")</f>
        <v/>
      </c>
      <c r="U257" s="24" t="str">
        <f>IF(R257&lt;&gt;"",SUMIFS(JPK_KR!AL:AL,JPK_KR!W:W,S257),"")</f>
        <v/>
      </c>
      <c r="V257" s="126" t="str">
        <f>IF(R257&lt;&gt;"",SUMIFS(JPK_KR!AM:AM,JPK_KR!W:W,S257),"")</f>
        <v/>
      </c>
    </row>
    <row r="258" spans="3:22" x14ac:dyDescent="0.3">
      <c r="C258" s="24" t="str">
        <f>IF(A258&lt;&gt;"",SUMIFS(JPK_KR!AL:AL,JPK_KR!W:W,B258),"")</f>
        <v/>
      </c>
      <c r="D258" s="126" t="str">
        <f>IF(A258&lt;&gt;"",SUMIFS(JPK_KR!AM:AM,JPK_KR!W:W,B258),"")</f>
        <v/>
      </c>
      <c r="G258" s="24" t="str">
        <f>IF(E258&lt;&gt;"",SUMIFS(JPK_KR!AL:AL,JPK_KR!W:W,F258),"")</f>
        <v/>
      </c>
      <c r="H258" s="126" t="str">
        <f>IF(E258&lt;&gt;"",SUMIFS(JPK_KR!AM:AM,JPK_KR!W:W,F258),"")</f>
        <v/>
      </c>
      <c r="K258" s="24" t="str">
        <f>IF(I258&lt;&gt;"",SUMIFS(JPK_KR!AL:AL,JPK_KR!W:W,J258),"")</f>
        <v/>
      </c>
      <c r="L258" s="126" t="str">
        <f>IF(I258&lt;&gt;"",SUMIFS(JPK_KR!AM:AM,JPK_KR!W:W,J258),"")</f>
        <v/>
      </c>
      <c r="P258" s="24" t="str">
        <f>IF(M258&lt;&gt;"",IF(O258="",SUMIFS(JPK_KR!AL:AL,JPK_KR!W:W,N258),SUMIFS(JPK_KR!BF:BF,JPK_KR!BE:BE,N258,JPK_KR!BG:BG,O258)),"")</f>
        <v/>
      </c>
      <c r="Q258" s="126" t="str">
        <f>IF(M258&lt;&gt;"",IF(O258="",SUMIFS(JPK_KR!AM:AM,JPK_KR!W:W,N258),SUMIFS(JPK_KR!BI:BI,JPK_KR!BH:BH,N258,JPK_KR!BJ:BJ,O258)),"")</f>
        <v/>
      </c>
      <c r="U258" s="24" t="str">
        <f>IF(R258&lt;&gt;"",SUMIFS(JPK_KR!AL:AL,JPK_KR!W:W,S258),"")</f>
        <v/>
      </c>
      <c r="V258" s="126" t="str">
        <f>IF(R258&lt;&gt;"",SUMIFS(JPK_KR!AM:AM,JPK_KR!W:W,S258),"")</f>
        <v/>
      </c>
    </row>
    <row r="259" spans="3:22" x14ac:dyDescent="0.3">
      <c r="C259" s="24" t="str">
        <f>IF(A259&lt;&gt;"",SUMIFS(JPK_KR!AL:AL,JPK_KR!W:W,B259),"")</f>
        <v/>
      </c>
      <c r="D259" s="126" t="str">
        <f>IF(A259&lt;&gt;"",SUMIFS(JPK_KR!AM:AM,JPK_KR!W:W,B259),"")</f>
        <v/>
      </c>
      <c r="G259" s="24" t="str">
        <f>IF(E259&lt;&gt;"",SUMIFS(JPK_KR!AL:AL,JPK_KR!W:W,F259),"")</f>
        <v/>
      </c>
      <c r="H259" s="126" t="str">
        <f>IF(E259&lt;&gt;"",SUMIFS(JPK_KR!AM:AM,JPK_KR!W:W,F259),"")</f>
        <v/>
      </c>
      <c r="K259" s="24" t="str">
        <f>IF(I259&lt;&gt;"",SUMIFS(JPK_KR!AL:AL,JPK_KR!W:W,J259),"")</f>
        <v/>
      </c>
      <c r="L259" s="126" t="str">
        <f>IF(I259&lt;&gt;"",SUMIFS(JPK_KR!AM:AM,JPK_KR!W:W,J259),"")</f>
        <v/>
      </c>
      <c r="P259" s="24" t="str">
        <f>IF(M259&lt;&gt;"",IF(O259="",SUMIFS(JPK_KR!AL:AL,JPK_KR!W:W,N259),SUMIFS(JPK_KR!BF:BF,JPK_KR!BE:BE,N259,JPK_KR!BG:BG,O259)),"")</f>
        <v/>
      </c>
      <c r="Q259" s="126" t="str">
        <f>IF(M259&lt;&gt;"",IF(O259="",SUMIFS(JPK_KR!AM:AM,JPK_KR!W:W,N259),SUMIFS(JPK_KR!BI:BI,JPK_KR!BH:BH,N259,JPK_KR!BJ:BJ,O259)),"")</f>
        <v/>
      </c>
      <c r="U259" s="24" t="str">
        <f>IF(R259&lt;&gt;"",SUMIFS(JPK_KR!AL:AL,JPK_KR!W:W,S259),"")</f>
        <v/>
      </c>
      <c r="V259" s="126" t="str">
        <f>IF(R259&lt;&gt;"",SUMIFS(JPK_KR!AM:AM,JPK_KR!W:W,S259),"")</f>
        <v/>
      </c>
    </row>
    <row r="260" spans="3:22" x14ac:dyDescent="0.3">
      <c r="C260" s="24" t="str">
        <f>IF(A260&lt;&gt;"",SUMIFS(JPK_KR!AL:AL,JPK_KR!W:W,B260),"")</f>
        <v/>
      </c>
      <c r="D260" s="126" t="str">
        <f>IF(A260&lt;&gt;"",SUMIFS(JPK_KR!AM:AM,JPK_KR!W:W,B260),"")</f>
        <v/>
      </c>
      <c r="G260" s="24" t="str">
        <f>IF(E260&lt;&gt;"",SUMIFS(JPK_KR!AL:AL,JPK_KR!W:W,F260),"")</f>
        <v/>
      </c>
      <c r="H260" s="126" t="str">
        <f>IF(E260&lt;&gt;"",SUMIFS(JPK_KR!AM:AM,JPK_KR!W:W,F260),"")</f>
        <v/>
      </c>
      <c r="K260" s="24" t="str">
        <f>IF(I260&lt;&gt;"",SUMIFS(JPK_KR!AL:AL,JPK_KR!W:W,J260),"")</f>
        <v/>
      </c>
      <c r="L260" s="126" t="str">
        <f>IF(I260&lt;&gt;"",SUMIFS(JPK_KR!AM:AM,JPK_KR!W:W,J260),"")</f>
        <v/>
      </c>
      <c r="P260" s="24" t="str">
        <f>IF(M260&lt;&gt;"",IF(O260="",SUMIFS(JPK_KR!AL:AL,JPK_KR!W:W,N260),SUMIFS(JPK_KR!BF:BF,JPK_KR!BE:BE,N260,JPK_KR!BG:BG,O260)),"")</f>
        <v/>
      </c>
      <c r="Q260" s="126" t="str">
        <f>IF(M260&lt;&gt;"",IF(O260="",SUMIFS(JPK_KR!AM:AM,JPK_KR!W:W,N260),SUMIFS(JPK_KR!BI:BI,JPK_KR!BH:BH,N260,JPK_KR!BJ:BJ,O260)),"")</f>
        <v/>
      </c>
      <c r="U260" s="24" t="str">
        <f>IF(R260&lt;&gt;"",SUMIFS(JPK_KR!AL:AL,JPK_KR!W:W,S260),"")</f>
        <v/>
      </c>
      <c r="V260" s="126" t="str">
        <f>IF(R260&lt;&gt;"",SUMIFS(JPK_KR!AM:AM,JPK_KR!W:W,S260),"")</f>
        <v/>
      </c>
    </row>
    <row r="261" spans="3:22" x14ac:dyDescent="0.3">
      <c r="C261" s="24" t="str">
        <f>IF(A261&lt;&gt;"",SUMIFS(JPK_KR!AL:AL,JPK_KR!W:W,B261),"")</f>
        <v/>
      </c>
      <c r="D261" s="126" t="str">
        <f>IF(A261&lt;&gt;"",SUMIFS(JPK_KR!AM:AM,JPK_KR!W:W,B261),"")</f>
        <v/>
      </c>
      <c r="G261" s="24" t="str">
        <f>IF(E261&lt;&gt;"",SUMIFS(JPK_KR!AL:AL,JPK_KR!W:W,F261),"")</f>
        <v/>
      </c>
      <c r="H261" s="126" t="str">
        <f>IF(E261&lt;&gt;"",SUMIFS(JPK_KR!AM:AM,JPK_KR!W:W,F261),"")</f>
        <v/>
      </c>
      <c r="K261" s="24" t="str">
        <f>IF(I261&lt;&gt;"",SUMIFS(JPK_KR!AL:AL,JPK_KR!W:W,J261),"")</f>
        <v/>
      </c>
      <c r="L261" s="126" t="str">
        <f>IF(I261&lt;&gt;"",SUMIFS(JPK_KR!AM:AM,JPK_KR!W:W,J261),"")</f>
        <v/>
      </c>
      <c r="P261" s="24" t="str">
        <f>IF(M261&lt;&gt;"",IF(O261="",SUMIFS(JPK_KR!AL:AL,JPK_KR!W:W,N261),SUMIFS(JPK_KR!BF:BF,JPK_KR!BE:BE,N261,JPK_KR!BG:BG,O261)),"")</f>
        <v/>
      </c>
      <c r="Q261" s="126" t="str">
        <f>IF(M261&lt;&gt;"",IF(O261="",SUMIFS(JPK_KR!AM:AM,JPK_KR!W:W,N261),SUMIFS(JPK_KR!BI:BI,JPK_KR!BH:BH,N261,JPK_KR!BJ:BJ,O261)),"")</f>
        <v/>
      </c>
      <c r="U261" s="24" t="str">
        <f>IF(R261&lt;&gt;"",SUMIFS(JPK_KR!AL:AL,JPK_KR!W:W,S261),"")</f>
        <v/>
      </c>
      <c r="V261" s="126" t="str">
        <f>IF(R261&lt;&gt;"",SUMIFS(JPK_KR!AM:AM,JPK_KR!W:W,S261),"")</f>
        <v/>
      </c>
    </row>
    <row r="262" spans="3:22" x14ac:dyDescent="0.3">
      <c r="C262" s="24" t="str">
        <f>IF(A262&lt;&gt;"",SUMIFS(JPK_KR!AL:AL,JPK_KR!W:W,B262),"")</f>
        <v/>
      </c>
      <c r="D262" s="126" t="str">
        <f>IF(A262&lt;&gt;"",SUMIFS(JPK_KR!AM:AM,JPK_KR!W:W,B262),"")</f>
        <v/>
      </c>
      <c r="G262" s="24" t="str">
        <f>IF(E262&lt;&gt;"",SUMIFS(JPK_KR!AL:AL,JPK_KR!W:W,F262),"")</f>
        <v/>
      </c>
      <c r="H262" s="126" t="str">
        <f>IF(E262&lt;&gt;"",SUMIFS(JPK_KR!AM:AM,JPK_KR!W:W,F262),"")</f>
        <v/>
      </c>
      <c r="K262" s="24" t="str">
        <f>IF(I262&lt;&gt;"",SUMIFS(JPK_KR!AL:AL,JPK_KR!W:W,J262),"")</f>
        <v/>
      </c>
      <c r="L262" s="126" t="str">
        <f>IF(I262&lt;&gt;"",SUMIFS(JPK_KR!AM:AM,JPK_KR!W:W,J262),"")</f>
        <v/>
      </c>
      <c r="P262" s="24" t="str">
        <f>IF(M262&lt;&gt;"",IF(O262="",SUMIFS(JPK_KR!AL:AL,JPK_KR!W:W,N262),SUMIFS(JPK_KR!BF:BF,JPK_KR!BE:BE,N262,JPK_KR!BG:BG,O262)),"")</f>
        <v/>
      </c>
      <c r="Q262" s="126" t="str">
        <f>IF(M262&lt;&gt;"",IF(O262="",SUMIFS(JPK_KR!AM:AM,JPK_KR!W:W,N262),SUMIFS(JPK_KR!BI:BI,JPK_KR!BH:BH,N262,JPK_KR!BJ:BJ,O262)),"")</f>
        <v/>
      </c>
      <c r="U262" s="24" t="str">
        <f>IF(R262&lt;&gt;"",SUMIFS(JPK_KR!AL:AL,JPK_KR!W:W,S262),"")</f>
        <v/>
      </c>
      <c r="V262" s="126" t="str">
        <f>IF(R262&lt;&gt;"",SUMIFS(JPK_KR!AM:AM,JPK_KR!W:W,S262),"")</f>
        <v/>
      </c>
    </row>
    <row r="263" spans="3:22" x14ac:dyDescent="0.3">
      <c r="C263" s="24" t="str">
        <f>IF(A263&lt;&gt;"",SUMIFS(JPK_KR!AL:AL,JPK_KR!W:W,B263),"")</f>
        <v/>
      </c>
      <c r="D263" s="126" t="str">
        <f>IF(A263&lt;&gt;"",SUMIFS(JPK_KR!AM:AM,JPK_KR!W:W,B263),"")</f>
        <v/>
      </c>
      <c r="G263" s="24" t="str">
        <f>IF(E263&lt;&gt;"",SUMIFS(JPK_KR!AL:AL,JPK_KR!W:W,F263),"")</f>
        <v/>
      </c>
      <c r="H263" s="126" t="str">
        <f>IF(E263&lt;&gt;"",SUMIFS(JPK_KR!AM:AM,JPK_KR!W:W,F263),"")</f>
        <v/>
      </c>
      <c r="K263" s="24" t="str">
        <f>IF(I263&lt;&gt;"",SUMIFS(JPK_KR!AL:AL,JPK_KR!W:W,J263),"")</f>
        <v/>
      </c>
      <c r="L263" s="126" t="str">
        <f>IF(I263&lt;&gt;"",SUMIFS(JPK_KR!AM:AM,JPK_KR!W:W,J263),"")</f>
        <v/>
      </c>
      <c r="P263" s="24" t="str">
        <f>IF(M263&lt;&gt;"",IF(O263="",SUMIFS(JPK_KR!AL:AL,JPK_KR!W:W,N263),SUMIFS(JPK_KR!BF:BF,JPK_KR!BE:BE,N263,JPK_KR!BG:BG,O263)),"")</f>
        <v/>
      </c>
      <c r="Q263" s="126" t="str">
        <f>IF(M263&lt;&gt;"",IF(O263="",SUMIFS(JPK_KR!AM:AM,JPK_KR!W:W,N263),SUMIFS(JPK_KR!BI:BI,JPK_KR!BH:BH,N263,JPK_KR!BJ:BJ,O263)),"")</f>
        <v/>
      </c>
      <c r="U263" s="24" t="str">
        <f>IF(R263&lt;&gt;"",SUMIFS(JPK_KR!AL:AL,JPK_KR!W:W,S263),"")</f>
        <v/>
      </c>
      <c r="V263" s="126" t="str">
        <f>IF(R263&lt;&gt;"",SUMIFS(JPK_KR!AM:AM,JPK_KR!W:W,S263),"")</f>
        <v/>
      </c>
    </row>
    <row r="264" spans="3:22" x14ac:dyDescent="0.3">
      <c r="C264" s="24" t="str">
        <f>IF(A264&lt;&gt;"",SUMIFS(JPK_KR!AL:AL,JPK_KR!W:W,B264),"")</f>
        <v/>
      </c>
      <c r="D264" s="126" t="str">
        <f>IF(A264&lt;&gt;"",SUMIFS(JPK_KR!AM:AM,JPK_KR!W:W,B264),"")</f>
        <v/>
      </c>
      <c r="G264" s="24" t="str">
        <f>IF(E264&lt;&gt;"",SUMIFS(JPK_KR!AL:AL,JPK_KR!W:W,F264),"")</f>
        <v/>
      </c>
      <c r="H264" s="126" t="str">
        <f>IF(E264&lt;&gt;"",SUMIFS(JPK_KR!AM:AM,JPK_KR!W:W,F264),"")</f>
        <v/>
      </c>
      <c r="K264" s="24" t="str">
        <f>IF(I264&lt;&gt;"",SUMIFS(JPK_KR!AL:AL,JPK_KR!W:W,J264),"")</f>
        <v/>
      </c>
      <c r="L264" s="126" t="str">
        <f>IF(I264&lt;&gt;"",SUMIFS(JPK_KR!AM:AM,JPK_KR!W:W,J264),"")</f>
        <v/>
      </c>
      <c r="P264" s="24" t="str">
        <f>IF(M264&lt;&gt;"",IF(O264="",SUMIFS(JPK_KR!AL:AL,JPK_KR!W:W,N264),SUMIFS(JPK_KR!BF:BF,JPK_KR!BE:BE,N264,JPK_KR!BG:BG,O264)),"")</f>
        <v/>
      </c>
      <c r="Q264" s="126" t="str">
        <f>IF(M264&lt;&gt;"",IF(O264="",SUMIFS(JPK_KR!AM:AM,JPK_KR!W:W,N264),SUMIFS(JPK_KR!BI:BI,JPK_KR!BH:BH,N264,JPK_KR!BJ:BJ,O264)),"")</f>
        <v/>
      </c>
      <c r="U264" s="24" t="str">
        <f>IF(R264&lt;&gt;"",SUMIFS(JPK_KR!AL:AL,JPK_KR!W:W,S264),"")</f>
        <v/>
      </c>
      <c r="V264" s="126" t="str">
        <f>IF(R264&lt;&gt;"",SUMIFS(JPK_KR!AM:AM,JPK_KR!W:W,S264),"")</f>
        <v/>
      </c>
    </row>
    <row r="265" spans="3:22" x14ac:dyDescent="0.3">
      <c r="C265" s="24" t="str">
        <f>IF(A265&lt;&gt;"",SUMIFS(JPK_KR!AL:AL,JPK_KR!W:W,B265),"")</f>
        <v/>
      </c>
      <c r="D265" s="126" t="str">
        <f>IF(A265&lt;&gt;"",SUMIFS(JPK_KR!AM:AM,JPK_KR!W:W,B265),"")</f>
        <v/>
      </c>
      <c r="G265" s="24" t="str">
        <f>IF(E265&lt;&gt;"",SUMIFS(JPK_KR!AL:AL,JPK_KR!W:W,F265),"")</f>
        <v/>
      </c>
      <c r="H265" s="126" t="str">
        <f>IF(E265&lt;&gt;"",SUMIFS(JPK_KR!AM:AM,JPK_KR!W:W,F265),"")</f>
        <v/>
      </c>
      <c r="K265" s="24" t="str">
        <f>IF(I265&lt;&gt;"",SUMIFS(JPK_KR!AL:AL,JPK_KR!W:W,J265),"")</f>
        <v/>
      </c>
      <c r="L265" s="126" t="str">
        <f>IF(I265&lt;&gt;"",SUMIFS(JPK_KR!AM:AM,JPK_KR!W:W,J265),"")</f>
        <v/>
      </c>
      <c r="P265" s="24" t="str">
        <f>IF(M265&lt;&gt;"",IF(O265="",SUMIFS(JPK_KR!AL:AL,JPK_KR!W:W,N265),SUMIFS(JPK_KR!BF:BF,JPK_KR!BE:BE,N265,JPK_KR!BG:BG,O265)),"")</f>
        <v/>
      </c>
      <c r="Q265" s="126" t="str">
        <f>IF(M265&lt;&gt;"",IF(O265="",SUMIFS(JPK_KR!AM:AM,JPK_KR!W:W,N265),SUMIFS(JPK_KR!BI:BI,JPK_KR!BH:BH,N265,JPK_KR!BJ:BJ,O265)),"")</f>
        <v/>
      </c>
      <c r="U265" s="24" t="str">
        <f>IF(R265&lt;&gt;"",SUMIFS(JPK_KR!AL:AL,JPK_KR!W:W,S265),"")</f>
        <v/>
      </c>
      <c r="V265" s="126" t="str">
        <f>IF(R265&lt;&gt;"",SUMIFS(JPK_KR!AM:AM,JPK_KR!W:W,S265),"")</f>
        <v/>
      </c>
    </row>
    <row r="266" spans="3:22" x14ac:dyDescent="0.3">
      <c r="C266" s="24" t="str">
        <f>IF(A266&lt;&gt;"",SUMIFS(JPK_KR!AL:AL,JPK_KR!W:W,B266),"")</f>
        <v/>
      </c>
      <c r="D266" s="126" t="str">
        <f>IF(A266&lt;&gt;"",SUMIFS(JPK_KR!AM:AM,JPK_KR!W:W,B266),"")</f>
        <v/>
      </c>
      <c r="G266" s="24" t="str">
        <f>IF(E266&lt;&gt;"",SUMIFS(JPK_KR!AL:AL,JPK_KR!W:W,F266),"")</f>
        <v/>
      </c>
      <c r="H266" s="126" t="str">
        <f>IF(E266&lt;&gt;"",SUMIFS(JPK_KR!AM:AM,JPK_KR!W:W,F266),"")</f>
        <v/>
      </c>
      <c r="K266" s="24" t="str">
        <f>IF(I266&lt;&gt;"",SUMIFS(JPK_KR!AL:AL,JPK_KR!W:W,J266),"")</f>
        <v/>
      </c>
      <c r="L266" s="126" t="str">
        <f>IF(I266&lt;&gt;"",SUMIFS(JPK_KR!AM:AM,JPK_KR!W:W,J266),"")</f>
        <v/>
      </c>
      <c r="P266" s="24" t="str">
        <f>IF(M266&lt;&gt;"",IF(O266="",SUMIFS(JPK_KR!AL:AL,JPK_KR!W:W,N266),SUMIFS(JPK_KR!BF:BF,JPK_KR!BE:BE,N266,JPK_KR!BG:BG,O266)),"")</f>
        <v/>
      </c>
      <c r="Q266" s="126" t="str">
        <f>IF(M266&lt;&gt;"",IF(O266="",SUMIFS(JPK_KR!AM:AM,JPK_KR!W:W,N266),SUMIFS(JPK_KR!BI:BI,JPK_KR!BH:BH,N266,JPK_KR!BJ:BJ,O266)),"")</f>
        <v/>
      </c>
      <c r="U266" s="24" t="str">
        <f>IF(R266&lt;&gt;"",SUMIFS(JPK_KR!AL:AL,JPK_KR!W:W,S266),"")</f>
        <v/>
      </c>
      <c r="V266" s="126" t="str">
        <f>IF(R266&lt;&gt;"",SUMIFS(JPK_KR!AM:AM,JPK_KR!W:W,S266),"")</f>
        <v/>
      </c>
    </row>
    <row r="267" spans="3:22" x14ac:dyDescent="0.3">
      <c r="C267" s="24" t="str">
        <f>IF(A267&lt;&gt;"",SUMIFS(JPK_KR!AL:AL,JPK_KR!W:W,B267),"")</f>
        <v/>
      </c>
      <c r="D267" s="126" t="str">
        <f>IF(A267&lt;&gt;"",SUMIFS(JPK_KR!AM:AM,JPK_KR!W:W,B267),"")</f>
        <v/>
      </c>
      <c r="G267" s="24" t="str">
        <f>IF(E267&lt;&gt;"",SUMIFS(JPK_KR!AL:AL,JPK_KR!W:W,F267),"")</f>
        <v/>
      </c>
      <c r="H267" s="126" t="str">
        <f>IF(E267&lt;&gt;"",SUMIFS(JPK_KR!AM:AM,JPK_KR!W:W,F267),"")</f>
        <v/>
      </c>
      <c r="K267" s="24" t="str">
        <f>IF(I267&lt;&gt;"",SUMIFS(JPK_KR!AL:AL,JPK_KR!W:W,J267),"")</f>
        <v/>
      </c>
      <c r="L267" s="126" t="str">
        <f>IF(I267&lt;&gt;"",SUMIFS(JPK_KR!AM:AM,JPK_KR!W:W,J267),"")</f>
        <v/>
      </c>
      <c r="P267" s="24" t="str">
        <f>IF(M267&lt;&gt;"",IF(O267="",SUMIFS(JPK_KR!AL:AL,JPK_KR!W:W,N267),SUMIFS(JPK_KR!BF:BF,JPK_KR!BE:BE,N267,JPK_KR!BG:BG,O267)),"")</f>
        <v/>
      </c>
      <c r="Q267" s="126" t="str">
        <f>IF(M267&lt;&gt;"",IF(O267="",SUMIFS(JPK_KR!AM:AM,JPK_KR!W:W,N267),SUMIFS(JPK_KR!BI:BI,JPK_KR!BH:BH,N267,JPK_KR!BJ:BJ,O267)),"")</f>
        <v/>
      </c>
      <c r="U267" s="24" t="str">
        <f>IF(R267&lt;&gt;"",SUMIFS(JPK_KR!AL:AL,JPK_KR!W:W,S267),"")</f>
        <v/>
      </c>
      <c r="V267" s="126" t="str">
        <f>IF(R267&lt;&gt;"",SUMIFS(JPK_KR!AM:AM,JPK_KR!W:W,S267),"")</f>
        <v/>
      </c>
    </row>
    <row r="268" spans="3:22" x14ac:dyDescent="0.3">
      <c r="C268" s="24" t="str">
        <f>IF(A268&lt;&gt;"",SUMIFS(JPK_KR!AL:AL,JPK_KR!W:W,B268),"")</f>
        <v/>
      </c>
      <c r="D268" s="126" t="str">
        <f>IF(A268&lt;&gt;"",SUMIFS(JPK_KR!AM:AM,JPK_KR!W:W,B268),"")</f>
        <v/>
      </c>
      <c r="G268" s="24" t="str">
        <f>IF(E268&lt;&gt;"",SUMIFS(JPK_KR!AL:AL,JPK_KR!W:W,F268),"")</f>
        <v/>
      </c>
      <c r="H268" s="126" t="str">
        <f>IF(E268&lt;&gt;"",SUMIFS(JPK_KR!AM:AM,JPK_KR!W:W,F268),"")</f>
        <v/>
      </c>
      <c r="K268" s="24" t="str">
        <f>IF(I268&lt;&gt;"",SUMIFS(JPK_KR!AL:AL,JPK_KR!W:W,J268),"")</f>
        <v/>
      </c>
      <c r="L268" s="126" t="str">
        <f>IF(I268&lt;&gt;"",SUMIFS(JPK_KR!AM:AM,JPK_KR!W:W,J268),"")</f>
        <v/>
      </c>
      <c r="P268" s="24" t="str">
        <f>IF(M268&lt;&gt;"",IF(O268="",SUMIFS(JPK_KR!AL:AL,JPK_KR!W:W,N268),SUMIFS(JPK_KR!BF:BF,JPK_KR!BE:BE,N268,JPK_KR!BG:BG,O268)),"")</f>
        <v/>
      </c>
      <c r="Q268" s="126" t="str">
        <f>IF(M268&lt;&gt;"",IF(O268="",SUMIFS(JPK_KR!AM:AM,JPK_KR!W:W,N268),SUMIFS(JPK_KR!BI:BI,JPK_KR!BH:BH,N268,JPK_KR!BJ:BJ,O268)),"")</f>
        <v/>
      </c>
      <c r="U268" s="24" t="str">
        <f>IF(R268&lt;&gt;"",SUMIFS(JPK_KR!AL:AL,JPK_KR!W:W,S268),"")</f>
        <v/>
      </c>
      <c r="V268" s="126" t="str">
        <f>IF(R268&lt;&gt;"",SUMIFS(JPK_KR!AM:AM,JPK_KR!W:W,S268),"")</f>
        <v/>
      </c>
    </row>
    <row r="269" spans="3:22" x14ac:dyDescent="0.3">
      <c r="C269" s="24" t="str">
        <f>IF(A269&lt;&gt;"",SUMIFS(JPK_KR!AL:AL,JPK_KR!W:W,B269),"")</f>
        <v/>
      </c>
      <c r="D269" s="126" t="str">
        <f>IF(A269&lt;&gt;"",SUMIFS(JPK_KR!AM:AM,JPK_KR!W:W,B269),"")</f>
        <v/>
      </c>
      <c r="G269" s="24" t="str">
        <f>IF(E269&lt;&gt;"",SUMIFS(JPK_KR!AL:AL,JPK_KR!W:W,F269),"")</f>
        <v/>
      </c>
      <c r="H269" s="126" t="str">
        <f>IF(E269&lt;&gt;"",SUMIFS(JPK_KR!AM:AM,JPK_KR!W:W,F269),"")</f>
        <v/>
      </c>
      <c r="K269" s="24" t="str">
        <f>IF(I269&lt;&gt;"",SUMIFS(JPK_KR!AL:AL,JPK_KR!W:W,J269),"")</f>
        <v/>
      </c>
      <c r="L269" s="126" t="str">
        <f>IF(I269&lt;&gt;"",SUMIFS(JPK_KR!AM:AM,JPK_KR!W:W,J269),"")</f>
        <v/>
      </c>
      <c r="P269" s="24" t="str">
        <f>IF(M269&lt;&gt;"",IF(O269="",SUMIFS(JPK_KR!AL:AL,JPK_KR!W:W,N269),SUMIFS(JPK_KR!BF:BF,JPK_KR!BE:BE,N269,JPK_KR!BG:BG,O269)),"")</f>
        <v/>
      </c>
      <c r="Q269" s="126" t="str">
        <f>IF(M269&lt;&gt;"",IF(O269="",SUMIFS(JPK_KR!AM:AM,JPK_KR!W:W,N269),SUMIFS(JPK_KR!BI:BI,JPK_KR!BH:BH,N269,JPK_KR!BJ:BJ,O269)),"")</f>
        <v/>
      </c>
      <c r="U269" s="24" t="str">
        <f>IF(R269&lt;&gt;"",SUMIFS(JPK_KR!AL:AL,JPK_KR!W:W,S269),"")</f>
        <v/>
      </c>
      <c r="V269" s="126" t="str">
        <f>IF(R269&lt;&gt;"",SUMIFS(JPK_KR!AM:AM,JPK_KR!W:W,S269),"")</f>
        <v/>
      </c>
    </row>
    <row r="270" spans="3:22" x14ac:dyDescent="0.3">
      <c r="C270" s="24" t="str">
        <f>IF(A270&lt;&gt;"",SUMIFS(JPK_KR!AL:AL,JPK_KR!W:W,B270),"")</f>
        <v/>
      </c>
      <c r="D270" s="126" t="str">
        <f>IF(A270&lt;&gt;"",SUMIFS(JPK_KR!AM:AM,JPK_KR!W:W,B270),"")</f>
        <v/>
      </c>
      <c r="G270" s="24" t="str">
        <f>IF(E270&lt;&gt;"",SUMIFS(JPK_KR!AL:AL,JPK_KR!W:W,F270),"")</f>
        <v/>
      </c>
      <c r="H270" s="126" t="str">
        <f>IF(E270&lt;&gt;"",SUMIFS(JPK_KR!AM:AM,JPK_KR!W:W,F270),"")</f>
        <v/>
      </c>
      <c r="K270" s="24" t="str">
        <f>IF(I270&lt;&gt;"",SUMIFS(JPK_KR!AL:AL,JPK_KR!W:W,J270),"")</f>
        <v/>
      </c>
      <c r="L270" s="126" t="str">
        <f>IF(I270&lt;&gt;"",SUMIFS(JPK_KR!AM:AM,JPK_KR!W:W,J270),"")</f>
        <v/>
      </c>
      <c r="P270" s="24" t="str">
        <f>IF(M270&lt;&gt;"",IF(O270="",SUMIFS(JPK_KR!AL:AL,JPK_KR!W:W,N270),SUMIFS(JPK_KR!BF:BF,JPK_KR!BE:BE,N270,JPK_KR!BG:BG,O270)),"")</f>
        <v/>
      </c>
      <c r="Q270" s="126" t="str">
        <f>IF(M270&lt;&gt;"",IF(O270="",SUMIFS(JPK_KR!AM:AM,JPK_KR!W:W,N270),SUMIFS(JPK_KR!BI:BI,JPK_KR!BH:BH,N270,JPK_KR!BJ:BJ,O270)),"")</f>
        <v/>
      </c>
      <c r="U270" s="24" t="str">
        <f>IF(R270&lt;&gt;"",SUMIFS(JPK_KR!AL:AL,JPK_KR!W:W,S270),"")</f>
        <v/>
      </c>
      <c r="V270" s="126" t="str">
        <f>IF(R270&lt;&gt;"",SUMIFS(JPK_KR!AM:AM,JPK_KR!W:W,S270),"")</f>
        <v/>
      </c>
    </row>
    <row r="271" spans="3:22" x14ac:dyDescent="0.3">
      <c r="C271" s="24" t="str">
        <f>IF(A271&lt;&gt;"",SUMIFS(JPK_KR!AL:AL,JPK_KR!W:W,B271),"")</f>
        <v/>
      </c>
      <c r="D271" s="126" t="str">
        <f>IF(A271&lt;&gt;"",SUMIFS(JPK_KR!AM:AM,JPK_KR!W:W,B271),"")</f>
        <v/>
      </c>
      <c r="G271" s="24" t="str">
        <f>IF(E271&lt;&gt;"",SUMIFS(JPK_KR!AL:AL,JPK_KR!W:W,F271),"")</f>
        <v/>
      </c>
      <c r="H271" s="126" t="str">
        <f>IF(E271&lt;&gt;"",SUMIFS(JPK_KR!AM:AM,JPK_KR!W:W,F271),"")</f>
        <v/>
      </c>
      <c r="K271" s="24" t="str">
        <f>IF(I271&lt;&gt;"",SUMIFS(JPK_KR!AL:AL,JPK_KR!W:W,J271),"")</f>
        <v/>
      </c>
      <c r="L271" s="126" t="str">
        <f>IF(I271&lt;&gt;"",SUMIFS(JPK_KR!AM:AM,JPK_KR!W:W,J271),"")</f>
        <v/>
      </c>
      <c r="P271" s="24" t="str">
        <f>IF(M271&lt;&gt;"",IF(O271="",SUMIFS(JPK_KR!AL:AL,JPK_KR!W:W,N271),SUMIFS(JPK_KR!BF:BF,JPK_KR!BE:BE,N271,JPK_KR!BG:BG,O271)),"")</f>
        <v/>
      </c>
      <c r="Q271" s="126" t="str">
        <f>IF(M271&lt;&gt;"",IF(O271="",SUMIFS(JPK_KR!AM:AM,JPK_KR!W:W,N271),SUMIFS(JPK_KR!BI:BI,JPK_KR!BH:BH,N271,JPK_KR!BJ:BJ,O271)),"")</f>
        <v/>
      </c>
      <c r="U271" s="24" t="str">
        <f>IF(R271&lt;&gt;"",SUMIFS(JPK_KR!AL:AL,JPK_KR!W:W,S271),"")</f>
        <v/>
      </c>
      <c r="V271" s="126" t="str">
        <f>IF(R271&lt;&gt;"",SUMIFS(JPK_KR!AM:AM,JPK_KR!W:W,S271),"")</f>
        <v/>
      </c>
    </row>
    <row r="272" spans="3:22" x14ac:dyDescent="0.3">
      <c r="C272" s="24" t="str">
        <f>IF(A272&lt;&gt;"",SUMIFS(JPK_KR!AL:AL,JPK_KR!W:W,B272),"")</f>
        <v/>
      </c>
      <c r="D272" s="126" t="str">
        <f>IF(A272&lt;&gt;"",SUMIFS(JPK_KR!AM:AM,JPK_KR!W:W,B272),"")</f>
        <v/>
      </c>
      <c r="G272" s="24" t="str">
        <f>IF(E272&lt;&gt;"",SUMIFS(JPK_KR!AL:AL,JPK_KR!W:W,F272),"")</f>
        <v/>
      </c>
      <c r="H272" s="126" t="str">
        <f>IF(E272&lt;&gt;"",SUMIFS(JPK_KR!AM:AM,JPK_KR!W:W,F272),"")</f>
        <v/>
      </c>
      <c r="K272" s="24" t="str">
        <f>IF(I272&lt;&gt;"",SUMIFS(JPK_KR!AL:AL,JPK_KR!W:W,J272),"")</f>
        <v/>
      </c>
      <c r="L272" s="126" t="str">
        <f>IF(I272&lt;&gt;"",SUMIFS(JPK_KR!AM:AM,JPK_KR!W:W,J272),"")</f>
        <v/>
      </c>
      <c r="P272" s="24" t="str">
        <f>IF(M272&lt;&gt;"",IF(O272="",SUMIFS(JPK_KR!AL:AL,JPK_KR!W:W,N272),SUMIFS(JPK_KR!BF:BF,JPK_KR!BE:BE,N272,JPK_KR!BG:BG,O272)),"")</f>
        <v/>
      </c>
      <c r="Q272" s="126" t="str">
        <f>IF(M272&lt;&gt;"",IF(O272="",SUMIFS(JPK_KR!AM:AM,JPK_KR!W:W,N272),SUMIFS(JPK_KR!BI:BI,JPK_KR!BH:BH,N272,JPK_KR!BJ:BJ,O272)),"")</f>
        <v/>
      </c>
      <c r="U272" s="24" t="str">
        <f>IF(R272&lt;&gt;"",SUMIFS(JPK_KR!AL:AL,JPK_KR!W:W,S272),"")</f>
        <v/>
      </c>
      <c r="V272" s="126" t="str">
        <f>IF(R272&lt;&gt;"",SUMIFS(JPK_KR!AM:AM,JPK_KR!W:W,S272),"")</f>
        <v/>
      </c>
    </row>
    <row r="273" spans="3:22" x14ac:dyDescent="0.3">
      <c r="C273" s="24" t="str">
        <f>IF(A273&lt;&gt;"",SUMIFS(JPK_KR!AL:AL,JPK_KR!W:W,B273),"")</f>
        <v/>
      </c>
      <c r="D273" s="126" t="str">
        <f>IF(A273&lt;&gt;"",SUMIFS(JPK_KR!AM:AM,JPK_KR!W:W,B273),"")</f>
        <v/>
      </c>
      <c r="G273" s="24" t="str">
        <f>IF(E273&lt;&gt;"",SUMIFS(JPK_KR!AL:AL,JPK_KR!W:W,F273),"")</f>
        <v/>
      </c>
      <c r="H273" s="126" t="str">
        <f>IF(E273&lt;&gt;"",SUMIFS(JPK_KR!AM:AM,JPK_KR!W:W,F273),"")</f>
        <v/>
      </c>
      <c r="K273" s="24" t="str">
        <f>IF(I273&lt;&gt;"",SUMIFS(JPK_KR!AL:AL,JPK_KR!W:W,J273),"")</f>
        <v/>
      </c>
      <c r="L273" s="126" t="str">
        <f>IF(I273&lt;&gt;"",SUMIFS(JPK_KR!AM:AM,JPK_KR!W:W,J273),"")</f>
        <v/>
      </c>
      <c r="P273" s="24" t="str">
        <f>IF(M273&lt;&gt;"",IF(O273="",SUMIFS(JPK_KR!AL:AL,JPK_KR!W:W,N273),SUMIFS(JPK_KR!BF:BF,JPK_KR!BE:BE,N273,JPK_KR!BG:BG,O273)),"")</f>
        <v/>
      </c>
      <c r="Q273" s="126" t="str">
        <f>IF(M273&lt;&gt;"",IF(O273="",SUMIFS(JPK_KR!AM:AM,JPK_KR!W:W,N273),SUMIFS(JPK_KR!BI:BI,JPK_KR!BH:BH,N273,JPK_KR!BJ:BJ,O273)),"")</f>
        <v/>
      </c>
      <c r="U273" s="24" t="str">
        <f>IF(R273&lt;&gt;"",SUMIFS(JPK_KR!AL:AL,JPK_KR!W:W,S273),"")</f>
        <v/>
      </c>
      <c r="V273" s="126" t="str">
        <f>IF(R273&lt;&gt;"",SUMIFS(JPK_KR!AM:AM,JPK_KR!W:W,S273),"")</f>
        <v/>
      </c>
    </row>
    <row r="274" spans="3:22" x14ac:dyDescent="0.3">
      <c r="C274" s="24" t="str">
        <f>IF(A274&lt;&gt;"",SUMIFS(JPK_KR!AL:AL,JPK_KR!W:W,B274),"")</f>
        <v/>
      </c>
      <c r="D274" s="126" t="str">
        <f>IF(A274&lt;&gt;"",SUMIFS(JPK_KR!AM:AM,JPK_KR!W:W,B274),"")</f>
        <v/>
      </c>
      <c r="G274" s="24" t="str">
        <f>IF(E274&lt;&gt;"",SUMIFS(JPK_KR!AL:AL,JPK_KR!W:W,F274),"")</f>
        <v/>
      </c>
      <c r="H274" s="126" t="str">
        <f>IF(E274&lt;&gt;"",SUMIFS(JPK_KR!AM:AM,JPK_KR!W:W,F274),"")</f>
        <v/>
      </c>
      <c r="K274" s="24" t="str">
        <f>IF(I274&lt;&gt;"",SUMIFS(JPK_KR!AL:AL,JPK_KR!W:W,J274),"")</f>
        <v/>
      </c>
      <c r="L274" s="126" t="str">
        <f>IF(I274&lt;&gt;"",SUMIFS(JPK_KR!AM:AM,JPK_KR!W:W,J274),"")</f>
        <v/>
      </c>
      <c r="P274" s="24" t="str">
        <f>IF(M274&lt;&gt;"",IF(O274="",SUMIFS(JPK_KR!AL:AL,JPK_KR!W:W,N274),SUMIFS(JPK_KR!BF:BF,JPK_KR!BE:BE,N274,JPK_KR!BG:BG,O274)),"")</f>
        <v/>
      </c>
      <c r="Q274" s="126" t="str">
        <f>IF(M274&lt;&gt;"",IF(O274="",SUMIFS(JPK_KR!AM:AM,JPK_KR!W:W,N274),SUMIFS(JPK_KR!BI:BI,JPK_KR!BH:BH,N274,JPK_KR!BJ:BJ,O274)),"")</f>
        <v/>
      </c>
      <c r="U274" s="24" t="str">
        <f>IF(R274&lt;&gt;"",SUMIFS(JPK_KR!AL:AL,JPK_KR!W:W,S274),"")</f>
        <v/>
      </c>
      <c r="V274" s="126" t="str">
        <f>IF(R274&lt;&gt;"",SUMIFS(JPK_KR!AM:AM,JPK_KR!W:W,S274),"")</f>
        <v/>
      </c>
    </row>
    <row r="275" spans="3:22" x14ac:dyDescent="0.3">
      <c r="C275" s="24" t="str">
        <f>IF(A275&lt;&gt;"",SUMIFS(JPK_KR!AL:AL,JPK_KR!W:W,B275),"")</f>
        <v/>
      </c>
      <c r="D275" s="126" t="str">
        <f>IF(A275&lt;&gt;"",SUMIFS(JPK_KR!AM:AM,JPK_KR!W:W,B275),"")</f>
        <v/>
      </c>
      <c r="G275" s="24" t="str">
        <f>IF(E275&lt;&gt;"",SUMIFS(JPK_KR!AL:AL,JPK_KR!W:W,F275),"")</f>
        <v/>
      </c>
      <c r="H275" s="126" t="str">
        <f>IF(E275&lt;&gt;"",SUMIFS(JPK_KR!AM:AM,JPK_KR!W:W,F275),"")</f>
        <v/>
      </c>
      <c r="K275" s="24" t="str">
        <f>IF(I275&lt;&gt;"",SUMIFS(JPK_KR!AL:AL,JPK_KR!W:W,J275),"")</f>
        <v/>
      </c>
      <c r="L275" s="126" t="str">
        <f>IF(I275&lt;&gt;"",SUMIFS(JPK_KR!AM:AM,JPK_KR!W:W,J275),"")</f>
        <v/>
      </c>
      <c r="P275" s="24" t="str">
        <f>IF(M275&lt;&gt;"",IF(O275="",SUMIFS(JPK_KR!AL:AL,JPK_KR!W:W,N275),SUMIFS(JPK_KR!BF:BF,JPK_KR!BE:BE,N275,JPK_KR!BG:BG,O275)),"")</f>
        <v/>
      </c>
      <c r="Q275" s="126" t="str">
        <f>IF(M275&lt;&gt;"",IF(O275="",SUMIFS(JPK_KR!AM:AM,JPK_KR!W:W,N275),SUMIFS(JPK_KR!BI:BI,JPK_KR!BH:BH,N275,JPK_KR!BJ:BJ,O275)),"")</f>
        <v/>
      </c>
      <c r="U275" s="24" t="str">
        <f>IF(R275&lt;&gt;"",SUMIFS(JPK_KR!AL:AL,JPK_KR!W:W,S275),"")</f>
        <v/>
      </c>
      <c r="V275" s="126" t="str">
        <f>IF(R275&lt;&gt;"",SUMIFS(JPK_KR!AM:AM,JPK_KR!W:W,S275),"")</f>
        <v/>
      </c>
    </row>
    <row r="276" spans="3:22" x14ac:dyDescent="0.3">
      <c r="C276" s="24" t="str">
        <f>IF(A276&lt;&gt;"",SUMIFS(JPK_KR!AL:AL,JPK_KR!W:W,B276),"")</f>
        <v/>
      </c>
      <c r="D276" s="126" t="str">
        <f>IF(A276&lt;&gt;"",SUMIFS(JPK_KR!AM:AM,JPK_KR!W:W,B276),"")</f>
        <v/>
      </c>
      <c r="G276" s="24" t="str">
        <f>IF(E276&lt;&gt;"",SUMIFS(JPK_KR!AL:AL,JPK_KR!W:W,F276),"")</f>
        <v/>
      </c>
      <c r="H276" s="126" t="str">
        <f>IF(E276&lt;&gt;"",SUMIFS(JPK_KR!AM:AM,JPK_KR!W:W,F276),"")</f>
        <v/>
      </c>
      <c r="K276" s="24" t="str">
        <f>IF(I276&lt;&gt;"",SUMIFS(JPK_KR!AL:AL,JPK_KR!W:W,J276),"")</f>
        <v/>
      </c>
      <c r="L276" s="126" t="str">
        <f>IF(I276&lt;&gt;"",SUMIFS(JPK_KR!AM:AM,JPK_KR!W:W,J276),"")</f>
        <v/>
      </c>
      <c r="P276" s="24" t="str">
        <f>IF(M276&lt;&gt;"",IF(O276="",SUMIFS(JPK_KR!AL:AL,JPK_KR!W:W,N276),SUMIFS(JPK_KR!BF:BF,JPK_KR!BE:BE,N276,JPK_KR!BG:BG,O276)),"")</f>
        <v/>
      </c>
      <c r="Q276" s="126" t="str">
        <f>IF(M276&lt;&gt;"",IF(O276="",SUMIFS(JPK_KR!AM:AM,JPK_KR!W:W,N276),SUMIFS(JPK_KR!BI:BI,JPK_KR!BH:BH,N276,JPK_KR!BJ:BJ,O276)),"")</f>
        <v/>
      </c>
      <c r="U276" s="24" t="str">
        <f>IF(R276&lt;&gt;"",SUMIFS(JPK_KR!AL:AL,JPK_KR!W:W,S276),"")</f>
        <v/>
      </c>
      <c r="V276" s="126" t="str">
        <f>IF(R276&lt;&gt;"",SUMIFS(JPK_KR!AM:AM,JPK_KR!W:W,S276),"")</f>
        <v/>
      </c>
    </row>
    <row r="277" spans="3:22" x14ac:dyDescent="0.3">
      <c r="C277" s="24" t="str">
        <f>IF(A277&lt;&gt;"",SUMIFS(JPK_KR!AL:AL,JPK_KR!W:W,B277),"")</f>
        <v/>
      </c>
      <c r="D277" s="126" t="str">
        <f>IF(A277&lt;&gt;"",SUMIFS(JPK_KR!AM:AM,JPK_KR!W:W,B277),"")</f>
        <v/>
      </c>
      <c r="G277" s="24" t="str">
        <f>IF(E277&lt;&gt;"",SUMIFS(JPK_KR!AL:AL,JPK_KR!W:W,F277),"")</f>
        <v/>
      </c>
      <c r="H277" s="126" t="str">
        <f>IF(E277&lt;&gt;"",SUMIFS(JPK_KR!AM:AM,JPK_KR!W:W,F277),"")</f>
        <v/>
      </c>
      <c r="K277" s="24" t="str">
        <f>IF(I277&lt;&gt;"",SUMIFS(JPK_KR!AL:AL,JPK_KR!W:W,J277),"")</f>
        <v/>
      </c>
      <c r="L277" s="126" t="str">
        <f>IF(I277&lt;&gt;"",SUMIFS(JPK_KR!AM:AM,JPK_KR!W:W,J277),"")</f>
        <v/>
      </c>
      <c r="P277" s="24" t="str">
        <f>IF(M277&lt;&gt;"",IF(O277="",SUMIFS(JPK_KR!AL:AL,JPK_KR!W:W,N277),SUMIFS(JPK_KR!BF:BF,JPK_KR!BE:BE,N277,JPK_KR!BG:BG,O277)),"")</f>
        <v/>
      </c>
      <c r="Q277" s="126" t="str">
        <f>IF(M277&lt;&gt;"",IF(O277="",SUMIFS(JPK_KR!AM:AM,JPK_KR!W:W,N277),SUMIFS(JPK_KR!BI:BI,JPK_KR!BH:BH,N277,JPK_KR!BJ:BJ,O277)),"")</f>
        <v/>
      </c>
      <c r="U277" s="24" t="str">
        <f>IF(R277&lt;&gt;"",SUMIFS(JPK_KR!AL:AL,JPK_KR!W:W,S277),"")</f>
        <v/>
      </c>
      <c r="V277" s="126" t="str">
        <f>IF(R277&lt;&gt;"",SUMIFS(JPK_KR!AM:AM,JPK_KR!W:W,S277),"")</f>
        <v/>
      </c>
    </row>
    <row r="278" spans="3:22" x14ac:dyDescent="0.3">
      <c r="C278" s="24" t="str">
        <f>IF(A278&lt;&gt;"",SUMIFS(JPK_KR!AL:AL,JPK_KR!W:W,B278),"")</f>
        <v/>
      </c>
      <c r="D278" s="126" t="str">
        <f>IF(A278&lt;&gt;"",SUMIFS(JPK_KR!AM:AM,JPK_KR!W:W,B278),"")</f>
        <v/>
      </c>
      <c r="G278" s="24" t="str">
        <f>IF(E278&lt;&gt;"",SUMIFS(JPK_KR!AL:AL,JPK_KR!W:W,F278),"")</f>
        <v/>
      </c>
      <c r="H278" s="126" t="str">
        <f>IF(E278&lt;&gt;"",SUMIFS(JPK_KR!AM:AM,JPK_KR!W:W,F278),"")</f>
        <v/>
      </c>
      <c r="K278" s="24" t="str">
        <f>IF(I278&lt;&gt;"",SUMIFS(JPK_KR!AL:AL,JPK_KR!W:W,J278),"")</f>
        <v/>
      </c>
      <c r="L278" s="126" t="str">
        <f>IF(I278&lt;&gt;"",SUMIFS(JPK_KR!AM:AM,JPK_KR!W:W,J278),"")</f>
        <v/>
      </c>
      <c r="P278" s="24" t="str">
        <f>IF(M278&lt;&gt;"",IF(O278="",SUMIFS(JPK_KR!AL:AL,JPK_KR!W:W,N278),SUMIFS(JPK_KR!BF:BF,JPK_KR!BE:BE,N278,JPK_KR!BG:BG,O278)),"")</f>
        <v/>
      </c>
      <c r="Q278" s="126" t="str">
        <f>IF(M278&lt;&gt;"",IF(O278="",SUMIFS(JPK_KR!AM:AM,JPK_KR!W:W,N278),SUMIFS(JPK_KR!BI:BI,JPK_KR!BH:BH,N278,JPK_KR!BJ:BJ,O278)),"")</f>
        <v/>
      </c>
      <c r="U278" s="24" t="str">
        <f>IF(R278&lt;&gt;"",SUMIFS(JPK_KR!AL:AL,JPK_KR!W:W,S278),"")</f>
        <v/>
      </c>
      <c r="V278" s="126" t="str">
        <f>IF(R278&lt;&gt;"",SUMIFS(JPK_KR!AM:AM,JPK_KR!W:W,S278),"")</f>
        <v/>
      </c>
    </row>
    <row r="279" spans="3:22" x14ac:dyDescent="0.3">
      <c r="C279" s="24" t="str">
        <f>IF(A279&lt;&gt;"",SUMIFS(JPK_KR!AL:AL,JPK_KR!W:W,B279),"")</f>
        <v/>
      </c>
      <c r="D279" s="126" t="str">
        <f>IF(A279&lt;&gt;"",SUMIFS(JPK_KR!AM:AM,JPK_KR!W:W,B279),"")</f>
        <v/>
      </c>
      <c r="G279" s="24" t="str">
        <f>IF(E279&lt;&gt;"",SUMIFS(JPK_KR!AL:AL,JPK_KR!W:W,F279),"")</f>
        <v/>
      </c>
      <c r="H279" s="126" t="str">
        <f>IF(E279&lt;&gt;"",SUMIFS(JPK_KR!AM:AM,JPK_KR!W:W,F279),"")</f>
        <v/>
      </c>
      <c r="K279" s="24" t="str">
        <f>IF(I279&lt;&gt;"",SUMIFS(JPK_KR!AL:AL,JPK_KR!W:W,J279),"")</f>
        <v/>
      </c>
      <c r="L279" s="126" t="str">
        <f>IF(I279&lt;&gt;"",SUMIFS(JPK_KR!AM:AM,JPK_KR!W:W,J279),"")</f>
        <v/>
      </c>
      <c r="P279" s="24" t="str">
        <f>IF(M279&lt;&gt;"",IF(O279="",SUMIFS(JPK_KR!AL:AL,JPK_KR!W:W,N279),SUMIFS(JPK_KR!BF:BF,JPK_KR!BE:BE,N279,JPK_KR!BG:BG,O279)),"")</f>
        <v/>
      </c>
      <c r="Q279" s="126" t="str">
        <f>IF(M279&lt;&gt;"",IF(O279="",SUMIFS(JPK_KR!AM:AM,JPK_KR!W:W,N279),SUMIFS(JPK_KR!BI:BI,JPK_KR!BH:BH,N279,JPK_KR!BJ:BJ,O279)),"")</f>
        <v/>
      </c>
      <c r="U279" s="24" t="str">
        <f>IF(R279&lt;&gt;"",SUMIFS(JPK_KR!AL:AL,JPK_KR!W:W,S279),"")</f>
        <v/>
      </c>
      <c r="V279" s="126" t="str">
        <f>IF(R279&lt;&gt;"",SUMIFS(JPK_KR!AM:AM,JPK_KR!W:W,S279),"")</f>
        <v/>
      </c>
    </row>
    <row r="280" spans="3:22" x14ac:dyDescent="0.3">
      <c r="C280" s="24" t="str">
        <f>IF(A280&lt;&gt;"",SUMIFS(JPK_KR!AL:AL,JPK_KR!W:W,B280),"")</f>
        <v/>
      </c>
      <c r="D280" s="126" t="str">
        <f>IF(A280&lt;&gt;"",SUMIFS(JPK_KR!AM:AM,JPK_KR!W:W,B280),"")</f>
        <v/>
      </c>
      <c r="G280" s="24" t="str">
        <f>IF(E280&lt;&gt;"",SUMIFS(JPK_KR!AL:AL,JPK_KR!W:W,F280),"")</f>
        <v/>
      </c>
      <c r="H280" s="126" t="str">
        <f>IF(E280&lt;&gt;"",SUMIFS(JPK_KR!AM:AM,JPK_KR!W:W,F280),"")</f>
        <v/>
      </c>
      <c r="K280" s="24" t="str">
        <f>IF(I280&lt;&gt;"",SUMIFS(JPK_KR!AL:AL,JPK_KR!W:W,J280),"")</f>
        <v/>
      </c>
      <c r="L280" s="126" t="str">
        <f>IF(I280&lt;&gt;"",SUMIFS(JPK_KR!AM:AM,JPK_KR!W:W,J280),"")</f>
        <v/>
      </c>
      <c r="P280" s="24" t="str">
        <f>IF(M280&lt;&gt;"",IF(O280="",SUMIFS(JPK_KR!AL:AL,JPK_KR!W:W,N280),SUMIFS(JPK_KR!BF:BF,JPK_KR!BE:BE,N280,JPK_KR!BG:BG,O280)),"")</f>
        <v/>
      </c>
      <c r="Q280" s="126" t="str">
        <f>IF(M280&lt;&gt;"",IF(O280="",SUMIFS(JPK_KR!AM:AM,JPK_KR!W:W,N280),SUMIFS(JPK_KR!BI:BI,JPK_KR!BH:BH,N280,JPK_KR!BJ:BJ,O280)),"")</f>
        <v/>
      </c>
      <c r="U280" s="24" t="str">
        <f>IF(R280&lt;&gt;"",SUMIFS(JPK_KR!AL:AL,JPK_KR!W:W,S280),"")</f>
        <v/>
      </c>
      <c r="V280" s="126" t="str">
        <f>IF(R280&lt;&gt;"",SUMIFS(JPK_KR!AM:AM,JPK_KR!W:W,S280),"")</f>
        <v/>
      </c>
    </row>
    <row r="281" spans="3:22" x14ac:dyDescent="0.3">
      <c r="C281" s="24" t="str">
        <f>IF(A281&lt;&gt;"",SUMIFS(JPK_KR!AL:AL,JPK_KR!W:W,B281),"")</f>
        <v/>
      </c>
      <c r="D281" s="126" t="str">
        <f>IF(A281&lt;&gt;"",SUMIFS(JPK_KR!AM:AM,JPK_KR!W:W,B281),"")</f>
        <v/>
      </c>
      <c r="G281" s="24" t="str">
        <f>IF(E281&lt;&gt;"",SUMIFS(JPK_KR!AL:AL,JPK_KR!W:W,F281),"")</f>
        <v/>
      </c>
      <c r="H281" s="126" t="str">
        <f>IF(E281&lt;&gt;"",SUMIFS(JPK_KR!AM:AM,JPK_KR!W:W,F281),"")</f>
        <v/>
      </c>
      <c r="K281" s="24" t="str">
        <f>IF(I281&lt;&gt;"",SUMIFS(JPK_KR!AL:AL,JPK_KR!W:W,J281),"")</f>
        <v/>
      </c>
      <c r="L281" s="126" t="str">
        <f>IF(I281&lt;&gt;"",SUMIFS(JPK_KR!AM:AM,JPK_KR!W:W,J281),"")</f>
        <v/>
      </c>
      <c r="P281" s="24" t="str">
        <f>IF(M281&lt;&gt;"",IF(O281="",SUMIFS(JPK_KR!AL:AL,JPK_KR!W:W,N281),SUMIFS(JPK_KR!BF:BF,JPK_KR!BE:BE,N281,JPK_KR!BG:BG,O281)),"")</f>
        <v/>
      </c>
      <c r="Q281" s="126" t="str">
        <f>IF(M281&lt;&gt;"",IF(O281="",SUMIFS(JPK_KR!AM:AM,JPK_KR!W:W,N281),SUMIFS(JPK_KR!BI:BI,JPK_KR!BH:BH,N281,JPK_KR!BJ:BJ,O281)),"")</f>
        <v/>
      </c>
      <c r="U281" s="24" t="str">
        <f>IF(R281&lt;&gt;"",SUMIFS(JPK_KR!AL:AL,JPK_KR!W:W,S281),"")</f>
        <v/>
      </c>
      <c r="V281" s="126" t="str">
        <f>IF(R281&lt;&gt;"",SUMIFS(JPK_KR!AM:AM,JPK_KR!W:W,S281),"")</f>
        <v/>
      </c>
    </row>
    <row r="282" spans="3:22" x14ac:dyDescent="0.3">
      <c r="C282" s="24" t="str">
        <f>IF(A282&lt;&gt;"",SUMIFS(JPK_KR!AL:AL,JPK_KR!W:W,B282),"")</f>
        <v/>
      </c>
      <c r="D282" s="126" t="str">
        <f>IF(A282&lt;&gt;"",SUMIFS(JPK_KR!AM:AM,JPK_KR!W:W,B282),"")</f>
        <v/>
      </c>
      <c r="G282" s="24" t="str">
        <f>IF(E282&lt;&gt;"",SUMIFS(JPK_KR!AL:AL,JPK_KR!W:W,F282),"")</f>
        <v/>
      </c>
      <c r="H282" s="126" t="str">
        <f>IF(E282&lt;&gt;"",SUMIFS(JPK_KR!AM:AM,JPK_KR!W:W,F282),"")</f>
        <v/>
      </c>
      <c r="K282" s="24" t="str">
        <f>IF(I282&lt;&gt;"",SUMIFS(JPK_KR!AL:AL,JPK_KR!W:W,J282),"")</f>
        <v/>
      </c>
      <c r="L282" s="126" t="str">
        <f>IF(I282&lt;&gt;"",SUMIFS(JPK_KR!AM:AM,JPK_KR!W:W,J282),"")</f>
        <v/>
      </c>
      <c r="P282" s="24" t="str">
        <f>IF(M282&lt;&gt;"",IF(O282="",SUMIFS(JPK_KR!AL:AL,JPK_KR!W:W,N282),SUMIFS(JPK_KR!BF:BF,JPK_KR!BE:BE,N282,JPK_KR!BG:BG,O282)),"")</f>
        <v/>
      </c>
      <c r="Q282" s="126" t="str">
        <f>IF(M282&lt;&gt;"",IF(O282="",SUMIFS(JPK_KR!AM:AM,JPK_KR!W:W,N282),SUMIFS(JPK_KR!BI:BI,JPK_KR!BH:BH,N282,JPK_KR!BJ:BJ,O282)),"")</f>
        <v/>
      </c>
      <c r="U282" s="24" t="str">
        <f>IF(R282&lt;&gt;"",SUMIFS(JPK_KR!AL:AL,JPK_KR!W:W,S282),"")</f>
        <v/>
      </c>
      <c r="V282" s="126" t="str">
        <f>IF(R282&lt;&gt;"",SUMIFS(JPK_KR!AM:AM,JPK_KR!W:W,S282),"")</f>
        <v/>
      </c>
    </row>
    <row r="283" spans="3:22" x14ac:dyDescent="0.3">
      <c r="C283" s="24" t="str">
        <f>IF(A283&lt;&gt;"",SUMIFS(JPK_KR!AL:AL,JPK_KR!W:W,B283),"")</f>
        <v/>
      </c>
      <c r="D283" s="126" t="str">
        <f>IF(A283&lt;&gt;"",SUMIFS(JPK_KR!AM:AM,JPK_KR!W:W,B283),"")</f>
        <v/>
      </c>
      <c r="G283" s="24" t="str">
        <f>IF(E283&lt;&gt;"",SUMIFS(JPK_KR!AL:AL,JPK_KR!W:W,F283),"")</f>
        <v/>
      </c>
      <c r="H283" s="126" t="str">
        <f>IF(E283&lt;&gt;"",SUMIFS(JPK_KR!AM:AM,JPK_KR!W:W,F283),"")</f>
        <v/>
      </c>
      <c r="K283" s="24" t="str">
        <f>IF(I283&lt;&gt;"",SUMIFS(JPK_KR!AL:AL,JPK_KR!W:W,J283),"")</f>
        <v/>
      </c>
      <c r="L283" s="126" t="str">
        <f>IF(I283&lt;&gt;"",SUMIFS(JPK_KR!AM:AM,JPK_KR!W:W,J283),"")</f>
        <v/>
      </c>
      <c r="P283" s="24" t="str">
        <f>IF(M283&lt;&gt;"",IF(O283="",SUMIFS(JPK_KR!AL:AL,JPK_KR!W:W,N283),SUMIFS(JPK_KR!BF:BF,JPK_KR!BE:BE,N283,JPK_KR!BG:BG,O283)),"")</f>
        <v/>
      </c>
      <c r="Q283" s="126" t="str">
        <f>IF(M283&lt;&gt;"",IF(O283="",SUMIFS(JPK_KR!AM:AM,JPK_KR!W:W,N283),SUMIFS(JPK_KR!BI:BI,JPK_KR!BH:BH,N283,JPK_KR!BJ:BJ,O283)),"")</f>
        <v/>
      </c>
      <c r="U283" s="24" t="str">
        <f>IF(R283&lt;&gt;"",SUMIFS(JPK_KR!AL:AL,JPK_KR!W:W,S283),"")</f>
        <v/>
      </c>
      <c r="V283" s="126" t="str">
        <f>IF(R283&lt;&gt;"",SUMIFS(JPK_KR!AM:AM,JPK_KR!W:W,S283),"")</f>
        <v/>
      </c>
    </row>
    <row r="284" spans="3:22" x14ac:dyDescent="0.3">
      <c r="C284" s="24" t="str">
        <f>IF(A284&lt;&gt;"",SUMIFS(JPK_KR!AL:AL,JPK_KR!W:W,B284),"")</f>
        <v/>
      </c>
      <c r="D284" s="126" t="str">
        <f>IF(A284&lt;&gt;"",SUMIFS(JPK_KR!AM:AM,JPK_KR!W:W,B284),"")</f>
        <v/>
      </c>
      <c r="G284" s="24" t="str">
        <f>IF(E284&lt;&gt;"",SUMIFS(JPK_KR!AL:AL,JPK_KR!W:W,F284),"")</f>
        <v/>
      </c>
      <c r="H284" s="126" t="str">
        <f>IF(E284&lt;&gt;"",SUMIFS(JPK_KR!AM:AM,JPK_KR!W:W,F284),"")</f>
        <v/>
      </c>
      <c r="K284" s="24" t="str">
        <f>IF(I284&lt;&gt;"",SUMIFS(JPK_KR!AL:AL,JPK_KR!W:W,J284),"")</f>
        <v/>
      </c>
      <c r="L284" s="126" t="str">
        <f>IF(I284&lt;&gt;"",SUMIFS(JPK_KR!AM:AM,JPK_KR!W:W,J284),"")</f>
        <v/>
      </c>
      <c r="P284" s="24" t="str">
        <f>IF(M284&lt;&gt;"",IF(O284="",SUMIFS(JPK_KR!AL:AL,JPK_KR!W:W,N284),SUMIFS(JPK_KR!BF:BF,JPK_KR!BE:BE,N284,JPK_KR!BG:BG,O284)),"")</f>
        <v/>
      </c>
      <c r="Q284" s="126" t="str">
        <f>IF(M284&lt;&gt;"",IF(O284="",SUMIFS(JPK_KR!AM:AM,JPK_KR!W:W,N284),SUMIFS(JPK_KR!BI:BI,JPK_KR!BH:BH,N284,JPK_KR!BJ:BJ,O284)),"")</f>
        <v/>
      </c>
      <c r="U284" s="24" t="str">
        <f>IF(R284&lt;&gt;"",SUMIFS(JPK_KR!AL:AL,JPK_KR!W:W,S284),"")</f>
        <v/>
      </c>
      <c r="V284" s="126" t="str">
        <f>IF(R284&lt;&gt;"",SUMIFS(JPK_KR!AM:AM,JPK_KR!W:W,S284),"")</f>
        <v/>
      </c>
    </row>
    <row r="285" spans="3:22" x14ac:dyDescent="0.3">
      <c r="C285" s="24" t="str">
        <f>IF(A285&lt;&gt;"",SUMIFS(JPK_KR!AL:AL,JPK_KR!W:W,B285),"")</f>
        <v/>
      </c>
      <c r="D285" s="126" t="str">
        <f>IF(A285&lt;&gt;"",SUMIFS(JPK_KR!AM:AM,JPK_KR!W:W,B285),"")</f>
        <v/>
      </c>
      <c r="G285" s="24" t="str">
        <f>IF(E285&lt;&gt;"",SUMIFS(JPK_KR!AL:AL,JPK_KR!W:W,F285),"")</f>
        <v/>
      </c>
      <c r="H285" s="126" t="str">
        <f>IF(E285&lt;&gt;"",SUMIFS(JPK_KR!AM:AM,JPK_KR!W:W,F285),"")</f>
        <v/>
      </c>
      <c r="K285" s="24" t="str">
        <f>IF(I285&lt;&gt;"",SUMIFS(JPK_KR!AL:AL,JPK_KR!W:W,J285),"")</f>
        <v/>
      </c>
      <c r="L285" s="126" t="str">
        <f>IF(I285&lt;&gt;"",SUMIFS(JPK_KR!AM:AM,JPK_KR!W:W,J285),"")</f>
        <v/>
      </c>
      <c r="P285" s="24" t="str">
        <f>IF(M285&lt;&gt;"",IF(O285="",SUMIFS(JPK_KR!AL:AL,JPK_KR!W:W,N285),SUMIFS(JPK_KR!BF:BF,JPK_KR!BE:BE,N285,JPK_KR!BG:BG,O285)),"")</f>
        <v/>
      </c>
      <c r="Q285" s="126" t="str">
        <f>IF(M285&lt;&gt;"",IF(O285="",SUMIFS(JPK_KR!AM:AM,JPK_KR!W:W,N285),SUMIFS(JPK_KR!BI:BI,JPK_KR!BH:BH,N285,JPK_KR!BJ:BJ,O285)),"")</f>
        <v/>
      </c>
      <c r="U285" s="24" t="str">
        <f>IF(R285&lt;&gt;"",SUMIFS(JPK_KR!AL:AL,JPK_KR!W:W,S285),"")</f>
        <v/>
      </c>
      <c r="V285" s="126" t="str">
        <f>IF(R285&lt;&gt;"",SUMIFS(JPK_KR!AM:AM,JPK_KR!W:W,S285),"")</f>
        <v/>
      </c>
    </row>
    <row r="286" spans="3:22" x14ac:dyDescent="0.3">
      <c r="C286" s="24" t="str">
        <f>IF(A286&lt;&gt;"",SUMIFS(JPK_KR!AL:AL,JPK_KR!W:W,B286),"")</f>
        <v/>
      </c>
      <c r="D286" s="126" t="str">
        <f>IF(A286&lt;&gt;"",SUMIFS(JPK_KR!AM:AM,JPK_KR!W:W,B286),"")</f>
        <v/>
      </c>
      <c r="G286" s="24" t="str">
        <f>IF(E286&lt;&gt;"",SUMIFS(JPK_KR!AL:AL,JPK_KR!W:W,F286),"")</f>
        <v/>
      </c>
      <c r="H286" s="126" t="str">
        <f>IF(E286&lt;&gt;"",SUMIFS(JPK_KR!AM:AM,JPK_KR!W:W,F286),"")</f>
        <v/>
      </c>
      <c r="K286" s="24" t="str">
        <f>IF(I286&lt;&gt;"",SUMIFS(JPK_KR!AL:AL,JPK_KR!W:W,J286),"")</f>
        <v/>
      </c>
      <c r="L286" s="126" t="str">
        <f>IF(I286&lt;&gt;"",SUMIFS(JPK_KR!AM:AM,JPK_KR!W:W,J286),"")</f>
        <v/>
      </c>
      <c r="P286" s="24" t="str">
        <f>IF(M286&lt;&gt;"",IF(O286="",SUMIFS(JPK_KR!AL:AL,JPK_KR!W:W,N286),SUMIFS(JPK_KR!BF:BF,JPK_KR!BE:BE,N286,JPK_KR!BG:BG,O286)),"")</f>
        <v/>
      </c>
      <c r="Q286" s="126" t="str">
        <f>IF(M286&lt;&gt;"",IF(O286="",SUMIFS(JPK_KR!AM:AM,JPK_KR!W:W,N286),SUMIFS(JPK_KR!BI:BI,JPK_KR!BH:BH,N286,JPK_KR!BJ:BJ,O286)),"")</f>
        <v/>
      </c>
      <c r="U286" s="24" t="str">
        <f>IF(R286&lt;&gt;"",SUMIFS(JPK_KR!AL:AL,JPK_KR!W:W,S286),"")</f>
        <v/>
      </c>
      <c r="V286" s="126" t="str">
        <f>IF(R286&lt;&gt;"",SUMIFS(JPK_KR!AM:AM,JPK_KR!W:W,S286),"")</f>
        <v/>
      </c>
    </row>
    <row r="287" spans="3:22" x14ac:dyDescent="0.3">
      <c r="C287" s="24" t="str">
        <f>IF(A287&lt;&gt;"",SUMIFS(JPK_KR!AL:AL,JPK_KR!W:W,B287),"")</f>
        <v/>
      </c>
      <c r="D287" s="126" t="str">
        <f>IF(A287&lt;&gt;"",SUMIFS(JPK_KR!AM:AM,JPK_KR!W:W,B287),"")</f>
        <v/>
      </c>
      <c r="G287" s="24" t="str">
        <f>IF(E287&lt;&gt;"",SUMIFS(JPK_KR!AL:AL,JPK_KR!W:W,F287),"")</f>
        <v/>
      </c>
      <c r="H287" s="126" t="str">
        <f>IF(E287&lt;&gt;"",SUMIFS(JPK_KR!AM:AM,JPK_KR!W:W,F287),"")</f>
        <v/>
      </c>
      <c r="K287" s="24" t="str">
        <f>IF(I287&lt;&gt;"",SUMIFS(JPK_KR!AL:AL,JPK_KR!W:W,J287),"")</f>
        <v/>
      </c>
      <c r="L287" s="126" t="str">
        <f>IF(I287&lt;&gt;"",SUMIFS(JPK_KR!AM:AM,JPK_KR!W:W,J287),"")</f>
        <v/>
      </c>
      <c r="P287" s="24" t="str">
        <f>IF(M287&lt;&gt;"",IF(O287="",SUMIFS(JPK_KR!AL:AL,JPK_KR!W:W,N287),SUMIFS(JPK_KR!BF:BF,JPK_KR!BE:BE,N287,JPK_KR!BG:BG,O287)),"")</f>
        <v/>
      </c>
      <c r="Q287" s="126" t="str">
        <f>IF(M287&lt;&gt;"",IF(O287="",SUMIFS(JPK_KR!AM:AM,JPK_KR!W:W,N287),SUMIFS(JPK_KR!BI:BI,JPK_KR!BH:BH,N287,JPK_KR!BJ:BJ,O287)),"")</f>
        <v/>
      </c>
      <c r="U287" s="24" t="str">
        <f>IF(R287&lt;&gt;"",SUMIFS(JPK_KR!AL:AL,JPK_KR!W:W,S287),"")</f>
        <v/>
      </c>
      <c r="V287" s="126" t="str">
        <f>IF(R287&lt;&gt;"",SUMIFS(JPK_KR!AM:AM,JPK_KR!W:W,S287),"")</f>
        <v/>
      </c>
    </row>
    <row r="288" spans="3:22" x14ac:dyDescent="0.3">
      <c r="C288" s="24" t="str">
        <f>IF(A288&lt;&gt;"",SUMIFS(JPK_KR!AL:AL,JPK_KR!W:W,B288),"")</f>
        <v/>
      </c>
      <c r="D288" s="126" t="str">
        <f>IF(A288&lt;&gt;"",SUMIFS(JPK_KR!AM:AM,JPK_KR!W:W,B288),"")</f>
        <v/>
      </c>
      <c r="G288" s="24" t="str">
        <f>IF(E288&lt;&gt;"",SUMIFS(JPK_KR!AL:AL,JPK_KR!W:W,F288),"")</f>
        <v/>
      </c>
      <c r="H288" s="126" t="str">
        <f>IF(E288&lt;&gt;"",SUMIFS(JPK_KR!AM:AM,JPK_KR!W:W,F288),"")</f>
        <v/>
      </c>
      <c r="K288" s="24" t="str">
        <f>IF(I288&lt;&gt;"",SUMIFS(JPK_KR!AL:AL,JPK_KR!W:W,J288),"")</f>
        <v/>
      </c>
      <c r="L288" s="126" t="str">
        <f>IF(I288&lt;&gt;"",SUMIFS(JPK_KR!AM:AM,JPK_KR!W:W,J288),"")</f>
        <v/>
      </c>
      <c r="P288" s="24" t="str">
        <f>IF(M288&lt;&gt;"",IF(O288="",SUMIFS(JPK_KR!AL:AL,JPK_KR!W:W,N288),SUMIFS(JPK_KR!BF:BF,JPK_KR!BE:BE,N288,JPK_KR!BG:BG,O288)),"")</f>
        <v/>
      </c>
      <c r="Q288" s="126" t="str">
        <f>IF(M288&lt;&gt;"",IF(O288="",SUMIFS(JPK_KR!AM:AM,JPK_KR!W:W,N288),SUMIFS(JPK_KR!BI:BI,JPK_KR!BH:BH,N288,JPK_KR!BJ:BJ,O288)),"")</f>
        <v/>
      </c>
      <c r="U288" s="24" t="str">
        <f>IF(R288&lt;&gt;"",SUMIFS(JPK_KR!AL:AL,JPK_KR!W:W,S288),"")</f>
        <v/>
      </c>
      <c r="V288" s="126" t="str">
        <f>IF(R288&lt;&gt;"",SUMIFS(JPK_KR!AM:AM,JPK_KR!W:W,S288),"")</f>
        <v/>
      </c>
    </row>
    <row r="289" spans="3:22" x14ac:dyDescent="0.3">
      <c r="C289" s="24" t="str">
        <f>IF(A289&lt;&gt;"",SUMIFS(JPK_KR!AL:AL,JPK_KR!W:W,B289),"")</f>
        <v/>
      </c>
      <c r="D289" s="126" t="str">
        <f>IF(A289&lt;&gt;"",SUMIFS(JPK_KR!AM:AM,JPK_KR!W:W,B289),"")</f>
        <v/>
      </c>
      <c r="G289" s="24" t="str">
        <f>IF(E289&lt;&gt;"",SUMIFS(JPK_KR!AL:AL,JPK_KR!W:W,F289),"")</f>
        <v/>
      </c>
      <c r="H289" s="126" t="str">
        <f>IF(E289&lt;&gt;"",SUMIFS(JPK_KR!AM:AM,JPK_KR!W:W,F289),"")</f>
        <v/>
      </c>
      <c r="K289" s="24" t="str">
        <f>IF(I289&lt;&gt;"",SUMIFS(JPK_KR!AL:AL,JPK_KR!W:W,J289),"")</f>
        <v/>
      </c>
      <c r="L289" s="126" t="str">
        <f>IF(I289&lt;&gt;"",SUMIFS(JPK_KR!AM:AM,JPK_KR!W:W,J289),"")</f>
        <v/>
      </c>
      <c r="P289" s="24" t="str">
        <f>IF(M289&lt;&gt;"",IF(O289="",SUMIFS(JPK_KR!AL:AL,JPK_KR!W:W,N289),SUMIFS(JPK_KR!BF:BF,JPK_KR!BE:BE,N289,JPK_KR!BG:BG,O289)),"")</f>
        <v/>
      </c>
      <c r="Q289" s="126" t="str">
        <f>IF(M289&lt;&gt;"",IF(O289="",SUMIFS(JPK_KR!AM:AM,JPK_KR!W:W,N289),SUMIFS(JPK_KR!BI:BI,JPK_KR!BH:BH,N289,JPK_KR!BJ:BJ,O289)),"")</f>
        <v/>
      </c>
      <c r="U289" s="24" t="str">
        <f>IF(R289&lt;&gt;"",SUMIFS(JPK_KR!AL:AL,JPK_KR!W:W,S289),"")</f>
        <v/>
      </c>
      <c r="V289" s="126" t="str">
        <f>IF(R289&lt;&gt;"",SUMIFS(JPK_KR!AM:AM,JPK_KR!W:W,S289),"")</f>
        <v/>
      </c>
    </row>
    <row r="290" spans="3:22" x14ac:dyDescent="0.3">
      <c r="C290" s="24" t="str">
        <f>IF(A290&lt;&gt;"",SUMIFS(JPK_KR!AL:AL,JPK_KR!W:W,B290),"")</f>
        <v/>
      </c>
      <c r="D290" s="126" t="str">
        <f>IF(A290&lt;&gt;"",SUMIFS(JPK_KR!AM:AM,JPK_KR!W:W,B290),"")</f>
        <v/>
      </c>
      <c r="G290" s="24" t="str">
        <f>IF(E290&lt;&gt;"",SUMIFS(JPK_KR!AL:AL,JPK_KR!W:W,F290),"")</f>
        <v/>
      </c>
      <c r="H290" s="126" t="str">
        <f>IF(E290&lt;&gt;"",SUMIFS(JPK_KR!AM:AM,JPK_KR!W:W,F290),"")</f>
        <v/>
      </c>
      <c r="K290" s="24" t="str">
        <f>IF(I290&lt;&gt;"",SUMIFS(JPK_KR!AL:AL,JPK_KR!W:W,J290),"")</f>
        <v/>
      </c>
      <c r="L290" s="126" t="str">
        <f>IF(I290&lt;&gt;"",SUMIFS(JPK_KR!AM:AM,JPK_KR!W:W,J290),"")</f>
        <v/>
      </c>
      <c r="P290" s="24" t="str">
        <f>IF(M290&lt;&gt;"",IF(O290="",SUMIFS(JPK_KR!AL:AL,JPK_KR!W:W,N290),SUMIFS(JPK_KR!BF:BF,JPK_KR!BE:BE,N290,JPK_KR!BG:BG,O290)),"")</f>
        <v/>
      </c>
      <c r="Q290" s="126" t="str">
        <f>IF(M290&lt;&gt;"",IF(O290="",SUMIFS(JPK_KR!AM:AM,JPK_KR!W:W,N290),SUMIFS(JPK_KR!BI:BI,JPK_KR!BH:BH,N290,JPK_KR!BJ:BJ,O290)),"")</f>
        <v/>
      </c>
      <c r="U290" s="24" t="str">
        <f>IF(R290&lt;&gt;"",SUMIFS(JPK_KR!AL:AL,JPK_KR!W:W,S290),"")</f>
        <v/>
      </c>
      <c r="V290" s="126" t="str">
        <f>IF(R290&lt;&gt;"",SUMIFS(JPK_KR!AM:AM,JPK_KR!W:W,S290),"")</f>
        <v/>
      </c>
    </row>
    <row r="291" spans="3:22" x14ac:dyDescent="0.3">
      <c r="C291" s="24" t="str">
        <f>IF(A291&lt;&gt;"",SUMIFS(JPK_KR!AL:AL,JPK_KR!W:W,B291),"")</f>
        <v/>
      </c>
      <c r="D291" s="126" t="str">
        <f>IF(A291&lt;&gt;"",SUMIFS(JPK_KR!AM:AM,JPK_KR!W:W,B291),"")</f>
        <v/>
      </c>
      <c r="G291" s="24" t="str">
        <f>IF(E291&lt;&gt;"",SUMIFS(JPK_KR!AL:AL,JPK_KR!W:W,F291),"")</f>
        <v/>
      </c>
      <c r="H291" s="126" t="str">
        <f>IF(E291&lt;&gt;"",SUMIFS(JPK_KR!AM:AM,JPK_KR!W:W,F291),"")</f>
        <v/>
      </c>
      <c r="K291" s="24" t="str">
        <f>IF(I291&lt;&gt;"",SUMIFS(JPK_KR!AL:AL,JPK_KR!W:W,J291),"")</f>
        <v/>
      </c>
      <c r="L291" s="126" t="str">
        <f>IF(I291&lt;&gt;"",SUMIFS(JPK_KR!AM:AM,JPK_KR!W:W,J291),"")</f>
        <v/>
      </c>
      <c r="P291" s="24" t="str">
        <f>IF(M291&lt;&gt;"",IF(O291="",SUMIFS(JPK_KR!AL:AL,JPK_KR!W:W,N291),SUMIFS(JPK_KR!BF:BF,JPK_KR!BE:BE,N291,JPK_KR!BG:BG,O291)),"")</f>
        <v/>
      </c>
      <c r="Q291" s="126" t="str">
        <f>IF(M291&lt;&gt;"",IF(O291="",SUMIFS(JPK_KR!AM:AM,JPK_KR!W:W,N291),SUMIFS(JPK_KR!BI:BI,JPK_KR!BH:BH,N291,JPK_KR!BJ:BJ,O291)),"")</f>
        <v/>
      </c>
      <c r="U291" s="24" t="str">
        <f>IF(R291&lt;&gt;"",SUMIFS(JPK_KR!AL:AL,JPK_KR!W:W,S291),"")</f>
        <v/>
      </c>
      <c r="V291" s="126" t="str">
        <f>IF(R291&lt;&gt;"",SUMIFS(JPK_KR!AM:AM,JPK_KR!W:W,S291),"")</f>
        <v/>
      </c>
    </row>
    <row r="292" spans="3:22" x14ac:dyDescent="0.3">
      <c r="C292" s="24" t="str">
        <f>IF(A292&lt;&gt;"",SUMIFS(JPK_KR!AL:AL,JPK_KR!W:W,B292),"")</f>
        <v/>
      </c>
      <c r="D292" s="126" t="str">
        <f>IF(A292&lt;&gt;"",SUMIFS(JPK_KR!AM:AM,JPK_KR!W:W,B292),"")</f>
        <v/>
      </c>
      <c r="G292" s="24" t="str">
        <f>IF(E292&lt;&gt;"",SUMIFS(JPK_KR!AL:AL,JPK_KR!W:W,F292),"")</f>
        <v/>
      </c>
      <c r="H292" s="126" t="str">
        <f>IF(E292&lt;&gt;"",SUMIFS(JPK_KR!AM:AM,JPK_KR!W:W,F292),"")</f>
        <v/>
      </c>
      <c r="K292" s="24" t="str">
        <f>IF(I292&lt;&gt;"",SUMIFS(JPK_KR!AL:AL,JPK_KR!W:W,J292),"")</f>
        <v/>
      </c>
      <c r="L292" s="126" t="str">
        <f>IF(I292&lt;&gt;"",SUMIFS(JPK_KR!AM:AM,JPK_KR!W:W,J292),"")</f>
        <v/>
      </c>
      <c r="P292" s="24" t="str">
        <f>IF(M292&lt;&gt;"",IF(O292="",SUMIFS(JPK_KR!AL:AL,JPK_KR!W:W,N292),SUMIFS(JPK_KR!BF:BF,JPK_KR!BE:BE,N292,JPK_KR!BG:BG,O292)),"")</f>
        <v/>
      </c>
      <c r="Q292" s="126" t="str">
        <f>IF(M292&lt;&gt;"",IF(O292="",SUMIFS(JPK_KR!AM:AM,JPK_KR!W:W,N292),SUMIFS(JPK_KR!BI:BI,JPK_KR!BH:BH,N292,JPK_KR!BJ:BJ,O292)),"")</f>
        <v/>
      </c>
      <c r="U292" s="24" t="str">
        <f>IF(R292&lt;&gt;"",SUMIFS(JPK_KR!AL:AL,JPK_KR!W:W,S292),"")</f>
        <v/>
      </c>
      <c r="V292" s="126" t="str">
        <f>IF(R292&lt;&gt;"",SUMIFS(JPK_KR!AM:AM,JPK_KR!W:W,S292),"")</f>
        <v/>
      </c>
    </row>
    <row r="293" spans="3:22" x14ac:dyDescent="0.3">
      <c r="C293" s="24" t="str">
        <f>IF(A293&lt;&gt;"",SUMIFS(JPK_KR!AL:AL,JPK_KR!W:W,B293),"")</f>
        <v/>
      </c>
      <c r="D293" s="126" t="str">
        <f>IF(A293&lt;&gt;"",SUMIFS(JPK_KR!AM:AM,JPK_KR!W:W,B293),"")</f>
        <v/>
      </c>
      <c r="G293" s="24" t="str">
        <f>IF(E293&lt;&gt;"",SUMIFS(JPK_KR!AL:AL,JPK_KR!W:W,F293),"")</f>
        <v/>
      </c>
      <c r="H293" s="126" t="str">
        <f>IF(E293&lt;&gt;"",SUMIFS(JPK_KR!AM:AM,JPK_KR!W:W,F293),"")</f>
        <v/>
      </c>
      <c r="K293" s="24" t="str">
        <f>IF(I293&lt;&gt;"",SUMIFS(JPK_KR!AL:AL,JPK_KR!W:W,J293),"")</f>
        <v/>
      </c>
      <c r="L293" s="126" t="str">
        <f>IF(I293&lt;&gt;"",SUMIFS(JPK_KR!AM:AM,JPK_KR!W:W,J293),"")</f>
        <v/>
      </c>
      <c r="P293" s="24" t="str">
        <f>IF(M293&lt;&gt;"",IF(O293="",SUMIFS(JPK_KR!AL:AL,JPK_KR!W:W,N293),SUMIFS(JPK_KR!BF:BF,JPK_KR!BE:BE,N293,JPK_KR!BG:BG,O293)),"")</f>
        <v/>
      </c>
      <c r="Q293" s="126" t="str">
        <f>IF(M293&lt;&gt;"",IF(O293="",SUMIFS(JPK_KR!AM:AM,JPK_KR!W:W,N293),SUMIFS(JPK_KR!BI:BI,JPK_KR!BH:BH,N293,JPK_KR!BJ:BJ,O293)),"")</f>
        <v/>
      </c>
      <c r="U293" s="24" t="str">
        <f>IF(R293&lt;&gt;"",SUMIFS(JPK_KR!AL:AL,JPK_KR!W:W,S293),"")</f>
        <v/>
      </c>
      <c r="V293" s="126" t="str">
        <f>IF(R293&lt;&gt;"",SUMIFS(JPK_KR!AM:AM,JPK_KR!W:W,S293),"")</f>
        <v/>
      </c>
    </row>
    <row r="294" spans="3:22" x14ac:dyDescent="0.3">
      <c r="C294" s="24" t="str">
        <f>IF(A294&lt;&gt;"",SUMIFS(JPK_KR!AL:AL,JPK_KR!W:W,B294),"")</f>
        <v/>
      </c>
      <c r="D294" s="126" t="str">
        <f>IF(A294&lt;&gt;"",SUMIFS(JPK_KR!AM:AM,JPK_KR!W:W,B294),"")</f>
        <v/>
      </c>
      <c r="G294" s="24" t="str">
        <f>IF(E294&lt;&gt;"",SUMIFS(JPK_KR!AL:AL,JPK_KR!W:W,F294),"")</f>
        <v/>
      </c>
      <c r="H294" s="126" t="str">
        <f>IF(E294&lt;&gt;"",SUMIFS(JPK_KR!AM:AM,JPK_KR!W:W,F294),"")</f>
        <v/>
      </c>
      <c r="K294" s="24" t="str">
        <f>IF(I294&lt;&gt;"",SUMIFS(JPK_KR!AL:AL,JPK_KR!W:W,J294),"")</f>
        <v/>
      </c>
      <c r="L294" s="126" t="str">
        <f>IF(I294&lt;&gt;"",SUMIFS(JPK_KR!AM:AM,JPK_KR!W:W,J294),"")</f>
        <v/>
      </c>
      <c r="P294" s="24" t="str">
        <f>IF(M294&lt;&gt;"",IF(O294="",SUMIFS(JPK_KR!AL:AL,JPK_KR!W:W,N294),SUMIFS(JPK_KR!BF:BF,JPK_KR!BE:BE,N294,JPK_KR!BG:BG,O294)),"")</f>
        <v/>
      </c>
      <c r="Q294" s="126" t="str">
        <f>IF(M294&lt;&gt;"",IF(O294="",SUMIFS(JPK_KR!AM:AM,JPK_KR!W:W,N294),SUMIFS(JPK_KR!BI:BI,JPK_KR!BH:BH,N294,JPK_KR!BJ:BJ,O294)),"")</f>
        <v/>
      </c>
      <c r="U294" s="24" t="str">
        <f>IF(R294&lt;&gt;"",SUMIFS(JPK_KR!AL:AL,JPK_KR!W:W,S294),"")</f>
        <v/>
      </c>
      <c r="V294" s="126" t="str">
        <f>IF(R294&lt;&gt;"",SUMIFS(JPK_KR!AM:AM,JPK_KR!W:W,S294),"")</f>
        <v/>
      </c>
    </row>
    <row r="295" spans="3:22" x14ac:dyDescent="0.3">
      <c r="C295" s="24" t="str">
        <f>IF(A295&lt;&gt;"",SUMIFS(JPK_KR!AL:AL,JPK_KR!W:W,B295),"")</f>
        <v/>
      </c>
      <c r="D295" s="126" t="str">
        <f>IF(A295&lt;&gt;"",SUMIFS(JPK_KR!AM:AM,JPK_KR!W:W,B295),"")</f>
        <v/>
      </c>
      <c r="G295" s="24" t="str">
        <f>IF(E295&lt;&gt;"",SUMIFS(JPK_KR!AL:AL,JPK_KR!W:W,F295),"")</f>
        <v/>
      </c>
      <c r="H295" s="126" t="str">
        <f>IF(E295&lt;&gt;"",SUMIFS(JPK_KR!AM:AM,JPK_KR!W:W,F295),"")</f>
        <v/>
      </c>
      <c r="K295" s="24" t="str">
        <f>IF(I295&lt;&gt;"",SUMIFS(JPK_KR!AL:AL,JPK_KR!W:W,J295),"")</f>
        <v/>
      </c>
      <c r="L295" s="126" t="str">
        <f>IF(I295&lt;&gt;"",SUMIFS(JPK_KR!AM:AM,JPK_KR!W:W,J295),"")</f>
        <v/>
      </c>
      <c r="P295" s="24" t="str">
        <f>IF(M295&lt;&gt;"",IF(O295="",SUMIFS(JPK_KR!AL:AL,JPK_KR!W:W,N295),SUMIFS(JPK_KR!BF:BF,JPK_KR!BE:BE,N295,JPK_KR!BG:BG,O295)),"")</f>
        <v/>
      </c>
      <c r="Q295" s="126" t="str">
        <f>IF(M295&lt;&gt;"",IF(O295="",SUMIFS(JPK_KR!AM:AM,JPK_KR!W:W,N295),SUMIFS(JPK_KR!BI:BI,JPK_KR!BH:BH,N295,JPK_KR!BJ:BJ,O295)),"")</f>
        <v/>
      </c>
      <c r="U295" s="24" t="str">
        <f>IF(R295&lt;&gt;"",SUMIFS(JPK_KR!AL:AL,JPK_KR!W:W,S295),"")</f>
        <v/>
      </c>
      <c r="V295" s="126" t="str">
        <f>IF(R295&lt;&gt;"",SUMIFS(JPK_KR!AM:AM,JPK_KR!W:W,S295),"")</f>
        <v/>
      </c>
    </row>
    <row r="296" spans="3:22" x14ac:dyDescent="0.3">
      <c r="C296" s="24" t="str">
        <f>IF(A296&lt;&gt;"",SUMIFS(JPK_KR!AL:AL,JPK_KR!W:W,B296),"")</f>
        <v/>
      </c>
      <c r="D296" s="126" t="str">
        <f>IF(A296&lt;&gt;"",SUMIFS(JPK_KR!AM:AM,JPK_KR!W:W,B296),"")</f>
        <v/>
      </c>
      <c r="G296" s="24" t="str">
        <f>IF(E296&lt;&gt;"",SUMIFS(JPK_KR!AL:AL,JPK_KR!W:W,F296),"")</f>
        <v/>
      </c>
      <c r="H296" s="126" t="str">
        <f>IF(E296&lt;&gt;"",SUMIFS(JPK_KR!AM:AM,JPK_KR!W:W,F296),"")</f>
        <v/>
      </c>
      <c r="K296" s="24" t="str">
        <f>IF(I296&lt;&gt;"",SUMIFS(JPK_KR!AL:AL,JPK_KR!W:W,J296),"")</f>
        <v/>
      </c>
      <c r="L296" s="126" t="str">
        <f>IF(I296&lt;&gt;"",SUMIFS(JPK_KR!AM:AM,JPK_KR!W:W,J296),"")</f>
        <v/>
      </c>
      <c r="P296" s="24" t="str">
        <f>IF(M296&lt;&gt;"",IF(O296="",SUMIFS(JPK_KR!AL:AL,JPK_KR!W:W,N296),SUMIFS(JPK_KR!BF:BF,JPK_KR!BE:BE,N296,JPK_KR!BG:BG,O296)),"")</f>
        <v/>
      </c>
      <c r="Q296" s="126" t="str">
        <f>IF(M296&lt;&gt;"",IF(O296="",SUMIFS(JPK_KR!AM:AM,JPK_KR!W:W,N296),SUMIFS(JPK_KR!BI:BI,JPK_KR!BH:BH,N296,JPK_KR!BJ:BJ,O296)),"")</f>
        <v/>
      </c>
      <c r="U296" s="24" t="str">
        <f>IF(R296&lt;&gt;"",SUMIFS(JPK_KR!AL:AL,JPK_KR!W:W,S296),"")</f>
        <v/>
      </c>
      <c r="V296" s="126" t="str">
        <f>IF(R296&lt;&gt;"",SUMIFS(JPK_KR!AM:AM,JPK_KR!W:W,S296),"")</f>
        <v/>
      </c>
    </row>
    <row r="297" spans="3:22" x14ac:dyDescent="0.3">
      <c r="C297" s="24" t="str">
        <f>IF(A297&lt;&gt;"",SUMIFS(JPK_KR!AL:AL,JPK_KR!W:W,B297),"")</f>
        <v/>
      </c>
      <c r="D297" s="126" t="str">
        <f>IF(A297&lt;&gt;"",SUMIFS(JPK_KR!AM:AM,JPK_KR!W:W,B297),"")</f>
        <v/>
      </c>
      <c r="G297" s="24" t="str">
        <f>IF(E297&lt;&gt;"",SUMIFS(JPK_KR!AL:AL,JPK_KR!W:W,F297),"")</f>
        <v/>
      </c>
      <c r="H297" s="126" t="str">
        <f>IF(E297&lt;&gt;"",SUMIFS(JPK_KR!AM:AM,JPK_KR!W:W,F297),"")</f>
        <v/>
      </c>
      <c r="K297" s="24" t="str">
        <f>IF(I297&lt;&gt;"",SUMIFS(JPK_KR!AL:AL,JPK_KR!W:W,J297),"")</f>
        <v/>
      </c>
      <c r="L297" s="126" t="str">
        <f>IF(I297&lt;&gt;"",SUMIFS(JPK_KR!AM:AM,JPK_KR!W:W,J297),"")</f>
        <v/>
      </c>
      <c r="P297" s="24" t="str">
        <f>IF(M297&lt;&gt;"",IF(O297="",SUMIFS(JPK_KR!AL:AL,JPK_KR!W:W,N297),SUMIFS(JPK_KR!BF:BF,JPK_KR!BE:BE,N297,JPK_KR!BG:BG,O297)),"")</f>
        <v/>
      </c>
      <c r="Q297" s="126" t="str">
        <f>IF(M297&lt;&gt;"",IF(O297="",SUMIFS(JPK_KR!AM:AM,JPK_KR!W:W,N297),SUMIFS(JPK_KR!BI:BI,JPK_KR!BH:BH,N297,JPK_KR!BJ:BJ,O297)),"")</f>
        <v/>
      </c>
      <c r="U297" s="24" t="str">
        <f>IF(R297&lt;&gt;"",SUMIFS(JPK_KR!AL:AL,JPK_KR!W:W,S297),"")</f>
        <v/>
      </c>
      <c r="V297" s="126" t="str">
        <f>IF(R297&lt;&gt;"",SUMIFS(JPK_KR!AM:AM,JPK_KR!W:W,S297),"")</f>
        <v/>
      </c>
    </row>
    <row r="298" spans="3:22" x14ac:dyDescent="0.3">
      <c r="C298" s="24" t="str">
        <f>IF(A298&lt;&gt;"",SUMIFS(JPK_KR!AL:AL,JPK_KR!W:W,B298),"")</f>
        <v/>
      </c>
      <c r="D298" s="126" t="str">
        <f>IF(A298&lt;&gt;"",SUMIFS(JPK_KR!AM:AM,JPK_KR!W:W,B298),"")</f>
        <v/>
      </c>
      <c r="G298" s="24" t="str">
        <f>IF(E298&lt;&gt;"",SUMIFS(JPK_KR!AL:AL,JPK_KR!W:W,F298),"")</f>
        <v/>
      </c>
      <c r="H298" s="126" t="str">
        <f>IF(E298&lt;&gt;"",SUMIFS(JPK_KR!AM:AM,JPK_KR!W:W,F298),"")</f>
        <v/>
      </c>
      <c r="K298" s="24" t="str">
        <f>IF(I298&lt;&gt;"",SUMIFS(JPK_KR!AL:AL,JPK_KR!W:W,J298),"")</f>
        <v/>
      </c>
      <c r="L298" s="126" t="str">
        <f>IF(I298&lt;&gt;"",SUMIFS(JPK_KR!AM:AM,JPK_KR!W:W,J298),"")</f>
        <v/>
      </c>
      <c r="P298" s="24" t="str">
        <f>IF(M298&lt;&gt;"",IF(O298="",SUMIFS(JPK_KR!AL:AL,JPK_KR!W:W,N298),SUMIFS(JPK_KR!BF:BF,JPK_KR!BE:BE,N298,JPK_KR!BG:BG,O298)),"")</f>
        <v/>
      </c>
      <c r="Q298" s="126" t="str">
        <f>IF(M298&lt;&gt;"",IF(O298="",SUMIFS(JPK_KR!AM:AM,JPK_KR!W:W,N298),SUMIFS(JPK_KR!BI:BI,JPK_KR!BH:BH,N298,JPK_KR!BJ:BJ,O298)),"")</f>
        <v/>
      </c>
      <c r="U298" s="24" t="str">
        <f>IF(R298&lt;&gt;"",SUMIFS(JPK_KR!AL:AL,JPK_KR!W:W,S298),"")</f>
        <v/>
      </c>
      <c r="V298" s="126" t="str">
        <f>IF(R298&lt;&gt;"",SUMIFS(JPK_KR!AM:AM,JPK_KR!W:W,S298),"")</f>
        <v/>
      </c>
    </row>
    <row r="299" spans="3:22" x14ac:dyDescent="0.3">
      <c r="C299" s="24" t="str">
        <f>IF(A299&lt;&gt;"",SUMIFS(JPK_KR!AL:AL,JPK_KR!W:W,B299),"")</f>
        <v/>
      </c>
      <c r="D299" s="126" t="str">
        <f>IF(A299&lt;&gt;"",SUMIFS(JPK_KR!AM:AM,JPK_KR!W:W,B299),"")</f>
        <v/>
      </c>
      <c r="G299" s="24" t="str">
        <f>IF(E299&lt;&gt;"",SUMIFS(JPK_KR!AL:AL,JPK_KR!W:W,F299),"")</f>
        <v/>
      </c>
      <c r="H299" s="126" t="str">
        <f>IF(E299&lt;&gt;"",SUMIFS(JPK_KR!AM:AM,JPK_KR!W:W,F299),"")</f>
        <v/>
      </c>
      <c r="K299" s="24" t="str">
        <f>IF(I299&lt;&gt;"",SUMIFS(JPK_KR!AL:AL,JPK_KR!W:W,J299),"")</f>
        <v/>
      </c>
      <c r="L299" s="126" t="str">
        <f>IF(I299&lt;&gt;"",SUMIFS(JPK_KR!AM:AM,JPK_KR!W:W,J299),"")</f>
        <v/>
      </c>
      <c r="P299" s="24" t="str">
        <f>IF(M299&lt;&gt;"",IF(O299="",SUMIFS(JPK_KR!AL:AL,JPK_KR!W:W,N299),SUMIFS(JPK_KR!BF:BF,JPK_KR!BE:BE,N299,JPK_KR!BG:BG,O299)),"")</f>
        <v/>
      </c>
      <c r="Q299" s="126" t="str">
        <f>IF(M299&lt;&gt;"",IF(O299="",SUMIFS(JPK_KR!AM:AM,JPK_KR!W:W,N299),SUMIFS(JPK_KR!BI:BI,JPK_KR!BH:BH,N299,JPK_KR!BJ:BJ,O299)),"")</f>
        <v/>
      </c>
      <c r="U299" s="24" t="str">
        <f>IF(R299&lt;&gt;"",SUMIFS(JPK_KR!AL:AL,JPK_KR!W:W,S299),"")</f>
        <v/>
      </c>
      <c r="V299" s="126" t="str">
        <f>IF(R299&lt;&gt;"",SUMIFS(JPK_KR!AM:AM,JPK_KR!W:W,S299),"")</f>
        <v/>
      </c>
    </row>
    <row r="300" spans="3:22" x14ac:dyDescent="0.3">
      <c r="C300" s="24" t="str">
        <f>IF(A300&lt;&gt;"",SUMIFS(JPK_KR!AL:AL,JPK_KR!W:W,B300),"")</f>
        <v/>
      </c>
      <c r="D300" s="126" t="str">
        <f>IF(A300&lt;&gt;"",SUMIFS(JPK_KR!AM:AM,JPK_KR!W:W,B300),"")</f>
        <v/>
      </c>
      <c r="G300" s="24" t="str">
        <f>IF(E300&lt;&gt;"",SUMIFS(JPK_KR!AL:AL,JPK_KR!W:W,F300),"")</f>
        <v/>
      </c>
      <c r="H300" s="126" t="str">
        <f>IF(E300&lt;&gt;"",SUMIFS(JPK_KR!AM:AM,JPK_KR!W:W,F300),"")</f>
        <v/>
      </c>
      <c r="K300" s="24" t="str">
        <f>IF(I300&lt;&gt;"",SUMIFS(JPK_KR!AL:AL,JPK_KR!W:W,J300),"")</f>
        <v/>
      </c>
      <c r="L300" s="126" t="str">
        <f>IF(I300&lt;&gt;"",SUMIFS(JPK_KR!AM:AM,JPK_KR!W:W,J300),"")</f>
        <v/>
      </c>
      <c r="P300" s="24" t="str">
        <f>IF(M300&lt;&gt;"",IF(O300="",SUMIFS(JPK_KR!AL:AL,JPK_KR!W:W,N300),SUMIFS(JPK_KR!BF:BF,JPK_KR!BE:BE,N300,JPK_KR!BG:BG,O300)),"")</f>
        <v/>
      </c>
      <c r="Q300" s="126" t="str">
        <f>IF(M300&lt;&gt;"",IF(O300="",SUMIFS(JPK_KR!AM:AM,JPK_KR!W:W,N300),SUMIFS(JPK_KR!BI:BI,JPK_KR!BH:BH,N300,JPK_KR!BJ:BJ,O300)),"")</f>
        <v/>
      </c>
      <c r="U300" s="24" t="str">
        <f>IF(R300&lt;&gt;"",SUMIFS(JPK_KR!AL:AL,JPK_KR!W:W,S300),"")</f>
        <v/>
      </c>
      <c r="V300" s="126" t="str">
        <f>IF(R300&lt;&gt;"",SUMIFS(JPK_KR!AM:AM,JPK_KR!W:W,S300),"")</f>
        <v/>
      </c>
    </row>
    <row r="301" spans="3:22" x14ac:dyDescent="0.3">
      <c r="C301" s="24" t="str">
        <f>IF(A301&lt;&gt;"",SUMIFS(JPK_KR!AL:AL,JPK_KR!W:W,B301),"")</f>
        <v/>
      </c>
      <c r="D301" s="126" t="str">
        <f>IF(A301&lt;&gt;"",SUMIFS(JPK_KR!AM:AM,JPK_KR!W:W,B301),"")</f>
        <v/>
      </c>
      <c r="G301" s="24" t="str">
        <f>IF(E301&lt;&gt;"",SUMIFS(JPK_KR!AL:AL,JPK_KR!W:W,F301),"")</f>
        <v/>
      </c>
      <c r="H301" s="126" t="str">
        <f>IF(E301&lt;&gt;"",SUMIFS(JPK_KR!AM:AM,JPK_KR!W:W,F301),"")</f>
        <v/>
      </c>
      <c r="K301" s="24" t="str">
        <f>IF(I301&lt;&gt;"",SUMIFS(JPK_KR!AL:AL,JPK_KR!W:W,J301),"")</f>
        <v/>
      </c>
      <c r="L301" s="126" t="str">
        <f>IF(I301&lt;&gt;"",SUMIFS(JPK_KR!AM:AM,JPK_KR!W:W,J301),"")</f>
        <v/>
      </c>
      <c r="P301" s="24" t="str">
        <f>IF(M301&lt;&gt;"",IF(O301="",SUMIFS(JPK_KR!AL:AL,JPK_KR!W:W,N301),SUMIFS(JPK_KR!BF:BF,JPK_KR!BE:BE,N301,JPK_KR!BG:BG,O301)),"")</f>
        <v/>
      </c>
      <c r="Q301" s="126" t="str">
        <f>IF(M301&lt;&gt;"",IF(O301="",SUMIFS(JPK_KR!AM:AM,JPK_KR!W:W,N301),SUMIFS(JPK_KR!BI:BI,JPK_KR!BH:BH,N301,JPK_KR!BJ:BJ,O301)),"")</f>
        <v/>
      </c>
      <c r="U301" s="24" t="str">
        <f>IF(R301&lt;&gt;"",SUMIFS(JPK_KR!AL:AL,JPK_KR!W:W,S301),"")</f>
        <v/>
      </c>
      <c r="V301" s="126" t="str">
        <f>IF(R301&lt;&gt;"",SUMIFS(JPK_KR!AM:AM,JPK_KR!W:W,S301),"")</f>
        <v/>
      </c>
    </row>
    <row r="302" spans="3:22" x14ac:dyDescent="0.3">
      <c r="C302" s="24" t="str">
        <f>IF(A302&lt;&gt;"",SUMIFS(JPK_KR!AL:AL,JPK_KR!W:W,B302),"")</f>
        <v/>
      </c>
      <c r="D302" s="126" t="str">
        <f>IF(A302&lt;&gt;"",SUMIFS(JPK_KR!AM:AM,JPK_KR!W:W,B302),"")</f>
        <v/>
      </c>
      <c r="G302" s="24" t="str">
        <f>IF(E302&lt;&gt;"",SUMIFS(JPK_KR!AL:AL,JPK_KR!W:W,F302),"")</f>
        <v/>
      </c>
      <c r="H302" s="126" t="str">
        <f>IF(E302&lt;&gt;"",SUMIFS(JPK_KR!AM:AM,JPK_KR!W:W,F302),"")</f>
        <v/>
      </c>
      <c r="K302" s="24" t="str">
        <f>IF(I302&lt;&gt;"",SUMIFS(JPK_KR!AL:AL,JPK_KR!W:W,J302),"")</f>
        <v/>
      </c>
      <c r="L302" s="126" t="str">
        <f>IF(I302&lt;&gt;"",SUMIFS(JPK_KR!AM:AM,JPK_KR!W:W,J302),"")</f>
        <v/>
      </c>
      <c r="P302" s="24" t="str">
        <f>IF(M302&lt;&gt;"",IF(O302="",SUMIFS(JPK_KR!AL:AL,JPK_KR!W:W,N302),SUMIFS(JPK_KR!BF:BF,JPK_KR!BE:BE,N302,JPK_KR!BG:BG,O302)),"")</f>
        <v/>
      </c>
      <c r="Q302" s="126" t="str">
        <f>IF(M302&lt;&gt;"",IF(O302="",SUMIFS(JPK_KR!AM:AM,JPK_KR!W:W,N302),SUMIFS(JPK_KR!BI:BI,JPK_KR!BH:BH,N302,JPK_KR!BJ:BJ,O302)),"")</f>
        <v/>
      </c>
      <c r="U302" s="24" t="str">
        <f>IF(R302&lt;&gt;"",SUMIFS(JPK_KR!AL:AL,JPK_KR!W:W,S302),"")</f>
        <v/>
      </c>
      <c r="V302" s="126" t="str">
        <f>IF(R302&lt;&gt;"",SUMIFS(JPK_KR!AM:AM,JPK_KR!W:W,S302),"")</f>
        <v/>
      </c>
    </row>
    <row r="303" spans="3:22" x14ac:dyDescent="0.3">
      <c r="C303" s="24" t="str">
        <f>IF(A303&lt;&gt;"",SUMIFS(JPK_KR!AL:AL,JPK_KR!W:W,B303),"")</f>
        <v/>
      </c>
      <c r="D303" s="126" t="str">
        <f>IF(A303&lt;&gt;"",SUMIFS(JPK_KR!AM:AM,JPK_KR!W:W,B303),"")</f>
        <v/>
      </c>
      <c r="G303" s="24" t="str">
        <f>IF(E303&lt;&gt;"",SUMIFS(JPK_KR!AL:AL,JPK_KR!W:W,F303),"")</f>
        <v/>
      </c>
      <c r="H303" s="126" t="str">
        <f>IF(E303&lt;&gt;"",SUMIFS(JPK_KR!AM:AM,JPK_KR!W:W,F303),"")</f>
        <v/>
      </c>
      <c r="K303" s="24" t="str">
        <f>IF(I303&lt;&gt;"",SUMIFS(JPK_KR!AL:AL,JPK_KR!W:W,J303),"")</f>
        <v/>
      </c>
      <c r="L303" s="126" t="str">
        <f>IF(I303&lt;&gt;"",SUMIFS(JPK_KR!AM:AM,JPK_KR!W:W,J303),"")</f>
        <v/>
      </c>
      <c r="P303" s="24" t="str">
        <f>IF(M303&lt;&gt;"",IF(O303="",SUMIFS(JPK_KR!AL:AL,JPK_KR!W:W,N303),SUMIFS(JPK_KR!BF:BF,JPK_KR!BE:BE,N303,JPK_KR!BG:BG,O303)),"")</f>
        <v/>
      </c>
      <c r="Q303" s="126" t="str">
        <f>IF(M303&lt;&gt;"",IF(O303="",SUMIFS(JPK_KR!AM:AM,JPK_KR!W:W,N303),SUMIFS(JPK_KR!BI:BI,JPK_KR!BH:BH,N303,JPK_KR!BJ:BJ,O303)),"")</f>
        <v/>
      </c>
      <c r="U303" s="24" t="str">
        <f>IF(R303&lt;&gt;"",SUMIFS(JPK_KR!AL:AL,JPK_KR!W:W,S303),"")</f>
        <v/>
      </c>
      <c r="V303" s="126" t="str">
        <f>IF(R303&lt;&gt;"",SUMIFS(JPK_KR!AM:AM,JPK_KR!W:W,S303),"")</f>
        <v/>
      </c>
    </row>
    <row r="304" spans="3:22" x14ac:dyDescent="0.3">
      <c r="C304" s="24" t="str">
        <f>IF(A304&lt;&gt;"",SUMIFS(JPK_KR!AL:AL,JPK_KR!W:W,B304),"")</f>
        <v/>
      </c>
      <c r="D304" s="126" t="str">
        <f>IF(A304&lt;&gt;"",SUMIFS(JPK_KR!AM:AM,JPK_KR!W:W,B304),"")</f>
        <v/>
      </c>
      <c r="G304" s="24" t="str">
        <f>IF(E304&lt;&gt;"",SUMIFS(JPK_KR!AL:AL,JPK_KR!W:W,F304),"")</f>
        <v/>
      </c>
      <c r="H304" s="126" t="str">
        <f>IF(E304&lt;&gt;"",SUMIFS(JPK_KR!AM:AM,JPK_KR!W:W,F304),"")</f>
        <v/>
      </c>
      <c r="K304" s="24" t="str">
        <f>IF(I304&lt;&gt;"",SUMIFS(JPK_KR!AL:AL,JPK_KR!W:W,J304),"")</f>
        <v/>
      </c>
      <c r="L304" s="126" t="str">
        <f>IF(I304&lt;&gt;"",SUMIFS(JPK_KR!AM:AM,JPK_KR!W:W,J304),"")</f>
        <v/>
      </c>
      <c r="P304" s="24" t="str">
        <f>IF(M304&lt;&gt;"",IF(O304="",SUMIFS(JPK_KR!AL:AL,JPK_KR!W:W,N304),SUMIFS(JPK_KR!BF:BF,JPK_KR!BE:BE,N304,JPK_KR!BG:BG,O304)),"")</f>
        <v/>
      </c>
      <c r="Q304" s="126" t="str">
        <f>IF(M304&lt;&gt;"",IF(O304="",SUMIFS(JPK_KR!AM:AM,JPK_KR!W:W,N304),SUMIFS(JPK_KR!BI:BI,JPK_KR!BH:BH,N304,JPK_KR!BJ:BJ,O304)),"")</f>
        <v/>
      </c>
      <c r="U304" s="24" t="str">
        <f>IF(R304&lt;&gt;"",SUMIFS(JPK_KR!AL:AL,JPK_KR!W:W,S304),"")</f>
        <v/>
      </c>
      <c r="V304" s="126" t="str">
        <f>IF(R304&lt;&gt;"",SUMIFS(JPK_KR!AM:AM,JPK_KR!W:W,S304),"")</f>
        <v/>
      </c>
    </row>
    <row r="305" spans="3:22" x14ac:dyDescent="0.3">
      <c r="C305" s="24" t="str">
        <f>IF(A305&lt;&gt;"",SUMIFS(JPK_KR!AL:AL,JPK_KR!W:W,B305),"")</f>
        <v/>
      </c>
      <c r="D305" s="126" t="str">
        <f>IF(A305&lt;&gt;"",SUMIFS(JPK_KR!AM:AM,JPK_KR!W:W,B305),"")</f>
        <v/>
      </c>
      <c r="G305" s="24" t="str">
        <f>IF(E305&lt;&gt;"",SUMIFS(JPK_KR!AL:AL,JPK_KR!W:W,F305),"")</f>
        <v/>
      </c>
      <c r="H305" s="126" t="str">
        <f>IF(E305&lt;&gt;"",SUMIFS(JPK_KR!AM:AM,JPK_KR!W:W,F305),"")</f>
        <v/>
      </c>
      <c r="K305" s="24" t="str">
        <f>IF(I305&lt;&gt;"",SUMIFS(JPK_KR!AL:AL,JPK_KR!W:W,J305),"")</f>
        <v/>
      </c>
      <c r="L305" s="126" t="str">
        <f>IF(I305&lt;&gt;"",SUMIFS(JPK_KR!AM:AM,JPK_KR!W:W,J305),"")</f>
        <v/>
      </c>
      <c r="P305" s="24" t="str">
        <f>IF(M305&lt;&gt;"",IF(O305="",SUMIFS(JPK_KR!AL:AL,JPK_KR!W:W,N305),SUMIFS(JPK_KR!BF:BF,JPK_KR!BE:BE,N305,JPK_KR!BG:BG,O305)),"")</f>
        <v/>
      </c>
      <c r="Q305" s="126" t="str">
        <f>IF(M305&lt;&gt;"",IF(O305="",SUMIFS(JPK_KR!AM:AM,JPK_KR!W:W,N305),SUMIFS(JPK_KR!BI:BI,JPK_KR!BH:BH,N305,JPK_KR!BJ:BJ,O305)),"")</f>
        <v/>
      </c>
      <c r="U305" s="24" t="str">
        <f>IF(R305&lt;&gt;"",SUMIFS(JPK_KR!AL:AL,JPK_KR!W:W,S305),"")</f>
        <v/>
      </c>
      <c r="V305" s="126" t="str">
        <f>IF(R305&lt;&gt;"",SUMIFS(JPK_KR!AM:AM,JPK_KR!W:W,S305),"")</f>
        <v/>
      </c>
    </row>
    <row r="306" spans="3:22" x14ac:dyDescent="0.3">
      <c r="C306" s="24" t="str">
        <f>IF(A306&lt;&gt;"",SUMIFS(JPK_KR!AL:AL,JPK_KR!W:W,B306),"")</f>
        <v/>
      </c>
      <c r="D306" s="126" t="str">
        <f>IF(A306&lt;&gt;"",SUMIFS(JPK_KR!AM:AM,JPK_KR!W:W,B306),"")</f>
        <v/>
      </c>
      <c r="G306" s="24" t="str">
        <f>IF(E306&lt;&gt;"",SUMIFS(JPK_KR!AL:AL,JPK_KR!W:W,F306),"")</f>
        <v/>
      </c>
      <c r="H306" s="126" t="str">
        <f>IF(E306&lt;&gt;"",SUMIFS(JPK_KR!AM:AM,JPK_KR!W:W,F306),"")</f>
        <v/>
      </c>
      <c r="K306" s="24" t="str">
        <f>IF(I306&lt;&gt;"",SUMIFS(JPK_KR!AL:AL,JPK_KR!W:W,J306),"")</f>
        <v/>
      </c>
      <c r="L306" s="126" t="str">
        <f>IF(I306&lt;&gt;"",SUMIFS(JPK_KR!AM:AM,JPK_KR!W:W,J306),"")</f>
        <v/>
      </c>
      <c r="P306" s="24" t="str">
        <f>IF(M306&lt;&gt;"",IF(O306="",SUMIFS(JPK_KR!AL:AL,JPK_KR!W:W,N306),SUMIFS(JPK_KR!BF:BF,JPK_KR!BE:BE,N306,JPK_KR!BG:BG,O306)),"")</f>
        <v/>
      </c>
      <c r="Q306" s="126" t="str">
        <f>IF(M306&lt;&gt;"",IF(O306="",SUMIFS(JPK_KR!AM:AM,JPK_KR!W:W,N306),SUMIFS(JPK_KR!BI:BI,JPK_KR!BH:BH,N306,JPK_KR!BJ:BJ,O306)),"")</f>
        <v/>
      </c>
      <c r="U306" s="24" t="str">
        <f>IF(R306&lt;&gt;"",SUMIFS(JPK_KR!AL:AL,JPK_KR!W:W,S306),"")</f>
        <v/>
      </c>
      <c r="V306" s="126" t="str">
        <f>IF(R306&lt;&gt;"",SUMIFS(JPK_KR!AM:AM,JPK_KR!W:W,S306),"")</f>
        <v/>
      </c>
    </row>
    <row r="307" spans="3:22" x14ac:dyDescent="0.3">
      <c r="C307" s="24" t="str">
        <f>IF(A307&lt;&gt;"",SUMIFS(JPK_KR!AL:AL,JPK_KR!W:W,B307),"")</f>
        <v/>
      </c>
      <c r="D307" s="126" t="str">
        <f>IF(A307&lt;&gt;"",SUMIFS(JPK_KR!AM:AM,JPK_KR!W:W,B307),"")</f>
        <v/>
      </c>
      <c r="G307" s="24" t="str">
        <f>IF(E307&lt;&gt;"",SUMIFS(JPK_KR!AL:AL,JPK_KR!W:W,F307),"")</f>
        <v/>
      </c>
      <c r="H307" s="126" t="str">
        <f>IF(E307&lt;&gt;"",SUMIFS(JPK_KR!AM:AM,JPK_KR!W:W,F307),"")</f>
        <v/>
      </c>
      <c r="K307" s="24" t="str">
        <f>IF(I307&lt;&gt;"",SUMIFS(JPK_KR!AL:AL,JPK_KR!W:W,J307),"")</f>
        <v/>
      </c>
      <c r="L307" s="126" t="str">
        <f>IF(I307&lt;&gt;"",SUMIFS(JPK_KR!AM:AM,JPK_KR!W:W,J307),"")</f>
        <v/>
      </c>
      <c r="P307" s="24" t="str">
        <f>IF(M307&lt;&gt;"",IF(O307="",SUMIFS(JPK_KR!AL:AL,JPK_KR!W:W,N307),SUMIFS(JPK_KR!BF:BF,JPK_KR!BE:BE,N307,JPK_KR!BG:BG,O307)),"")</f>
        <v/>
      </c>
      <c r="Q307" s="126" t="str">
        <f>IF(M307&lt;&gt;"",IF(O307="",SUMIFS(JPK_KR!AM:AM,JPK_KR!W:W,N307),SUMIFS(JPK_KR!BI:BI,JPK_KR!BH:BH,N307,JPK_KR!BJ:BJ,O307)),"")</f>
        <v/>
      </c>
      <c r="U307" s="24" t="str">
        <f>IF(R307&lt;&gt;"",SUMIFS(JPK_KR!AL:AL,JPK_KR!W:W,S307),"")</f>
        <v/>
      </c>
      <c r="V307" s="126" t="str">
        <f>IF(R307&lt;&gt;"",SUMIFS(JPK_KR!AM:AM,JPK_KR!W:W,S307),"")</f>
        <v/>
      </c>
    </row>
    <row r="308" spans="3:22" x14ac:dyDescent="0.3">
      <c r="C308" s="24" t="str">
        <f>IF(A308&lt;&gt;"",SUMIFS(JPK_KR!AL:AL,JPK_KR!W:W,B308),"")</f>
        <v/>
      </c>
      <c r="D308" s="126" t="str">
        <f>IF(A308&lt;&gt;"",SUMIFS(JPK_KR!AM:AM,JPK_KR!W:W,B308),"")</f>
        <v/>
      </c>
      <c r="G308" s="24" t="str">
        <f>IF(E308&lt;&gt;"",SUMIFS(JPK_KR!AL:AL,JPK_KR!W:W,F308),"")</f>
        <v/>
      </c>
      <c r="H308" s="126" t="str">
        <f>IF(E308&lt;&gt;"",SUMIFS(JPK_KR!AM:AM,JPK_KR!W:W,F308),"")</f>
        <v/>
      </c>
      <c r="K308" s="24" t="str">
        <f>IF(I308&lt;&gt;"",SUMIFS(JPK_KR!AL:AL,JPK_KR!W:W,J308),"")</f>
        <v/>
      </c>
      <c r="L308" s="126" t="str">
        <f>IF(I308&lt;&gt;"",SUMIFS(JPK_KR!AM:AM,JPK_KR!W:W,J308),"")</f>
        <v/>
      </c>
      <c r="P308" s="24" t="str">
        <f>IF(M308&lt;&gt;"",IF(O308="",SUMIFS(JPK_KR!AL:AL,JPK_KR!W:W,N308),SUMIFS(JPK_KR!BF:BF,JPK_KR!BE:BE,N308,JPK_KR!BG:BG,O308)),"")</f>
        <v/>
      </c>
      <c r="Q308" s="126" t="str">
        <f>IF(M308&lt;&gt;"",IF(O308="",SUMIFS(JPK_KR!AM:AM,JPK_KR!W:W,N308),SUMIFS(JPK_KR!BI:BI,JPK_KR!BH:BH,N308,JPK_KR!BJ:BJ,O308)),"")</f>
        <v/>
      </c>
      <c r="U308" s="24" t="str">
        <f>IF(R308&lt;&gt;"",SUMIFS(JPK_KR!AL:AL,JPK_KR!W:W,S308),"")</f>
        <v/>
      </c>
      <c r="V308" s="126" t="str">
        <f>IF(R308&lt;&gt;"",SUMIFS(JPK_KR!AM:AM,JPK_KR!W:W,S308),"")</f>
        <v/>
      </c>
    </row>
    <row r="309" spans="3:22" x14ac:dyDescent="0.3">
      <c r="C309" s="24" t="str">
        <f>IF(A309&lt;&gt;"",SUMIFS(JPK_KR!AL:AL,JPK_KR!W:W,B309),"")</f>
        <v/>
      </c>
      <c r="D309" s="126" t="str">
        <f>IF(A309&lt;&gt;"",SUMIFS(JPK_KR!AM:AM,JPK_KR!W:W,B309),"")</f>
        <v/>
      </c>
      <c r="G309" s="24" t="str">
        <f>IF(E309&lt;&gt;"",SUMIFS(JPK_KR!AL:AL,JPK_KR!W:W,F309),"")</f>
        <v/>
      </c>
      <c r="H309" s="126" t="str">
        <f>IF(E309&lt;&gt;"",SUMIFS(JPK_KR!AM:AM,JPK_KR!W:W,F309),"")</f>
        <v/>
      </c>
      <c r="K309" s="24" t="str">
        <f>IF(I309&lt;&gt;"",SUMIFS(JPK_KR!AL:AL,JPK_KR!W:W,J309),"")</f>
        <v/>
      </c>
      <c r="L309" s="126" t="str">
        <f>IF(I309&lt;&gt;"",SUMIFS(JPK_KR!AM:AM,JPK_KR!W:W,J309),"")</f>
        <v/>
      </c>
      <c r="P309" s="24" t="str">
        <f>IF(M309&lt;&gt;"",IF(O309="",SUMIFS(JPK_KR!AL:AL,JPK_KR!W:W,N309),SUMIFS(JPK_KR!BF:BF,JPK_KR!BE:BE,N309,JPK_KR!BG:BG,O309)),"")</f>
        <v/>
      </c>
      <c r="Q309" s="126" t="str">
        <f>IF(M309&lt;&gt;"",IF(O309="",SUMIFS(JPK_KR!AM:AM,JPK_KR!W:W,N309),SUMIFS(JPK_KR!BI:BI,JPK_KR!BH:BH,N309,JPK_KR!BJ:BJ,O309)),"")</f>
        <v/>
      </c>
      <c r="U309" s="24" t="str">
        <f>IF(R309&lt;&gt;"",SUMIFS(JPK_KR!AL:AL,JPK_KR!W:W,S309),"")</f>
        <v/>
      </c>
      <c r="V309" s="126" t="str">
        <f>IF(R309&lt;&gt;"",SUMIFS(JPK_KR!AM:AM,JPK_KR!W:W,S309),"")</f>
        <v/>
      </c>
    </row>
    <row r="310" spans="3:22" x14ac:dyDescent="0.3">
      <c r="C310" s="24" t="str">
        <f>IF(A310&lt;&gt;"",SUMIFS(JPK_KR!AL:AL,JPK_KR!W:W,B310),"")</f>
        <v/>
      </c>
      <c r="D310" s="126" t="str">
        <f>IF(A310&lt;&gt;"",SUMIFS(JPK_KR!AM:AM,JPK_KR!W:W,B310),"")</f>
        <v/>
      </c>
      <c r="G310" s="24" t="str">
        <f>IF(E310&lt;&gt;"",SUMIFS(JPK_KR!AL:AL,JPK_KR!W:W,F310),"")</f>
        <v/>
      </c>
      <c r="H310" s="126" t="str">
        <f>IF(E310&lt;&gt;"",SUMIFS(JPK_KR!AM:AM,JPK_KR!W:W,F310),"")</f>
        <v/>
      </c>
      <c r="K310" s="24" t="str">
        <f>IF(I310&lt;&gt;"",SUMIFS(JPK_KR!AL:AL,JPK_KR!W:W,J310),"")</f>
        <v/>
      </c>
      <c r="L310" s="126" t="str">
        <f>IF(I310&lt;&gt;"",SUMIFS(JPK_KR!AM:AM,JPK_KR!W:W,J310),"")</f>
        <v/>
      </c>
      <c r="P310" s="24" t="str">
        <f>IF(M310&lt;&gt;"",IF(O310="",SUMIFS(JPK_KR!AL:AL,JPK_KR!W:W,N310),SUMIFS(JPK_KR!BF:BF,JPK_KR!BE:BE,N310,JPK_KR!BG:BG,O310)),"")</f>
        <v/>
      </c>
      <c r="Q310" s="126" t="str">
        <f>IF(M310&lt;&gt;"",IF(O310="",SUMIFS(JPK_KR!AM:AM,JPK_KR!W:W,N310),SUMIFS(JPK_KR!BI:BI,JPK_KR!BH:BH,N310,JPK_KR!BJ:BJ,O310)),"")</f>
        <v/>
      </c>
      <c r="U310" s="24" t="str">
        <f>IF(R310&lt;&gt;"",SUMIFS(JPK_KR!AL:AL,JPK_KR!W:W,S310),"")</f>
        <v/>
      </c>
      <c r="V310" s="126" t="str">
        <f>IF(R310&lt;&gt;"",SUMIFS(JPK_KR!AM:AM,JPK_KR!W:W,S310),"")</f>
        <v/>
      </c>
    </row>
    <row r="311" spans="3:22" x14ac:dyDescent="0.3">
      <c r="C311" s="24" t="str">
        <f>IF(A311&lt;&gt;"",SUMIFS(JPK_KR!AL:AL,JPK_KR!W:W,B311),"")</f>
        <v/>
      </c>
      <c r="D311" s="126" t="str">
        <f>IF(A311&lt;&gt;"",SUMIFS(JPK_KR!AM:AM,JPK_KR!W:W,B311),"")</f>
        <v/>
      </c>
      <c r="G311" s="24" t="str">
        <f>IF(E311&lt;&gt;"",SUMIFS(JPK_KR!AL:AL,JPK_KR!W:W,F311),"")</f>
        <v/>
      </c>
      <c r="H311" s="126" t="str">
        <f>IF(E311&lt;&gt;"",SUMIFS(JPK_KR!AM:AM,JPK_KR!W:W,F311),"")</f>
        <v/>
      </c>
      <c r="K311" s="24" t="str">
        <f>IF(I311&lt;&gt;"",SUMIFS(JPK_KR!AL:AL,JPK_KR!W:W,J311),"")</f>
        <v/>
      </c>
      <c r="L311" s="126" t="str">
        <f>IF(I311&lt;&gt;"",SUMIFS(JPK_KR!AM:AM,JPK_KR!W:W,J311),"")</f>
        <v/>
      </c>
      <c r="P311" s="24" t="str">
        <f>IF(M311&lt;&gt;"",IF(O311="",SUMIFS(JPK_KR!AL:AL,JPK_KR!W:W,N311),SUMIFS(JPK_KR!BF:BF,JPK_KR!BE:BE,N311,JPK_KR!BG:BG,O311)),"")</f>
        <v/>
      </c>
      <c r="Q311" s="126" t="str">
        <f>IF(M311&lt;&gt;"",IF(O311="",SUMIFS(JPK_KR!AM:AM,JPK_KR!W:W,N311),SUMIFS(JPK_KR!BI:BI,JPK_KR!BH:BH,N311,JPK_KR!BJ:BJ,O311)),"")</f>
        <v/>
      </c>
      <c r="U311" s="24" t="str">
        <f>IF(R311&lt;&gt;"",SUMIFS(JPK_KR!AL:AL,JPK_KR!W:W,S311),"")</f>
        <v/>
      </c>
      <c r="V311" s="126" t="str">
        <f>IF(R311&lt;&gt;"",SUMIFS(JPK_KR!AM:AM,JPK_KR!W:W,S311),"")</f>
        <v/>
      </c>
    </row>
    <row r="312" spans="3:22" x14ac:dyDescent="0.3">
      <c r="C312" s="24" t="str">
        <f>IF(A312&lt;&gt;"",SUMIFS(JPK_KR!AL:AL,JPK_KR!W:W,B312),"")</f>
        <v/>
      </c>
      <c r="D312" s="126" t="str">
        <f>IF(A312&lt;&gt;"",SUMIFS(JPK_KR!AM:AM,JPK_KR!W:W,B312),"")</f>
        <v/>
      </c>
      <c r="G312" s="24" t="str">
        <f>IF(E312&lt;&gt;"",SUMIFS(JPK_KR!AL:AL,JPK_KR!W:W,F312),"")</f>
        <v/>
      </c>
      <c r="H312" s="126" t="str">
        <f>IF(E312&lt;&gt;"",SUMIFS(JPK_KR!AM:AM,JPK_KR!W:W,F312),"")</f>
        <v/>
      </c>
      <c r="K312" s="24" t="str">
        <f>IF(I312&lt;&gt;"",SUMIFS(JPK_KR!AL:AL,JPK_KR!W:W,J312),"")</f>
        <v/>
      </c>
      <c r="L312" s="126" t="str">
        <f>IF(I312&lt;&gt;"",SUMIFS(JPK_KR!AM:AM,JPK_KR!W:W,J312),"")</f>
        <v/>
      </c>
      <c r="P312" s="24" t="str">
        <f>IF(M312&lt;&gt;"",IF(O312="",SUMIFS(JPK_KR!AL:AL,JPK_KR!W:W,N312),SUMIFS(JPK_KR!BF:BF,JPK_KR!BE:BE,N312,JPK_KR!BG:BG,O312)),"")</f>
        <v/>
      </c>
      <c r="Q312" s="126" t="str">
        <f>IF(M312&lt;&gt;"",IF(O312="",SUMIFS(JPK_KR!AM:AM,JPK_KR!W:W,N312),SUMIFS(JPK_KR!BI:BI,JPK_KR!BH:BH,N312,JPK_KR!BJ:BJ,O312)),"")</f>
        <v/>
      </c>
      <c r="U312" s="24" t="str">
        <f>IF(R312&lt;&gt;"",SUMIFS(JPK_KR!AL:AL,JPK_KR!W:W,S312),"")</f>
        <v/>
      </c>
      <c r="V312" s="126" t="str">
        <f>IF(R312&lt;&gt;"",SUMIFS(JPK_KR!AM:AM,JPK_KR!W:W,S312),"")</f>
        <v/>
      </c>
    </row>
    <row r="313" spans="3:22" x14ac:dyDescent="0.3">
      <c r="C313" s="24" t="str">
        <f>IF(A313&lt;&gt;"",SUMIFS(JPK_KR!AL:AL,JPK_KR!W:W,B313),"")</f>
        <v/>
      </c>
      <c r="D313" s="126" t="str">
        <f>IF(A313&lt;&gt;"",SUMIFS(JPK_KR!AM:AM,JPK_KR!W:W,B313),"")</f>
        <v/>
      </c>
      <c r="G313" s="24" t="str">
        <f>IF(E313&lt;&gt;"",SUMIFS(JPK_KR!AL:AL,JPK_KR!W:W,F313),"")</f>
        <v/>
      </c>
      <c r="H313" s="126" t="str">
        <f>IF(E313&lt;&gt;"",SUMIFS(JPK_KR!AM:AM,JPK_KR!W:W,F313),"")</f>
        <v/>
      </c>
      <c r="K313" s="24" t="str">
        <f>IF(I313&lt;&gt;"",SUMIFS(JPK_KR!AL:AL,JPK_KR!W:W,J313),"")</f>
        <v/>
      </c>
      <c r="L313" s="126" t="str">
        <f>IF(I313&lt;&gt;"",SUMIFS(JPK_KR!AM:AM,JPK_KR!W:W,J313),"")</f>
        <v/>
      </c>
      <c r="P313" s="24" t="str">
        <f>IF(M313&lt;&gt;"",IF(O313="",SUMIFS(JPK_KR!AL:AL,JPK_KR!W:W,N313),SUMIFS(JPK_KR!BF:BF,JPK_KR!BE:BE,N313,JPK_KR!BG:BG,O313)),"")</f>
        <v/>
      </c>
      <c r="Q313" s="126" t="str">
        <f>IF(M313&lt;&gt;"",IF(O313="",SUMIFS(JPK_KR!AM:AM,JPK_KR!W:W,N313),SUMIFS(JPK_KR!BI:BI,JPK_KR!BH:BH,N313,JPK_KR!BJ:BJ,O313)),"")</f>
        <v/>
      </c>
      <c r="U313" s="24" t="str">
        <f>IF(R313&lt;&gt;"",SUMIFS(JPK_KR!AL:AL,JPK_KR!W:W,S313),"")</f>
        <v/>
      </c>
      <c r="V313" s="126" t="str">
        <f>IF(R313&lt;&gt;"",SUMIFS(JPK_KR!AM:AM,JPK_KR!W:W,S313),"")</f>
        <v/>
      </c>
    </row>
    <row r="314" spans="3:22" x14ac:dyDescent="0.3">
      <c r="C314" s="24" t="str">
        <f>IF(A314&lt;&gt;"",SUMIFS(JPK_KR!AL:AL,JPK_KR!W:W,B314),"")</f>
        <v/>
      </c>
      <c r="D314" s="126" t="str">
        <f>IF(A314&lt;&gt;"",SUMIFS(JPK_KR!AM:AM,JPK_KR!W:W,B314),"")</f>
        <v/>
      </c>
      <c r="G314" s="24" t="str">
        <f>IF(E314&lt;&gt;"",SUMIFS(JPK_KR!AL:AL,JPK_KR!W:W,F314),"")</f>
        <v/>
      </c>
      <c r="H314" s="126" t="str">
        <f>IF(E314&lt;&gt;"",SUMIFS(JPK_KR!AM:AM,JPK_KR!W:W,F314),"")</f>
        <v/>
      </c>
      <c r="K314" s="24" t="str">
        <f>IF(I314&lt;&gt;"",SUMIFS(JPK_KR!AL:AL,JPK_KR!W:W,J314),"")</f>
        <v/>
      </c>
      <c r="L314" s="126" t="str">
        <f>IF(I314&lt;&gt;"",SUMIFS(JPK_KR!AM:AM,JPK_KR!W:W,J314),"")</f>
        <v/>
      </c>
      <c r="P314" s="24" t="str">
        <f>IF(M314&lt;&gt;"",IF(O314="",SUMIFS(JPK_KR!AL:AL,JPK_KR!W:W,N314),SUMIFS(JPK_KR!BF:BF,JPK_KR!BE:BE,N314,JPK_KR!BG:BG,O314)),"")</f>
        <v/>
      </c>
      <c r="Q314" s="126" t="str">
        <f>IF(M314&lt;&gt;"",IF(O314="",SUMIFS(JPK_KR!AM:AM,JPK_KR!W:W,N314),SUMIFS(JPK_KR!BI:BI,JPK_KR!BH:BH,N314,JPK_KR!BJ:BJ,O314)),"")</f>
        <v/>
      </c>
      <c r="U314" s="24" t="str">
        <f>IF(R314&lt;&gt;"",SUMIFS(JPK_KR!AL:AL,JPK_KR!W:W,S314),"")</f>
        <v/>
      </c>
      <c r="V314" s="126" t="str">
        <f>IF(R314&lt;&gt;"",SUMIFS(JPK_KR!AM:AM,JPK_KR!W:W,S314),"")</f>
        <v/>
      </c>
    </row>
    <row r="315" spans="3:22" x14ac:dyDescent="0.3">
      <c r="C315" s="24" t="str">
        <f>IF(A315&lt;&gt;"",SUMIFS(JPK_KR!AL:AL,JPK_KR!W:W,B315),"")</f>
        <v/>
      </c>
      <c r="D315" s="126" t="str">
        <f>IF(A315&lt;&gt;"",SUMIFS(JPK_KR!AM:AM,JPK_KR!W:W,B315),"")</f>
        <v/>
      </c>
      <c r="G315" s="24" t="str">
        <f>IF(E315&lt;&gt;"",SUMIFS(JPK_KR!AL:AL,JPK_KR!W:W,F315),"")</f>
        <v/>
      </c>
      <c r="H315" s="126" t="str">
        <f>IF(E315&lt;&gt;"",SUMIFS(JPK_KR!AM:AM,JPK_KR!W:W,F315),"")</f>
        <v/>
      </c>
      <c r="K315" s="24" t="str">
        <f>IF(I315&lt;&gt;"",SUMIFS(JPK_KR!AL:AL,JPK_KR!W:W,J315),"")</f>
        <v/>
      </c>
      <c r="L315" s="126" t="str">
        <f>IF(I315&lt;&gt;"",SUMIFS(JPK_KR!AM:AM,JPK_KR!W:W,J315),"")</f>
        <v/>
      </c>
      <c r="P315" s="24" t="str">
        <f>IF(M315&lt;&gt;"",IF(O315="",SUMIFS(JPK_KR!AL:AL,JPK_KR!W:W,N315),SUMIFS(JPK_KR!BF:BF,JPK_KR!BE:BE,N315,JPK_KR!BG:BG,O315)),"")</f>
        <v/>
      </c>
      <c r="Q315" s="126" t="str">
        <f>IF(M315&lt;&gt;"",IF(O315="",SUMIFS(JPK_KR!AM:AM,JPK_KR!W:W,N315),SUMIFS(JPK_KR!BI:BI,JPK_KR!BH:BH,N315,JPK_KR!BJ:BJ,O315)),"")</f>
        <v/>
      </c>
      <c r="U315" s="24" t="str">
        <f>IF(R315&lt;&gt;"",SUMIFS(JPK_KR!AL:AL,JPK_KR!W:W,S315),"")</f>
        <v/>
      </c>
      <c r="V315" s="126" t="str">
        <f>IF(R315&lt;&gt;"",SUMIFS(JPK_KR!AM:AM,JPK_KR!W:W,S315),"")</f>
        <v/>
      </c>
    </row>
    <row r="316" spans="3:22" x14ac:dyDescent="0.3">
      <c r="C316" s="24" t="str">
        <f>IF(A316&lt;&gt;"",SUMIFS(JPK_KR!AL:AL,JPK_KR!W:W,B316),"")</f>
        <v/>
      </c>
      <c r="D316" s="126" t="str">
        <f>IF(A316&lt;&gt;"",SUMIFS(JPK_KR!AM:AM,JPK_KR!W:W,B316),"")</f>
        <v/>
      </c>
      <c r="G316" s="24" t="str">
        <f>IF(E316&lt;&gt;"",SUMIFS(JPK_KR!AL:AL,JPK_KR!W:W,F316),"")</f>
        <v/>
      </c>
      <c r="H316" s="126" t="str">
        <f>IF(E316&lt;&gt;"",SUMIFS(JPK_KR!AM:AM,JPK_KR!W:W,F316),"")</f>
        <v/>
      </c>
      <c r="K316" s="24" t="str">
        <f>IF(I316&lt;&gt;"",SUMIFS(JPK_KR!AL:AL,JPK_KR!W:W,J316),"")</f>
        <v/>
      </c>
      <c r="L316" s="126" t="str">
        <f>IF(I316&lt;&gt;"",SUMIFS(JPK_KR!AM:AM,JPK_KR!W:W,J316),"")</f>
        <v/>
      </c>
      <c r="P316" s="24" t="str">
        <f>IF(M316&lt;&gt;"",IF(O316="",SUMIFS(JPK_KR!AL:AL,JPK_KR!W:W,N316),SUMIFS(JPK_KR!BF:BF,JPK_KR!BE:BE,N316,JPK_KR!BG:BG,O316)),"")</f>
        <v/>
      </c>
      <c r="Q316" s="126" t="str">
        <f>IF(M316&lt;&gt;"",IF(O316="",SUMIFS(JPK_KR!AM:AM,JPK_KR!W:W,N316),SUMIFS(JPK_KR!BI:BI,JPK_KR!BH:BH,N316,JPK_KR!BJ:BJ,O316)),"")</f>
        <v/>
      </c>
      <c r="U316" s="24" t="str">
        <f>IF(R316&lt;&gt;"",SUMIFS(JPK_KR!AL:AL,JPK_KR!W:W,S316),"")</f>
        <v/>
      </c>
      <c r="V316" s="126" t="str">
        <f>IF(R316&lt;&gt;"",SUMIFS(JPK_KR!AM:AM,JPK_KR!W:W,S316),"")</f>
        <v/>
      </c>
    </row>
    <row r="317" spans="3:22" x14ac:dyDescent="0.3">
      <c r="C317" s="24" t="str">
        <f>IF(A317&lt;&gt;"",SUMIFS(JPK_KR!AL:AL,JPK_KR!W:W,B317),"")</f>
        <v/>
      </c>
      <c r="D317" s="126" t="str">
        <f>IF(A317&lt;&gt;"",SUMIFS(JPK_KR!AM:AM,JPK_KR!W:W,B317),"")</f>
        <v/>
      </c>
      <c r="G317" s="24" t="str">
        <f>IF(E317&lt;&gt;"",SUMIFS(JPK_KR!AL:AL,JPK_KR!W:W,F317),"")</f>
        <v/>
      </c>
      <c r="H317" s="126" t="str">
        <f>IF(E317&lt;&gt;"",SUMIFS(JPK_KR!AM:AM,JPK_KR!W:W,F317),"")</f>
        <v/>
      </c>
      <c r="K317" s="24" t="str">
        <f>IF(I317&lt;&gt;"",SUMIFS(JPK_KR!AL:AL,JPK_KR!W:W,J317),"")</f>
        <v/>
      </c>
      <c r="L317" s="126" t="str">
        <f>IF(I317&lt;&gt;"",SUMIFS(JPK_KR!AM:AM,JPK_KR!W:W,J317),"")</f>
        <v/>
      </c>
      <c r="P317" s="24" t="str">
        <f>IF(M317&lt;&gt;"",IF(O317="",SUMIFS(JPK_KR!AL:AL,JPK_KR!W:W,N317),SUMIFS(JPK_KR!BF:BF,JPK_KR!BE:BE,N317,JPK_KR!BG:BG,O317)),"")</f>
        <v/>
      </c>
      <c r="Q317" s="126" t="str">
        <f>IF(M317&lt;&gt;"",IF(O317="",SUMIFS(JPK_KR!AM:AM,JPK_KR!W:W,N317),SUMIFS(JPK_KR!BI:BI,JPK_KR!BH:BH,N317,JPK_KR!BJ:BJ,O317)),"")</f>
        <v/>
      </c>
      <c r="U317" s="24" t="str">
        <f>IF(R317&lt;&gt;"",SUMIFS(JPK_KR!AL:AL,JPK_KR!W:W,S317),"")</f>
        <v/>
      </c>
      <c r="V317" s="126" t="str">
        <f>IF(R317&lt;&gt;"",SUMIFS(JPK_KR!AM:AM,JPK_KR!W:W,S317),"")</f>
        <v/>
      </c>
    </row>
    <row r="318" spans="3:22" x14ac:dyDescent="0.3">
      <c r="C318" s="24" t="str">
        <f>IF(A318&lt;&gt;"",SUMIFS(JPK_KR!AL:AL,JPK_KR!W:W,B318),"")</f>
        <v/>
      </c>
      <c r="D318" s="126" t="str">
        <f>IF(A318&lt;&gt;"",SUMIFS(JPK_KR!AM:AM,JPK_KR!W:W,B318),"")</f>
        <v/>
      </c>
      <c r="G318" s="24" t="str">
        <f>IF(E318&lt;&gt;"",SUMIFS(JPK_KR!AL:AL,JPK_KR!W:W,F318),"")</f>
        <v/>
      </c>
      <c r="H318" s="126" t="str">
        <f>IF(E318&lt;&gt;"",SUMIFS(JPK_KR!AM:AM,JPK_KR!W:W,F318),"")</f>
        <v/>
      </c>
      <c r="K318" s="24" t="str">
        <f>IF(I318&lt;&gt;"",SUMIFS(JPK_KR!AL:AL,JPK_KR!W:W,J318),"")</f>
        <v/>
      </c>
      <c r="L318" s="126" t="str">
        <f>IF(I318&lt;&gt;"",SUMIFS(JPK_KR!AM:AM,JPK_KR!W:W,J318),"")</f>
        <v/>
      </c>
      <c r="P318" s="24" t="str">
        <f>IF(M318&lt;&gt;"",IF(O318="",SUMIFS(JPK_KR!AL:AL,JPK_KR!W:W,N318),SUMIFS(JPK_KR!BF:BF,JPK_KR!BE:BE,N318,JPK_KR!BG:BG,O318)),"")</f>
        <v/>
      </c>
      <c r="Q318" s="126" t="str">
        <f>IF(M318&lt;&gt;"",IF(O318="",SUMIFS(JPK_KR!AM:AM,JPK_KR!W:W,N318),SUMIFS(JPK_KR!BI:BI,JPK_KR!BH:BH,N318,JPK_KR!BJ:BJ,O318)),"")</f>
        <v/>
      </c>
      <c r="U318" s="24" t="str">
        <f>IF(R318&lt;&gt;"",SUMIFS(JPK_KR!AL:AL,JPK_KR!W:W,S318),"")</f>
        <v/>
      </c>
      <c r="V318" s="126" t="str">
        <f>IF(R318&lt;&gt;"",SUMIFS(JPK_KR!AM:AM,JPK_KR!W:W,S318),"")</f>
        <v/>
      </c>
    </row>
    <row r="319" spans="3:22" x14ac:dyDescent="0.3">
      <c r="C319" s="24" t="str">
        <f>IF(A319&lt;&gt;"",SUMIFS(JPK_KR!AL:AL,JPK_KR!W:W,B319),"")</f>
        <v/>
      </c>
      <c r="D319" s="126" t="str">
        <f>IF(A319&lt;&gt;"",SUMIFS(JPK_KR!AM:AM,JPK_KR!W:W,B319),"")</f>
        <v/>
      </c>
      <c r="G319" s="24" t="str">
        <f>IF(E319&lt;&gt;"",SUMIFS(JPK_KR!AL:AL,JPK_KR!W:W,F319),"")</f>
        <v/>
      </c>
      <c r="H319" s="126" t="str">
        <f>IF(E319&lt;&gt;"",SUMIFS(JPK_KR!AM:AM,JPK_KR!W:W,F319),"")</f>
        <v/>
      </c>
      <c r="K319" s="24" t="str">
        <f>IF(I319&lt;&gt;"",SUMIFS(JPK_KR!AL:AL,JPK_KR!W:W,J319),"")</f>
        <v/>
      </c>
      <c r="L319" s="126" t="str">
        <f>IF(I319&lt;&gt;"",SUMIFS(JPK_KR!AM:AM,JPK_KR!W:W,J319),"")</f>
        <v/>
      </c>
      <c r="P319" s="24" t="str">
        <f>IF(M319&lt;&gt;"",IF(O319="",SUMIFS(JPK_KR!AL:AL,JPK_KR!W:W,N319),SUMIFS(JPK_KR!BF:BF,JPK_KR!BE:BE,N319,JPK_KR!BG:BG,O319)),"")</f>
        <v/>
      </c>
      <c r="Q319" s="126" t="str">
        <f>IF(M319&lt;&gt;"",IF(O319="",SUMIFS(JPK_KR!AM:AM,JPK_KR!W:W,N319),SUMIFS(JPK_KR!BI:BI,JPK_KR!BH:BH,N319,JPK_KR!BJ:BJ,O319)),"")</f>
        <v/>
      </c>
      <c r="U319" s="24" t="str">
        <f>IF(R319&lt;&gt;"",SUMIFS(JPK_KR!AL:AL,JPK_KR!W:W,S319),"")</f>
        <v/>
      </c>
      <c r="V319" s="126" t="str">
        <f>IF(R319&lt;&gt;"",SUMIFS(JPK_KR!AM:AM,JPK_KR!W:W,S319),"")</f>
        <v/>
      </c>
    </row>
    <row r="320" spans="3:22" x14ac:dyDescent="0.3">
      <c r="C320" s="24" t="str">
        <f>IF(A320&lt;&gt;"",SUMIFS(JPK_KR!AL:AL,JPK_KR!W:W,B320),"")</f>
        <v/>
      </c>
      <c r="D320" s="126" t="str">
        <f>IF(A320&lt;&gt;"",SUMIFS(JPK_KR!AM:AM,JPK_KR!W:W,B320),"")</f>
        <v/>
      </c>
      <c r="G320" s="24" t="str">
        <f>IF(E320&lt;&gt;"",SUMIFS(JPK_KR!AL:AL,JPK_KR!W:W,F320),"")</f>
        <v/>
      </c>
      <c r="H320" s="126" t="str">
        <f>IF(E320&lt;&gt;"",SUMIFS(JPK_KR!AM:AM,JPK_KR!W:W,F320),"")</f>
        <v/>
      </c>
      <c r="K320" s="24" t="str">
        <f>IF(I320&lt;&gt;"",SUMIFS(JPK_KR!AL:AL,JPK_KR!W:W,J320),"")</f>
        <v/>
      </c>
      <c r="L320" s="126" t="str">
        <f>IF(I320&lt;&gt;"",SUMIFS(JPK_KR!AM:AM,JPK_KR!W:W,J320),"")</f>
        <v/>
      </c>
      <c r="P320" s="24" t="str">
        <f>IF(M320&lt;&gt;"",IF(O320="",SUMIFS(JPK_KR!AL:AL,JPK_KR!W:W,N320),SUMIFS(JPK_KR!BF:BF,JPK_KR!BE:BE,N320,JPK_KR!BG:BG,O320)),"")</f>
        <v/>
      </c>
      <c r="Q320" s="126" t="str">
        <f>IF(M320&lt;&gt;"",IF(O320="",SUMIFS(JPK_KR!AM:AM,JPK_KR!W:W,N320),SUMIFS(JPK_KR!BI:BI,JPK_KR!BH:BH,N320,JPK_KR!BJ:BJ,O320)),"")</f>
        <v/>
      </c>
      <c r="U320" s="24" t="str">
        <f>IF(R320&lt;&gt;"",SUMIFS(JPK_KR!AL:AL,JPK_KR!W:W,S320),"")</f>
        <v/>
      </c>
      <c r="V320" s="126" t="str">
        <f>IF(R320&lt;&gt;"",SUMIFS(JPK_KR!AM:AM,JPK_KR!W:W,S320),"")</f>
        <v/>
      </c>
    </row>
    <row r="321" spans="3:22" x14ac:dyDescent="0.3">
      <c r="C321" s="24" t="str">
        <f>IF(A321&lt;&gt;"",SUMIFS(JPK_KR!AL:AL,JPK_KR!W:W,B321),"")</f>
        <v/>
      </c>
      <c r="D321" s="126" t="str">
        <f>IF(A321&lt;&gt;"",SUMIFS(JPK_KR!AM:AM,JPK_KR!W:W,B321),"")</f>
        <v/>
      </c>
      <c r="G321" s="24" t="str">
        <f>IF(E321&lt;&gt;"",SUMIFS(JPK_KR!AL:AL,JPK_KR!W:W,F321),"")</f>
        <v/>
      </c>
      <c r="H321" s="126" t="str">
        <f>IF(E321&lt;&gt;"",SUMIFS(JPK_KR!AM:AM,JPK_KR!W:W,F321),"")</f>
        <v/>
      </c>
      <c r="K321" s="24" t="str">
        <f>IF(I321&lt;&gt;"",SUMIFS(JPK_KR!AL:AL,JPK_KR!W:W,J321),"")</f>
        <v/>
      </c>
      <c r="L321" s="126" t="str">
        <f>IF(I321&lt;&gt;"",SUMIFS(JPK_KR!AM:AM,JPK_KR!W:W,J321),"")</f>
        <v/>
      </c>
      <c r="P321" s="24" t="str">
        <f>IF(M321&lt;&gt;"",IF(O321="",SUMIFS(JPK_KR!AL:AL,JPK_KR!W:W,N321),SUMIFS(JPK_KR!BF:BF,JPK_KR!BE:BE,N321,JPK_KR!BG:BG,O321)),"")</f>
        <v/>
      </c>
      <c r="Q321" s="126" t="str">
        <f>IF(M321&lt;&gt;"",IF(O321="",SUMIFS(JPK_KR!AM:AM,JPK_KR!W:W,N321),SUMIFS(JPK_KR!BI:BI,JPK_KR!BH:BH,N321,JPK_KR!BJ:BJ,O321)),"")</f>
        <v/>
      </c>
      <c r="U321" s="24" t="str">
        <f>IF(R321&lt;&gt;"",SUMIFS(JPK_KR!AL:AL,JPK_KR!W:W,S321),"")</f>
        <v/>
      </c>
      <c r="V321" s="126" t="str">
        <f>IF(R321&lt;&gt;"",SUMIFS(JPK_KR!AM:AM,JPK_KR!W:W,S321),"")</f>
        <v/>
      </c>
    </row>
    <row r="322" spans="3:22" x14ac:dyDescent="0.3">
      <c r="C322" s="24" t="str">
        <f>IF(A322&lt;&gt;"",SUMIFS(JPK_KR!AL:AL,JPK_KR!W:W,B322),"")</f>
        <v/>
      </c>
      <c r="D322" s="126" t="str">
        <f>IF(A322&lt;&gt;"",SUMIFS(JPK_KR!AM:AM,JPK_KR!W:W,B322),"")</f>
        <v/>
      </c>
      <c r="G322" s="24" t="str">
        <f>IF(E322&lt;&gt;"",SUMIFS(JPK_KR!AL:AL,JPK_KR!W:W,F322),"")</f>
        <v/>
      </c>
      <c r="H322" s="126" t="str">
        <f>IF(E322&lt;&gt;"",SUMIFS(JPK_KR!AM:AM,JPK_KR!W:W,F322),"")</f>
        <v/>
      </c>
      <c r="K322" s="24" t="str">
        <f>IF(I322&lt;&gt;"",SUMIFS(JPK_KR!AL:AL,JPK_KR!W:W,J322),"")</f>
        <v/>
      </c>
      <c r="L322" s="126" t="str">
        <f>IF(I322&lt;&gt;"",SUMIFS(JPK_KR!AM:AM,JPK_KR!W:W,J322),"")</f>
        <v/>
      </c>
      <c r="P322" s="24" t="str">
        <f>IF(M322&lt;&gt;"",IF(O322="",SUMIFS(JPK_KR!AL:AL,JPK_KR!W:W,N322),SUMIFS(JPK_KR!BF:BF,JPK_KR!BE:BE,N322,JPK_KR!BG:BG,O322)),"")</f>
        <v/>
      </c>
      <c r="Q322" s="126" t="str">
        <f>IF(M322&lt;&gt;"",IF(O322="",SUMIFS(JPK_KR!AM:AM,JPK_KR!W:W,N322),SUMIFS(JPK_KR!BI:BI,JPK_KR!BH:BH,N322,JPK_KR!BJ:BJ,O322)),"")</f>
        <v/>
      </c>
      <c r="U322" s="24" t="str">
        <f>IF(R322&lt;&gt;"",SUMIFS(JPK_KR!AL:AL,JPK_KR!W:W,S322),"")</f>
        <v/>
      </c>
      <c r="V322" s="126" t="str">
        <f>IF(R322&lt;&gt;"",SUMIFS(JPK_KR!AM:AM,JPK_KR!W:W,S322),"")</f>
        <v/>
      </c>
    </row>
    <row r="323" spans="3:22" x14ac:dyDescent="0.3">
      <c r="C323" s="24" t="str">
        <f>IF(A323&lt;&gt;"",SUMIFS(JPK_KR!AL:AL,JPK_KR!W:W,B323),"")</f>
        <v/>
      </c>
      <c r="D323" s="126" t="str">
        <f>IF(A323&lt;&gt;"",SUMIFS(JPK_KR!AM:AM,JPK_KR!W:W,B323),"")</f>
        <v/>
      </c>
      <c r="G323" s="24" t="str">
        <f>IF(E323&lt;&gt;"",SUMIFS(JPK_KR!AL:AL,JPK_KR!W:W,F323),"")</f>
        <v/>
      </c>
      <c r="H323" s="126" t="str">
        <f>IF(E323&lt;&gt;"",SUMIFS(JPK_KR!AM:AM,JPK_KR!W:W,F323),"")</f>
        <v/>
      </c>
      <c r="K323" s="24" t="str">
        <f>IF(I323&lt;&gt;"",SUMIFS(JPK_KR!AL:AL,JPK_KR!W:W,J323),"")</f>
        <v/>
      </c>
      <c r="L323" s="126" t="str">
        <f>IF(I323&lt;&gt;"",SUMIFS(JPK_KR!AM:AM,JPK_KR!W:W,J323),"")</f>
        <v/>
      </c>
      <c r="P323" s="24" t="str">
        <f>IF(M323&lt;&gt;"",IF(O323="",SUMIFS(JPK_KR!AL:AL,JPK_KR!W:W,N323),SUMIFS(JPK_KR!BF:BF,JPK_KR!BE:BE,N323,JPK_KR!BG:BG,O323)),"")</f>
        <v/>
      </c>
      <c r="Q323" s="126" t="str">
        <f>IF(M323&lt;&gt;"",IF(O323="",SUMIFS(JPK_KR!AM:AM,JPK_KR!W:W,N323),SUMIFS(JPK_KR!BI:BI,JPK_KR!BH:BH,N323,JPK_KR!BJ:BJ,O323)),"")</f>
        <v/>
      </c>
      <c r="U323" s="24" t="str">
        <f>IF(R323&lt;&gt;"",SUMIFS(JPK_KR!AL:AL,JPK_KR!W:W,S323),"")</f>
        <v/>
      </c>
      <c r="V323" s="126" t="str">
        <f>IF(R323&lt;&gt;"",SUMIFS(JPK_KR!AM:AM,JPK_KR!W:W,S323),"")</f>
        <v/>
      </c>
    </row>
    <row r="324" spans="3:22" x14ac:dyDescent="0.3">
      <c r="C324" s="24" t="str">
        <f>IF(A324&lt;&gt;"",SUMIFS(JPK_KR!AL:AL,JPK_KR!W:W,B324),"")</f>
        <v/>
      </c>
      <c r="D324" s="126" t="str">
        <f>IF(A324&lt;&gt;"",SUMIFS(JPK_KR!AM:AM,JPK_KR!W:W,B324),"")</f>
        <v/>
      </c>
      <c r="G324" s="24" t="str">
        <f>IF(E324&lt;&gt;"",SUMIFS(JPK_KR!AL:AL,JPK_KR!W:W,F324),"")</f>
        <v/>
      </c>
      <c r="H324" s="126" t="str">
        <f>IF(E324&lt;&gt;"",SUMIFS(JPK_KR!AM:AM,JPK_KR!W:W,F324),"")</f>
        <v/>
      </c>
      <c r="K324" s="24" t="str">
        <f>IF(I324&lt;&gt;"",SUMIFS(JPK_KR!AL:AL,JPK_KR!W:W,J324),"")</f>
        <v/>
      </c>
      <c r="L324" s="126" t="str">
        <f>IF(I324&lt;&gt;"",SUMIFS(JPK_KR!AM:AM,JPK_KR!W:W,J324),"")</f>
        <v/>
      </c>
      <c r="P324" s="24" t="str">
        <f>IF(M324&lt;&gt;"",IF(O324="",SUMIFS(JPK_KR!AL:AL,JPK_KR!W:W,N324),SUMIFS(JPK_KR!BF:BF,JPK_KR!BE:BE,N324,JPK_KR!BG:BG,O324)),"")</f>
        <v/>
      </c>
      <c r="Q324" s="126" t="str">
        <f>IF(M324&lt;&gt;"",IF(O324="",SUMIFS(JPK_KR!AM:AM,JPK_KR!W:W,N324),SUMIFS(JPK_KR!BI:BI,JPK_KR!BH:BH,N324,JPK_KR!BJ:BJ,O324)),"")</f>
        <v/>
      </c>
      <c r="U324" s="24" t="str">
        <f>IF(R324&lt;&gt;"",SUMIFS(JPK_KR!AL:AL,JPK_KR!W:W,S324),"")</f>
        <v/>
      </c>
      <c r="V324" s="126" t="str">
        <f>IF(R324&lt;&gt;"",SUMIFS(JPK_KR!AM:AM,JPK_KR!W:W,S324),"")</f>
        <v/>
      </c>
    </row>
    <row r="325" spans="3:22" x14ac:dyDescent="0.3">
      <c r="C325" s="24" t="str">
        <f>IF(A325&lt;&gt;"",SUMIFS(JPK_KR!AL:AL,JPK_KR!W:W,B325),"")</f>
        <v/>
      </c>
      <c r="D325" s="126" t="str">
        <f>IF(A325&lt;&gt;"",SUMIFS(JPK_KR!AM:AM,JPK_KR!W:W,B325),"")</f>
        <v/>
      </c>
      <c r="G325" s="24" t="str">
        <f>IF(E325&lt;&gt;"",SUMIFS(JPK_KR!AL:AL,JPK_KR!W:W,F325),"")</f>
        <v/>
      </c>
      <c r="H325" s="126" t="str">
        <f>IF(E325&lt;&gt;"",SUMIFS(JPK_KR!AM:AM,JPK_KR!W:W,F325),"")</f>
        <v/>
      </c>
      <c r="K325" s="24" t="str">
        <f>IF(I325&lt;&gt;"",SUMIFS(JPK_KR!AL:AL,JPK_KR!W:W,J325),"")</f>
        <v/>
      </c>
      <c r="L325" s="126" t="str">
        <f>IF(I325&lt;&gt;"",SUMIFS(JPK_KR!AM:AM,JPK_KR!W:W,J325),"")</f>
        <v/>
      </c>
      <c r="P325" s="24" t="str">
        <f>IF(M325&lt;&gt;"",IF(O325="",SUMIFS(JPK_KR!AL:AL,JPK_KR!W:W,N325),SUMIFS(JPK_KR!BF:BF,JPK_KR!BE:BE,N325,JPK_KR!BG:BG,O325)),"")</f>
        <v/>
      </c>
      <c r="Q325" s="126" t="str">
        <f>IF(M325&lt;&gt;"",IF(O325="",SUMIFS(JPK_KR!AM:AM,JPK_KR!W:W,N325),SUMIFS(JPK_KR!BI:BI,JPK_KR!BH:BH,N325,JPK_KR!BJ:BJ,O325)),"")</f>
        <v/>
      </c>
      <c r="U325" s="24" t="str">
        <f>IF(R325&lt;&gt;"",SUMIFS(JPK_KR!AL:AL,JPK_KR!W:W,S325),"")</f>
        <v/>
      </c>
      <c r="V325" s="126" t="str">
        <f>IF(R325&lt;&gt;"",SUMIFS(JPK_KR!AM:AM,JPK_KR!W:W,S325),"")</f>
        <v/>
      </c>
    </row>
    <row r="326" spans="3:22" x14ac:dyDescent="0.3">
      <c r="C326" s="24" t="str">
        <f>IF(A326&lt;&gt;"",SUMIFS(JPK_KR!AL:AL,JPK_KR!W:W,B326),"")</f>
        <v/>
      </c>
      <c r="D326" s="126" t="str">
        <f>IF(A326&lt;&gt;"",SUMIFS(JPK_KR!AM:AM,JPK_KR!W:W,B326),"")</f>
        <v/>
      </c>
      <c r="G326" s="24" t="str">
        <f>IF(E326&lt;&gt;"",SUMIFS(JPK_KR!AL:AL,JPK_KR!W:W,F326),"")</f>
        <v/>
      </c>
      <c r="H326" s="126" t="str">
        <f>IF(E326&lt;&gt;"",SUMIFS(JPK_KR!AM:AM,JPK_KR!W:W,F326),"")</f>
        <v/>
      </c>
      <c r="K326" s="24" t="str">
        <f>IF(I326&lt;&gt;"",SUMIFS(JPK_KR!AL:AL,JPK_KR!W:W,J326),"")</f>
        <v/>
      </c>
      <c r="L326" s="126" t="str">
        <f>IF(I326&lt;&gt;"",SUMIFS(JPK_KR!AM:AM,JPK_KR!W:W,J326),"")</f>
        <v/>
      </c>
      <c r="P326" s="24" t="str">
        <f>IF(M326&lt;&gt;"",IF(O326="",SUMIFS(JPK_KR!AL:AL,JPK_KR!W:W,N326),SUMIFS(JPK_KR!BF:BF,JPK_KR!BE:BE,N326,JPK_KR!BG:BG,O326)),"")</f>
        <v/>
      </c>
      <c r="Q326" s="126" t="str">
        <f>IF(M326&lt;&gt;"",IF(O326="",SUMIFS(JPK_KR!AM:AM,JPK_KR!W:W,N326),SUMIFS(JPK_KR!BI:BI,JPK_KR!BH:BH,N326,JPK_KR!BJ:BJ,O326)),"")</f>
        <v/>
      </c>
      <c r="U326" s="24" t="str">
        <f>IF(R326&lt;&gt;"",SUMIFS(JPK_KR!AL:AL,JPK_KR!W:W,S326),"")</f>
        <v/>
      </c>
      <c r="V326" s="126" t="str">
        <f>IF(R326&lt;&gt;"",SUMIFS(JPK_KR!AM:AM,JPK_KR!W:W,S326),"")</f>
        <v/>
      </c>
    </row>
    <row r="327" spans="3:22" x14ac:dyDescent="0.3">
      <c r="C327" s="24" t="str">
        <f>IF(A327&lt;&gt;"",SUMIFS(JPK_KR!AL:AL,JPK_KR!W:W,B327),"")</f>
        <v/>
      </c>
      <c r="D327" s="126" t="str">
        <f>IF(A327&lt;&gt;"",SUMIFS(JPK_KR!AM:AM,JPK_KR!W:W,B327),"")</f>
        <v/>
      </c>
      <c r="G327" s="24" t="str">
        <f>IF(E327&lt;&gt;"",SUMIFS(JPK_KR!AL:AL,JPK_KR!W:W,F327),"")</f>
        <v/>
      </c>
      <c r="H327" s="126" t="str">
        <f>IF(E327&lt;&gt;"",SUMIFS(JPK_KR!AM:AM,JPK_KR!W:W,F327),"")</f>
        <v/>
      </c>
      <c r="K327" s="24" t="str">
        <f>IF(I327&lt;&gt;"",SUMIFS(JPK_KR!AL:AL,JPK_KR!W:W,J327),"")</f>
        <v/>
      </c>
      <c r="L327" s="126" t="str">
        <f>IF(I327&lt;&gt;"",SUMIFS(JPK_KR!AM:AM,JPK_KR!W:W,J327),"")</f>
        <v/>
      </c>
      <c r="P327" s="24" t="str">
        <f>IF(M327&lt;&gt;"",IF(O327="",SUMIFS(JPK_KR!AL:AL,JPK_KR!W:W,N327),SUMIFS(JPK_KR!BF:BF,JPK_KR!BE:BE,N327,JPK_KR!BG:BG,O327)),"")</f>
        <v/>
      </c>
      <c r="Q327" s="126" t="str">
        <f>IF(M327&lt;&gt;"",IF(O327="",SUMIFS(JPK_KR!AM:AM,JPK_KR!W:W,N327),SUMIFS(JPK_KR!BI:BI,JPK_KR!BH:BH,N327,JPK_KR!BJ:BJ,O327)),"")</f>
        <v/>
      </c>
      <c r="U327" s="24" t="str">
        <f>IF(R327&lt;&gt;"",SUMIFS(JPK_KR!AL:AL,JPK_KR!W:W,S327),"")</f>
        <v/>
      </c>
      <c r="V327" s="126" t="str">
        <f>IF(R327&lt;&gt;"",SUMIFS(JPK_KR!AM:AM,JPK_KR!W:W,S327),"")</f>
        <v/>
      </c>
    </row>
    <row r="328" spans="3:22" x14ac:dyDescent="0.3">
      <c r="C328" s="24" t="str">
        <f>IF(A328&lt;&gt;"",SUMIFS(JPK_KR!AL:AL,JPK_KR!W:W,B328),"")</f>
        <v/>
      </c>
      <c r="D328" s="126" t="str">
        <f>IF(A328&lt;&gt;"",SUMIFS(JPK_KR!AM:AM,JPK_KR!W:W,B328),"")</f>
        <v/>
      </c>
      <c r="G328" s="24" t="str">
        <f>IF(E328&lt;&gt;"",SUMIFS(JPK_KR!AL:AL,JPK_KR!W:W,F328),"")</f>
        <v/>
      </c>
      <c r="H328" s="126" t="str">
        <f>IF(E328&lt;&gt;"",SUMIFS(JPK_KR!AM:AM,JPK_KR!W:W,F328),"")</f>
        <v/>
      </c>
      <c r="K328" s="24" t="str">
        <f>IF(I328&lt;&gt;"",SUMIFS(JPK_KR!AL:AL,JPK_KR!W:W,J328),"")</f>
        <v/>
      </c>
      <c r="L328" s="126" t="str">
        <f>IF(I328&lt;&gt;"",SUMIFS(JPK_KR!AM:AM,JPK_KR!W:W,J328),"")</f>
        <v/>
      </c>
      <c r="P328" s="24" t="str">
        <f>IF(M328&lt;&gt;"",IF(O328="",SUMIFS(JPK_KR!AL:AL,JPK_KR!W:W,N328),SUMIFS(JPK_KR!BF:BF,JPK_KR!BE:BE,N328,JPK_KR!BG:BG,O328)),"")</f>
        <v/>
      </c>
      <c r="Q328" s="126" t="str">
        <f>IF(M328&lt;&gt;"",IF(O328="",SUMIFS(JPK_KR!AM:AM,JPK_KR!W:W,N328),SUMIFS(JPK_KR!BI:BI,JPK_KR!BH:BH,N328,JPK_KR!BJ:BJ,O328)),"")</f>
        <v/>
      </c>
      <c r="U328" s="24" t="str">
        <f>IF(R328&lt;&gt;"",SUMIFS(JPK_KR!AL:AL,JPK_KR!W:W,S328),"")</f>
        <v/>
      </c>
      <c r="V328" s="126" t="str">
        <f>IF(R328&lt;&gt;"",SUMIFS(JPK_KR!AM:AM,JPK_KR!W:W,S328),"")</f>
        <v/>
      </c>
    </row>
    <row r="329" spans="3:22" x14ac:dyDescent="0.3">
      <c r="C329" s="24" t="str">
        <f>IF(A329&lt;&gt;"",SUMIFS(JPK_KR!AL:AL,JPK_KR!W:W,B329),"")</f>
        <v/>
      </c>
      <c r="D329" s="126" t="str">
        <f>IF(A329&lt;&gt;"",SUMIFS(JPK_KR!AM:AM,JPK_KR!W:W,B329),"")</f>
        <v/>
      </c>
      <c r="G329" s="24" t="str">
        <f>IF(E329&lt;&gt;"",SUMIFS(JPK_KR!AL:AL,JPK_KR!W:W,F329),"")</f>
        <v/>
      </c>
      <c r="H329" s="126" t="str">
        <f>IF(E329&lt;&gt;"",SUMIFS(JPK_KR!AM:AM,JPK_KR!W:W,F329),"")</f>
        <v/>
      </c>
      <c r="K329" s="24" t="str">
        <f>IF(I329&lt;&gt;"",SUMIFS(JPK_KR!AL:AL,JPK_KR!W:W,J329),"")</f>
        <v/>
      </c>
      <c r="L329" s="126" t="str">
        <f>IF(I329&lt;&gt;"",SUMIFS(JPK_KR!AM:AM,JPK_KR!W:W,J329),"")</f>
        <v/>
      </c>
      <c r="P329" s="24" t="str">
        <f>IF(M329&lt;&gt;"",IF(O329="",SUMIFS(JPK_KR!AL:AL,JPK_KR!W:W,N329),SUMIFS(JPK_KR!BF:BF,JPK_KR!BE:BE,N329,JPK_KR!BG:BG,O329)),"")</f>
        <v/>
      </c>
      <c r="Q329" s="126" t="str">
        <f>IF(M329&lt;&gt;"",IF(O329="",SUMIFS(JPK_KR!AM:AM,JPK_KR!W:W,N329),SUMIFS(JPK_KR!BI:BI,JPK_KR!BH:BH,N329,JPK_KR!BJ:BJ,O329)),"")</f>
        <v/>
      </c>
      <c r="U329" s="24" t="str">
        <f>IF(R329&lt;&gt;"",SUMIFS(JPK_KR!AL:AL,JPK_KR!W:W,S329),"")</f>
        <v/>
      </c>
      <c r="V329" s="126" t="str">
        <f>IF(R329&lt;&gt;"",SUMIFS(JPK_KR!AM:AM,JPK_KR!W:W,S329),"")</f>
        <v/>
      </c>
    </row>
    <row r="330" spans="3:22" x14ac:dyDescent="0.3">
      <c r="C330" s="24" t="str">
        <f>IF(A330&lt;&gt;"",SUMIFS(JPK_KR!AL:AL,JPK_KR!W:W,B330),"")</f>
        <v/>
      </c>
      <c r="D330" s="126" t="str">
        <f>IF(A330&lt;&gt;"",SUMIFS(JPK_KR!AM:AM,JPK_KR!W:W,B330),"")</f>
        <v/>
      </c>
      <c r="G330" s="24" t="str">
        <f>IF(E330&lt;&gt;"",SUMIFS(JPK_KR!AL:AL,JPK_KR!W:W,F330),"")</f>
        <v/>
      </c>
      <c r="H330" s="126" t="str">
        <f>IF(E330&lt;&gt;"",SUMIFS(JPK_KR!AM:AM,JPK_KR!W:W,F330),"")</f>
        <v/>
      </c>
      <c r="K330" s="24" t="str">
        <f>IF(I330&lt;&gt;"",SUMIFS(JPK_KR!AL:AL,JPK_KR!W:W,J330),"")</f>
        <v/>
      </c>
      <c r="L330" s="126" t="str">
        <f>IF(I330&lt;&gt;"",SUMIFS(JPK_KR!AM:AM,JPK_KR!W:W,J330),"")</f>
        <v/>
      </c>
      <c r="P330" s="24" t="str">
        <f>IF(M330&lt;&gt;"",IF(O330="",SUMIFS(JPK_KR!AL:AL,JPK_KR!W:W,N330),SUMIFS(JPK_KR!BF:BF,JPK_KR!BE:BE,N330,JPK_KR!BG:BG,O330)),"")</f>
        <v/>
      </c>
      <c r="Q330" s="126" t="str">
        <f>IF(M330&lt;&gt;"",IF(O330="",SUMIFS(JPK_KR!AM:AM,JPK_KR!W:W,N330),SUMIFS(JPK_KR!BI:BI,JPK_KR!BH:BH,N330,JPK_KR!BJ:BJ,O330)),"")</f>
        <v/>
      </c>
      <c r="U330" s="24" t="str">
        <f>IF(R330&lt;&gt;"",SUMIFS(JPK_KR!AL:AL,JPK_KR!W:W,S330),"")</f>
        <v/>
      </c>
      <c r="V330" s="126" t="str">
        <f>IF(R330&lt;&gt;"",SUMIFS(JPK_KR!AM:AM,JPK_KR!W:W,S330),"")</f>
        <v/>
      </c>
    </row>
    <row r="331" spans="3:22" x14ac:dyDescent="0.3">
      <c r="C331" s="24" t="str">
        <f>IF(A331&lt;&gt;"",SUMIFS(JPK_KR!AL:AL,JPK_KR!W:W,B331),"")</f>
        <v/>
      </c>
      <c r="D331" s="126" t="str">
        <f>IF(A331&lt;&gt;"",SUMIFS(JPK_KR!AM:AM,JPK_KR!W:W,B331),"")</f>
        <v/>
      </c>
      <c r="G331" s="24" t="str">
        <f>IF(E331&lt;&gt;"",SUMIFS(JPK_KR!AL:AL,JPK_KR!W:W,F331),"")</f>
        <v/>
      </c>
      <c r="H331" s="126" t="str">
        <f>IF(E331&lt;&gt;"",SUMIFS(JPK_KR!AM:AM,JPK_KR!W:W,F331),"")</f>
        <v/>
      </c>
      <c r="K331" s="24" t="str">
        <f>IF(I331&lt;&gt;"",SUMIFS(JPK_KR!AL:AL,JPK_KR!W:W,J331),"")</f>
        <v/>
      </c>
      <c r="L331" s="126" t="str">
        <f>IF(I331&lt;&gt;"",SUMIFS(JPK_KR!AM:AM,JPK_KR!W:W,J331),"")</f>
        <v/>
      </c>
      <c r="P331" s="24" t="str">
        <f>IF(M331&lt;&gt;"",IF(O331="",SUMIFS(JPK_KR!AL:AL,JPK_KR!W:W,N331),SUMIFS(JPK_KR!BF:BF,JPK_KR!BE:BE,N331,JPK_KR!BG:BG,O331)),"")</f>
        <v/>
      </c>
      <c r="Q331" s="126" t="str">
        <f>IF(M331&lt;&gt;"",IF(O331="",SUMIFS(JPK_KR!AM:AM,JPK_KR!W:W,N331),SUMIFS(JPK_KR!BI:BI,JPK_KR!BH:BH,N331,JPK_KR!BJ:BJ,O331)),"")</f>
        <v/>
      </c>
      <c r="U331" s="24" t="str">
        <f>IF(R331&lt;&gt;"",SUMIFS(JPK_KR!AL:AL,JPK_KR!W:W,S331),"")</f>
        <v/>
      </c>
      <c r="V331" s="126" t="str">
        <f>IF(R331&lt;&gt;"",SUMIFS(JPK_KR!AM:AM,JPK_KR!W:W,S331),"")</f>
        <v/>
      </c>
    </row>
    <row r="332" spans="3:22" x14ac:dyDescent="0.3">
      <c r="C332" s="24" t="str">
        <f>IF(A332&lt;&gt;"",SUMIFS(JPK_KR!AL:AL,JPK_KR!W:W,B332),"")</f>
        <v/>
      </c>
      <c r="D332" s="126" t="str">
        <f>IF(A332&lt;&gt;"",SUMIFS(JPK_KR!AM:AM,JPK_KR!W:W,B332),"")</f>
        <v/>
      </c>
      <c r="G332" s="24" t="str">
        <f>IF(E332&lt;&gt;"",SUMIFS(JPK_KR!AL:AL,JPK_KR!W:W,F332),"")</f>
        <v/>
      </c>
      <c r="H332" s="126" t="str">
        <f>IF(E332&lt;&gt;"",SUMIFS(JPK_KR!AM:AM,JPK_KR!W:W,F332),"")</f>
        <v/>
      </c>
      <c r="K332" s="24" t="str">
        <f>IF(I332&lt;&gt;"",SUMIFS(JPK_KR!AL:AL,JPK_KR!W:W,J332),"")</f>
        <v/>
      </c>
      <c r="L332" s="126" t="str">
        <f>IF(I332&lt;&gt;"",SUMIFS(JPK_KR!AM:AM,JPK_KR!W:W,J332),"")</f>
        <v/>
      </c>
      <c r="P332" s="24" t="str">
        <f>IF(M332&lt;&gt;"",IF(O332="",SUMIFS(JPK_KR!AL:AL,JPK_KR!W:W,N332),SUMIFS(JPK_KR!BF:BF,JPK_KR!BE:BE,N332,JPK_KR!BG:BG,O332)),"")</f>
        <v/>
      </c>
      <c r="Q332" s="126" t="str">
        <f>IF(M332&lt;&gt;"",IF(O332="",SUMIFS(JPK_KR!AM:AM,JPK_KR!W:W,N332),SUMIFS(JPK_KR!BI:BI,JPK_KR!BH:BH,N332,JPK_KR!BJ:BJ,O332)),"")</f>
        <v/>
      </c>
      <c r="U332" s="24" t="str">
        <f>IF(R332&lt;&gt;"",SUMIFS(JPK_KR!AL:AL,JPK_KR!W:W,S332),"")</f>
        <v/>
      </c>
      <c r="V332" s="126" t="str">
        <f>IF(R332&lt;&gt;"",SUMIFS(JPK_KR!AM:AM,JPK_KR!W:W,S332),"")</f>
        <v/>
      </c>
    </row>
    <row r="333" spans="3:22" x14ac:dyDescent="0.3">
      <c r="C333" s="24" t="str">
        <f>IF(A333&lt;&gt;"",SUMIFS(JPK_KR!AL:AL,JPK_KR!W:W,B333),"")</f>
        <v/>
      </c>
      <c r="D333" s="126" t="str">
        <f>IF(A333&lt;&gt;"",SUMIFS(JPK_KR!AM:AM,JPK_KR!W:W,B333),"")</f>
        <v/>
      </c>
      <c r="G333" s="24" t="str">
        <f>IF(E333&lt;&gt;"",SUMIFS(JPK_KR!AL:AL,JPK_KR!W:W,F333),"")</f>
        <v/>
      </c>
      <c r="H333" s="126" t="str">
        <f>IF(E333&lt;&gt;"",SUMIFS(JPK_KR!AM:AM,JPK_KR!W:W,F333),"")</f>
        <v/>
      </c>
      <c r="K333" s="24" t="str">
        <f>IF(I333&lt;&gt;"",SUMIFS(JPK_KR!AL:AL,JPK_KR!W:W,J333),"")</f>
        <v/>
      </c>
      <c r="L333" s="126" t="str">
        <f>IF(I333&lt;&gt;"",SUMIFS(JPK_KR!AM:AM,JPK_KR!W:W,J333),"")</f>
        <v/>
      </c>
      <c r="P333" s="24" t="str">
        <f>IF(M333&lt;&gt;"",IF(O333="",SUMIFS(JPK_KR!AL:AL,JPK_KR!W:W,N333),SUMIFS(JPK_KR!BF:BF,JPK_KR!BE:BE,N333,JPK_KR!BG:BG,O333)),"")</f>
        <v/>
      </c>
      <c r="Q333" s="126" t="str">
        <f>IF(M333&lt;&gt;"",IF(O333="",SUMIFS(JPK_KR!AM:AM,JPK_KR!W:W,N333),SUMIFS(JPK_KR!BI:BI,JPK_KR!BH:BH,N333,JPK_KR!BJ:BJ,O333)),"")</f>
        <v/>
      </c>
      <c r="U333" s="24" t="str">
        <f>IF(R333&lt;&gt;"",SUMIFS(JPK_KR!AL:AL,JPK_KR!W:W,S333),"")</f>
        <v/>
      </c>
      <c r="V333" s="126" t="str">
        <f>IF(R333&lt;&gt;"",SUMIFS(JPK_KR!AM:AM,JPK_KR!W:W,S333),"")</f>
        <v/>
      </c>
    </row>
    <row r="334" spans="3:22" x14ac:dyDescent="0.3">
      <c r="C334" s="24" t="str">
        <f>IF(A334&lt;&gt;"",SUMIFS(JPK_KR!AL:AL,JPK_KR!W:W,B334),"")</f>
        <v/>
      </c>
      <c r="D334" s="126" t="str">
        <f>IF(A334&lt;&gt;"",SUMIFS(JPK_KR!AM:AM,JPK_KR!W:W,B334),"")</f>
        <v/>
      </c>
      <c r="G334" s="24" t="str">
        <f>IF(E334&lt;&gt;"",SUMIFS(JPK_KR!AL:AL,JPK_KR!W:W,F334),"")</f>
        <v/>
      </c>
      <c r="H334" s="126" t="str">
        <f>IF(E334&lt;&gt;"",SUMIFS(JPK_KR!AM:AM,JPK_KR!W:W,F334),"")</f>
        <v/>
      </c>
      <c r="K334" s="24" t="str">
        <f>IF(I334&lt;&gt;"",SUMIFS(JPK_KR!AL:AL,JPK_KR!W:W,J334),"")</f>
        <v/>
      </c>
      <c r="L334" s="126" t="str">
        <f>IF(I334&lt;&gt;"",SUMIFS(JPK_KR!AM:AM,JPK_KR!W:W,J334),"")</f>
        <v/>
      </c>
      <c r="P334" s="24" t="str">
        <f>IF(M334&lt;&gt;"",IF(O334="",SUMIFS(JPK_KR!AL:AL,JPK_KR!W:W,N334),SUMIFS(JPK_KR!BF:BF,JPK_KR!BE:BE,N334,JPK_KR!BG:BG,O334)),"")</f>
        <v/>
      </c>
      <c r="Q334" s="126" t="str">
        <f>IF(M334&lt;&gt;"",IF(O334="",SUMIFS(JPK_KR!AM:AM,JPK_KR!W:W,N334),SUMIFS(JPK_KR!BI:BI,JPK_KR!BH:BH,N334,JPK_KR!BJ:BJ,O334)),"")</f>
        <v/>
      </c>
      <c r="U334" s="24" t="str">
        <f>IF(R334&lt;&gt;"",SUMIFS(JPK_KR!AL:AL,JPK_KR!W:W,S334),"")</f>
        <v/>
      </c>
      <c r="V334" s="126" t="str">
        <f>IF(R334&lt;&gt;"",SUMIFS(JPK_KR!AM:AM,JPK_KR!W:W,S334),"")</f>
        <v/>
      </c>
    </row>
    <row r="335" spans="3:22" x14ac:dyDescent="0.3">
      <c r="C335" s="24" t="str">
        <f>IF(A335&lt;&gt;"",SUMIFS(JPK_KR!AL:AL,JPK_KR!W:W,B335),"")</f>
        <v/>
      </c>
      <c r="D335" s="126" t="str">
        <f>IF(A335&lt;&gt;"",SUMIFS(JPK_KR!AM:AM,JPK_KR!W:W,B335),"")</f>
        <v/>
      </c>
      <c r="G335" s="24" t="str">
        <f>IF(E335&lt;&gt;"",SUMIFS(JPK_KR!AL:AL,JPK_KR!W:W,F335),"")</f>
        <v/>
      </c>
      <c r="H335" s="126" t="str">
        <f>IF(E335&lt;&gt;"",SUMIFS(JPK_KR!AM:AM,JPK_KR!W:W,F335),"")</f>
        <v/>
      </c>
      <c r="K335" s="24" t="str">
        <f>IF(I335&lt;&gt;"",SUMIFS(JPK_KR!AL:AL,JPK_KR!W:W,J335),"")</f>
        <v/>
      </c>
      <c r="L335" s="126" t="str">
        <f>IF(I335&lt;&gt;"",SUMIFS(JPK_KR!AM:AM,JPK_KR!W:W,J335),"")</f>
        <v/>
      </c>
      <c r="P335" s="24" t="str">
        <f>IF(M335&lt;&gt;"",IF(O335="",SUMIFS(JPK_KR!AL:AL,JPK_KR!W:W,N335),SUMIFS(JPK_KR!BF:BF,JPK_KR!BE:BE,N335,JPK_KR!BG:BG,O335)),"")</f>
        <v/>
      </c>
      <c r="Q335" s="126" t="str">
        <f>IF(M335&lt;&gt;"",IF(O335="",SUMIFS(JPK_KR!AM:AM,JPK_KR!W:W,N335),SUMIFS(JPK_KR!BI:BI,JPK_KR!BH:BH,N335,JPK_KR!BJ:BJ,O335)),"")</f>
        <v/>
      </c>
      <c r="U335" s="24" t="str">
        <f>IF(R335&lt;&gt;"",SUMIFS(JPK_KR!AL:AL,JPK_KR!W:W,S335),"")</f>
        <v/>
      </c>
      <c r="V335" s="126" t="str">
        <f>IF(R335&lt;&gt;"",SUMIFS(JPK_KR!AM:AM,JPK_KR!W:W,S335),"")</f>
        <v/>
      </c>
    </row>
    <row r="336" spans="3:22" x14ac:dyDescent="0.3">
      <c r="C336" s="24" t="str">
        <f>IF(A336&lt;&gt;"",SUMIFS(JPK_KR!AL:AL,JPK_KR!W:W,B336),"")</f>
        <v/>
      </c>
      <c r="D336" s="126" t="str">
        <f>IF(A336&lt;&gt;"",SUMIFS(JPK_KR!AM:AM,JPK_KR!W:W,B336),"")</f>
        <v/>
      </c>
      <c r="G336" s="24" t="str">
        <f>IF(E336&lt;&gt;"",SUMIFS(JPK_KR!AL:AL,JPK_KR!W:W,F336),"")</f>
        <v/>
      </c>
      <c r="H336" s="126" t="str">
        <f>IF(E336&lt;&gt;"",SUMIFS(JPK_KR!AM:AM,JPK_KR!W:W,F336),"")</f>
        <v/>
      </c>
      <c r="K336" s="24" t="str">
        <f>IF(I336&lt;&gt;"",SUMIFS(JPK_KR!AL:AL,JPK_KR!W:W,J336),"")</f>
        <v/>
      </c>
      <c r="L336" s="126" t="str">
        <f>IF(I336&lt;&gt;"",SUMIFS(JPK_KR!AM:AM,JPK_KR!W:W,J336),"")</f>
        <v/>
      </c>
      <c r="P336" s="24" t="str">
        <f>IF(M336&lt;&gt;"",IF(O336="",SUMIFS(JPK_KR!AL:AL,JPK_KR!W:W,N336),SUMIFS(JPK_KR!BF:BF,JPK_KR!BE:BE,N336,JPK_KR!BG:BG,O336)),"")</f>
        <v/>
      </c>
      <c r="Q336" s="126" t="str">
        <f>IF(M336&lt;&gt;"",IF(O336="",SUMIFS(JPK_KR!AM:AM,JPK_KR!W:W,N336),SUMIFS(JPK_KR!BI:BI,JPK_KR!BH:BH,N336,JPK_KR!BJ:BJ,O336)),"")</f>
        <v/>
      </c>
      <c r="U336" s="24" t="str">
        <f>IF(R336&lt;&gt;"",SUMIFS(JPK_KR!AL:AL,JPK_KR!W:W,S336),"")</f>
        <v/>
      </c>
      <c r="V336" s="126" t="str">
        <f>IF(R336&lt;&gt;"",SUMIFS(JPK_KR!AM:AM,JPK_KR!W:W,S336),"")</f>
        <v/>
      </c>
    </row>
    <row r="337" spans="3:22" x14ac:dyDescent="0.3">
      <c r="C337" s="24" t="str">
        <f>IF(A337&lt;&gt;"",SUMIFS(JPK_KR!AL:AL,JPK_KR!W:W,B337),"")</f>
        <v/>
      </c>
      <c r="D337" s="126" t="str">
        <f>IF(A337&lt;&gt;"",SUMIFS(JPK_KR!AM:AM,JPK_KR!W:W,B337),"")</f>
        <v/>
      </c>
      <c r="G337" s="24" t="str">
        <f>IF(E337&lt;&gt;"",SUMIFS(JPK_KR!AL:AL,JPK_KR!W:W,F337),"")</f>
        <v/>
      </c>
      <c r="H337" s="126" t="str">
        <f>IF(E337&lt;&gt;"",SUMIFS(JPK_KR!AM:AM,JPK_KR!W:W,F337),"")</f>
        <v/>
      </c>
      <c r="K337" s="24" t="str">
        <f>IF(I337&lt;&gt;"",SUMIFS(JPK_KR!AL:AL,JPK_KR!W:W,J337),"")</f>
        <v/>
      </c>
      <c r="L337" s="126" t="str">
        <f>IF(I337&lt;&gt;"",SUMIFS(JPK_KR!AM:AM,JPK_KR!W:W,J337),"")</f>
        <v/>
      </c>
      <c r="P337" s="24" t="str">
        <f>IF(M337&lt;&gt;"",IF(O337="",SUMIFS(JPK_KR!AL:AL,JPK_KR!W:W,N337),SUMIFS(JPK_KR!BF:BF,JPK_KR!BE:BE,N337,JPK_KR!BG:BG,O337)),"")</f>
        <v/>
      </c>
      <c r="Q337" s="126" t="str">
        <f>IF(M337&lt;&gt;"",IF(O337="",SUMIFS(JPK_KR!AM:AM,JPK_KR!W:W,N337),SUMIFS(JPK_KR!BI:BI,JPK_KR!BH:BH,N337,JPK_KR!BJ:BJ,O337)),"")</f>
        <v/>
      </c>
      <c r="U337" s="24" t="str">
        <f>IF(R337&lt;&gt;"",SUMIFS(JPK_KR!AL:AL,JPK_KR!W:W,S337),"")</f>
        <v/>
      </c>
      <c r="V337" s="126" t="str">
        <f>IF(R337&lt;&gt;"",SUMIFS(JPK_KR!AM:AM,JPK_KR!W:W,S337),"")</f>
        <v/>
      </c>
    </row>
    <row r="338" spans="3:22" x14ac:dyDescent="0.3">
      <c r="C338" s="24" t="str">
        <f>IF(A338&lt;&gt;"",SUMIFS(JPK_KR!AL:AL,JPK_KR!W:W,B338),"")</f>
        <v/>
      </c>
      <c r="D338" s="126" t="str">
        <f>IF(A338&lt;&gt;"",SUMIFS(JPK_KR!AM:AM,JPK_KR!W:W,B338),"")</f>
        <v/>
      </c>
      <c r="G338" s="24" t="str">
        <f>IF(E338&lt;&gt;"",SUMIFS(JPK_KR!AL:AL,JPK_KR!W:W,F338),"")</f>
        <v/>
      </c>
      <c r="H338" s="126" t="str">
        <f>IF(E338&lt;&gt;"",SUMIFS(JPK_KR!AM:AM,JPK_KR!W:W,F338),"")</f>
        <v/>
      </c>
      <c r="K338" s="24" t="str">
        <f>IF(I338&lt;&gt;"",SUMIFS(JPK_KR!AL:AL,JPK_KR!W:W,J338),"")</f>
        <v/>
      </c>
      <c r="L338" s="126" t="str">
        <f>IF(I338&lt;&gt;"",SUMIFS(JPK_KR!AM:AM,JPK_KR!W:W,J338),"")</f>
        <v/>
      </c>
      <c r="P338" s="24" t="str">
        <f>IF(M338&lt;&gt;"",IF(O338="",SUMIFS(JPK_KR!AL:AL,JPK_KR!W:W,N338),SUMIFS(JPK_KR!BF:BF,JPK_KR!BE:BE,N338,JPK_KR!BG:BG,O338)),"")</f>
        <v/>
      </c>
      <c r="Q338" s="126" t="str">
        <f>IF(M338&lt;&gt;"",IF(O338="",SUMIFS(JPK_KR!AM:AM,JPK_KR!W:W,N338),SUMIFS(JPK_KR!BI:BI,JPK_KR!BH:BH,N338,JPK_KR!BJ:BJ,O338)),"")</f>
        <v/>
      </c>
      <c r="U338" s="24" t="str">
        <f>IF(R338&lt;&gt;"",SUMIFS(JPK_KR!AL:AL,JPK_KR!W:W,S338),"")</f>
        <v/>
      </c>
      <c r="V338" s="126" t="str">
        <f>IF(R338&lt;&gt;"",SUMIFS(JPK_KR!AM:AM,JPK_KR!W:W,S338),"")</f>
        <v/>
      </c>
    </row>
    <row r="339" spans="3:22" x14ac:dyDescent="0.3">
      <c r="C339" s="24" t="str">
        <f>IF(A339&lt;&gt;"",SUMIFS(JPK_KR!AL:AL,JPK_KR!W:W,B339),"")</f>
        <v/>
      </c>
      <c r="D339" s="126" t="str">
        <f>IF(A339&lt;&gt;"",SUMIFS(JPK_KR!AM:AM,JPK_KR!W:W,B339),"")</f>
        <v/>
      </c>
      <c r="G339" s="24" t="str">
        <f>IF(E339&lt;&gt;"",SUMIFS(JPK_KR!AL:AL,JPK_KR!W:W,F339),"")</f>
        <v/>
      </c>
      <c r="H339" s="126" t="str">
        <f>IF(E339&lt;&gt;"",SUMIFS(JPK_KR!AM:AM,JPK_KR!W:W,F339),"")</f>
        <v/>
      </c>
      <c r="K339" s="24" t="str">
        <f>IF(I339&lt;&gt;"",SUMIFS(JPK_KR!AL:AL,JPK_KR!W:W,J339),"")</f>
        <v/>
      </c>
      <c r="L339" s="126" t="str">
        <f>IF(I339&lt;&gt;"",SUMIFS(JPK_KR!AM:AM,JPK_KR!W:W,J339),"")</f>
        <v/>
      </c>
      <c r="P339" s="24" t="str">
        <f>IF(M339&lt;&gt;"",IF(O339="",SUMIFS(JPK_KR!AL:AL,JPK_KR!W:W,N339),SUMIFS(JPK_KR!BF:BF,JPK_KR!BE:BE,N339,JPK_KR!BG:BG,O339)),"")</f>
        <v/>
      </c>
      <c r="Q339" s="126" t="str">
        <f>IF(M339&lt;&gt;"",IF(O339="",SUMIFS(JPK_KR!AM:AM,JPK_KR!W:W,N339),SUMIFS(JPK_KR!BI:BI,JPK_KR!BH:BH,N339,JPK_KR!BJ:BJ,O339)),"")</f>
        <v/>
      </c>
      <c r="U339" s="24" t="str">
        <f>IF(R339&lt;&gt;"",SUMIFS(JPK_KR!AL:AL,JPK_KR!W:W,S339),"")</f>
        <v/>
      </c>
      <c r="V339" s="126" t="str">
        <f>IF(R339&lt;&gt;"",SUMIFS(JPK_KR!AM:AM,JPK_KR!W:W,S339),"")</f>
        <v/>
      </c>
    </row>
    <row r="340" spans="3:22" x14ac:dyDescent="0.3">
      <c r="C340" s="24" t="str">
        <f>IF(A340&lt;&gt;"",SUMIFS(JPK_KR!AL:AL,JPK_KR!W:W,B340),"")</f>
        <v/>
      </c>
      <c r="D340" s="126" t="str">
        <f>IF(A340&lt;&gt;"",SUMIFS(JPK_KR!AM:AM,JPK_KR!W:W,B340),"")</f>
        <v/>
      </c>
      <c r="G340" s="24" t="str">
        <f>IF(E340&lt;&gt;"",SUMIFS(JPK_KR!AL:AL,JPK_KR!W:W,F340),"")</f>
        <v/>
      </c>
      <c r="H340" s="126" t="str">
        <f>IF(E340&lt;&gt;"",SUMIFS(JPK_KR!AM:AM,JPK_KR!W:W,F340),"")</f>
        <v/>
      </c>
      <c r="K340" s="24" t="str">
        <f>IF(I340&lt;&gt;"",SUMIFS(JPK_KR!AL:AL,JPK_KR!W:W,J340),"")</f>
        <v/>
      </c>
      <c r="L340" s="126" t="str">
        <f>IF(I340&lt;&gt;"",SUMIFS(JPK_KR!AM:AM,JPK_KR!W:W,J340),"")</f>
        <v/>
      </c>
      <c r="P340" s="24" t="str">
        <f>IF(M340&lt;&gt;"",IF(O340="",SUMIFS(JPK_KR!AL:AL,JPK_KR!W:W,N340),SUMIFS(JPK_KR!BF:BF,JPK_KR!BE:BE,N340,JPK_KR!BG:BG,O340)),"")</f>
        <v/>
      </c>
      <c r="Q340" s="126" t="str">
        <f>IF(M340&lt;&gt;"",IF(O340="",SUMIFS(JPK_KR!AM:AM,JPK_KR!W:W,N340),SUMIFS(JPK_KR!BI:BI,JPK_KR!BH:BH,N340,JPK_KR!BJ:BJ,O340)),"")</f>
        <v/>
      </c>
      <c r="U340" s="24" t="str">
        <f>IF(R340&lt;&gt;"",SUMIFS(JPK_KR!AL:AL,JPK_KR!W:W,S340),"")</f>
        <v/>
      </c>
      <c r="V340" s="126" t="str">
        <f>IF(R340&lt;&gt;"",SUMIFS(JPK_KR!AM:AM,JPK_KR!W:W,S340),"")</f>
        <v/>
      </c>
    </row>
    <row r="341" spans="3:22" x14ac:dyDescent="0.3">
      <c r="C341" s="24" t="str">
        <f>IF(A341&lt;&gt;"",SUMIFS(JPK_KR!AL:AL,JPK_KR!W:W,B341),"")</f>
        <v/>
      </c>
      <c r="D341" s="126" t="str">
        <f>IF(A341&lt;&gt;"",SUMIFS(JPK_KR!AM:AM,JPK_KR!W:W,B341),"")</f>
        <v/>
      </c>
      <c r="G341" s="24" t="str">
        <f>IF(E341&lt;&gt;"",SUMIFS(JPK_KR!AL:AL,JPK_KR!W:W,F341),"")</f>
        <v/>
      </c>
      <c r="H341" s="126" t="str">
        <f>IF(E341&lt;&gt;"",SUMIFS(JPK_KR!AM:AM,JPK_KR!W:W,F341),"")</f>
        <v/>
      </c>
      <c r="K341" s="24" t="str">
        <f>IF(I341&lt;&gt;"",SUMIFS(JPK_KR!AL:AL,JPK_KR!W:W,J341),"")</f>
        <v/>
      </c>
      <c r="L341" s="126" t="str">
        <f>IF(I341&lt;&gt;"",SUMIFS(JPK_KR!AM:AM,JPK_KR!W:W,J341),"")</f>
        <v/>
      </c>
      <c r="P341" s="24" t="str">
        <f>IF(M341&lt;&gt;"",IF(O341="",SUMIFS(JPK_KR!AL:AL,JPK_KR!W:W,N341),SUMIFS(JPK_KR!BF:BF,JPK_KR!BE:BE,N341,JPK_KR!BG:BG,O341)),"")</f>
        <v/>
      </c>
      <c r="Q341" s="126" t="str">
        <f>IF(M341&lt;&gt;"",IF(O341="",SUMIFS(JPK_KR!AM:AM,JPK_KR!W:W,N341),SUMIFS(JPK_KR!BI:BI,JPK_KR!BH:BH,N341,JPK_KR!BJ:BJ,O341)),"")</f>
        <v/>
      </c>
      <c r="U341" s="24" t="str">
        <f>IF(R341&lt;&gt;"",SUMIFS(JPK_KR!AL:AL,JPK_KR!W:W,S341),"")</f>
        <v/>
      </c>
      <c r="V341" s="126" t="str">
        <f>IF(R341&lt;&gt;"",SUMIFS(JPK_KR!AM:AM,JPK_KR!W:W,S341),"")</f>
        <v/>
      </c>
    </row>
    <row r="342" spans="3:22" x14ac:dyDescent="0.3">
      <c r="C342" s="24" t="str">
        <f>IF(A342&lt;&gt;"",SUMIFS(JPK_KR!AL:AL,JPK_KR!W:W,B342),"")</f>
        <v/>
      </c>
      <c r="D342" s="126" t="str">
        <f>IF(A342&lt;&gt;"",SUMIFS(JPK_KR!AM:AM,JPK_KR!W:W,B342),"")</f>
        <v/>
      </c>
      <c r="G342" s="24" t="str">
        <f>IF(E342&lt;&gt;"",SUMIFS(JPK_KR!AL:AL,JPK_KR!W:W,F342),"")</f>
        <v/>
      </c>
      <c r="H342" s="126" t="str">
        <f>IF(E342&lt;&gt;"",SUMIFS(JPK_KR!AM:AM,JPK_KR!W:W,F342),"")</f>
        <v/>
      </c>
      <c r="K342" s="24" t="str">
        <f>IF(I342&lt;&gt;"",SUMIFS(JPK_KR!AL:AL,JPK_KR!W:W,J342),"")</f>
        <v/>
      </c>
      <c r="L342" s="126" t="str">
        <f>IF(I342&lt;&gt;"",SUMIFS(JPK_KR!AM:AM,JPK_KR!W:W,J342),"")</f>
        <v/>
      </c>
      <c r="P342" s="24" t="str">
        <f>IF(M342&lt;&gt;"",IF(O342="",SUMIFS(JPK_KR!AL:AL,JPK_KR!W:W,N342),SUMIFS(JPK_KR!BF:BF,JPK_KR!BE:BE,N342,JPK_KR!BG:BG,O342)),"")</f>
        <v/>
      </c>
      <c r="Q342" s="126" t="str">
        <f>IF(M342&lt;&gt;"",IF(O342="",SUMIFS(JPK_KR!AM:AM,JPK_KR!W:W,N342),SUMIFS(JPK_KR!BI:BI,JPK_KR!BH:BH,N342,JPK_KR!BJ:BJ,O342)),"")</f>
        <v/>
      </c>
      <c r="U342" s="24" t="str">
        <f>IF(R342&lt;&gt;"",SUMIFS(JPK_KR!AL:AL,JPK_KR!W:W,S342),"")</f>
        <v/>
      </c>
      <c r="V342" s="126" t="str">
        <f>IF(R342&lt;&gt;"",SUMIFS(JPK_KR!AM:AM,JPK_KR!W:W,S342),"")</f>
        <v/>
      </c>
    </row>
    <row r="343" spans="3:22" x14ac:dyDescent="0.3">
      <c r="C343" s="24" t="str">
        <f>IF(A343&lt;&gt;"",SUMIFS(JPK_KR!AL:AL,JPK_KR!W:W,B343),"")</f>
        <v/>
      </c>
      <c r="D343" s="126" t="str">
        <f>IF(A343&lt;&gt;"",SUMIFS(JPK_KR!AM:AM,JPK_KR!W:W,B343),"")</f>
        <v/>
      </c>
      <c r="G343" s="24" t="str">
        <f>IF(E343&lt;&gt;"",SUMIFS(JPK_KR!AL:AL,JPK_KR!W:W,F343),"")</f>
        <v/>
      </c>
      <c r="H343" s="126" t="str">
        <f>IF(E343&lt;&gt;"",SUMIFS(JPK_KR!AM:AM,JPK_KR!W:W,F343),"")</f>
        <v/>
      </c>
      <c r="K343" s="24" t="str">
        <f>IF(I343&lt;&gt;"",SUMIFS(JPK_KR!AL:AL,JPK_KR!W:W,J343),"")</f>
        <v/>
      </c>
      <c r="L343" s="126" t="str">
        <f>IF(I343&lt;&gt;"",SUMIFS(JPK_KR!AM:AM,JPK_KR!W:W,J343),"")</f>
        <v/>
      </c>
      <c r="P343" s="24" t="str">
        <f>IF(M343&lt;&gt;"",IF(O343="",SUMIFS(JPK_KR!AL:AL,JPK_KR!W:W,N343),SUMIFS(JPK_KR!BF:BF,JPK_KR!BE:BE,N343,JPK_KR!BG:BG,O343)),"")</f>
        <v/>
      </c>
      <c r="Q343" s="126" t="str">
        <f>IF(M343&lt;&gt;"",IF(O343="",SUMIFS(JPK_KR!AM:AM,JPK_KR!W:W,N343),SUMIFS(JPK_KR!BI:BI,JPK_KR!BH:BH,N343,JPK_KR!BJ:BJ,O343)),"")</f>
        <v/>
      </c>
      <c r="U343" s="24" t="str">
        <f>IF(R343&lt;&gt;"",SUMIFS(JPK_KR!AL:AL,JPK_KR!W:W,S343),"")</f>
        <v/>
      </c>
      <c r="V343" s="126" t="str">
        <f>IF(R343&lt;&gt;"",SUMIFS(JPK_KR!AM:AM,JPK_KR!W:W,S343),"")</f>
        <v/>
      </c>
    </row>
    <row r="344" spans="3:22" x14ac:dyDescent="0.3">
      <c r="C344" s="24" t="str">
        <f>IF(A344&lt;&gt;"",SUMIFS(JPK_KR!AL:AL,JPK_KR!W:W,B344),"")</f>
        <v/>
      </c>
      <c r="D344" s="126" t="str">
        <f>IF(A344&lt;&gt;"",SUMIFS(JPK_KR!AM:AM,JPK_KR!W:W,B344),"")</f>
        <v/>
      </c>
      <c r="G344" s="24" t="str">
        <f>IF(E344&lt;&gt;"",SUMIFS(JPK_KR!AL:AL,JPK_KR!W:W,F344),"")</f>
        <v/>
      </c>
      <c r="H344" s="126" t="str">
        <f>IF(E344&lt;&gt;"",SUMIFS(JPK_KR!AM:AM,JPK_KR!W:W,F344),"")</f>
        <v/>
      </c>
      <c r="K344" s="24" t="str">
        <f>IF(I344&lt;&gt;"",SUMIFS(JPK_KR!AL:AL,JPK_KR!W:W,J344),"")</f>
        <v/>
      </c>
      <c r="L344" s="126" t="str">
        <f>IF(I344&lt;&gt;"",SUMIFS(JPK_KR!AM:AM,JPK_KR!W:W,J344),"")</f>
        <v/>
      </c>
      <c r="P344" s="24" t="str">
        <f>IF(M344&lt;&gt;"",IF(O344="",SUMIFS(JPK_KR!AL:AL,JPK_KR!W:W,N344),SUMIFS(JPK_KR!BF:BF,JPK_KR!BE:BE,N344,JPK_KR!BG:BG,O344)),"")</f>
        <v/>
      </c>
      <c r="Q344" s="126" t="str">
        <f>IF(M344&lt;&gt;"",IF(O344="",SUMIFS(JPK_KR!AM:AM,JPK_KR!W:W,N344),SUMIFS(JPK_KR!BI:BI,JPK_KR!BH:BH,N344,JPK_KR!BJ:BJ,O344)),"")</f>
        <v/>
      </c>
      <c r="U344" s="24" t="str">
        <f>IF(R344&lt;&gt;"",SUMIFS(JPK_KR!AL:AL,JPK_KR!W:W,S344),"")</f>
        <v/>
      </c>
      <c r="V344" s="126" t="str">
        <f>IF(R344&lt;&gt;"",SUMIFS(JPK_KR!AM:AM,JPK_KR!W:W,S344),"")</f>
        <v/>
      </c>
    </row>
    <row r="345" spans="3:22" x14ac:dyDescent="0.3">
      <c r="C345" s="24" t="str">
        <f>IF(A345&lt;&gt;"",SUMIFS(JPK_KR!AL:AL,JPK_KR!W:W,B345),"")</f>
        <v/>
      </c>
      <c r="D345" s="126" t="str">
        <f>IF(A345&lt;&gt;"",SUMIFS(JPK_KR!AM:AM,JPK_KR!W:W,B345),"")</f>
        <v/>
      </c>
      <c r="G345" s="24" t="str">
        <f>IF(E345&lt;&gt;"",SUMIFS(JPK_KR!AL:AL,JPK_KR!W:W,F345),"")</f>
        <v/>
      </c>
      <c r="H345" s="126" t="str">
        <f>IF(E345&lt;&gt;"",SUMIFS(JPK_KR!AM:AM,JPK_KR!W:W,F345),"")</f>
        <v/>
      </c>
      <c r="K345" s="24" t="str">
        <f>IF(I345&lt;&gt;"",SUMIFS(JPK_KR!AL:AL,JPK_KR!W:W,J345),"")</f>
        <v/>
      </c>
      <c r="L345" s="126" t="str">
        <f>IF(I345&lt;&gt;"",SUMIFS(JPK_KR!AM:AM,JPK_KR!W:W,J345),"")</f>
        <v/>
      </c>
      <c r="P345" s="24" t="str">
        <f>IF(M345&lt;&gt;"",IF(O345="",SUMIFS(JPK_KR!AL:AL,JPK_KR!W:W,N345),SUMIFS(JPK_KR!BF:BF,JPK_KR!BE:BE,N345,JPK_KR!BG:BG,O345)),"")</f>
        <v/>
      </c>
      <c r="Q345" s="126" t="str">
        <f>IF(M345&lt;&gt;"",IF(O345="",SUMIFS(JPK_KR!AM:AM,JPK_KR!W:W,N345),SUMIFS(JPK_KR!BI:BI,JPK_KR!BH:BH,N345,JPK_KR!BJ:BJ,O345)),"")</f>
        <v/>
      </c>
      <c r="U345" s="24" t="str">
        <f>IF(R345&lt;&gt;"",SUMIFS(JPK_KR!AL:AL,JPK_KR!W:W,S345),"")</f>
        <v/>
      </c>
      <c r="V345" s="126" t="str">
        <f>IF(R345&lt;&gt;"",SUMIFS(JPK_KR!AM:AM,JPK_KR!W:W,S345),"")</f>
        <v/>
      </c>
    </row>
    <row r="346" spans="3:22" x14ac:dyDescent="0.3">
      <c r="C346" s="24" t="str">
        <f>IF(A346&lt;&gt;"",SUMIFS(JPK_KR!AL:AL,JPK_KR!W:W,B346),"")</f>
        <v/>
      </c>
      <c r="D346" s="126" t="str">
        <f>IF(A346&lt;&gt;"",SUMIFS(JPK_KR!AM:AM,JPK_KR!W:W,B346),"")</f>
        <v/>
      </c>
      <c r="G346" s="24" t="str">
        <f>IF(E346&lt;&gt;"",SUMIFS(JPK_KR!AL:AL,JPK_KR!W:W,F346),"")</f>
        <v/>
      </c>
      <c r="H346" s="126" t="str">
        <f>IF(E346&lt;&gt;"",SUMIFS(JPK_KR!AM:AM,JPK_KR!W:W,F346),"")</f>
        <v/>
      </c>
      <c r="K346" s="24" t="str">
        <f>IF(I346&lt;&gt;"",SUMIFS(JPK_KR!AL:AL,JPK_KR!W:W,J346),"")</f>
        <v/>
      </c>
      <c r="L346" s="126" t="str">
        <f>IF(I346&lt;&gt;"",SUMIFS(JPK_KR!AM:AM,JPK_KR!W:W,J346),"")</f>
        <v/>
      </c>
      <c r="P346" s="24" t="str">
        <f>IF(M346&lt;&gt;"",IF(O346="",SUMIFS(JPK_KR!AL:AL,JPK_KR!W:W,N346),SUMIFS(JPK_KR!BF:BF,JPK_KR!BE:BE,N346,JPK_KR!BG:BG,O346)),"")</f>
        <v/>
      </c>
      <c r="Q346" s="126" t="str">
        <f>IF(M346&lt;&gt;"",IF(O346="",SUMIFS(JPK_KR!AM:AM,JPK_KR!W:W,N346),SUMIFS(JPK_KR!BI:BI,JPK_KR!BH:BH,N346,JPK_KR!BJ:BJ,O346)),"")</f>
        <v/>
      </c>
      <c r="U346" s="24" t="str">
        <f>IF(R346&lt;&gt;"",SUMIFS(JPK_KR!AL:AL,JPK_KR!W:W,S346),"")</f>
        <v/>
      </c>
      <c r="V346" s="126" t="str">
        <f>IF(R346&lt;&gt;"",SUMIFS(JPK_KR!AM:AM,JPK_KR!W:W,S346),"")</f>
        <v/>
      </c>
    </row>
    <row r="347" spans="3:22" x14ac:dyDescent="0.3">
      <c r="C347" s="24" t="str">
        <f>IF(A347&lt;&gt;"",SUMIFS(JPK_KR!AL:AL,JPK_KR!W:W,B347),"")</f>
        <v/>
      </c>
      <c r="D347" s="126" t="str">
        <f>IF(A347&lt;&gt;"",SUMIFS(JPK_KR!AM:AM,JPK_KR!W:W,B347),"")</f>
        <v/>
      </c>
      <c r="G347" s="24" t="str">
        <f>IF(E347&lt;&gt;"",SUMIFS(JPK_KR!AL:AL,JPK_KR!W:W,F347),"")</f>
        <v/>
      </c>
      <c r="H347" s="126" t="str">
        <f>IF(E347&lt;&gt;"",SUMIFS(JPK_KR!AM:AM,JPK_KR!W:W,F347),"")</f>
        <v/>
      </c>
      <c r="K347" s="24" t="str">
        <f>IF(I347&lt;&gt;"",SUMIFS(JPK_KR!AL:AL,JPK_KR!W:W,J347),"")</f>
        <v/>
      </c>
      <c r="L347" s="126" t="str">
        <f>IF(I347&lt;&gt;"",SUMIFS(JPK_KR!AM:AM,JPK_KR!W:W,J347),"")</f>
        <v/>
      </c>
      <c r="P347" s="24" t="str">
        <f>IF(M347&lt;&gt;"",IF(O347="",SUMIFS(JPK_KR!AL:AL,JPK_KR!W:W,N347),SUMIFS(JPK_KR!BF:BF,JPK_KR!BE:BE,N347,JPK_KR!BG:BG,O347)),"")</f>
        <v/>
      </c>
      <c r="Q347" s="126" t="str">
        <f>IF(M347&lt;&gt;"",IF(O347="",SUMIFS(JPK_KR!AM:AM,JPK_KR!W:W,N347),SUMIFS(JPK_KR!BI:BI,JPK_KR!BH:BH,N347,JPK_KR!BJ:BJ,O347)),"")</f>
        <v/>
      </c>
      <c r="U347" s="24" t="str">
        <f>IF(R347&lt;&gt;"",SUMIFS(JPK_KR!AL:AL,JPK_KR!W:W,S347),"")</f>
        <v/>
      </c>
      <c r="V347" s="126" t="str">
        <f>IF(R347&lt;&gt;"",SUMIFS(JPK_KR!AM:AM,JPK_KR!W:W,S347),"")</f>
        <v/>
      </c>
    </row>
    <row r="348" spans="3:22" x14ac:dyDescent="0.3">
      <c r="C348" s="24" t="str">
        <f>IF(A348&lt;&gt;"",SUMIFS(JPK_KR!AL:AL,JPK_KR!W:W,B348),"")</f>
        <v/>
      </c>
      <c r="D348" s="126" t="str">
        <f>IF(A348&lt;&gt;"",SUMIFS(JPK_KR!AM:AM,JPK_KR!W:W,B348),"")</f>
        <v/>
      </c>
      <c r="G348" s="24" t="str">
        <f>IF(E348&lt;&gt;"",SUMIFS(JPK_KR!AL:AL,JPK_KR!W:W,F348),"")</f>
        <v/>
      </c>
      <c r="H348" s="126" t="str">
        <f>IF(E348&lt;&gt;"",SUMIFS(JPK_KR!AM:AM,JPK_KR!W:W,F348),"")</f>
        <v/>
      </c>
      <c r="K348" s="24" t="str">
        <f>IF(I348&lt;&gt;"",SUMIFS(JPK_KR!AL:AL,JPK_KR!W:W,J348),"")</f>
        <v/>
      </c>
      <c r="L348" s="126" t="str">
        <f>IF(I348&lt;&gt;"",SUMIFS(JPK_KR!AM:AM,JPK_KR!W:W,J348),"")</f>
        <v/>
      </c>
      <c r="P348" s="24" t="str">
        <f>IF(M348&lt;&gt;"",IF(O348="",SUMIFS(JPK_KR!AL:AL,JPK_KR!W:W,N348),SUMIFS(JPK_KR!BF:BF,JPK_KR!BE:BE,N348,JPK_KR!BG:BG,O348)),"")</f>
        <v/>
      </c>
      <c r="Q348" s="126" t="str">
        <f>IF(M348&lt;&gt;"",IF(O348="",SUMIFS(JPK_KR!AM:AM,JPK_KR!W:W,N348),SUMIFS(JPK_KR!BI:BI,JPK_KR!BH:BH,N348,JPK_KR!BJ:BJ,O348)),"")</f>
        <v/>
      </c>
      <c r="U348" s="24" t="str">
        <f>IF(R348&lt;&gt;"",SUMIFS(JPK_KR!AL:AL,JPK_KR!W:W,S348),"")</f>
        <v/>
      </c>
      <c r="V348" s="126" t="str">
        <f>IF(R348&lt;&gt;"",SUMIFS(JPK_KR!AM:AM,JPK_KR!W:W,S348),"")</f>
        <v/>
      </c>
    </row>
    <row r="349" spans="3:22" x14ac:dyDescent="0.3">
      <c r="C349" s="24" t="str">
        <f>IF(A349&lt;&gt;"",SUMIFS(JPK_KR!AL:AL,JPK_KR!W:W,B349),"")</f>
        <v/>
      </c>
      <c r="D349" s="126" t="str">
        <f>IF(A349&lt;&gt;"",SUMIFS(JPK_KR!AM:AM,JPK_KR!W:W,B349),"")</f>
        <v/>
      </c>
      <c r="G349" s="24" t="str">
        <f>IF(E349&lt;&gt;"",SUMIFS(JPK_KR!AL:AL,JPK_KR!W:W,F349),"")</f>
        <v/>
      </c>
      <c r="H349" s="126" t="str">
        <f>IF(E349&lt;&gt;"",SUMIFS(JPK_KR!AM:AM,JPK_KR!W:W,F349),"")</f>
        <v/>
      </c>
      <c r="K349" s="24" t="str">
        <f>IF(I349&lt;&gt;"",SUMIFS(JPK_KR!AL:AL,JPK_KR!W:W,J349),"")</f>
        <v/>
      </c>
      <c r="L349" s="126" t="str">
        <f>IF(I349&lt;&gt;"",SUMIFS(JPK_KR!AM:AM,JPK_KR!W:W,J349),"")</f>
        <v/>
      </c>
      <c r="P349" s="24" t="str">
        <f>IF(M349&lt;&gt;"",IF(O349="",SUMIFS(JPK_KR!AL:AL,JPK_KR!W:W,N349),SUMIFS(JPK_KR!BF:BF,JPK_KR!BE:BE,N349,JPK_KR!BG:BG,O349)),"")</f>
        <v/>
      </c>
      <c r="Q349" s="126" t="str">
        <f>IF(M349&lt;&gt;"",IF(O349="",SUMIFS(JPK_KR!AM:AM,JPK_KR!W:W,N349),SUMIFS(JPK_KR!BI:BI,JPK_KR!BH:BH,N349,JPK_KR!BJ:BJ,O349)),"")</f>
        <v/>
      </c>
      <c r="U349" s="24" t="str">
        <f>IF(R349&lt;&gt;"",SUMIFS(JPK_KR!AL:AL,JPK_KR!W:W,S349),"")</f>
        <v/>
      </c>
      <c r="V349" s="126" t="str">
        <f>IF(R349&lt;&gt;"",SUMIFS(JPK_KR!AM:AM,JPK_KR!W:W,S349),"")</f>
        <v/>
      </c>
    </row>
    <row r="350" spans="3:22" x14ac:dyDescent="0.3">
      <c r="C350" s="24" t="str">
        <f>IF(A350&lt;&gt;"",SUMIFS(JPK_KR!AL:AL,JPK_KR!W:W,B350),"")</f>
        <v/>
      </c>
      <c r="D350" s="126" t="str">
        <f>IF(A350&lt;&gt;"",SUMIFS(JPK_KR!AM:AM,JPK_KR!W:W,B350),"")</f>
        <v/>
      </c>
      <c r="G350" s="24" t="str">
        <f>IF(E350&lt;&gt;"",SUMIFS(JPK_KR!AL:AL,JPK_KR!W:W,F350),"")</f>
        <v/>
      </c>
      <c r="H350" s="126" t="str">
        <f>IF(E350&lt;&gt;"",SUMIFS(JPK_KR!AM:AM,JPK_KR!W:W,F350),"")</f>
        <v/>
      </c>
      <c r="K350" s="24" t="str">
        <f>IF(I350&lt;&gt;"",SUMIFS(JPK_KR!AL:AL,JPK_KR!W:W,J350),"")</f>
        <v/>
      </c>
      <c r="L350" s="126" t="str">
        <f>IF(I350&lt;&gt;"",SUMIFS(JPK_KR!AM:AM,JPK_KR!W:W,J350),"")</f>
        <v/>
      </c>
      <c r="P350" s="24" t="str">
        <f>IF(M350&lt;&gt;"",IF(O350="",SUMIFS(JPK_KR!AL:AL,JPK_KR!W:W,N350),SUMIFS(JPK_KR!BF:BF,JPK_KR!BE:BE,N350,JPK_KR!BG:BG,O350)),"")</f>
        <v/>
      </c>
      <c r="Q350" s="126" t="str">
        <f>IF(M350&lt;&gt;"",IF(O350="",SUMIFS(JPK_KR!AM:AM,JPK_KR!W:W,N350),SUMIFS(JPK_KR!BI:BI,JPK_KR!BH:BH,N350,JPK_KR!BJ:BJ,O350)),"")</f>
        <v/>
      </c>
      <c r="U350" s="24" t="str">
        <f>IF(R350&lt;&gt;"",SUMIFS(JPK_KR!AL:AL,JPK_KR!W:W,S350),"")</f>
        <v/>
      </c>
      <c r="V350" s="126" t="str">
        <f>IF(R350&lt;&gt;"",SUMIFS(JPK_KR!AM:AM,JPK_KR!W:W,S350),"")</f>
        <v/>
      </c>
    </row>
    <row r="351" spans="3:22" x14ac:dyDescent="0.3">
      <c r="C351" s="24" t="str">
        <f>IF(A351&lt;&gt;"",SUMIFS(JPK_KR!AL:AL,JPK_KR!W:W,B351),"")</f>
        <v/>
      </c>
      <c r="D351" s="126" t="str">
        <f>IF(A351&lt;&gt;"",SUMIFS(JPK_KR!AM:AM,JPK_KR!W:W,B351),"")</f>
        <v/>
      </c>
      <c r="G351" s="24" t="str">
        <f>IF(E351&lt;&gt;"",SUMIFS(JPK_KR!AL:AL,JPK_KR!W:W,F351),"")</f>
        <v/>
      </c>
      <c r="H351" s="126" t="str">
        <f>IF(E351&lt;&gt;"",SUMIFS(JPK_KR!AM:AM,JPK_KR!W:W,F351),"")</f>
        <v/>
      </c>
      <c r="K351" s="24" t="str">
        <f>IF(I351&lt;&gt;"",SUMIFS(JPK_KR!AL:AL,JPK_KR!W:W,J351),"")</f>
        <v/>
      </c>
      <c r="L351" s="126" t="str">
        <f>IF(I351&lt;&gt;"",SUMIFS(JPK_KR!AM:AM,JPK_KR!W:W,J351),"")</f>
        <v/>
      </c>
      <c r="P351" s="24" t="str">
        <f>IF(M351&lt;&gt;"",IF(O351="",SUMIFS(JPK_KR!AL:AL,JPK_KR!W:W,N351),SUMIFS(JPK_KR!BF:BF,JPK_KR!BE:BE,N351,JPK_KR!BG:BG,O351)),"")</f>
        <v/>
      </c>
      <c r="Q351" s="126" t="str">
        <f>IF(M351&lt;&gt;"",IF(O351="",SUMIFS(JPK_KR!AM:AM,JPK_KR!W:W,N351),SUMIFS(JPK_KR!BI:BI,JPK_KR!BH:BH,N351,JPK_KR!BJ:BJ,O351)),"")</f>
        <v/>
      </c>
      <c r="U351" s="24" t="str">
        <f>IF(R351&lt;&gt;"",SUMIFS(JPK_KR!AL:AL,JPK_KR!W:W,S351),"")</f>
        <v/>
      </c>
      <c r="V351" s="126" t="str">
        <f>IF(R351&lt;&gt;"",SUMIFS(JPK_KR!AM:AM,JPK_KR!W:W,S351),"")</f>
        <v/>
      </c>
    </row>
    <row r="352" spans="3:22" x14ac:dyDescent="0.3">
      <c r="C352" s="24" t="str">
        <f>IF(A352&lt;&gt;"",SUMIFS(JPK_KR!AL:AL,JPK_KR!W:W,B352),"")</f>
        <v/>
      </c>
      <c r="D352" s="126" t="str">
        <f>IF(A352&lt;&gt;"",SUMIFS(JPK_KR!AM:AM,JPK_KR!W:W,B352),"")</f>
        <v/>
      </c>
      <c r="G352" s="24" t="str">
        <f>IF(E352&lt;&gt;"",SUMIFS(JPK_KR!AL:AL,JPK_KR!W:W,F352),"")</f>
        <v/>
      </c>
      <c r="H352" s="126" t="str">
        <f>IF(E352&lt;&gt;"",SUMIFS(JPK_KR!AM:AM,JPK_KR!W:W,F352),"")</f>
        <v/>
      </c>
      <c r="K352" s="24" t="str">
        <f>IF(I352&lt;&gt;"",SUMIFS(JPK_KR!AL:AL,JPK_KR!W:W,J352),"")</f>
        <v/>
      </c>
      <c r="L352" s="126" t="str">
        <f>IF(I352&lt;&gt;"",SUMIFS(JPK_KR!AM:AM,JPK_KR!W:W,J352),"")</f>
        <v/>
      </c>
      <c r="P352" s="24" t="str">
        <f>IF(M352&lt;&gt;"",IF(O352="",SUMIFS(JPK_KR!AL:AL,JPK_KR!W:W,N352),SUMIFS(JPK_KR!BF:BF,JPK_KR!BE:BE,N352,JPK_KR!BG:BG,O352)),"")</f>
        <v/>
      </c>
      <c r="Q352" s="126" t="str">
        <f>IF(M352&lt;&gt;"",IF(O352="",SUMIFS(JPK_KR!AM:AM,JPK_KR!W:W,N352),SUMIFS(JPK_KR!BI:BI,JPK_KR!BH:BH,N352,JPK_KR!BJ:BJ,O352)),"")</f>
        <v/>
      </c>
      <c r="U352" s="24" t="str">
        <f>IF(R352&lt;&gt;"",SUMIFS(JPK_KR!AL:AL,JPK_KR!W:W,S352),"")</f>
        <v/>
      </c>
      <c r="V352" s="126" t="str">
        <f>IF(R352&lt;&gt;"",SUMIFS(JPK_KR!AM:AM,JPK_KR!W:W,S352),"")</f>
        <v/>
      </c>
    </row>
    <row r="353" spans="3:22" x14ac:dyDescent="0.3">
      <c r="C353" s="24" t="str">
        <f>IF(A353&lt;&gt;"",SUMIFS(JPK_KR!AL:AL,JPK_KR!W:W,B353),"")</f>
        <v/>
      </c>
      <c r="D353" s="126" t="str">
        <f>IF(A353&lt;&gt;"",SUMIFS(JPK_KR!AM:AM,JPK_KR!W:W,B353),"")</f>
        <v/>
      </c>
      <c r="G353" s="24" t="str">
        <f>IF(E353&lt;&gt;"",SUMIFS(JPK_KR!AL:AL,JPK_KR!W:W,F353),"")</f>
        <v/>
      </c>
      <c r="H353" s="126" t="str">
        <f>IF(E353&lt;&gt;"",SUMIFS(JPK_KR!AM:AM,JPK_KR!W:W,F353),"")</f>
        <v/>
      </c>
      <c r="K353" s="24" t="str">
        <f>IF(I353&lt;&gt;"",SUMIFS(JPK_KR!AL:AL,JPK_KR!W:W,J353),"")</f>
        <v/>
      </c>
      <c r="L353" s="126" t="str">
        <f>IF(I353&lt;&gt;"",SUMIFS(JPK_KR!AM:AM,JPK_KR!W:W,J353),"")</f>
        <v/>
      </c>
      <c r="P353" s="24" t="str">
        <f>IF(M353&lt;&gt;"",IF(O353="",SUMIFS(JPK_KR!AL:AL,JPK_KR!W:W,N353),SUMIFS(JPK_KR!BF:BF,JPK_KR!BE:BE,N353,JPK_KR!BG:BG,O353)),"")</f>
        <v/>
      </c>
      <c r="Q353" s="126" t="str">
        <f>IF(M353&lt;&gt;"",IF(O353="",SUMIFS(JPK_KR!AM:AM,JPK_KR!W:W,N353),SUMIFS(JPK_KR!BI:BI,JPK_KR!BH:BH,N353,JPK_KR!BJ:BJ,O353)),"")</f>
        <v/>
      </c>
      <c r="U353" s="24" t="str">
        <f>IF(R353&lt;&gt;"",SUMIFS(JPK_KR!AL:AL,JPK_KR!W:W,S353),"")</f>
        <v/>
      </c>
      <c r="V353" s="126" t="str">
        <f>IF(R353&lt;&gt;"",SUMIFS(JPK_KR!AM:AM,JPK_KR!W:W,S353),"")</f>
        <v/>
      </c>
    </row>
    <row r="354" spans="3:22" x14ac:dyDescent="0.3">
      <c r="C354" s="24" t="str">
        <f>IF(A354&lt;&gt;"",SUMIFS(JPK_KR!AL:AL,JPK_KR!W:W,B354),"")</f>
        <v/>
      </c>
      <c r="D354" s="126" t="str">
        <f>IF(A354&lt;&gt;"",SUMIFS(JPK_KR!AM:AM,JPK_KR!W:W,B354),"")</f>
        <v/>
      </c>
      <c r="G354" s="24" t="str">
        <f>IF(E354&lt;&gt;"",SUMIFS(JPK_KR!AL:AL,JPK_KR!W:W,F354),"")</f>
        <v/>
      </c>
      <c r="H354" s="126" t="str">
        <f>IF(E354&lt;&gt;"",SUMIFS(JPK_KR!AM:AM,JPK_KR!W:W,F354),"")</f>
        <v/>
      </c>
      <c r="K354" s="24" t="str">
        <f>IF(I354&lt;&gt;"",SUMIFS(JPK_KR!AL:AL,JPK_KR!W:W,J354),"")</f>
        <v/>
      </c>
      <c r="L354" s="126" t="str">
        <f>IF(I354&lt;&gt;"",SUMIFS(JPK_KR!AM:AM,JPK_KR!W:W,J354),"")</f>
        <v/>
      </c>
      <c r="P354" s="24" t="str">
        <f>IF(M354&lt;&gt;"",IF(O354="",SUMIFS(JPK_KR!AL:AL,JPK_KR!W:W,N354),SUMIFS(JPK_KR!BF:BF,JPK_KR!BE:BE,N354,JPK_KR!BG:BG,O354)),"")</f>
        <v/>
      </c>
      <c r="Q354" s="126" t="str">
        <f>IF(M354&lt;&gt;"",IF(O354="",SUMIFS(JPK_KR!AM:AM,JPK_KR!W:W,N354),SUMIFS(JPK_KR!BI:BI,JPK_KR!BH:BH,N354,JPK_KR!BJ:BJ,O354)),"")</f>
        <v/>
      </c>
      <c r="U354" s="24" t="str">
        <f>IF(R354&lt;&gt;"",SUMIFS(JPK_KR!AL:AL,JPK_KR!W:W,S354),"")</f>
        <v/>
      </c>
      <c r="V354" s="126" t="str">
        <f>IF(R354&lt;&gt;"",SUMIFS(JPK_KR!AM:AM,JPK_KR!W:W,S354),"")</f>
        <v/>
      </c>
    </row>
    <row r="355" spans="3:22" x14ac:dyDescent="0.3">
      <c r="C355" s="24" t="str">
        <f>IF(A355&lt;&gt;"",SUMIFS(JPK_KR!AL:AL,JPK_KR!W:W,B355),"")</f>
        <v/>
      </c>
      <c r="D355" s="126" t="str">
        <f>IF(A355&lt;&gt;"",SUMIFS(JPK_KR!AM:AM,JPK_KR!W:W,B355),"")</f>
        <v/>
      </c>
      <c r="G355" s="24" t="str">
        <f>IF(E355&lt;&gt;"",SUMIFS(JPK_KR!AL:AL,JPK_KR!W:W,F355),"")</f>
        <v/>
      </c>
      <c r="H355" s="126" t="str">
        <f>IF(E355&lt;&gt;"",SUMIFS(JPK_KR!AM:AM,JPK_KR!W:W,F355),"")</f>
        <v/>
      </c>
      <c r="K355" s="24" t="str">
        <f>IF(I355&lt;&gt;"",SUMIFS(JPK_KR!AL:AL,JPK_KR!W:W,J355),"")</f>
        <v/>
      </c>
      <c r="L355" s="126" t="str">
        <f>IF(I355&lt;&gt;"",SUMIFS(JPK_KR!AM:AM,JPK_KR!W:W,J355),"")</f>
        <v/>
      </c>
      <c r="P355" s="24" t="str">
        <f>IF(M355&lt;&gt;"",IF(O355="",SUMIFS(JPK_KR!AL:AL,JPK_KR!W:W,N355),SUMIFS(JPK_KR!BF:BF,JPK_KR!BE:BE,N355,JPK_KR!BG:BG,O355)),"")</f>
        <v/>
      </c>
      <c r="Q355" s="126" t="str">
        <f>IF(M355&lt;&gt;"",IF(O355="",SUMIFS(JPK_KR!AM:AM,JPK_KR!W:W,N355),SUMIFS(JPK_KR!BI:BI,JPK_KR!BH:BH,N355,JPK_KR!BJ:BJ,O355)),"")</f>
        <v/>
      </c>
      <c r="U355" s="24" t="str">
        <f>IF(R355&lt;&gt;"",SUMIFS(JPK_KR!AL:AL,JPK_KR!W:W,S355),"")</f>
        <v/>
      </c>
      <c r="V355" s="126" t="str">
        <f>IF(R355&lt;&gt;"",SUMIFS(JPK_KR!AM:AM,JPK_KR!W:W,S355),"")</f>
        <v/>
      </c>
    </row>
    <row r="356" spans="3:22" x14ac:dyDescent="0.3">
      <c r="C356" s="24" t="str">
        <f>IF(A356&lt;&gt;"",SUMIFS(JPK_KR!AL:AL,JPK_KR!W:W,B356),"")</f>
        <v/>
      </c>
      <c r="D356" s="126" t="str">
        <f>IF(A356&lt;&gt;"",SUMIFS(JPK_KR!AM:AM,JPK_KR!W:W,B356),"")</f>
        <v/>
      </c>
      <c r="G356" s="24" t="str">
        <f>IF(E356&lt;&gt;"",SUMIFS(JPK_KR!AL:AL,JPK_KR!W:W,F356),"")</f>
        <v/>
      </c>
      <c r="H356" s="126" t="str">
        <f>IF(E356&lt;&gt;"",SUMIFS(JPK_KR!AM:AM,JPK_KR!W:W,F356),"")</f>
        <v/>
      </c>
      <c r="K356" s="24" t="str">
        <f>IF(I356&lt;&gt;"",SUMIFS(JPK_KR!AL:AL,JPK_KR!W:W,J356),"")</f>
        <v/>
      </c>
      <c r="L356" s="126" t="str">
        <f>IF(I356&lt;&gt;"",SUMIFS(JPK_KR!AM:AM,JPK_KR!W:W,J356),"")</f>
        <v/>
      </c>
      <c r="P356" s="24" t="str">
        <f>IF(M356&lt;&gt;"",IF(O356="",SUMIFS(JPK_KR!AL:AL,JPK_KR!W:W,N356),SUMIFS(JPK_KR!BF:BF,JPK_KR!BE:BE,N356,JPK_KR!BG:BG,O356)),"")</f>
        <v/>
      </c>
      <c r="Q356" s="126" t="str">
        <f>IF(M356&lt;&gt;"",IF(O356="",SUMIFS(JPK_KR!AM:AM,JPK_KR!W:W,N356),SUMIFS(JPK_KR!BI:BI,JPK_KR!BH:BH,N356,JPK_KR!BJ:BJ,O356)),"")</f>
        <v/>
      </c>
      <c r="U356" s="24" t="str">
        <f>IF(R356&lt;&gt;"",SUMIFS(JPK_KR!AL:AL,JPK_KR!W:W,S356),"")</f>
        <v/>
      </c>
      <c r="V356" s="126" t="str">
        <f>IF(R356&lt;&gt;"",SUMIFS(JPK_KR!AM:AM,JPK_KR!W:W,S356),"")</f>
        <v/>
      </c>
    </row>
    <row r="357" spans="3:22" x14ac:dyDescent="0.3">
      <c r="C357" s="24" t="str">
        <f>IF(A357&lt;&gt;"",SUMIFS(JPK_KR!AL:AL,JPK_KR!W:W,B357),"")</f>
        <v/>
      </c>
      <c r="D357" s="126" t="str">
        <f>IF(A357&lt;&gt;"",SUMIFS(JPK_KR!AM:AM,JPK_KR!W:W,B357),"")</f>
        <v/>
      </c>
      <c r="G357" s="24" t="str">
        <f>IF(E357&lt;&gt;"",SUMIFS(JPK_KR!AL:AL,JPK_KR!W:W,F357),"")</f>
        <v/>
      </c>
      <c r="H357" s="126" t="str">
        <f>IF(E357&lt;&gt;"",SUMIFS(JPK_KR!AM:AM,JPK_KR!W:W,F357),"")</f>
        <v/>
      </c>
      <c r="K357" s="24" t="str">
        <f>IF(I357&lt;&gt;"",SUMIFS(JPK_KR!AL:AL,JPK_KR!W:W,J357),"")</f>
        <v/>
      </c>
      <c r="L357" s="126" t="str">
        <f>IF(I357&lt;&gt;"",SUMIFS(JPK_KR!AM:AM,JPK_KR!W:W,J357),"")</f>
        <v/>
      </c>
      <c r="P357" s="24" t="str">
        <f>IF(M357&lt;&gt;"",IF(O357="",SUMIFS(JPK_KR!AL:AL,JPK_KR!W:W,N357),SUMIFS(JPK_KR!BF:BF,JPK_KR!BE:BE,N357,JPK_KR!BG:BG,O357)),"")</f>
        <v/>
      </c>
      <c r="Q357" s="126" t="str">
        <f>IF(M357&lt;&gt;"",IF(O357="",SUMIFS(JPK_KR!AM:AM,JPK_KR!W:W,N357),SUMIFS(JPK_KR!BI:BI,JPK_KR!BH:BH,N357,JPK_KR!BJ:BJ,O357)),"")</f>
        <v/>
      </c>
      <c r="U357" s="24" t="str">
        <f>IF(R357&lt;&gt;"",SUMIFS(JPK_KR!AL:AL,JPK_KR!W:W,S357),"")</f>
        <v/>
      </c>
      <c r="V357" s="126" t="str">
        <f>IF(R357&lt;&gt;"",SUMIFS(JPK_KR!AM:AM,JPK_KR!W:W,S357),"")</f>
        <v/>
      </c>
    </row>
    <row r="358" spans="3:22" x14ac:dyDescent="0.3">
      <c r="C358" s="24" t="str">
        <f>IF(A358&lt;&gt;"",SUMIFS(JPK_KR!AL:AL,JPK_KR!W:W,B358),"")</f>
        <v/>
      </c>
      <c r="D358" s="126" t="str">
        <f>IF(A358&lt;&gt;"",SUMIFS(JPK_KR!AM:AM,JPK_KR!W:W,B358),"")</f>
        <v/>
      </c>
      <c r="G358" s="24" t="str">
        <f>IF(E358&lt;&gt;"",SUMIFS(JPK_KR!AL:AL,JPK_KR!W:W,F358),"")</f>
        <v/>
      </c>
      <c r="H358" s="126" t="str">
        <f>IF(E358&lt;&gt;"",SUMIFS(JPK_KR!AM:AM,JPK_KR!W:W,F358),"")</f>
        <v/>
      </c>
      <c r="K358" s="24" t="str">
        <f>IF(I358&lt;&gt;"",SUMIFS(JPK_KR!AL:AL,JPK_KR!W:W,J358),"")</f>
        <v/>
      </c>
      <c r="L358" s="126" t="str">
        <f>IF(I358&lt;&gt;"",SUMIFS(JPK_KR!AM:AM,JPK_KR!W:W,J358),"")</f>
        <v/>
      </c>
      <c r="P358" s="24" t="str">
        <f>IF(M358&lt;&gt;"",IF(O358="",SUMIFS(JPK_KR!AL:AL,JPK_KR!W:W,N358),SUMIFS(JPK_KR!BF:BF,JPK_KR!BE:BE,N358,JPK_KR!BG:BG,O358)),"")</f>
        <v/>
      </c>
      <c r="Q358" s="126" t="str">
        <f>IF(M358&lt;&gt;"",IF(O358="",SUMIFS(JPK_KR!AM:AM,JPK_KR!W:W,N358),SUMIFS(JPK_KR!BI:BI,JPK_KR!BH:BH,N358,JPK_KR!BJ:BJ,O358)),"")</f>
        <v/>
      </c>
      <c r="U358" s="24" t="str">
        <f>IF(R358&lt;&gt;"",SUMIFS(JPK_KR!AL:AL,JPK_KR!W:W,S358),"")</f>
        <v/>
      </c>
      <c r="V358" s="126" t="str">
        <f>IF(R358&lt;&gt;"",SUMIFS(JPK_KR!AM:AM,JPK_KR!W:W,S358),"")</f>
        <v/>
      </c>
    </row>
    <row r="359" spans="3:22" x14ac:dyDescent="0.3">
      <c r="C359" s="24" t="str">
        <f>IF(A359&lt;&gt;"",SUMIFS(JPK_KR!AL:AL,JPK_KR!W:W,B359),"")</f>
        <v/>
      </c>
      <c r="D359" s="126" t="str">
        <f>IF(A359&lt;&gt;"",SUMIFS(JPK_KR!AM:AM,JPK_KR!W:W,B359),"")</f>
        <v/>
      </c>
      <c r="G359" s="24" t="str">
        <f>IF(E359&lt;&gt;"",SUMIFS(JPK_KR!AL:AL,JPK_KR!W:W,F359),"")</f>
        <v/>
      </c>
      <c r="H359" s="126" t="str">
        <f>IF(E359&lt;&gt;"",SUMIFS(JPK_KR!AM:AM,JPK_KR!W:W,F359),"")</f>
        <v/>
      </c>
      <c r="K359" s="24" t="str">
        <f>IF(I359&lt;&gt;"",SUMIFS(JPK_KR!AL:AL,JPK_KR!W:W,J359),"")</f>
        <v/>
      </c>
      <c r="L359" s="126" t="str">
        <f>IF(I359&lt;&gt;"",SUMIFS(JPK_KR!AM:AM,JPK_KR!W:W,J359),"")</f>
        <v/>
      </c>
      <c r="P359" s="24" t="str">
        <f>IF(M359&lt;&gt;"",IF(O359="",SUMIFS(JPK_KR!AL:AL,JPK_KR!W:W,N359),SUMIFS(JPK_KR!BF:BF,JPK_KR!BE:BE,N359,JPK_KR!BG:BG,O359)),"")</f>
        <v/>
      </c>
      <c r="Q359" s="126" t="str">
        <f>IF(M359&lt;&gt;"",IF(O359="",SUMIFS(JPK_KR!AM:AM,JPK_KR!W:W,N359),SUMIFS(JPK_KR!BI:BI,JPK_KR!BH:BH,N359,JPK_KR!BJ:BJ,O359)),"")</f>
        <v/>
      </c>
      <c r="U359" s="24" t="str">
        <f>IF(R359&lt;&gt;"",SUMIFS(JPK_KR!AL:AL,JPK_KR!W:W,S359),"")</f>
        <v/>
      </c>
      <c r="V359" s="126" t="str">
        <f>IF(R359&lt;&gt;"",SUMIFS(JPK_KR!AM:AM,JPK_KR!W:W,S359),"")</f>
        <v/>
      </c>
    </row>
    <row r="360" spans="3:22" x14ac:dyDescent="0.3">
      <c r="C360" s="24" t="str">
        <f>IF(A360&lt;&gt;"",SUMIFS(JPK_KR!AL:AL,JPK_KR!W:W,B360),"")</f>
        <v/>
      </c>
      <c r="D360" s="126" t="str">
        <f>IF(A360&lt;&gt;"",SUMIFS(JPK_KR!AM:AM,JPK_KR!W:W,B360),"")</f>
        <v/>
      </c>
      <c r="G360" s="24" t="str">
        <f>IF(E360&lt;&gt;"",SUMIFS(JPK_KR!AL:AL,JPK_KR!W:W,F360),"")</f>
        <v/>
      </c>
      <c r="H360" s="126" t="str">
        <f>IF(E360&lt;&gt;"",SUMIFS(JPK_KR!AM:AM,JPK_KR!W:W,F360),"")</f>
        <v/>
      </c>
      <c r="K360" s="24" t="str">
        <f>IF(I360&lt;&gt;"",SUMIFS(JPK_KR!AL:AL,JPK_KR!W:W,J360),"")</f>
        <v/>
      </c>
      <c r="L360" s="126" t="str">
        <f>IF(I360&lt;&gt;"",SUMIFS(JPK_KR!AM:AM,JPK_KR!W:W,J360),"")</f>
        <v/>
      </c>
      <c r="P360" s="24" t="str">
        <f>IF(M360&lt;&gt;"",IF(O360="",SUMIFS(JPK_KR!AL:AL,JPK_KR!W:W,N360),SUMIFS(JPK_KR!BF:BF,JPK_KR!BE:BE,N360,JPK_KR!BG:BG,O360)),"")</f>
        <v/>
      </c>
      <c r="Q360" s="126" t="str">
        <f>IF(M360&lt;&gt;"",IF(O360="",SUMIFS(JPK_KR!AM:AM,JPK_KR!W:W,N360),SUMIFS(JPK_KR!BI:BI,JPK_KR!BH:BH,N360,JPK_KR!BJ:BJ,O360)),"")</f>
        <v/>
      </c>
      <c r="U360" s="24" t="str">
        <f>IF(R360&lt;&gt;"",SUMIFS(JPK_KR!AL:AL,JPK_KR!W:W,S360),"")</f>
        <v/>
      </c>
      <c r="V360" s="126" t="str">
        <f>IF(R360&lt;&gt;"",SUMIFS(JPK_KR!AM:AM,JPK_KR!W:W,S360),"")</f>
        <v/>
      </c>
    </row>
    <row r="361" spans="3:22" x14ac:dyDescent="0.3">
      <c r="C361" s="24" t="str">
        <f>IF(A361&lt;&gt;"",SUMIFS(JPK_KR!AL:AL,JPK_KR!W:W,B361),"")</f>
        <v/>
      </c>
      <c r="D361" s="126" t="str">
        <f>IF(A361&lt;&gt;"",SUMIFS(JPK_KR!AM:AM,JPK_KR!W:W,B361),"")</f>
        <v/>
      </c>
      <c r="G361" s="24" t="str">
        <f>IF(E361&lt;&gt;"",SUMIFS(JPK_KR!AL:AL,JPK_KR!W:W,F361),"")</f>
        <v/>
      </c>
      <c r="H361" s="126" t="str">
        <f>IF(E361&lt;&gt;"",SUMIFS(JPK_KR!AM:AM,JPK_KR!W:W,F361),"")</f>
        <v/>
      </c>
      <c r="K361" s="24" t="str">
        <f>IF(I361&lt;&gt;"",SUMIFS(JPK_KR!AL:AL,JPK_KR!W:W,J361),"")</f>
        <v/>
      </c>
      <c r="L361" s="126" t="str">
        <f>IF(I361&lt;&gt;"",SUMIFS(JPK_KR!AM:AM,JPK_KR!W:W,J361),"")</f>
        <v/>
      </c>
      <c r="P361" s="24" t="str">
        <f>IF(M361&lt;&gt;"",IF(O361="",SUMIFS(JPK_KR!AL:AL,JPK_KR!W:W,N361),SUMIFS(JPK_KR!BF:BF,JPK_KR!BE:BE,N361,JPK_KR!BG:BG,O361)),"")</f>
        <v/>
      </c>
      <c r="Q361" s="126" t="str">
        <f>IF(M361&lt;&gt;"",IF(O361="",SUMIFS(JPK_KR!AM:AM,JPK_KR!W:W,N361),SUMIFS(JPK_KR!BI:BI,JPK_KR!BH:BH,N361,JPK_KR!BJ:BJ,O361)),"")</f>
        <v/>
      </c>
      <c r="U361" s="24" t="str">
        <f>IF(R361&lt;&gt;"",SUMIFS(JPK_KR!AL:AL,JPK_KR!W:W,S361),"")</f>
        <v/>
      </c>
      <c r="V361" s="126" t="str">
        <f>IF(R361&lt;&gt;"",SUMIFS(JPK_KR!AM:AM,JPK_KR!W:W,S361),"")</f>
        <v/>
      </c>
    </row>
    <row r="362" spans="3:22" x14ac:dyDescent="0.3">
      <c r="C362" s="24" t="str">
        <f>IF(A362&lt;&gt;"",SUMIFS(JPK_KR!AL:AL,JPK_KR!W:W,B362),"")</f>
        <v/>
      </c>
      <c r="D362" s="126" t="str">
        <f>IF(A362&lt;&gt;"",SUMIFS(JPK_KR!AM:AM,JPK_KR!W:W,B362),"")</f>
        <v/>
      </c>
      <c r="G362" s="24" t="str">
        <f>IF(E362&lt;&gt;"",SUMIFS(JPK_KR!AL:AL,JPK_KR!W:W,F362),"")</f>
        <v/>
      </c>
      <c r="H362" s="126" t="str">
        <f>IF(E362&lt;&gt;"",SUMIFS(JPK_KR!AM:AM,JPK_KR!W:W,F362),"")</f>
        <v/>
      </c>
      <c r="K362" s="24" t="str">
        <f>IF(I362&lt;&gt;"",SUMIFS(JPK_KR!AL:AL,JPK_KR!W:W,J362),"")</f>
        <v/>
      </c>
      <c r="L362" s="126" t="str">
        <f>IF(I362&lt;&gt;"",SUMIFS(JPK_KR!AM:AM,JPK_KR!W:W,J362),"")</f>
        <v/>
      </c>
      <c r="P362" s="24" t="str">
        <f>IF(M362&lt;&gt;"",IF(O362="",SUMIFS(JPK_KR!AL:AL,JPK_KR!W:W,N362),SUMIFS(JPK_KR!BF:BF,JPK_KR!BE:BE,N362,JPK_KR!BG:BG,O362)),"")</f>
        <v/>
      </c>
      <c r="Q362" s="126" t="str">
        <f>IF(M362&lt;&gt;"",IF(O362="",SUMIFS(JPK_KR!AM:AM,JPK_KR!W:W,N362),SUMIFS(JPK_KR!BI:BI,JPK_KR!BH:BH,N362,JPK_KR!BJ:BJ,O362)),"")</f>
        <v/>
      </c>
      <c r="U362" s="24" t="str">
        <f>IF(R362&lt;&gt;"",SUMIFS(JPK_KR!AL:AL,JPK_KR!W:W,S362),"")</f>
        <v/>
      </c>
      <c r="V362" s="126" t="str">
        <f>IF(R362&lt;&gt;"",SUMIFS(JPK_KR!AM:AM,JPK_KR!W:W,S362),"")</f>
        <v/>
      </c>
    </row>
    <row r="363" spans="3:22" x14ac:dyDescent="0.3">
      <c r="C363" s="24" t="str">
        <f>IF(A363&lt;&gt;"",SUMIFS(JPK_KR!AL:AL,JPK_KR!W:W,B363),"")</f>
        <v/>
      </c>
      <c r="D363" s="126" t="str">
        <f>IF(A363&lt;&gt;"",SUMIFS(JPK_KR!AM:AM,JPK_KR!W:W,B363),"")</f>
        <v/>
      </c>
      <c r="G363" s="24" t="str">
        <f>IF(E363&lt;&gt;"",SUMIFS(JPK_KR!AL:AL,JPK_KR!W:W,F363),"")</f>
        <v/>
      </c>
      <c r="H363" s="126" t="str">
        <f>IF(E363&lt;&gt;"",SUMIFS(JPK_KR!AM:AM,JPK_KR!W:W,F363),"")</f>
        <v/>
      </c>
      <c r="K363" s="24" t="str">
        <f>IF(I363&lt;&gt;"",SUMIFS(JPK_KR!AL:AL,JPK_KR!W:W,J363),"")</f>
        <v/>
      </c>
      <c r="L363" s="126" t="str">
        <f>IF(I363&lt;&gt;"",SUMIFS(JPK_KR!AM:AM,JPK_KR!W:W,J363),"")</f>
        <v/>
      </c>
      <c r="P363" s="24" t="str">
        <f>IF(M363&lt;&gt;"",IF(O363="",SUMIFS(JPK_KR!AL:AL,JPK_KR!W:W,N363),SUMIFS(JPK_KR!BF:BF,JPK_KR!BE:BE,N363,JPK_KR!BG:BG,O363)),"")</f>
        <v/>
      </c>
      <c r="Q363" s="126" t="str">
        <f>IF(M363&lt;&gt;"",IF(O363="",SUMIFS(JPK_KR!AM:AM,JPK_KR!W:W,N363),SUMIFS(JPK_KR!BI:BI,JPK_KR!BH:BH,N363,JPK_KR!BJ:BJ,O363)),"")</f>
        <v/>
      </c>
      <c r="U363" s="24" t="str">
        <f>IF(R363&lt;&gt;"",SUMIFS(JPK_KR!AL:AL,JPK_KR!W:W,S363),"")</f>
        <v/>
      </c>
      <c r="V363" s="126" t="str">
        <f>IF(R363&lt;&gt;"",SUMIFS(JPK_KR!AM:AM,JPK_KR!W:W,S363),"")</f>
        <v/>
      </c>
    </row>
    <row r="364" spans="3:22" x14ac:dyDescent="0.3">
      <c r="C364" s="24" t="str">
        <f>IF(A364&lt;&gt;"",SUMIFS(JPK_KR!AL:AL,JPK_KR!W:W,B364),"")</f>
        <v/>
      </c>
      <c r="D364" s="126" t="str">
        <f>IF(A364&lt;&gt;"",SUMIFS(JPK_KR!AM:AM,JPK_KR!W:W,B364),"")</f>
        <v/>
      </c>
      <c r="G364" s="24" t="str">
        <f>IF(E364&lt;&gt;"",SUMIFS(JPK_KR!AL:AL,JPK_KR!W:W,F364),"")</f>
        <v/>
      </c>
      <c r="H364" s="126" t="str">
        <f>IF(E364&lt;&gt;"",SUMIFS(JPK_KR!AM:AM,JPK_KR!W:W,F364),"")</f>
        <v/>
      </c>
      <c r="K364" s="24" t="str">
        <f>IF(I364&lt;&gt;"",SUMIFS(JPK_KR!AL:AL,JPK_KR!W:W,J364),"")</f>
        <v/>
      </c>
      <c r="L364" s="126" t="str">
        <f>IF(I364&lt;&gt;"",SUMIFS(JPK_KR!AM:AM,JPK_KR!W:W,J364),"")</f>
        <v/>
      </c>
      <c r="P364" s="24" t="str">
        <f>IF(M364&lt;&gt;"",IF(O364="",SUMIFS(JPK_KR!AL:AL,JPK_KR!W:W,N364),SUMIFS(JPK_KR!BF:BF,JPK_KR!BE:BE,N364,JPK_KR!BG:BG,O364)),"")</f>
        <v/>
      </c>
      <c r="Q364" s="126" t="str">
        <f>IF(M364&lt;&gt;"",IF(O364="",SUMIFS(JPK_KR!AM:AM,JPK_KR!W:W,N364),SUMIFS(JPK_KR!BI:BI,JPK_KR!BH:BH,N364,JPK_KR!BJ:BJ,O364)),"")</f>
        <v/>
      </c>
      <c r="U364" s="24" t="str">
        <f>IF(R364&lt;&gt;"",SUMIFS(JPK_KR!AL:AL,JPK_KR!W:W,S364),"")</f>
        <v/>
      </c>
      <c r="V364" s="126" t="str">
        <f>IF(R364&lt;&gt;"",SUMIFS(JPK_KR!AM:AM,JPK_KR!W:W,S364),"")</f>
        <v/>
      </c>
    </row>
    <row r="365" spans="3:22" x14ac:dyDescent="0.3">
      <c r="C365" s="24" t="str">
        <f>IF(A365&lt;&gt;"",SUMIFS(JPK_KR!AL:AL,JPK_KR!W:W,B365),"")</f>
        <v/>
      </c>
      <c r="D365" s="126" t="str">
        <f>IF(A365&lt;&gt;"",SUMIFS(JPK_KR!AM:AM,JPK_KR!W:W,B365),"")</f>
        <v/>
      </c>
      <c r="G365" s="24" t="str">
        <f>IF(E365&lt;&gt;"",SUMIFS(JPK_KR!AL:AL,JPK_KR!W:W,F365),"")</f>
        <v/>
      </c>
      <c r="H365" s="126" t="str">
        <f>IF(E365&lt;&gt;"",SUMIFS(JPK_KR!AM:AM,JPK_KR!W:W,F365),"")</f>
        <v/>
      </c>
      <c r="K365" s="24" t="str">
        <f>IF(I365&lt;&gt;"",SUMIFS(JPK_KR!AL:AL,JPK_KR!W:W,J365),"")</f>
        <v/>
      </c>
      <c r="L365" s="126" t="str">
        <f>IF(I365&lt;&gt;"",SUMIFS(JPK_KR!AM:AM,JPK_KR!W:W,J365),"")</f>
        <v/>
      </c>
      <c r="P365" s="24" t="str">
        <f>IF(M365&lt;&gt;"",IF(O365="",SUMIFS(JPK_KR!AL:AL,JPK_KR!W:W,N365),SUMIFS(JPK_KR!BF:BF,JPK_KR!BE:BE,N365,JPK_KR!BG:BG,O365)),"")</f>
        <v/>
      </c>
      <c r="Q365" s="126" t="str">
        <f>IF(M365&lt;&gt;"",IF(O365="",SUMIFS(JPK_KR!AM:AM,JPK_KR!W:W,N365),SUMIFS(JPK_KR!BI:BI,JPK_KR!BH:BH,N365,JPK_KR!BJ:BJ,O365)),"")</f>
        <v/>
      </c>
      <c r="U365" s="24" t="str">
        <f>IF(R365&lt;&gt;"",SUMIFS(JPK_KR!AL:AL,JPK_KR!W:W,S365),"")</f>
        <v/>
      </c>
      <c r="V365" s="126" t="str">
        <f>IF(R365&lt;&gt;"",SUMIFS(JPK_KR!AM:AM,JPK_KR!W:W,S365),"")</f>
        <v/>
      </c>
    </row>
    <row r="366" spans="3:22" x14ac:dyDescent="0.3">
      <c r="C366" s="24" t="str">
        <f>IF(A366&lt;&gt;"",SUMIFS(JPK_KR!AL:AL,JPK_KR!W:W,B366),"")</f>
        <v/>
      </c>
      <c r="D366" s="126" t="str">
        <f>IF(A366&lt;&gt;"",SUMIFS(JPK_KR!AM:AM,JPK_KR!W:W,B366),"")</f>
        <v/>
      </c>
      <c r="G366" s="24" t="str">
        <f>IF(E366&lt;&gt;"",SUMIFS(JPK_KR!AL:AL,JPK_KR!W:W,F366),"")</f>
        <v/>
      </c>
      <c r="H366" s="126" t="str">
        <f>IF(E366&lt;&gt;"",SUMIFS(JPK_KR!AM:AM,JPK_KR!W:W,F366),"")</f>
        <v/>
      </c>
      <c r="K366" s="24" t="str">
        <f>IF(I366&lt;&gt;"",SUMIFS(JPK_KR!AL:AL,JPK_KR!W:W,J366),"")</f>
        <v/>
      </c>
      <c r="L366" s="126" t="str">
        <f>IF(I366&lt;&gt;"",SUMIFS(JPK_KR!AM:AM,JPK_KR!W:W,J366),"")</f>
        <v/>
      </c>
      <c r="P366" s="24" t="str">
        <f>IF(M366&lt;&gt;"",IF(O366="",SUMIFS(JPK_KR!AL:AL,JPK_KR!W:W,N366),SUMIFS(JPK_KR!BF:BF,JPK_KR!BE:BE,N366,JPK_KR!BG:BG,O366)),"")</f>
        <v/>
      </c>
      <c r="Q366" s="126" t="str">
        <f>IF(M366&lt;&gt;"",IF(O366="",SUMIFS(JPK_KR!AM:AM,JPK_KR!W:W,N366),SUMIFS(JPK_KR!BI:BI,JPK_KR!BH:BH,N366,JPK_KR!BJ:BJ,O366)),"")</f>
        <v/>
      </c>
      <c r="U366" s="24" t="str">
        <f>IF(R366&lt;&gt;"",SUMIFS(JPK_KR!AL:AL,JPK_KR!W:W,S366),"")</f>
        <v/>
      </c>
      <c r="V366" s="126" t="str">
        <f>IF(R366&lt;&gt;"",SUMIFS(JPK_KR!AM:AM,JPK_KR!W:W,S366),"")</f>
        <v/>
      </c>
    </row>
    <row r="367" spans="3:22" x14ac:dyDescent="0.3">
      <c r="C367" s="24" t="str">
        <f>IF(A367&lt;&gt;"",SUMIFS(JPK_KR!AL:AL,JPK_KR!W:W,B367),"")</f>
        <v/>
      </c>
      <c r="D367" s="126" t="str">
        <f>IF(A367&lt;&gt;"",SUMIFS(JPK_KR!AM:AM,JPK_KR!W:W,B367),"")</f>
        <v/>
      </c>
      <c r="G367" s="24" t="str">
        <f>IF(E367&lt;&gt;"",SUMIFS(JPK_KR!AL:AL,JPK_KR!W:W,F367),"")</f>
        <v/>
      </c>
      <c r="H367" s="126" t="str">
        <f>IF(E367&lt;&gt;"",SUMIFS(JPK_KR!AM:AM,JPK_KR!W:W,F367),"")</f>
        <v/>
      </c>
      <c r="K367" s="24" t="str">
        <f>IF(I367&lt;&gt;"",SUMIFS(JPK_KR!AL:AL,JPK_KR!W:W,J367),"")</f>
        <v/>
      </c>
      <c r="L367" s="126" t="str">
        <f>IF(I367&lt;&gt;"",SUMIFS(JPK_KR!AM:AM,JPK_KR!W:W,J367),"")</f>
        <v/>
      </c>
      <c r="P367" s="24" t="str">
        <f>IF(M367&lt;&gt;"",IF(O367="",SUMIFS(JPK_KR!AL:AL,JPK_KR!W:W,N367),SUMIFS(JPK_KR!BF:BF,JPK_KR!BE:BE,N367,JPK_KR!BG:BG,O367)),"")</f>
        <v/>
      </c>
      <c r="Q367" s="126" t="str">
        <f>IF(M367&lt;&gt;"",IF(O367="",SUMIFS(JPK_KR!AM:AM,JPK_KR!W:W,N367),SUMIFS(JPK_KR!BI:BI,JPK_KR!BH:BH,N367,JPK_KR!BJ:BJ,O367)),"")</f>
        <v/>
      </c>
      <c r="U367" s="24" t="str">
        <f>IF(R367&lt;&gt;"",SUMIFS(JPK_KR!AL:AL,JPK_KR!W:W,S367),"")</f>
        <v/>
      </c>
      <c r="V367" s="126" t="str">
        <f>IF(R367&lt;&gt;"",SUMIFS(JPK_KR!AM:AM,JPK_KR!W:W,S367),"")</f>
        <v/>
      </c>
    </row>
    <row r="368" spans="3:22" x14ac:dyDescent="0.3">
      <c r="C368" s="24" t="str">
        <f>IF(A368&lt;&gt;"",SUMIFS(JPK_KR!AL:AL,JPK_KR!W:W,B368),"")</f>
        <v/>
      </c>
      <c r="D368" s="126" t="str">
        <f>IF(A368&lt;&gt;"",SUMIFS(JPK_KR!AM:AM,JPK_KR!W:W,B368),"")</f>
        <v/>
      </c>
      <c r="G368" s="24" t="str">
        <f>IF(E368&lt;&gt;"",SUMIFS(JPK_KR!AL:AL,JPK_KR!W:W,F368),"")</f>
        <v/>
      </c>
      <c r="H368" s="126" t="str">
        <f>IF(E368&lt;&gt;"",SUMIFS(JPK_KR!AM:AM,JPK_KR!W:W,F368),"")</f>
        <v/>
      </c>
      <c r="K368" s="24" t="str">
        <f>IF(I368&lt;&gt;"",SUMIFS(JPK_KR!AL:AL,JPK_KR!W:W,J368),"")</f>
        <v/>
      </c>
      <c r="L368" s="126" t="str">
        <f>IF(I368&lt;&gt;"",SUMIFS(JPK_KR!AM:AM,JPK_KR!W:W,J368),"")</f>
        <v/>
      </c>
      <c r="P368" s="24" t="str">
        <f>IF(M368&lt;&gt;"",IF(O368="",SUMIFS(JPK_KR!AL:AL,JPK_KR!W:W,N368),SUMIFS(JPK_KR!BF:BF,JPK_KR!BE:BE,N368,JPK_KR!BG:BG,O368)),"")</f>
        <v/>
      </c>
      <c r="Q368" s="126" t="str">
        <f>IF(M368&lt;&gt;"",IF(O368="",SUMIFS(JPK_KR!AM:AM,JPK_KR!W:W,N368),SUMIFS(JPK_KR!BI:BI,JPK_KR!BH:BH,N368,JPK_KR!BJ:BJ,O368)),"")</f>
        <v/>
      </c>
      <c r="U368" s="24" t="str">
        <f>IF(R368&lt;&gt;"",SUMIFS(JPK_KR!AL:AL,JPK_KR!W:W,S368),"")</f>
        <v/>
      </c>
      <c r="V368" s="126" t="str">
        <f>IF(R368&lt;&gt;"",SUMIFS(JPK_KR!AM:AM,JPK_KR!W:W,S368),"")</f>
        <v/>
      </c>
    </row>
    <row r="369" spans="3:22" x14ac:dyDescent="0.3">
      <c r="C369" s="24" t="str">
        <f>IF(A369&lt;&gt;"",SUMIFS(JPK_KR!AL:AL,JPK_KR!W:W,B369),"")</f>
        <v/>
      </c>
      <c r="D369" s="126" t="str">
        <f>IF(A369&lt;&gt;"",SUMIFS(JPK_KR!AM:AM,JPK_KR!W:W,B369),"")</f>
        <v/>
      </c>
      <c r="G369" s="24" t="str">
        <f>IF(E369&lt;&gt;"",SUMIFS(JPK_KR!AL:AL,JPK_KR!W:W,F369),"")</f>
        <v/>
      </c>
      <c r="H369" s="126" t="str">
        <f>IF(E369&lt;&gt;"",SUMIFS(JPK_KR!AM:AM,JPK_KR!W:W,F369),"")</f>
        <v/>
      </c>
      <c r="K369" s="24" t="str">
        <f>IF(I369&lt;&gt;"",SUMIFS(JPK_KR!AL:AL,JPK_KR!W:W,J369),"")</f>
        <v/>
      </c>
      <c r="L369" s="126" t="str">
        <f>IF(I369&lt;&gt;"",SUMIFS(JPK_KR!AM:AM,JPK_KR!W:W,J369),"")</f>
        <v/>
      </c>
      <c r="P369" s="24" t="str">
        <f>IF(M369&lt;&gt;"",IF(O369="",SUMIFS(JPK_KR!AL:AL,JPK_KR!W:W,N369),SUMIFS(JPK_KR!BF:BF,JPK_KR!BE:BE,N369,JPK_KR!BG:BG,O369)),"")</f>
        <v/>
      </c>
      <c r="Q369" s="126" t="str">
        <f>IF(M369&lt;&gt;"",IF(O369="",SUMIFS(JPK_KR!AM:AM,JPK_KR!W:W,N369),SUMIFS(JPK_KR!BI:BI,JPK_KR!BH:BH,N369,JPK_KR!BJ:BJ,O369)),"")</f>
        <v/>
      </c>
      <c r="U369" s="24" t="str">
        <f>IF(R369&lt;&gt;"",SUMIFS(JPK_KR!AL:AL,JPK_KR!W:W,S369),"")</f>
        <v/>
      </c>
      <c r="V369" s="126" t="str">
        <f>IF(R369&lt;&gt;"",SUMIFS(JPK_KR!AM:AM,JPK_KR!W:W,S369),"")</f>
        <v/>
      </c>
    </row>
    <row r="370" spans="3:22" x14ac:dyDescent="0.3">
      <c r="C370" s="24" t="str">
        <f>IF(A370&lt;&gt;"",SUMIFS(JPK_KR!AL:AL,JPK_KR!W:W,B370),"")</f>
        <v/>
      </c>
      <c r="D370" s="126" t="str">
        <f>IF(A370&lt;&gt;"",SUMIFS(JPK_KR!AM:AM,JPK_KR!W:W,B370),"")</f>
        <v/>
      </c>
      <c r="G370" s="24" t="str">
        <f>IF(E370&lt;&gt;"",SUMIFS(JPK_KR!AL:AL,JPK_KR!W:W,F370),"")</f>
        <v/>
      </c>
      <c r="H370" s="126" t="str">
        <f>IF(E370&lt;&gt;"",SUMIFS(JPK_KR!AM:AM,JPK_KR!W:W,F370),"")</f>
        <v/>
      </c>
      <c r="K370" s="24" t="str">
        <f>IF(I370&lt;&gt;"",SUMIFS(JPK_KR!AL:AL,JPK_KR!W:W,J370),"")</f>
        <v/>
      </c>
      <c r="L370" s="126" t="str">
        <f>IF(I370&lt;&gt;"",SUMIFS(JPK_KR!AM:AM,JPK_KR!W:W,J370),"")</f>
        <v/>
      </c>
      <c r="P370" s="24" t="str">
        <f>IF(M370&lt;&gt;"",IF(O370="",SUMIFS(JPK_KR!AL:AL,JPK_KR!W:W,N370),SUMIFS(JPK_KR!BF:BF,JPK_KR!BE:BE,N370,JPK_KR!BG:BG,O370)),"")</f>
        <v/>
      </c>
      <c r="Q370" s="126" t="str">
        <f>IF(M370&lt;&gt;"",IF(O370="",SUMIFS(JPK_KR!AM:AM,JPK_KR!W:W,N370),SUMIFS(JPK_KR!BI:BI,JPK_KR!BH:BH,N370,JPK_KR!BJ:BJ,O370)),"")</f>
        <v/>
      </c>
      <c r="U370" s="24" t="str">
        <f>IF(R370&lt;&gt;"",SUMIFS(JPK_KR!AL:AL,JPK_KR!W:W,S370),"")</f>
        <v/>
      </c>
      <c r="V370" s="126" t="str">
        <f>IF(R370&lt;&gt;"",SUMIFS(JPK_KR!AM:AM,JPK_KR!W:W,S370),"")</f>
        <v/>
      </c>
    </row>
    <row r="371" spans="3:22" x14ac:dyDescent="0.3">
      <c r="C371" s="24" t="str">
        <f>IF(A371&lt;&gt;"",SUMIFS(JPK_KR!AL:AL,JPK_KR!W:W,B371),"")</f>
        <v/>
      </c>
      <c r="D371" s="126" t="str">
        <f>IF(A371&lt;&gt;"",SUMIFS(JPK_KR!AM:AM,JPK_KR!W:W,B371),"")</f>
        <v/>
      </c>
      <c r="G371" s="24" t="str">
        <f>IF(E371&lt;&gt;"",SUMIFS(JPK_KR!AL:AL,JPK_KR!W:W,F371),"")</f>
        <v/>
      </c>
      <c r="H371" s="126" t="str">
        <f>IF(E371&lt;&gt;"",SUMIFS(JPK_KR!AM:AM,JPK_KR!W:W,F371),"")</f>
        <v/>
      </c>
      <c r="K371" s="24" t="str">
        <f>IF(I371&lt;&gt;"",SUMIFS(JPK_KR!AL:AL,JPK_KR!W:W,J371),"")</f>
        <v/>
      </c>
      <c r="L371" s="126" t="str">
        <f>IF(I371&lt;&gt;"",SUMIFS(JPK_KR!AM:AM,JPK_KR!W:W,J371),"")</f>
        <v/>
      </c>
      <c r="P371" s="24" t="str">
        <f>IF(M371&lt;&gt;"",IF(O371="",SUMIFS(JPK_KR!AL:AL,JPK_KR!W:W,N371),SUMIFS(JPK_KR!BF:BF,JPK_KR!BE:BE,N371,JPK_KR!BG:BG,O371)),"")</f>
        <v/>
      </c>
      <c r="Q371" s="126" t="str">
        <f>IF(M371&lt;&gt;"",IF(O371="",SUMIFS(JPK_KR!AM:AM,JPK_KR!W:W,N371),SUMIFS(JPK_KR!BI:BI,JPK_KR!BH:BH,N371,JPK_KR!BJ:BJ,O371)),"")</f>
        <v/>
      </c>
      <c r="U371" s="24" t="str">
        <f>IF(R371&lt;&gt;"",SUMIFS(JPK_KR!AL:AL,JPK_KR!W:W,S371),"")</f>
        <v/>
      </c>
      <c r="V371" s="126" t="str">
        <f>IF(R371&lt;&gt;"",SUMIFS(JPK_KR!AM:AM,JPK_KR!W:W,S371),"")</f>
        <v/>
      </c>
    </row>
    <row r="372" spans="3:22" x14ac:dyDescent="0.3">
      <c r="C372" s="24" t="str">
        <f>IF(A372&lt;&gt;"",SUMIFS(JPK_KR!AL:AL,JPK_KR!W:W,B372),"")</f>
        <v/>
      </c>
      <c r="D372" s="126" t="str">
        <f>IF(A372&lt;&gt;"",SUMIFS(JPK_KR!AM:AM,JPK_KR!W:W,B372),"")</f>
        <v/>
      </c>
      <c r="G372" s="24" t="str">
        <f>IF(E372&lt;&gt;"",SUMIFS(JPK_KR!AL:AL,JPK_KR!W:W,F372),"")</f>
        <v/>
      </c>
      <c r="H372" s="126" t="str">
        <f>IF(E372&lt;&gt;"",SUMIFS(JPK_KR!AM:AM,JPK_KR!W:W,F372),"")</f>
        <v/>
      </c>
      <c r="K372" s="24" t="str">
        <f>IF(I372&lt;&gt;"",SUMIFS(JPK_KR!AL:AL,JPK_KR!W:W,J372),"")</f>
        <v/>
      </c>
      <c r="L372" s="126" t="str">
        <f>IF(I372&lt;&gt;"",SUMIFS(JPK_KR!AM:AM,JPK_KR!W:W,J372),"")</f>
        <v/>
      </c>
      <c r="P372" s="24" t="str">
        <f>IF(M372&lt;&gt;"",IF(O372="",SUMIFS(JPK_KR!AL:AL,JPK_KR!W:W,N372),SUMIFS(JPK_KR!BF:BF,JPK_KR!BE:BE,N372,JPK_KR!BG:BG,O372)),"")</f>
        <v/>
      </c>
      <c r="Q372" s="126" t="str">
        <f>IF(M372&lt;&gt;"",IF(O372="",SUMIFS(JPK_KR!AM:AM,JPK_KR!W:W,N372),SUMIFS(JPK_KR!BI:BI,JPK_KR!BH:BH,N372,JPK_KR!BJ:BJ,O372)),"")</f>
        <v/>
      </c>
      <c r="U372" s="24" t="str">
        <f>IF(R372&lt;&gt;"",SUMIFS(JPK_KR!AL:AL,JPK_KR!W:W,S372),"")</f>
        <v/>
      </c>
      <c r="V372" s="126" t="str">
        <f>IF(R372&lt;&gt;"",SUMIFS(JPK_KR!AM:AM,JPK_KR!W:W,S372),"")</f>
        <v/>
      </c>
    </row>
    <row r="373" spans="3:22" x14ac:dyDescent="0.3">
      <c r="C373" s="24" t="str">
        <f>IF(A373&lt;&gt;"",SUMIFS(JPK_KR!AL:AL,JPK_KR!W:W,B373),"")</f>
        <v/>
      </c>
      <c r="D373" s="126" t="str">
        <f>IF(A373&lt;&gt;"",SUMIFS(JPK_KR!AM:AM,JPK_KR!W:W,B373),"")</f>
        <v/>
      </c>
      <c r="G373" s="24" t="str">
        <f>IF(E373&lt;&gt;"",SUMIFS(JPK_KR!AL:AL,JPK_KR!W:W,F373),"")</f>
        <v/>
      </c>
      <c r="H373" s="126" t="str">
        <f>IF(E373&lt;&gt;"",SUMIFS(JPK_KR!AM:AM,JPK_KR!W:W,F373),"")</f>
        <v/>
      </c>
      <c r="K373" s="24" t="str">
        <f>IF(I373&lt;&gt;"",SUMIFS(JPK_KR!AL:AL,JPK_KR!W:W,J373),"")</f>
        <v/>
      </c>
      <c r="L373" s="126" t="str">
        <f>IF(I373&lt;&gt;"",SUMIFS(JPK_KR!AM:AM,JPK_KR!W:W,J373),"")</f>
        <v/>
      </c>
      <c r="P373" s="24" t="str">
        <f>IF(M373&lt;&gt;"",IF(O373="",SUMIFS(JPK_KR!AL:AL,JPK_KR!W:W,N373),SUMIFS(JPK_KR!BF:BF,JPK_KR!BE:BE,N373,JPK_KR!BG:BG,O373)),"")</f>
        <v/>
      </c>
      <c r="Q373" s="126" t="str">
        <f>IF(M373&lt;&gt;"",IF(O373="",SUMIFS(JPK_KR!AM:AM,JPK_KR!W:W,N373),SUMIFS(JPK_KR!BI:BI,JPK_KR!BH:BH,N373,JPK_KR!BJ:BJ,O373)),"")</f>
        <v/>
      </c>
      <c r="U373" s="24" t="str">
        <f>IF(R373&lt;&gt;"",SUMIFS(JPK_KR!AL:AL,JPK_KR!W:W,S373),"")</f>
        <v/>
      </c>
      <c r="V373" s="126" t="str">
        <f>IF(R373&lt;&gt;"",SUMIFS(JPK_KR!AM:AM,JPK_KR!W:W,S373),"")</f>
        <v/>
      </c>
    </row>
    <row r="374" spans="3:22" x14ac:dyDescent="0.3">
      <c r="C374" s="24" t="str">
        <f>IF(A374&lt;&gt;"",SUMIFS(JPK_KR!AL:AL,JPK_KR!W:W,B374),"")</f>
        <v/>
      </c>
      <c r="D374" s="126" t="str">
        <f>IF(A374&lt;&gt;"",SUMIFS(JPK_KR!AM:AM,JPK_KR!W:W,B374),"")</f>
        <v/>
      </c>
      <c r="G374" s="24" t="str">
        <f>IF(E374&lt;&gt;"",SUMIFS(JPK_KR!AL:AL,JPK_KR!W:W,F374),"")</f>
        <v/>
      </c>
      <c r="H374" s="126" t="str">
        <f>IF(E374&lt;&gt;"",SUMIFS(JPK_KR!AM:AM,JPK_KR!W:W,F374),"")</f>
        <v/>
      </c>
      <c r="K374" s="24" t="str">
        <f>IF(I374&lt;&gt;"",SUMIFS(JPK_KR!AL:AL,JPK_KR!W:W,J374),"")</f>
        <v/>
      </c>
      <c r="L374" s="126" t="str">
        <f>IF(I374&lt;&gt;"",SUMIFS(JPK_KR!AM:AM,JPK_KR!W:W,J374),"")</f>
        <v/>
      </c>
      <c r="P374" s="24" t="str">
        <f>IF(M374&lt;&gt;"",IF(O374="",SUMIFS(JPK_KR!AL:AL,JPK_KR!W:W,N374),SUMIFS(JPK_KR!BF:BF,JPK_KR!BE:BE,N374,JPK_KR!BG:BG,O374)),"")</f>
        <v/>
      </c>
      <c r="Q374" s="126" t="str">
        <f>IF(M374&lt;&gt;"",IF(O374="",SUMIFS(JPK_KR!AM:AM,JPK_KR!W:W,N374),SUMIFS(JPK_KR!BI:BI,JPK_KR!BH:BH,N374,JPK_KR!BJ:BJ,O374)),"")</f>
        <v/>
      </c>
      <c r="U374" s="24" t="str">
        <f>IF(R374&lt;&gt;"",SUMIFS(JPK_KR!AL:AL,JPK_KR!W:W,S374),"")</f>
        <v/>
      </c>
      <c r="V374" s="126" t="str">
        <f>IF(R374&lt;&gt;"",SUMIFS(JPK_KR!AM:AM,JPK_KR!W:W,S374),"")</f>
        <v/>
      </c>
    </row>
    <row r="375" spans="3:22" x14ac:dyDescent="0.3">
      <c r="C375" s="24" t="str">
        <f>IF(A375&lt;&gt;"",SUMIFS(JPK_KR!AL:AL,JPK_KR!W:W,B375),"")</f>
        <v/>
      </c>
      <c r="D375" s="126" t="str">
        <f>IF(A375&lt;&gt;"",SUMIFS(JPK_KR!AM:AM,JPK_KR!W:W,B375),"")</f>
        <v/>
      </c>
      <c r="G375" s="24" t="str">
        <f>IF(E375&lt;&gt;"",SUMIFS(JPK_KR!AL:AL,JPK_KR!W:W,F375),"")</f>
        <v/>
      </c>
      <c r="H375" s="126" t="str">
        <f>IF(E375&lt;&gt;"",SUMIFS(JPK_KR!AM:AM,JPK_KR!W:W,F375),"")</f>
        <v/>
      </c>
      <c r="K375" s="24" t="str">
        <f>IF(I375&lt;&gt;"",SUMIFS(JPK_KR!AL:AL,JPK_KR!W:W,J375),"")</f>
        <v/>
      </c>
      <c r="L375" s="126" t="str">
        <f>IF(I375&lt;&gt;"",SUMIFS(JPK_KR!AM:AM,JPK_KR!W:W,J375),"")</f>
        <v/>
      </c>
      <c r="P375" s="24" t="str">
        <f>IF(M375&lt;&gt;"",IF(O375="",SUMIFS(JPK_KR!AL:AL,JPK_KR!W:W,N375),SUMIFS(JPK_KR!BF:BF,JPK_KR!BE:BE,N375,JPK_KR!BG:BG,O375)),"")</f>
        <v/>
      </c>
      <c r="Q375" s="126" t="str">
        <f>IF(M375&lt;&gt;"",IF(O375="",SUMIFS(JPK_KR!AM:AM,JPK_KR!W:W,N375),SUMIFS(JPK_KR!BI:BI,JPK_KR!BH:BH,N375,JPK_KR!BJ:BJ,O375)),"")</f>
        <v/>
      </c>
      <c r="U375" s="24" t="str">
        <f>IF(R375&lt;&gt;"",SUMIFS(JPK_KR!AL:AL,JPK_KR!W:W,S375),"")</f>
        <v/>
      </c>
      <c r="V375" s="126" t="str">
        <f>IF(R375&lt;&gt;"",SUMIFS(JPK_KR!AM:AM,JPK_KR!W:W,S375),"")</f>
        <v/>
      </c>
    </row>
    <row r="376" spans="3:22" x14ac:dyDescent="0.3">
      <c r="C376" s="24" t="str">
        <f>IF(A376&lt;&gt;"",SUMIFS(JPK_KR!AL:AL,JPK_KR!W:W,B376),"")</f>
        <v/>
      </c>
      <c r="D376" s="126" t="str">
        <f>IF(A376&lt;&gt;"",SUMIFS(JPK_KR!AM:AM,JPK_KR!W:W,B376),"")</f>
        <v/>
      </c>
      <c r="G376" s="24" t="str">
        <f>IF(E376&lt;&gt;"",SUMIFS(JPK_KR!AL:AL,JPK_KR!W:W,F376),"")</f>
        <v/>
      </c>
      <c r="H376" s="126" t="str">
        <f>IF(E376&lt;&gt;"",SUMIFS(JPK_KR!AM:AM,JPK_KR!W:W,F376),"")</f>
        <v/>
      </c>
      <c r="K376" s="24" t="str">
        <f>IF(I376&lt;&gt;"",SUMIFS(JPK_KR!AL:AL,JPK_KR!W:W,J376),"")</f>
        <v/>
      </c>
      <c r="L376" s="126" t="str">
        <f>IF(I376&lt;&gt;"",SUMIFS(JPK_KR!AM:AM,JPK_KR!W:W,J376),"")</f>
        <v/>
      </c>
      <c r="P376" s="24" t="str">
        <f>IF(M376&lt;&gt;"",IF(O376="",SUMIFS(JPK_KR!AL:AL,JPK_KR!W:W,N376),SUMIFS(JPK_KR!BF:BF,JPK_KR!BE:BE,N376,JPK_KR!BG:BG,O376)),"")</f>
        <v/>
      </c>
      <c r="Q376" s="126" t="str">
        <f>IF(M376&lt;&gt;"",IF(O376="",SUMIFS(JPK_KR!AM:AM,JPK_KR!W:W,N376),SUMIFS(JPK_KR!BI:BI,JPK_KR!BH:BH,N376,JPK_KR!BJ:BJ,O376)),"")</f>
        <v/>
      </c>
      <c r="U376" s="24" t="str">
        <f>IF(R376&lt;&gt;"",SUMIFS(JPK_KR!AL:AL,JPK_KR!W:W,S376),"")</f>
        <v/>
      </c>
      <c r="V376" s="126" t="str">
        <f>IF(R376&lt;&gt;"",SUMIFS(JPK_KR!AM:AM,JPK_KR!W:W,S376),"")</f>
        <v/>
      </c>
    </row>
    <row r="377" spans="3:22" x14ac:dyDescent="0.3">
      <c r="C377" s="24" t="str">
        <f>IF(A377&lt;&gt;"",SUMIFS(JPK_KR!AL:AL,JPK_KR!W:W,B377),"")</f>
        <v/>
      </c>
      <c r="D377" s="126" t="str">
        <f>IF(A377&lt;&gt;"",SUMIFS(JPK_KR!AM:AM,JPK_KR!W:W,B377),"")</f>
        <v/>
      </c>
      <c r="G377" s="24" t="str">
        <f>IF(E377&lt;&gt;"",SUMIFS(JPK_KR!AL:AL,JPK_KR!W:W,F377),"")</f>
        <v/>
      </c>
      <c r="H377" s="126" t="str">
        <f>IF(E377&lt;&gt;"",SUMIFS(JPK_KR!AM:AM,JPK_KR!W:W,F377),"")</f>
        <v/>
      </c>
      <c r="K377" s="24" t="str">
        <f>IF(I377&lt;&gt;"",SUMIFS(JPK_KR!AL:AL,JPK_KR!W:W,J377),"")</f>
        <v/>
      </c>
      <c r="L377" s="126" t="str">
        <f>IF(I377&lt;&gt;"",SUMIFS(JPK_KR!AM:AM,JPK_KR!W:W,J377),"")</f>
        <v/>
      </c>
      <c r="P377" s="24" t="str">
        <f>IF(M377&lt;&gt;"",IF(O377="",SUMIFS(JPK_KR!AL:AL,JPK_KR!W:W,N377),SUMIFS(JPK_KR!BF:BF,JPK_KR!BE:BE,N377,JPK_KR!BG:BG,O377)),"")</f>
        <v/>
      </c>
      <c r="Q377" s="126" t="str">
        <f>IF(M377&lt;&gt;"",IF(O377="",SUMIFS(JPK_KR!AM:AM,JPK_KR!W:W,N377),SUMIFS(JPK_KR!BI:BI,JPK_KR!BH:BH,N377,JPK_KR!BJ:BJ,O377)),"")</f>
        <v/>
      </c>
      <c r="U377" s="24" t="str">
        <f>IF(R377&lt;&gt;"",SUMIFS(JPK_KR!AL:AL,JPK_KR!W:W,S377),"")</f>
        <v/>
      </c>
      <c r="V377" s="126" t="str">
        <f>IF(R377&lt;&gt;"",SUMIFS(JPK_KR!AM:AM,JPK_KR!W:W,S377),"")</f>
        <v/>
      </c>
    </row>
    <row r="378" spans="3:22" x14ac:dyDescent="0.3">
      <c r="C378" s="24" t="str">
        <f>IF(A378&lt;&gt;"",SUMIFS(JPK_KR!AL:AL,JPK_KR!W:W,B378),"")</f>
        <v/>
      </c>
      <c r="D378" s="126" t="str">
        <f>IF(A378&lt;&gt;"",SUMIFS(JPK_KR!AM:AM,JPK_KR!W:W,B378),"")</f>
        <v/>
      </c>
      <c r="G378" s="24" t="str">
        <f>IF(E378&lt;&gt;"",SUMIFS(JPK_KR!AL:AL,JPK_KR!W:W,F378),"")</f>
        <v/>
      </c>
      <c r="H378" s="126" t="str">
        <f>IF(E378&lt;&gt;"",SUMIFS(JPK_KR!AM:AM,JPK_KR!W:W,F378),"")</f>
        <v/>
      </c>
      <c r="K378" s="24" t="str">
        <f>IF(I378&lt;&gt;"",SUMIFS(JPK_KR!AL:AL,JPK_KR!W:W,J378),"")</f>
        <v/>
      </c>
      <c r="L378" s="126" t="str">
        <f>IF(I378&lt;&gt;"",SUMIFS(JPK_KR!AM:AM,JPK_KR!W:W,J378),"")</f>
        <v/>
      </c>
      <c r="P378" s="24" t="str">
        <f>IF(M378&lt;&gt;"",IF(O378="",SUMIFS(JPK_KR!AL:AL,JPK_KR!W:W,N378),SUMIFS(JPK_KR!BF:BF,JPK_KR!BE:BE,N378,JPK_KR!BG:BG,O378)),"")</f>
        <v/>
      </c>
      <c r="Q378" s="126" t="str">
        <f>IF(M378&lt;&gt;"",IF(O378="",SUMIFS(JPK_KR!AM:AM,JPK_KR!W:W,N378),SUMIFS(JPK_KR!BI:BI,JPK_KR!BH:BH,N378,JPK_KR!BJ:BJ,O378)),"")</f>
        <v/>
      </c>
      <c r="U378" s="24" t="str">
        <f>IF(R378&lt;&gt;"",SUMIFS(JPK_KR!AL:AL,JPK_KR!W:W,S378),"")</f>
        <v/>
      </c>
      <c r="V378" s="126" t="str">
        <f>IF(R378&lt;&gt;"",SUMIFS(JPK_KR!AM:AM,JPK_KR!W:W,S378),"")</f>
        <v/>
      </c>
    </row>
    <row r="379" spans="3:22" x14ac:dyDescent="0.3">
      <c r="C379" s="24" t="str">
        <f>IF(A379&lt;&gt;"",SUMIFS(JPK_KR!AL:AL,JPK_KR!W:W,B379),"")</f>
        <v/>
      </c>
      <c r="D379" s="126" t="str">
        <f>IF(A379&lt;&gt;"",SUMIFS(JPK_KR!AM:AM,JPK_KR!W:W,B379),"")</f>
        <v/>
      </c>
      <c r="G379" s="24" t="str">
        <f>IF(E379&lt;&gt;"",SUMIFS(JPK_KR!AL:AL,JPK_KR!W:W,F379),"")</f>
        <v/>
      </c>
      <c r="H379" s="126" t="str">
        <f>IF(E379&lt;&gt;"",SUMIFS(JPK_KR!AM:AM,JPK_KR!W:W,F379),"")</f>
        <v/>
      </c>
      <c r="K379" s="24" t="str">
        <f>IF(I379&lt;&gt;"",SUMIFS(JPK_KR!AL:AL,JPK_KR!W:W,J379),"")</f>
        <v/>
      </c>
      <c r="L379" s="126" t="str">
        <f>IF(I379&lt;&gt;"",SUMIFS(JPK_KR!AM:AM,JPK_KR!W:W,J379),"")</f>
        <v/>
      </c>
      <c r="P379" s="24" t="str">
        <f>IF(M379&lt;&gt;"",IF(O379="",SUMIFS(JPK_KR!AL:AL,JPK_KR!W:W,N379),SUMIFS(JPK_KR!BF:BF,JPK_KR!BE:BE,N379,JPK_KR!BG:BG,O379)),"")</f>
        <v/>
      </c>
      <c r="Q379" s="126" t="str">
        <f>IF(M379&lt;&gt;"",IF(O379="",SUMIFS(JPK_KR!AM:AM,JPK_KR!W:W,N379),SUMIFS(JPK_KR!BI:BI,JPK_KR!BH:BH,N379,JPK_KR!BJ:BJ,O379)),"")</f>
        <v/>
      </c>
      <c r="U379" s="24" t="str">
        <f>IF(R379&lt;&gt;"",SUMIFS(JPK_KR!AL:AL,JPK_KR!W:W,S379),"")</f>
        <v/>
      </c>
      <c r="V379" s="126" t="str">
        <f>IF(R379&lt;&gt;"",SUMIFS(JPK_KR!AM:AM,JPK_KR!W:W,S379),"")</f>
        <v/>
      </c>
    </row>
    <row r="380" spans="3:22" x14ac:dyDescent="0.3">
      <c r="C380" s="24" t="str">
        <f>IF(A380&lt;&gt;"",SUMIFS(JPK_KR!AL:AL,JPK_KR!W:W,B380),"")</f>
        <v/>
      </c>
      <c r="D380" s="126" t="str">
        <f>IF(A380&lt;&gt;"",SUMIFS(JPK_KR!AM:AM,JPK_KR!W:W,B380),"")</f>
        <v/>
      </c>
      <c r="G380" s="24" t="str">
        <f>IF(E380&lt;&gt;"",SUMIFS(JPK_KR!AL:AL,JPK_KR!W:W,F380),"")</f>
        <v/>
      </c>
      <c r="H380" s="126" t="str">
        <f>IF(E380&lt;&gt;"",SUMIFS(JPK_KR!AM:AM,JPK_KR!W:W,F380),"")</f>
        <v/>
      </c>
      <c r="K380" s="24" t="str">
        <f>IF(I380&lt;&gt;"",SUMIFS(JPK_KR!AL:AL,JPK_KR!W:W,J380),"")</f>
        <v/>
      </c>
      <c r="L380" s="126" t="str">
        <f>IF(I380&lt;&gt;"",SUMIFS(JPK_KR!AM:AM,JPK_KR!W:W,J380),"")</f>
        <v/>
      </c>
      <c r="P380" s="24" t="str">
        <f>IF(M380&lt;&gt;"",IF(O380="",SUMIFS(JPK_KR!AL:AL,JPK_KR!W:W,N380),SUMIFS(JPK_KR!BF:BF,JPK_KR!BE:BE,N380,JPK_KR!BG:BG,O380)),"")</f>
        <v/>
      </c>
      <c r="Q380" s="126" t="str">
        <f>IF(M380&lt;&gt;"",IF(O380="",SUMIFS(JPK_KR!AM:AM,JPK_KR!W:W,N380),SUMIFS(JPK_KR!BI:BI,JPK_KR!BH:BH,N380,JPK_KR!BJ:BJ,O380)),"")</f>
        <v/>
      </c>
      <c r="U380" s="24" t="str">
        <f>IF(R380&lt;&gt;"",SUMIFS(JPK_KR!AL:AL,JPK_KR!W:W,S380),"")</f>
        <v/>
      </c>
      <c r="V380" s="126" t="str">
        <f>IF(R380&lt;&gt;"",SUMIFS(JPK_KR!AM:AM,JPK_KR!W:W,S380),"")</f>
        <v/>
      </c>
    </row>
    <row r="381" spans="3:22" x14ac:dyDescent="0.3">
      <c r="C381" s="24" t="str">
        <f>IF(A381&lt;&gt;"",SUMIFS(JPK_KR!AL:AL,JPK_KR!W:W,B381),"")</f>
        <v/>
      </c>
      <c r="D381" s="126" t="str">
        <f>IF(A381&lt;&gt;"",SUMIFS(JPK_KR!AM:AM,JPK_KR!W:W,B381),"")</f>
        <v/>
      </c>
      <c r="G381" s="24" t="str">
        <f>IF(E381&lt;&gt;"",SUMIFS(JPK_KR!AL:AL,JPK_KR!W:W,F381),"")</f>
        <v/>
      </c>
      <c r="H381" s="126" t="str">
        <f>IF(E381&lt;&gt;"",SUMIFS(JPK_KR!AM:AM,JPK_KR!W:W,F381),"")</f>
        <v/>
      </c>
      <c r="K381" s="24" t="str">
        <f>IF(I381&lt;&gt;"",SUMIFS(JPK_KR!AL:AL,JPK_KR!W:W,J381),"")</f>
        <v/>
      </c>
      <c r="L381" s="126" t="str">
        <f>IF(I381&lt;&gt;"",SUMIFS(JPK_KR!AM:AM,JPK_KR!W:W,J381),"")</f>
        <v/>
      </c>
      <c r="P381" s="24" t="str">
        <f>IF(M381&lt;&gt;"",IF(O381="",SUMIFS(JPK_KR!AL:AL,JPK_KR!W:W,N381),SUMIFS(JPK_KR!BF:BF,JPK_KR!BE:BE,N381,JPK_KR!BG:BG,O381)),"")</f>
        <v/>
      </c>
      <c r="Q381" s="126" t="str">
        <f>IF(M381&lt;&gt;"",IF(O381="",SUMIFS(JPK_KR!AM:AM,JPK_KR!W:W,N381),SUMIFS(JPK_KR!BI:BI,JPK_KR!BH:BH,N381,JPK_KR!BJ:BJ,O381)),"")</f>
        <v/>
      </c>
      <c r="U381" s="24" t="str">
        <f>IF(R381&lt;&gt;"",SUMIFS(JPK_KR!AL:AL,JPK_KR!W:W,S381),"")</f>
        <v/>
      </c>
      <c r="V381" s="126" t="str">
        <f>IF(R381&lt;&gt;"",SUMIFS(JPK_KR!AM:AM,JPK_KR!W:W,S381),"")</f>
        <v/>
      </c>
    </row>
    <row r="382" spans="3:22" x14ac:dyDescent="0.3">
      <c r="C382" s="24" t="str">
        <f>IF(A382&lt;&gt;"",SUMIFS(JPK_KR!AL:AL,JPK_KR!W:W,B382),"")</f>
        <v/>
      </c>
      <c r="D382" s="126" t="str">
        <f>IF(A382&lt;&gt;"",SUMIFS(JPK_KR!AM:AM,JPK_KR!W:W,B382),"")</f>
        <v/>
      </c>
      <c r="G382" s="24" t="str">
        <f>IF(E382&lt;&gt;"",SUMIFS(JPK_KR!AL:AL,JPK_KR!W:W,F382),"")</f>
        <v/>
      </c>
      <c r="H382" s="126" t="str">
        <f>IF(E382&lt;&gt;"",SUMIFS(JPK_KR!AM:AM,JPK_KR!W:W,F382),"")</f>
        <v/>
      </c>
      <c r="K382" s="24" t="str">
        <f>IF(I382&lt;&gt;"",SUMIFS(JPK_KR!AL:AL,JPK_KR!W:W,J382),"")</f>
        <v/>
      </c>
      <c r="L382" s="126" t="str">
        <f>IF(I382&lt;&gt;"",SUMIFS(JPK_KR!AM:AM,JPK_KR!W:W,J382),"")</f>
        <v/>
      </c>
      <c r="P382" s="24" t="str">
        <f>IF(M382&lt;&gt;"",IF(O382="",SUMIFS(JPK_KR!AL:AL,JPK_KR!W:W,N382),SUMIFS(JPK_KR!BF:BF,JPK_KR!BE:BE,N382,JPK_KR!BG:BG,O382)),"")</f>
        <v/>
      </c>
      <c r="Q382" s="126" t="str">
        <f>IF(M382&lt;&gt;"",IF(O382="",SUMIFS(JPK_KR!AM:AM,JPK_KR!W:W,N382),SUMIFS(JPK_KR!BI:BI,JPK_KR!BH:BH,N382,JPK_KR!BJ:BJ,O382)),"")</f>
        <v/>
      </c>
      <c r="U382" s="24" t="str">
        <f>IF(R382&lt;&gt;"",SUMIFS(JPK_KR!AL:AL,JPK_KR!W:W,S382),"")</f>
        <v/>
      </c>
      <c r="V382" s="126" t="str">
        <f>IF(R382&lt;&gt;"",SUMIFS(JPK_KR!AM:AM,JPK_KR!W:W,S382),"")</f>
        <v/>
      </c>
    </row>
    <row r="383" spans="3:22" x14ac:dyDescent="0.3">
      <c r="C383" s="24" t="str">
        <f>IF(A383&lt;&gt;"",SUMIFS(JPK_KR!AL:AL,JPK_KR!W:W,B383),"")</f>
        <v/>
      </c>
      <c r="D383" s="126" t="str">
        <f>IF(A383&lt;&gt;"",SUMIFS(JPK_KR!AM:AM,JPK_KR!W:W,B383),"")</f>
        <v/>
      </c>
      <c r="G383" s="24" t="str">
        <f>IF(E383&lt;&gt;"",SUMIFS(JPK_KR!AL:AL,JPK_KR!W:W,F383),"")</f>
        <v/>
      </c>
      <c r="H383" s="126" t="str">
        <f>IF(E383&lt;&gt;"",SUMIFS(JPK_KR!AM:AM,JPK_KR!W:W,F383),"")</f>
        <v/>
      </c>
      <c r="K383" s="24" t="str">
        <f>IF(I383&lt;&gt;"",SUMIFS(JPK_KR!AL:AL,JPK_KR!W:W,J383),"")</f>
        <v/>
      </c>
      <c r="L383" s="126" t="str">
        <f>IF(I383&lt;&gt;"",SUMIFS(JPK_KR!AM:AM,JPK_KR!W:W,J383),"")</f>
        <v/>
      </c>
      <c r="P383" s="24" t="str">
        <f>IF(M383&lt;&gt;"",IF(O383="",SUMIFS(JPK_KR!AL:AL,JPK_KR!W:W,N383),SUMIFS(JPK_KR!BF:BF,JPK_KR!BE:BE,N383,JPK_KR!BG:BG,O383)),"")</f>
        <v/>
      </c>
      <c r="Q383" s="126" t="str">
        <f>IF(M383&lt;&gt;"",IF(O383="",SUMIFS(JPK_KR!AM:AM,JPK_KR!W:W,N383),SUMIFS(JPK_KR!BI:BI,JPK_KR!BH:BH,N383,JPK_KR!BJ:BJ,O383)),"")</f>
        <v/>
      </c>
      <c r="U383" s="24" t="str">
        <f>IF(R383&lt;&gt;"",SUMIFS(JPK_KR!AL:AL,JPK_KR!W:W,S383),"")</f>
        <v/>
      </c>
      <c r="V383" s="126" t="str">
        <f>IF(R383&lt;&gt;"",SUMIFS(JPK_KR!AM:AM,JPK_KR!W:W,S383),"")</f>
        <v/>
      </c>
    </row>
    <row r="384" spans="3:22" x14ac:dyDescent="0.3">
      <c r="C384" s="24" t="str">
        <f>IF(A384&lt;&gt;"",SUMIFS(JPK_KR!AL:AL,JPK_KR!W:W,B384),"")</f>
        <v/>
      </c>
      <c r="D384" s="126" t="str">
        <f>IF(A384&lt;&gt;"",SUMIFS(JPK_KR!AM:AM,JPK_KR!W:W,B384),"")</f>
        <v/>
      </c>
      <c r="G384" s="24" t="str">
        <f>IF(E384&lt;&gt;"",SUMIFS(JPK_KR!AL:AL,JPK_KR!W:W,F384),"")</f>
        <v/>
      </c>
      <c r="H384" s="126" t="str">
        <f>IF(E384&lt;&gt;"",SUMIFS(JPK_KR!AM:AM,JPK_KR!W:W,F384),"")</f>
        <v/>
      </c>
      <c r="K384" s="24" t="str">
        <f>IF(I384&lt;&gt;"",SUMIFS(JPK_KR!AL:AL,JPK_KR!W:W,J384),"")</f>
        <v/>
      </c>
      <c r="L384" s="126" t="str">
        <f>IF(I384&lt;&gt;"",SUMIFS(JPK_KR!AM:AM,JPK_KR!W:W,J384),"")</f>
        <v/>
      </c>
      <c r="P384" s="24" t="str">
        <f>IF(M384&lt;&gt;"",IF(O384="",SUMIFS(JPK_KR!AL:AL,JPK_KR!W:W,N384),SUMIFS(JPK_KR!BF:BF,JPK_KR!BE:BE,N384,JPK_KR!BG:BG,O384)),"")</f>
        <v/>
      </c>
      <c r="Q384" s="126" t="str">
        <f>IF(M384&lt;&gt;"",IF(O384="",SUMIFS(JPK_KR!AM:AM,JPK_KR!W:W,N384),SUMIFS(JPK_KR!BI:BI,JPK_KR!BH:BH,N384,JPK_KR!BJ:BJ,O384)),"")</f>
        <v/>
      </c>
      <c r="U384" s="24" t="str">
        <f>IF(R384&lt;&gt;"",SUMIFS(JPK_KR!AL:AL,JPK_KR!W:W,S384),"")</f>
        <v/>
      </c>
      <c r="V384" s="126" t="str">
        <f>IF(R384&lt;&gt;"",SUMIFS(JPK_KR!AM:AM,JPK_KR!W:W,S384),"")</f>
        <v/>
      </c>
    </row>
    <row r="385" spans="3:22" x14ac:dyDescent="0.3">
      <c r="C385" s="24" t="str">
        <f>IF(A385&lt;&gt;"",SUMIFS(JPK_KR!AL:AL,JPK_KR!W:W,B385),"")</f>
        <v/>
      </c>
      <c r="D385" s="126" t="str">
        <f>IF(A385&lt;&gt;"",SUMIFS(JPK_KR!AM:AM,JPK_KR!W:W,B385),"")</f>
        <v/>
      </c>
      <c r="G385" s="24" t="str">
        <f>IF(E385&lt;&gt;"",SUMIFS(JPK_KR!AL:AL,JPK_KR!W:W,F385),"")</f>
        <v/>
      </c>
      <c r="H385" s="126" t="str">
        <f>IF(E385&lt;&gt;"",SUMIFS(JPK_KR!AM:AM,JPK_KR!W:W,F385),"")</f>
        <v/>
      </c>
      <c r="K385" s="24" t="str">
        <f>IF(I385&lt;&gt;"",SUMIFS(JPK_KR!AL:AL,JPK_KR!W:W,J385),"")</f>
        <v/>
      </c>
      <c r="L385" s="126" t="str">
        <f>IF(I385&lt;&gt;"",SUMIFS(JPK_KR!AM:AM,JPK_KR!W:W,J385),"")</f>
        <v/>
      </c>
      <c r="P385" s="24" t="str">
        <f>IF(M385&lt;&gt;"",IF(O385="",SUMIFS(JPK_KR!AL:AL,JPK_KR!W:W,N385),SUMIFS(JPK_KR!BF:BF,JPK_KR!BE:BE,N385,JPK_KR!BG:BG,O385)),"")</f>
        <v/>
      </c>
      <c r="Q385" s="126" t="str">
        <f>IF(M385&lt;&gt;"",IF(O385="",SUMIFS(JPK_KR!AM:AM,JPK_KR!W:W,N385),SUMIFS(JPK_KR!BI:BI,JPK_KR!BH:BH,N385,JPK_KR!BJ:BJ,O385)),"")</f>
        <v/>
      </c>
      <c r="U385" s="24" t="str">
        <f>IF(R385&lt;&gt;"",SUMIFS(JPK_KR!AL:AL,JPK_KR!W:W,S385),"")</f>
        <v/>
      </c>
      <c r="V385" s="126" t="str">
        <f>IF(R385&lt;&gt;"",SUMIFS(JPK_KR!AM:AM,JPK_KR!W:W,S385),"")</f>
        <v/>
      </c>
    </row>
    <row r="386" spans="3:22" x14ac:dyDescent="0.3">
      <c r="C386" s="24" t="str">
        <f>IF(A386&lt;&gt;"",SUMIFS(JPK_KR!AL:AL,JPK_KR!W:W,B386),"")</f>
        <v/>
      </c>
      <c r="D386" s="126" t="str">
        <f>IF(A386&lt;&gt;"",SUMIFS(JPK_KR!AM:AM,JPK_KR!W:W,B386),"")</f>
        <v/>
      </c>
      <c r="G386" s="24" t="str">
        <f>IF(E386&lt;&gt;"",SUMIFS(JPK_KR!AL:AL,JPK_KR!W:W,F386),"")</f>
        <v/>
      </c>
      <c r="H386" s="126" t="str">
        <f>IF(E386&lt;&gt;"",SUMIFS(JPK_KR!AM:AM,JPK_KR!W:W,F386),"")</f>
        <v/>
      </c>
      <c r="K386" s="24" t="str">
        <f>IF(I386&lt;&gt;"",SUMIFS(JPK_KR!AL:AL,JPK_KR!W:W,J386),"")</f>
        <v/>
      </c>
      <c r="L386" s="126" t="str">
        <f>IF(I386&lt;&gt;"",SUMIFS(JPK_KR!AM:AM,JPK_KR!W:W,J386),"")</f>
        <v/>
      </c>
      <c r="P386" s="24" t="str">
        <f>IF(M386&lt;&gt;"",IF(O386="",SUMIFS(JPK_KR!AL:AL,JPK_KR!W:W,N386),SUMIFS(JPK_KR!BF:BF,JPK_KR!BE:BE,N386,JPK_KR!BG:BG,O386)),"")</f>
        <v/>
      </c>
      <c r="Q386" s="126" t="str">
        <f>IF(M386&lt;&gt;"",IF(O386="",SUMIFS(JPK_KR!AM:AM,JPK_KR!W:W,N386),SUMIFS(JPK_KR!BI:BI,JPK_KR!BH:BH,N386,JPK_KR!BJ:BJ,O386)),"")</f>
        <v/>
      </c>
      <c r="U386" s="24" t="str">
        <f>IF(R386&lt;&gt;"",SUMIFS(JPK_KR!AL:AL,JPK_KR!W:W,S386),"")</f>
        <v/>
      </c>
      <c r="V386" s="126" t="str">
        <f>IF(R386&lt;&gt;"",SUMIFS(JPK_KR!AM:AM,JPK_KR!W:W,S386),"")</f>
        <v/>
      </c>
    </row>
    <row r="387" spans="3:22" x14ac:dyDescent="0.3">
      <c r="C387" s="24" t="str">
        <f>IF(A387&lt;&gt;"",SUMIFS(JPK_KR!AL:AL,JPK_KR!W:W,B387),"")</f>
        <v/>
      </c>
      <c r="D387" s="126" t="str">
        <f>IF(A387&lt;&gt;"",SUMIFS(JPK_KR!AM:AM,JPK_KR!W:W,B387),"")</f>
        <v/>
      </c>
      <c r="G387" s="24" t="str">
        <f>IF(E387&lt;&gt;"",SUMIFS(JPK_KR!AL:AL,JPK_KR!W:W,F387),"")</f>
        <v/>
      </c>
      <c r="H387" s="126" t="str">
        <f>IF(E387&lt;&gt;"",SUMIFS(JPK_KR!AM:AM,JPK_KR!W:W,F387),"")</f>
        <v/>
      </c>
      <c r="K387" s="24" t="str">
        <f>IF(I387&lt;&gt;"",SUMIFS(JPK_KR!AL:AL,JPK_KR!W:W,J387),"")</f>
        <v/>
      </c>
      <c r="L387" s="126" t="str">
        <f>IF(I387&lt;&gt;"",SUMIFS(JPK_KR!AM:AM,JPK_KR!W:W,J387),"")</f>
        <v/>
      </c>
      <c r="P387" s="24" t="str">
        <f>IF(M387&lt;&gt;"",IF(O387="",SUMIFS(JPK_KR!AL:AL,JPK_KR!W:W,N387),SUMIFS(JPK_KR!BF:BF,JPK_KR!BE:BE,N387,JPK_KR!BG:BG,O387)),"")</f>
        <v/>
      </c>
      <c r="Q387" s="126" t="str">
        <f>IF(M387&lt;&gt;"",IF(O387="",SUMIFS(JPK_KR!AM:AM,JPK_KR!W:W,N387),SUMIFS(JPK_KR!BI:BI,JPK_KR!BH:BH,N387,JPK_KR!BJ:BJ,O387)),"")</f>
        <v/>
      </c>
      <c r="U387" s="24" t="str">
        <f>IF(R387&lt;&gt;"",SUMIFS(JPK_KR!AL:AL,JPK_KR!W:W,S387),"")</f>
        <v/>
      </c>
      <c r="V387" s="126" t="str">
        <f>IF(R387&lt;&gt;"",SUMIFS(JPK_KR!AM:AM,JPK_KR!W:W,S387),"")</f>
        <v/>
      </c>
    </row>
    <row r="388" spans="3:22" x14ac:dyDescent="0.3">
      <c r="C388" s="24" t="str">
        <f>IF(A388&lt;&gt;"",SUMIFS(JPK_KR!AL:AL,JPK_KR!W:W,B388),"")</f>
        <v/>
      </c>
      <c r="D388" s="126" t="str">
        <f>IF(A388&lt;&gt;"",SUMIFS(JPK_KR!AM:AM,JPK_KR!W:W,B388),"")</f>
        <v/>
      </c>
      <c r="G388" s="24" t="str">
        <f>IF(E388&lt;&gt;"",SUMIFS(JPK_KR!AL:AL,JPK_KR!W:W,F388),"")</f>
        <v/>
      </c>
      <c r="H388" s="126" t="str">
        <f>IF(E388&lt;&gt;"",SUMIFS(JPK_KR!AM:AM,JPK_KR!W:W,F388),"")</f>
        <v/>
      </c>
      <c r="K388" s="24" t="str">
        <f>IF(I388&lt;&gt;"",SUMIFS(JPK_KR!AL:AL,JPK_KR!W:W,J388),"")</f>
        <v/>
      </c>
      <c r="L388" s="126" t="str">
        <f>IF(I388&lt;&gt;"",SUMIFS(JPK_KR!AM:AM,JPK_KR!W:W,J388),"")</f>
        <v/>
      </c>
      <c r="P388" s="24" t="str">
        <f>IF(M388&lt;&gt;"",IF(O388="",SUMIFS(JPK_KR!AL:AL,JPK_KR!W:W,N388),SUMIFS(JPK_KR!BF:BF,JPK_KR!BE:BE,N388,JPK_KR!BG:BG,O388)),"")</f>
        <v/>
      </c>
      <c r="Q388" s="126" t="str">
        <f>IF(M388&lt;&gt;"",IF(O388="",SUMIFS(JPK_KR!AM:AM,JPK_KR!W:W,N388),SUMIFS(JPK_KR!BI:BI,JPK_KR!BH:BH,N388,JPK_KR!BJ:BJ,O388)),"")</f>
        <v/>
      </c>
      <c r="U388" s="24" t="str">
        <f>IF(R388&lt;&gt;"",SUMIFS(JPK_KR!AL:AL,JPK_KR!W:W,S388),"")</f>
        <v/>
      </c>
      <c r="V388" s="126" t="str">
        <f>IF(R388&lt;&gt;"",SUMIFS(JPK_KR!AM:AM,JPK_KR!W:W,S388),"")</f>
        <v/>
      </c>
    </row>
    <row r="389" spans="3:22" x14ac:dyDescent="0.3">
      <c r="C389" s="24" t="str">
        <f>IF(A389&lt;&gt;"",SUMIFS(JPK_KR!AL:AL,JPK_KR!W:W,B389),"")</f>
        <v/>
      </c>
      <c r="D389" s="126" t="str">
        <f>IF(A389&lt;&gt;"",SUMIFS(JPK_KR!AM:AM,JPK_KR!W:W,B389),"")</f>
        <v/>
      </c>
      <c r="G389" s="24" t="str">
        <f>IF(E389&lt;&gt;"",SUMIFS(JPK_KR!AL:AL,JPK_KR!W:W,F389),"")</f>
        <v/>
      </c>
      <c r="H389" s="126" t="str">
        <f>IF(E389&lt;&gt;"",SUMIFS(JPK_KR!AM:AM,JPK_KR!W:W,F389),"")</f>
        <v/>
      </c>
      <c r="K389" s="24" t="str">
        <f>IF(I389&lt;&gt;"",SUMIFS(JPK_KR!AL:AL,JPK_KR!W:W,J389),"")</f>
        <v/>
      </c>
      <c r="L389" s="126" t="str">
        <f>IF(I389&lt;&gt;"",SUMIFS(JPK_KR!AM:AM,JPK_KR!W:W,J389),"")</f>
        <v/>
      </c>
      <c r="P389" s="24" t="str">
        <f>IF(M389&lt;&gt;"",IF(O389="",SUMIFS(JPK_KR!AL:AL,JPK_KR!W:W,N389),SUMIFS(JPK_KR!BF:BF,JPK_KR!BE:BE,N389,JPK_KR!BG:BG,O389)),"")</f>
        <v/>
      </c>
      <c r="Q389" s="126" t="str">
        <f>IF(M389&lt;&gt;"",IF(O389="",SUMIFS(JPK_KR!AM:AM,JPK_KR!W:W,N389),SUMIFS(JPK_KR!BI:BI,JPK_KR!BH:BH,N389,JPK_KR!BJ:BJ,O389)),"")</f>
        <v/>
      </c>
      <c r="U389" s="24" t="str">
        <f>IF(R389&lt;&gt;"",SUMIFS(JPK_KR!AL:AL,JPK_KR!W:W,S389),"")</f>
        <v/>
      </c>
      <c r="V389" s="126" t="str">
        <f>IF(R389&lt;&gt;"",SUMIFS(JPK_KR!AM:AM,JPK_KR!W:W,S389),"")</f>
        <v/>
      </c>
    </row>
    <row r="390" spans="3:22" x14ac:dyDescent="0.3">
      <c r="C390" s="24" t="str">
        <f>IF(A390&lt;&gt;"",SUMIFS(JPK_KR!AL:AL,JPK_KR!W:W,B390),"")</f>
        <v/>
      </c>
      <c r="D390" s="126" t="str">
        <f>IF(A390&lt;&gt;"",SUMIFS(JPK_KR!AM:AM,JPK_KR!W:W,B390),"")</f>
        <v/>
      </c>
      <c r="G390" s="24" t="str">
        <f>IF(E390&lt;&gt;"",SUMIFS(JPK_KR!AL:AL,JPK_KR!W:W,F390),"")</f>
        <v/>
      </c>
      <c r="H390" s="126" t="str">
        <f>IF(E390&lt;&gt;"",SUMIFS(JPK_KR!AM:AM,JPK_KR!W:W,F390),"")</f>
        <v/>
      </c>
      <c r="K390" s="24" t="str">
        <f>IF(I390&lt;&gt;"",SUMIFS(JPK_KR!AL:AL,JPK_KR!W:W,J390),"")</f>
        <v/>
      </c>
      <c r="L390" s="126" t="str">
        <f>IF(I390&lt;&gt;"",SUMIFS(JPK_KR!AM:AM,JPK_KR!W:W,J390),"")</f>
        <v/>
      </c>
      <c r="P390" s="24" t="str">
        <f>IF(M390&lt;&gt;"",IF(O390="",SUMIFS(JPK_KR!AL:AL,JPK_KR!W:W,N390),SUMIFS(JPK_KR!BF:BF,JPK_KR!BE:BE,N390,JPK_KR!BG:BG,O390)),"")</f>
        <v/>
      </c>
      <c r="Q390" s="126" t="str">
        <f>IF(M390&lt;&gt;"",IF(O390="",SUMIFS(JPK_KR!AM:AM,JPK_KR!W:W,N390),SUMIFS(JPK_KR!BI:BI,JPK_KR!BH:BH,N390,JPK_KR!BJ:BJ,O390)),"")</f>
        <v/>
      </c>
      <c r="U390" s="24" t="str">
        <f>IF(R390&lt;&gt;"",SUMIFS(JPK_KR!AL:AL,JPK_KR!W:W,S390),"")</f>
        <v/>
      </c>
      <c r="V390" s="126" t="str">
        <f>IF(R390&lt;&gt;"",SUMIFS(JPK_KR!AM:AM,JPK_KR!W:W,S390),"")</f>
        <v/>
      </c>
    </row>
    <row r="391" spans="3:22" x14ac:dyDescent="0.3">
      <c r="C391" s="24" t="str">
        <f>IF(A391&lt;&gt;"",SUMIFS(JPK_KR!AL:AL,JPK_KR!W:W,B391),"")</f>
        <v/>
      </c>
      <c r="D391" s="126" t="str">
        <f>IF(A391&lt;&gt;"",SUMIFS(JPK_KR!AM:AM,JPK_KR!W:W,B391),"")</f>
        <v/>
      </c>
      <c r="G391" s="24" t="str">
        <f>IF(E391&lt;&gt;"",SUMIFS(JPK_KR!AL:AL,JPK_KR!W:W,F391),"")</f>
        <v/>
      </c>
      <c r="H391" s="126" t="str">
        <f>IF(E391&lt;&gt;"",SUMIFS(JPK_KR!AM:AM,JPK_KR!W:W,F391),"")</f>
        <v/>
      </c>
      <c r="K391" s="24" t="str">
        <f>IF(I391&lt;&gt;"",SUMIFS(JPK_KR!AL:AL,JPK_KR!W:W,J391),"")</f>
        <v/>
      </c>
      <c r="L391" s="126" t="str">
        <f>IF(I391&lt;&gt;"",SUMIFS(JPK_KR!AM:AM,JPK_KR!W:W,J391),"")</f>
        <v/>
      </c>
      <c r="P391" s="24" t="str">
        <f>IF(M391&lt;&gt;"",IF(O391="",SUMIFS(JPK_KR!AL:AL,JPK_KR!W:W,N391),SUMIFS(JPK_KR!BF:BF,JPK_KR!BE:BE,N391,JPK_KR!BG:BG,O391)),"")</f>
        <v/>
      </c>
      <c r="Q391" s="126" t="str">
        <f>IF(M391&lt;&gt;"",IF(O391="",SUMIFS(JPK_KR!AM:AM,JPK_KR!W:W,N391),SUMIFS(JPK_KR!BI:BI,JPK_KR!BH:BH,N391,JPK_KR!BJ:BJ,O391)),"")</f>
        <v/>
      </c>
      <c r="U391" s="24" t="str">
        <f>IF(R391&lt;&gt;"",SUMIFS(JPK_KR!AL:AL,JPK_KR!W:W,S391),"")</f>
        <v/>
      </c>
      <c r="V391" s="126" t="str">
        <f>IF(R391&lt;&gt;"",SUMIFS(JPK_KR!AM:AM,JPK_KR!W:W,S391),"")</f>
        <v/>
      </c>
    </row>
    <row r="392" spans="3:22" x14ac:dyDescent="0.3">
      <c r="C392" s="24" t="str">
        <f>IF(A392&lt;&gt;"",SUMIFS(JPK_KR!AL:AL,JPK_KR!W:W,B392),"")</f>
        <v/>
      </c>
      <c r="D392" s="126" t="str">
        <f>IF(A392&lt;&gt;"",SUMIFS(JPK_KR!AM:AM,JPK_KR!W:W,B392),"")</f>
        <v/>
      </c>
      <c r="G392" s="24" t="str">
        <f>IF(E392&lt;&gt;"",SUMIFS(JPK_KR!AL:AL,JPK_KR!W:W,F392),"")</f>
        <v/>
      </c>
      <c r="H392" s="126" t="str">
        <f>IF(E392&lt;&gt;"",SUMIFS(JPK_KR!AM:AM,JPK_KR!W:W,F392),"")</f>
        <v/>
      </c>
      <c r="K392" s="24" t="str">
        <f>IF(I392&lt;&gt;"",SUMIFS(JPK_KR!AL:AL,JPK_KR!W:W,J392),"")</f>
        <v/>
      </c>
      <c r="L392" s="126" t="str">
        <f>IF(I392&lt;&gt;"",SUMIFS(JPK_KR!AM:AM,JPK_KR!W:W,J392),"")</f>
        <v/>
      </c>
      <c r="P392" s="24" t="str">
        <f>IF(M392&lt;&gt;"",IF(O392="",SUMIFS(JPK_KR!AL:AL,JPK_KR!W:W,N392),SUMIFS(JPK_KR!BF:BF,JPK_KR!BE:BE,N392,JPK_KR!BG:BG,O392)),"")</f>
        <v/>
      </c>
      <c r="Q392" s="126" t="str">
        <f>IF(M392&lt;&gt;"",IF(O392="",SUMIFS(JPK_KR!AM:AM,JPK_KR!W:W,N392),SUMIFS(JPK_KR!BI:BI,JPK_KR!BH:BH,N392,JPK_KR!BJ:BJ,O392)),"")</f>
        <v/>
      </c>
      <c r="U392" s="24" t="str">
        <f>IF(R392&lt;&gt;"",SUMIFS(JPK_KR!AL:AL,JPK_KR!W:W,S392),"")</f>
        <v/>
      </c>
      <c r="V392" s="126" t="str">
        <f>IF(R392&lt;&gt;"",SUMIFS(JPK_KR!AM:AM,JPK_KR!W:W,S392),"")</f>
        <v/>
      </c>
    </row>
    <row r="393" spans="3:22" x14ac:dyDescent="0.3">
      <c r="C393" s="24" t="str">
        <f>IF(A393&lt;&gt;"",SUMIFS(JPK_KR!AL:AL,JPK_KR!W:W,B393),"")</f>
        <v/>
      </c>
      <c r="D393" s="126" t="str">
        <f>IF(A393&lt;&gt;"",SUMIFS(JPK_KR!AM:AM,JPK_KR!W:W,B393),"")</f>
        <v/>
      </c>
      <c r="G393" s="24" t="str">
        <f>IF(E393&lt;&gt;"",SUMIFS(JPK_KR!AL:AL,JPK_KR!W:W,F393),"")</f>
        <v/>
      </c>
      <c r="H393" s="126" t="str">
        <f>IF(E393&lt;&gt;"",SUMIFS(JPK_KR!AM:AM,JPK_KR!W:W,F393),"")</f>
        <v/>
      </c>
      <c r="K393" s="24" t="str">
        <f>IF(I393&lt;&gt;"",SUMIFS(JPK_KR!AL:AL,JPK_KR!W:W,J393),"")</f>
        <v/>
      </c>
      <c r="L393" s="126" t="str">
        <f>IF(I393&lt;&gt;"",SUMIFS(JPK_KR!AM:AM,JPK_KR!W:W,J393),"")</f>
        <v/>
      </c>
      <c r="P393" s="24" t="str">
        <f>IF(M393&lt;&gt;"",IF(O393="",SUMIFS(JPK_KR!AL:AL,JPK_KR!W:W,N393),SUMIFS(JPK_KR!BF:BF,JPK_KR!BE:BE,N393,JPK_KR!BG:BG,O393)),"")</f>
        <v/>
      </c>
      <c r="Q393" s="126" t="str">
        <f>IF(M393&lt;&gt;"",IF(O393="",SUMIFS(JPK_KR!AM:AM,JPK_KR!W:W,N393),SUMIFS(JPK_KR!BI:BI,JPK_KR!BH:BH,N393,JPK_KR!BJ:BJ,O393)),"")</f>
        <v/>
      </c>
      <c r="U393" s="24" t="str">
        <f>IF(R393&lt;&gt;"",SUMIFS(JPK_KR!AL:AL,JPK_KR!W:W,S393),"")</f>
        <v/>
      </c>
      <c r="V393" s="126" t="str">
        <f>IF(R393&lt;&gt;"",SUMIFS(JPK_KR!AM:AM,JPK_KR!W:W,S393),"")</f>
        <v/>
      </c>
    </row>
    <row r="394" spans="3:22" x14ac:dyDescent="0.3">
      <c r="C394" s="24" t="str">
        <f>IF(A394&lt;&gt;"",SUMIFS(JPK_KR!AL:AL,JPK_KR!W:W,B394),"")</f>
        <v/>
      </c>
      <c r="D394" s="126" t="str">
        <f>IF(A394&lt;&gt;"",SUMIFS(JPK_KR!AM:AM,JPK_KR!W:W,B394),"")</f>
        <v/>
      </c>
      <c r="G394" s="24" t="str">
        <f>IF(E394&lt;&gt;"",SUMIFS(JPK_KR!AL:AL,JPK_KR!W:W,F394),"")</f>
        <v/>
      </c>
      <c r="H394" s="126" t="str">
        <f>IF(E394&lt;&gt;"",SUMIFS(JPK_KR!AM:AM,JPK_KR!W:W,F394),"")</f>
        <v/>
      </c>
      <c r="K394" s="24" t="str">
        <f>IF(I394&lt;&gt;"",SUMIFS(JPK_KR!AL:AL,JPK_KR!W:W,J394),"")</f>
        <v/>
      </c>
      <c r="L394" s="126" t="str">
        <f>IF(I394&lt;&gt;"",SUMIFS(JPK_KR!AM:AM,JPK_KR!W:W,J394),"")</f>
        <v/>
      </c>
      <c r="P394" s="24" t="str">
        <f>IF(M394&lt;&gt;"",IF(O394="",SUMIFS(JPK_KR!AL:AL,JPK_KR!W:W,N394),SUMIFS(JPK_KR!BF:BF,JPK_KR!BE:BE,N394,JPK_KR!BG:BG,O394)),"")</f>
        <v/>
      </c>
      <c r="Q394" s="126" t="str">
        <f>IF(M394&lt;&gt;"",IF(O394="",SUMIFS(JPK_KR!AM:AM,JPK_KR!W:W,N394),SUMIFS(JPK_KR!BI:BI,JPK_KR!BH:BH,N394,JPK_KR!BJ:BJ,O394)),"")</f>
        <v/>
      </c>
      <c r="U394" s="24" t="str">
        <f>IF(R394&lt;&gt;"",SUMIFS(JPK_KR!AL:AL,JPK_KR!W:W,S394),"")</f>
        <v/>
      </c>
      <c r="V394" s="126" t="str">
        <f>IF(R394&lt;&gt;"",SUMIFS(JPK_KR!AM:AM,JPK_KR!W:W,S394),"")</f>
        <v/>
      </c>
    </row>
    <row r="395" spans="3:22" x14ac:dyDescent="0.3">
      <c r="C395" s="24" t="str">
        <f>IF(A395&lt;&gt;"",SUMIFS(JPK_KR!AL:AL,JPK_KR!W:W,B395),"")</f>
        <v/>
      </c>
      <c r="D395" s="126" t="str">
        <f>IF(A395&lt;&gt;"",SUMIFS(JPK_KR!AM:AM,JPK_KR!W:W,B395),"")</f>
        <v/>
      </c>
      <c r="G395" s="24" t="str">
        <f>IF(E395&lt;&gt;"",SUMIFS(JPK_KR!AL:AL,JPK_KR!W:W,F395),"")</f>
        <v/>
      </c>
      <c r="H395" s="126" t="str">
        <f>IF(E395&lt;&gt;"",SUMIFS(JPK_KR!AM:AM,JPK_KR!W:W,F395),"")</f>
        <v/>
      </c>
      <c r="K395" s="24" t="str">
        <f>IF(I395&lt;&gt;"",SUMIFS(JPK_KR!AL:AL,JPK_KR!W:W,J395),"")</f>
        <v/>
      </c>
      <c r="L395" s="126" t="str">
        <f>IF(I395&lt;&gt;"",SUMIFS(JPK_KR!AM:AM,JPK_KR!W:W,J395),"")</f>
        <v/>
      </c>
      <c r="P395" s="24" t="str">
        <f>IF(M395&lt;&gt;"",IF(O395="",SUMIFS(JPK_KR!AL:AL,JPK_KR!W:W,N395),SUMIFS(JPK_KR!BF:BF,JPK_KR!BE:BE,N395,JPK_KR!BG:BG,O395)),"")</f>
        <v/>
      </c>
      <c r="Q395" s="126" t="str">
        <f>IF(M395&lt;&gt;"",IF(O395="",SUMIFS(JPK_KR!AM:AM,JPK_KR!W:W,N395),SUMIFS(JPK_KR!BI:BI,JPK_KR!BH:BH,N395,JPK_KR!BJ:BJ,O395)),"")</f>
        <v/>
      </c>
      <c r="U395" s="24" t="str">
        <f>IF(R395&lt;&gt;"",SUMIFS(JPK_KR!AL:AL,JPK_KR!W:W,S395),"")</f>
        <v/>
      </c>
      <c r="V395" s="126" t="str">
        <f>IF(R395&lt;&gt;"",SUMIFS(JPK_KR!AM:AM,JPK_KR!W:W,S395),"")</f>
        <v/>
      </c>
    </row>
    <row r="396" spans="3:22" x14ac:dyDescent="0.3">
      <c r="C396" s="24" t="str">
        <f>IF(A396&lt;&gt;"",SUMIFS(JPK_KR!AL:AL,JPK_KR!W:W,B396),"")</f>
        <v/>
      </c>
      <c r="D396" s="126" t="str">
        <f>IF(A396&lt;&gt;"",SUMIFS(JPK_KR!AM:AM,JPK_KR!W:W,B396),"")</f>
        <v/>
      </c>
      <c r="G396" s="24" t="str">
        <f>IF(E396&lt;&gt;"",SUMIFS(JPK_KR!AL:AL,JPK_KR!W:W,F396),"")</f>
        <v/>
      </c>
      <c r="H396" s="126" t="str">
        <f>IF(E396&lt;&gt;"",SUMIFS(JPK_KR!AM:AM,JPK_KR!W:W,F396),"")</f>
        <v/>
      </c>
      <c r="K396" s="24" t="str">
        <f>IF(I396&lt;&gt;"",SUMIFS(JPK_KR!AL:AL,JPK_KR!W:W,J396),"")</f>
        <v/>
      </c>
      <c r="L396" s="126" t="str">
        <f>IF(I396&lt;&gt;"",SUMIFS(JPK_KR!AM:AM,JPK_KR!W:W,J396),"")</f>
        <v/>
      </c>
      <c r="P396" s="24" t="str">
        <f>IF(M396&lt;&gt;"",IF(O396="",SUMIFS(JPK_KR!AL:AL,JPK_KR!W:W,N396),SUMIFS(JPK_KR!BF:BF,JPK_KR!BE:BE,N396,JPK_KR!BG:BG,O396)),"")</f>
        <v/>
      </c>
      <c r="Q396" s="126" t="str">
        <f>IF(M396&lt;&gt;"",IF(O396="",SUMIFS(JPK_KR!AM:AM,JPK_KR!W:W,N396),SUMIFS(JPK_KR!BI:BI,JPK_KR!BH:BH,N396,JPK_KR!BJ:BJ,O396)),"")</f>
        <v/>
      </c>
      <c r="U396" s="24" t="str">
        <f>IF(R396&lt;&gt;"",SUMIFS(JPK_KR!AL:AL,JPK_KR!W:W,S396),"")</f>
        <v/>
      </c>
      <c r="V396" s="126" t="str">
        <f>IF(R396&lt;&gt;"",SUMIFS(JPK_KR!AM:AM,JPK_KR!W:W,S396),"")</f>
        <v/>
      </c>
    </row>
    <row r="397" spans="3:22" x14ac:dyDescent="0.3">
      <c r="C397" s="24" t="str">
        <f>IF(A397&lt;&gt;"",SUMIFS(JPK_KR!AL:AL,JPK_KR!W:W,B397),"")</f>
        <v/>
      </c>
      <c r="D397" s="126" t="str">
        <f>IF(A397&lt;&gt;"",SUMIFS(JPK_KR!AM:AM,JPK_KR!W:W,B397),"")</f>
        <v/>
      </c>
      <c r="G397" s="24" t="str">
        <f>IF(E397&lt;&gt;"",SUMIFS(JPK_KR!AL:AL,JPK_KR!W:W,F397),"")</f>
        <v/>
      </c>
      <c r="H397" s="126" t="str">
        <f>IF(E397&lt;&gt;"",SUMIFS(JPK_KR!AM:AM,JPK_KR!W:W,F397),"")</f>
        <v/>
      </c>
      <c r="K397" s="24" t="str">
        <f>IF(I397&lt;&gt;"",SUMIFS(JPK_KR!AL:AL,JPK_KR!W:W,J397),"")</f>
        <v/>
      </c>
      <c r="L397" s="126" t="str">
        <f>IF(I397&lt;&gt;"",SUMIFS(JPK_KR!AM:AM,JPK_KR!W:W,J397),"")</f>
        <v/>
      </c>
      <c r="P397" s="24" t="str">
        <f>IF(M397&lt;&gt;"",IF(O397="",SUMIFS(JPK_KR!AL:AL,JPK_KR!W:W,N397),SUMIFS(JPK_KR!BF:BF,JPK_KR!BE:BE,N397,JPK_KR!BG:BG,O397)),"")</f>
        <v/>
      </c>
      <c r="Q397" s="126" t="str">
        <f>IF(M397&lt;&gt;"",IF(O397="",SUMIFS(JPK_KR!AM:AM,JPK_KR!W:W,N397),SUMIFS(JPK_KR!BI:BI,JPK_KR!BH:BH,N397,JPK_KR!BJ:BJ,O397)),"")</f>
        <v/>
      </c>
      <c r="U397" s="24" t="str">
        <f>IF(R397&lt;&gt;"",SUMIFS(JPK_KR!AL:AL,JPK_KR!W:W,S397),"")</f>
        <v/>
      </c>
      <c r="V397" s="126" t="str">
        <f>IF(R397&lt;&gt;"",SUMIFS(JPK_KR!AM:AM,JPK_KR!W:W,S397),"")</f>
        <v/>
      </c>
    </row>
    <row r="398" spans="3:22" x14ac:dyDescent="0.3">
      <c r="C398" s="24" t="str">
        <f>IF(A398&lt;&gt;"",SUMIFS(JPK_KR!AL:AL,JPK_KR!W:W,B398),"")</f>
        <v/>
      </c>
      <c r="D398" s="126" t="str">
        <f>IF(A398&lt;&gt;"",SUMIFS(JPK_KR!AM:AM,JPK_KR!W:W,B398),"")</f>
        <v/>
      </c>
      <c r="G398" s="24" t="str">
        <f>IF(E398&lt;&gt;"",SUMIFS(JPK_KR!AL:AL,JPK_KR!W:W,F398),"")</f>
        <v/>
      </c>
      <c r="H398" s="126" t="str">
        <f>IF(E398&lt;&gt;"",SUMIFS(JPK_KR!AM:AM,JPK_KR!W:W,F398),"")</f>
        <v/>
      </c>
      <c r="K398" s="24" t="str">
        <f>IF(I398&lt;&gt;"",SUMIFS(JPK_KR!AL:AL,JPK_KR!W:W,J398),"")</f>
        <v/>
      </c>
      <c r="L398" s="126" t="str">
        <f>IF(I398&lt;&gt;"",SUMIFS(JPK_KR!AM:AM,JPK_KR!W:W,J398),"")</f>
        <v/>
      </c>
      <c r="P398" s="24" t="str">
        <f>IF(M398&lt;&gt;"",IF(O398="",SUMIFS(JPK_KR!AL:AL,JPK_KR!W:W,N398),SUMIFS(JPK_KR!BF:BF,JPK_KR!BE:BE,N398,JPK_KR!BG:BG,O398)),"")</f>
        <v/>
      </c>
      <c r="Q398" s="126" t="str">
        <f>IF(M398&lt;&gt;"",IF(O398="",SUMIFS(JPK_KR!AM:AM,JPK_KR!W:W,N398),SUMIFS(JPK_KR!BI:BI,JPK_KR!BH:BH,N398,JPK_KR!BJ:BJ,O398)),"")</f>
        <v/>
      </c>
      <c r="U398" s="24" t="str">
        <f>IF(R398&lt;&gt;"",SUMIFS(JPK_KR!AL:AL,JPK_KR!W:W,S398),"")</f>
        <v/>
      </c>
      <c r="V398" s="126" t="str">
        <f>IF(R398&lt;&gt;"",SUMIFS(JPK_KR!AM:AM,JPK_KR!W:W,S398),"")</f>
        <v/>
      </c>
    </row>
    <row r="399" spans="3:22" x14ac:dyDescent="0.3">
      <c r="C399" s="24" t="str">
        <f>IF(A399&lt;&gt;"",SUMIFS(JPK_KR!AL:AL,JPK_KR!W:W,B399),"")</f>
        <v/>
      </c>
      <c r="D399" s="126" t="str">
        <f>IF(A399&lt;&gt;"",SUMIFS(JPK_KR!AM:AM,JPK_KR!W:W,B399),"")</f>
        <v/>
      </c>
      <c r="G399" s="24" t="str">
        <f>IF(E399&lt;&gt;"",SUMIFS(JPK_KR!AL:AL,JPK_KR!W:W,F399),"")</f>
        <v/>
      </c>
      <c r="H399" s="126" t="str">
        <f>IF(E399&lt;&gt;"",SUMIFS(JPK_KR!AM:AM,JPK_KR!W:W,F399),"")</f>
        <v/>
      </c>
      <c r="K399" s="24" t="str">
        <f>IF(I399&lt;&gt;"",SUMIFS(JPK_KR!AL:AL,JPK_KR!W:W,J399),"")</f>
        <v/>
      </c>
      <c r="L399" s="126" t="str">
        <f>IF(I399&lt;&gt;"",SUMIFS(JPK_KR!AM:AM,JPK_KR!W:W,J399),"")</f>
        <v/>
      </c>
      <c r="P399" s="24" t="str">
        <f>IF(M399&lt;&gt;"",IF(O399="",SUMIFS(JPK_KR!AL:AL,JPK_KR!W:W,N399),SUMIFS(JPK_KR!BF:BF,JPK_KR!BE:BE,N399,JPK_KR!BG:BG,O399)),"")</f>
        <v/>
      </c>
      <c r="Q399" s="126" t="str">
        <f>IF(M399&lt;&gt;"",IF(O399="",SUMIFS(JPK_KR!AM:AM,JPK_KR!W:W,N399),SUMIFS(JPK_KR!BI:BI,JPK_KR!BH:BH,N399,JPK_KR!BJ:BJ,O399)),"")</f>
        <v/>
      </c>
      <c r="U399" s="24" t="str">
        <f>IF(R399&lt;&gt;"",SUMIFS(JPK_KR!AL:AL,JPK_KR!W:W,S399),"")</f>
        <v/>
      </c>
      <c r="V399" s="126" t="str">
        <f>IF(R399&lt;&gt;"",SUMIFS(JPK_KR!AM:AM,JPK_KR!W:W,S399),"")</f>
        <v/>
      </c>
    </row>
    <row r="400" spans="3:22" x14ac:dyDescent="0.3">
      <c r="C400" s="24" t="str">
        <f>IF(A400&lt;&gt;"",SUMIFS(JPK_KR!AL:AL,JPK_KR!W:W,B400),"")</f>
        <v/>
      </c>
      <c r="D400" s="126" t="str">
        <f>IF(A400&lt;&gt;"",SUMIFS(JPK_KR!AM:AM,JPK_KR!W:W,B400),"")</f>
        <v/>
      </c>
      <c r="G400" s="24" t="str">
        <f>IF(E400&lt;&gt;"",SUMIFS(JPK_KR!AL:AL,JPK_KR!W:W,F400),"")</f>
        <v/>
      </c>
      <c r="H400" s="126" t="str">
        <f>IF(E400&lt;&gt;"",SUMIFS(JPK_KR!AM:AM,JPK_KR!W:W,F400),"")</f>
        <v/>
      </c>
      <c r="K400" s="24" t="str">
        <f>IF(I400&lt;&gt;"",SUMIFS(JPK_KR!AL:AL,JPK_KR!W:W,J400),"")</f>
        <v/>
      </c>
      <c r="L400" s="126" t="str">
        <f>IF(I400&lt;&gt;"",SUMIFS(JPK_KR!AM:AM,JPK_KR!W:W,J400),"")</f>
        <v/>
      </c>
      <c r="P400" s="24" t="str">
        <f>IF(M400&lt;&gt;"",IF(O400="",SUMIFS(JPK_KR!AL:AL,JPK_KR!W:W,N400),SUMIFS(JPK_KR!BF:BF,JPK_KR!BE:BE,N400,JPK_KR!BG:BG,O400)),"")</f>
        <v/>
      </c>
      <c r="Q400" s="126" t="str">
        <f>IF(M400&lt;&gt;"",IF(O400="",SUMIFS(JPK_KR!AM:AM,JPK_KR!W:W,N400),SUMIFS(JPK_KR!BI:BI,JPK_KR!BH:BH,N400,JPK_KR!BJ:BJ,O400)),"")</f>
        <v/>
      </c>
      <c r="U400" s="24" t="str">
        <f>IF(R400&lt;&gt;"",SUMIFS(JPK_KR!AL:AL,JPK_KR!W:W,S400),"")</f>
        <v/>
      </c>
      <c r="V400" s="126" t="str">
        <f>IF(R400&lt;&gt;"",SUMIFS(JPK_KR!AM:AM,JPK_KR!W:W,S400),"")</f>
        <v/>
      </c>
    </row>
    <row r="401" spans="3:22" x14ac:dyDescent="0.3">
      <c r="C401" s="24" t="str">
        <f>IF(A401&lt;&gt;"",SUMIFS(JPK_KR!AL:AL,JPK_KR!W:W,B401),"")</f>
        <v/>
      </c>
      <c r="D401" s="126" t="str">
        <f>IF(A401&lt;&gt;"",SUMIFS(JPK_KR!AM:AM,JPK_KR!W:W,B401),"")</f>
        <v/>
      </c>
      <c r="G401" s="24" t="str">
        <f>IF(E401&lt;&gt;"",SUMIFS(JPK_KR!AL:AL,JPK_KR!W:W,F401),"")</f>
        <v/>
      </c>
      <c r="H401" s="126" t="str">
        <f>IF(E401&lt;&gt;"",SUMIFS(JPK_KR!AM:AM,JPK_KR!W:W,F401),"")</f>
        <v/>
      </c>
      <c r="K401" s="24" t="str">
        <f>IF(I401&lt;&gt;"",SUMIFS(JPK_KR!AL:AL,JPK_KR!W:W,J401),"")</f>
        <v/>
      </c>
      <c r="L401" s="126" t="str">
        <f>IF(I401&lt;&gt;"",SUMIFS(JPK_KR!AM:AM,JPK_KR!W:W,J401),"")</f>
        <v/>
      </c>
      <c r="P401" s="24" t="str">
        <f>IF(M401&lt;&gt;"",IF(O401="",SUMIFS(JPK_KR!AL:AL,JPK_KR!W:W,N401),SUMIFS(JPK_KR!BF:BF,JPK_KR!BE:BE,N401,JPK_KR!BG:BG,O401)),"")</f>
        <v/>
      </c>
      <c r="Q401" s="126" t="str">
        <f>IF(M401&lt;&gt;"",IF(O401="",SUMIFS(JPK_KR!AM:AM,JPK_KR!W:W,N401),SUMIFS(JPK_KR!BI:BI,JPK_KR!BH:BH,N401,JPK_KR!BJ:BJ,O401)),"")</f>
        <v/>
      </c>
      <c r="U401" s="24" t="str">
        <f>IF(R401&lt;&gt;"",SUMIFS(JPK_KR!AL:AL,JPK_KR!W:W,S401),"")</f>
        <v/>
      </c>
      <c r="V401" s="126" t="str">
        <f>IF(R401&lt;&gt;"",SUMIFS(JPK_KR!AM:AM,JPK_KR!W:W,S401),"")</f>
        <v/>
      </c>
    </row>
    <row r="402" spans="3:22" x14ac:dyDescent="0.3">
      <c r="C402" s="24" t="str">
        <f>IF(A402&lt;&gt;"",SUMIFS(JPK_KR!AL:AL,JPK_KR!W:W,B402),"")</f>
        <v/>
      </c>
      <c r="D402" s="126" t="str">
        <f>IF(A402&lt;&gt;"",SUMIFS(JPK_KR!AM:AM,JPK_KR!W:W,B402),"")</f>
        <v/>
      </c>
      <c r="G402" s="24" t="str">
        <f>IF(E402&lt;&gt;"",SUMIFS(JPK_KR!AL:AL,JPK_KR!W:W,F402),"")</f>
        <v/>
      </c>
      <c r="H402" s="126" t="str">
        <f>IF(E402&lt;&gt;"",SUMIFS(JPK_KR!AM:AM,JPK_KR!W:W,F402),"")</f>
        <v/>
      </c>
      <c r="K402" s="24" t="str">
        <f>IF(I402&lt;&gt;"",SUMIFS(JPK_KR!AL:AL,JPK_KR!W:W,J402),"")</f>
        <v/>
      </c>
      <c r="L402" s="126" t="str">
        <f>IF(I402&lt;&gt;"",SUMIFS(JPK_KR!AM:AM,JPK_KR!W:W,J402),"")</f>
        <v/>
      </c>
      <c r="P402" s="24" t="str">
        <f>IF(M402&lt;&gt;"",IF(O402="",SUMIFS(JPK_KR!AL:AL,JPK_KR!W:W,N402),SUMIFS(JPK_KR!BF:BF,JPK_KR!BE:BE,N402,JPK_KR!BG:BG,O402)),"")</f>
        <v/>
      </c>
      <c r="Q402" s="126" t="str">
        <f>IF(M402&lt;&gt;"",IF(O402="",SUMIFS(JPK_KR!AM:AM,JPK_KR!W:W,N402),SUMIFS(JPK_KR!BI:BI,JPK_KR!BH:BH,N402,JPK_KR!BJ:BJ,O402)),"")</f>
        <v/>
      </c>
      <c r="U402" s="24" t="str">
        <f>IF(R402&lt;&gt;"",SUMIFS(JPK_KR!AL:AL,JPK_KR!W:W,S402),"")</f>
        <v/>
      </c>
      <c r="V402" s="126" t="str">
        <f>IF(R402&lt;&gt;"",SUMIFS(JPK_KR!AM:AM,JPK_KR!W:W,S402),"")</f>
        <v/>
      </c>
    </row>
    <row r="403" spans="3:22" x14ac:dyDescent="0.3">
      <c r="C403" s="24" t="str">
        <f>IF(A403&lt;&gt;"",SUMIFS(JPK_KR!AL:AL,JPK_KR!W:W,B403),"")</f>
        <v/>
      </c>
      <c r="D403" s="126" t="str">
        <f>IF(A403&lt;&gt;"",SUMIFS(JPK_KR!AM:AM,JPK_KR!W:W,B403),"")</f>
        <v/>
      </c>
      <c r="G403" s="24" t="str">
        <f>IF(E403&lt;&gt;"",SUMIFS(JPK_KR!AL:AL,JPK_KR!W:W,F403),"")</f>
        <v/>
      </c>
      <c r="H403" s="126" t="str">
        <f>IF(E403&lt;&gt;"",SUMIFS(JPK_KR!AM:AM,JPK_KR!W:W,F403),"")</f>
        <v/>
      </c>
      <c r="K403" s="24" t="str">
        <f>IF(I403&lt;&gt;"",SUMIFS(JPK_KR!AL:AL,JPK_KR!W:W,J403),"")</f>
        <v/>
      </c>
      <c r="L403" s="126" t="str">
        <f>IF(I403&lt;&gt;"",SUMIFS(JPK_KR!AM:AM,JPK_KR!W:W,J403),"")</f>
        <v/>
      </c>
      <c r="P403" s="24" t="str">
        <f>IF(M403&lt;&gt;"",IF(O403="",SUMIFS(JPK_KR!AL:AL,JPK_KR!W:W,N403),SUMIFS(JPK_KR!BF:BF,JPK_KR!BE:BE,N403,JPK_KR!BG:BG,O403)),"")</f>
        <v/>
      </c>
      <c r="Q403" s="126" t="str">
        <f>IF(M403&lt;&gt;"",IF(O403="",SUMIFS(JPK_KR!AM:AM,JPK_KR!W:W,N403),SUMIFS(JPK_KR!BI:BI,JPK_KR!BH:BH,N403,JPK_KR!BJ:BJ,O403)),"")</f>
        <v/>
      </c>
      <c r="U403" s="24" t="str">
        <f>IF(R403&lt;&gt;"",SUMIFS(JPK_KR!AL:AL,JPK_KR!W:W,S403),"")</f>
        <v/>
      </c>
      <c r="V403" s="126" t="str">
        <f>IF(R403&lt;&gt;"",SUMIFS(JPK_KR!AM:AM,JPK_KR!W:W,S403),"")</f>
        <v/>
      </c>
    </row>
    <row r="404" spans="3:22" x14ac:dyDescent="0.3">
      <c r="C404" s="24" t="str">
        <f>IF(A404&lt;&gt;"",SUMIFS(JPK_KR!AL:AL,JPK_KR!W:W,B404),"")</f>
        <v/>
      </c>
      <c r="D404" s="126" t="str">
        <f>IF(A404&lt;&gt;"",SUMIFS(JPK_KR!AM:AM,JPK_KR!W:W,B404),"")</f>
        <v/>
      </c>
      <c r="G404" s="24" t="str">
        <f>IF(E404&lt;&gt;"",SUMIFS(JPK_KR!AL:AL,JPK_KR!W:W,F404),"")</f>
        <v/>
      </c>
      <c r="H404" s="126" t="str">
        <f>IF(E404&lt;&gt;"",SUMIFS(JPK_KR!AM:AM,JPK_KR!W:W,F404),"")</f>
        <v/>
      </c>
      <c r="K404" s="24" t="str">
        <f>IF(I404&lt;&gt;"",SUMIFS(JPK_KR!AL:AL,JPK_KR!W:W,J404),"")</f>
        <v/>
      </c>
      <c r="L404" s="126" t="str">
        <f>IF(I404&lt;&gt;"",SUMIFS(JPK_KR!AM:AM,JPK_KR!W:W,J404),"")</f>
        <v/>
      </c>
      <c r="P404" s="24" t="str">
        <f>IF(M404&lt;&gt;"",IF(O404="",SUMIFS(JPK_KR!AL:AL,JPK_KR!W:W,N404),SUMIFS(JPK_KR!BF:BF,JPK_KR!BE:BE,N404,JPK_KR!BG:BG,O404)),"")</f>
        <v/>
      </c>
      <c r="Q404" s="126" t="str">
        <f>IF(M404&lt;&gt;"",IF(O404="",SUMIFS(JPK_KR!AM:AM,JPK_KR!W:W,N404),SUMIFS(JPK_KR!BI:BI,JPK_KR!BH:BH,N404,JPK_KR!BJ:BJ,O404)),"")</f>
        <v/>
      </c>
      <c r="U404" s="24" t="str">
        <f>IF(R404&lt;&gt;"",SUMIFS(JPK_KR!AL:AL,JPK_KR!W:W,S404),"")</f>
        <v/>
      </c>
      <c r="V404" s="126" t="str">
        <f>IF(R404&lt;&gt;"",SUMIFS(JPK_KR!AM:AM,JPK_KR!W:W,S404),"")</f>
        <v/>
      </c>
    </row>
    <row r="405" spans="3:22" x14ac:dyDescent="0.3">
      <c r="C405" s="24" t="str">
        <f>IF(A405&lt;&gt;"",SUMIFS(JPK_KR!AL:AL,JPK_KR!W:W,B405),"")</f>
        <v/>
      </c>
      <c r="D405" s="126" t="str">
        <f>IF(A405&lt;&gt;"",SUMIFS(JPK_KR!AM:AM,JPK_KR!W:W,B405),"")</f>
        <v/>
      </c>
      <c r="G405" s="24" t="str">
        <f>IF(E405&lt;&gt;"",SUMIFS(JPK_KR!AL:AL,JPK_KR!W:W,F405),"")</f>
        <v/>
      </c>
      <c r="H405" s="126" t="str">
        <f>IF(E405&lt;&gt;"",SUMIFS(JPK_KR!AM:AM,JPK_KR!W:W,F405),"")</f>
        <v/>
      </c>
      <c r="K405" s="24" t="str">
        <f>IF(I405&lt;&gt;"",SUMIFS(JPK_KR!AL:AL,JPK_KR!W:W,J405),"")</f>
        <v/>
      </c>
      <c r="L405" s="126" t="str">
        <f>IF(I405&lt;&gt;"",SUMIFS(JPK_KR!AM:AM,JPK_KR!W:W,J405),"")</f>
        <v/>
      </c>
      <c r="P405" s="24" t="str">
        <f>IF(M405&lt;&gt;"",IF(O405="",SUMIFS(JPK_KR!AL:AL,JPK_KR!W:W,N405),SUMIFS(JPK_KR!BF:BF,JPK_KR!BE:BE,N405,JPK_KR!BG:BG,O405)),"")</f>
        <v/>
      </c>
      <c r="Q405" s="126" t="str">
        <f>IF(M405&lt;&gt;"",IF(O405="",SUMIFS(JPK_KR!AM:AM,JPK_KR!W:W,N405),SUMIFS(JPK_KR!BI:BI,JPK_KR!BH:BH,N405,JPK_KR!BJ:BJ,O405)),"")</f>
        <v/>
      </c>
      <c r="U405" s="24" t="str">
        <f>IF(R405&lt;&gt;"",SUMIFS(JPK_KR!AL:AL,JPK_KR!W:W,S405),"")</f>
        <v/>
      </c>
      <c r="V405" s="126" t="str">
        <f>IF(R405&lt;&gt;"",SUMIFS(JPK_KR!AM:AM,JPK_KR!W:W,S405),"")</f>
        <v/>
      </c>
    </row>
    <row r="406" spans="3:22" x14ac:dyDescent="0.3">
      <c r="C406" s="24" t="str">
        <f>IF(A406&lt;&gt;"",SUMIFS(JPK_KR!AL:AL,JPK_KR!W:W,B406),"")</f>
        <v/>
      </c>
      <c r="D406" s="126" t="str">
        <f>IF(A406&lt;&gt;"",SUMIFS(JPK_KR!AM:AM,JPK_KR!W:W,B406),"")</f>
        <v/>
      </c>
      <c r="G406" s="24" t="str">
        <f>IF(E406&lt;&gt;"",SUMIFS(JPK_KR!AL:AL,JPK_KR!W:W,F406),"")</f>
        <v/>
      </c>
      <c r="H406" s="126" t="str">
        <f>IF(E406&lt;&gt;"",SUMIFS(JPK_KR!AM:AM,JPK_KR!W:W,F406),"")</f>
        <v/>
      </c>
      <c r="K406" s="24" t="str">
        <f>IF(I406&lt;&gt;"",SUMIFS(JPK_KR!AL:AL,JPK_KR!W:W,J406),"")</f>
        <v/>
      </c>
      <c r="L406" s="126" t="str">
        <f>IF(I406&lt;&gt;"",SUMIFS(JPK_KR!AM:AM,JPK_KR!W:W,J406),"")</f>
        <v/>
      </c>
      <c r="P406" s="24" t="str">
        <f>IF(M406&lt;&gt;"",IF(O406="",SUMIFS(JPK_KR!AL:AL,JPK_KR!W:W,N406),SUMIFS(JPK_KR!BF:BF,JPK_KR!BE:BE,N406,JPK_KR!BG:BG,O406)),"")</f>
        <v/>
      </c>
      <c r="Q406" s="126" t="str">
        <f>IF(M406&lt;&gt;"",IF(O406="",SUMIFS(JPK_KR!AM:AM,JPK_KR!W:W,N406),SUMIFS(JPK_KR!BI:BI,JPK_KR!BH:BH,N406,JPK_KR!BJ:BJ,O406)),"")</f>
        <v/>
      </c>
      <c r="U406" s="24" t="str">
        <f>IF(R406&lt;&gt;"",SUMIFS(JPK_KR!AL:AL,JPK_KR!W:W,S406),"")</f>
        <v/>
      </c>
      <c r="V406" s="126" t="str">
        <f>IF(R406&lt;&gt;"",SUMIFS(JPK_KR!AM:AM,JPK_KR!W:W,S406),"")</f>
        <v/>
      </c>
    </row>
    <row r="407" spans="3:22" x14ac:dyDescent="0.3">
      <c r="C407" s="24" t="str">
        <f>IF(A407&lt;&gt;"",SUMIFS(JPK_KR!AL:AL,JPK_KR!W:W,B407),"")</f>
        <v/>
      </c>
      <c r="D407" s="126" t="str">
        <f>IF(A407&lt;&gt;"",SUMIFS(JPK_KR!AM:AM,JPK_KR!W:W,B407),"")</f>
        <v/>
      </c>
      <c r="G407" s="24" t="str">
        <f>IF(E407&lt;&gt;"",SUMIFS(JPK_KR!AL:AL,JPK_KR!W:W,F407),"")</f>
        <v/>
      </c>
      <c r="H407" s="126" t="str">
        <f>IF(E407&lt;&gt;"",SUMIFS(JPK_KR!AM:AM,JPK_KR!W:W,F407),"")</f>
        <v/>
      </c>
      <c r="K407" s="24" t="str">
        <f>IF(I407&lt;&gt;"",SUMIFS(JPK_KR!AL:AL,JPK_KR!W:W,J407),"")</f>
        <v/>
      </c>
      <c r="L407" s="126" t="str">
        <f>IF(I407&lt;&gt;"",SUMIFS(JPK_KR!AM:AM,JPK_KR!W:W,J407),"")</f>
        <v/>
      </c>
      <c r="P407" s="24" t="str">
        <f>IF(M407&lt;&gt;"",IF(O407="",SUMIFS(JPK_KR!AL:AL,JPK_KR!W:W,N407),SUMIFS(JPK_KR!BF:BF,JPK_KR!BE:BE,N407,JPK_KR!BG:BG,O407)),"")</f>
        <v/>
      </c>
      <c r="Q407" s="126" t="str">
        <f>IF(M407&lt;&gt;"",IF(O407="",SUMIFS(JPK_KR!AM:AM,JPK_KR!W:W,N407),SUMIFS(JPK_KR!BI:BI,JPK_KR!BH:BH,N407,JPK_KR!BJ:BJ,O407)),"")</f>
        <v/>
      </c>
      <c r="U407" s="24" t="str">
        <f>IF(R407&lt;&gt;"",SUMIFS(JPK_KR!AL:AL,JPK_KR!W:W,S407),"")</f>
        <v/>
      </c>
      <c r="V407" s="126" t="str">
        <f>IF(R407&lt;&gt;"",SUMIFS(JPK_KR!AM:AM,JPK_KR!W:W,S407),"")</f>
        <v/>
      </c>
    </row>
    <row r="408" spans="3:22" x14ac:dyDescent="0.3">
      <c r="C408" s="24" t="str">
        <f>IF(A408&lt;&gt;"",SUMIFS(JPK_KR!AL:AL,JPK_KR!W:W,B408),"")</f>
        <v/>
      </c>
      <c r="D408" s="126" t="str">
        <f>IF(A408&lt;&gt;"",SUMIFS(JPK_KR!AM:AM,JPK_KR!W:W,B408),"")</f>
        <v/>
      </c>
      <c r="G408" s="24" t="str">
        <f>IF(E408&lt;&gt;"",SUMIFS(JPK_KR!AL:AL,JPK_KR!W:W,F408),"")</f>
        <v/>
      </c>
      <c r="H408" s="126" t="str">
        <f>IF(E408&lt;&gt;"",SUMIFS(JPK_KR!AM:AM,JPK_KR!W:W,F408),"")</f>
        <v/>
      </c>
      <c r="K408" s="24" t="str">
        <f>IF(I408&lt;&gt;"",SUMIFS(JPK_KR!AL:AL,JPK_KR!W:W,J408),"")</f>
        <v/>
      </c>
      <c r="L408" s="126" t="str">
        <f>IF(I408&lt;&gt;"",SUMIFS(JPK_KR!AM:AM,JPK_KR!W:W,J408),"")</f>
        <v/>
      </c>
      <c r="P408" s="24" t="str">
        <f>IF(M408&lt;&gt;"",IF(O408="",SUMIFS(JPK_KR!AL:AL,JPK_KR!W:W,N408),SUMIFS(JPK_KR!BF:BF,JPK_KR!BE:BE,N408,JPK_KR!BG:BG,O408)),"")</f>
        <v/>
      </c>
      <c r="Q408" s="126" t="str">
        <f>IF(M408&lt;&gt;"",IF(O408="",SUMIFS(JPK_KR!AM:AM,JPK_KR!W:W,N408),SUMIFS(JPK_KR!BI:BI,JPK_KR!BH:BH,N408,JPK_KR!BJ:BJ,O408)),"")</f>
        <v/>
      </c>
      <c r="U408" s="24" t="str">
        <f>IF(R408&lt;&gt;"",SUMIFS(JPK_KR!AL:AL,JPK_KR!W:W,S408),"")</f>
        <v/>
      </c>
      <c r="V408" s="126" t="str">
        <f>IF(R408&lt;&gt;"",SUMIFS(JPK_KR!AM:AM,JPK_KR!W:W,S408),"")</f>
        <v/>
      </c>
    </row>
    <row r="409" spans="3:22" x14ac:dyDescent="0.3">
      <c r="C409" s="24" t="str">
        <f>IF(A409&lt;&gt;"",SUMIFS(JPK_KR!AL:AL,JPK_KR!W:W,B409),"")</f>
        <v/>
      </c>
      <c r="D409" s="126" t="str">
        <f>IF(A409&lt;&gt;"",SUMIFS(JPK_KR!AM:AM,JPK_KR!W:W,B409),"")</f>
        <v/>
      </c>
      <c r="G409" s="24" t="str">
        <f>IF(E409&lt;&gt;"",SUMIFS(JPK_KR!AL:AL,JPK_KR!W:W,F409),"")</f>
        <v/>
      </c>
      <c r="H409" s="126" t="str">
        <f>IF(E409&lt;&gt;"",SUMIFS(JPK_KR!AM:AM,JPK_KR!W:W,F409),"")</f>
        <v/>
      </c>
      <c r="K409" s="24" t="str">
        <f>IF(I409&lt;&gt;"",SUMIFS(JPK_KR!AL:AL,JPK_KR!W:W,J409),"")</f>
        <v/>
      </c>
      <c r="L409" s="126" t="str">
        <f>IF(I409&lt;&gt;"",SUMIFS(JPK_KR!AM:AM,JPK_KR!W:W,J409),"")</f>
        <v/>
      </c>
      <c r="P409" s="24" t="str">
        <f>IF(M409&lt;&gt;"",IF(O409="",SUMIFS(JPK_KR!AL:AL,JPK_KR!W:W,N409),SUMIFS(JPK_KR!BF:BF,JPK_KR!BE:BE,N409,JPK_KR!BG:BG,O409)),"")</f>
        <v/>
      </c>
      <c r="Q409" s="126" t="str">
        <f>IF(M409&lt;&gt;"",IF(O409="",SUMIFS(JPK_KR!AM:AM,JPK_KR!W:W,N409),SUMIFS(JPK_KR!BI:BI,JPK_KR!BH:BH,N409,JPK_KR!BJ:BJ,O409)),"")</f>
        <v/>
      </c>
      <c r="U409" s="24" t="str">
        <f>IF(R409&lt;&gt;"",SUMIFS(JPK_KR!AL:AL,JPK_KR!W:W,S409),"")</f>
        <v/>
      </c>
      <c r="V409" s="126" t="str">
        <f>IF(R409&lt;&gt;"",SUMIFS(JPK_KR!AM:AM,JPK_KR!W:W,S409),"")</f>
        <v/>
      </c>
    </row>
    <row r="410" spans="3:22" x14ac:dyDescent="0.3">
      <c r="C410" s="24" t="str">
        <f>IF(A410&lt;&gt;"",SUMIFS(JPK_KR!AL:AL,JPK_KR!W:W,B410),"")</f>
        <v/>
      </c>
      <c r="D410" s="126" t="str">
        <f>IF(A410&lt;&gt;"",SUMIFS(JPK_KR!AM:AM,JPK_KR!W:W,B410),"")</f>
        <v/>
      </c>
      <c r="G410" s="24" t="str">
        <f>IF(E410&lt;&gt;"",SUMIFS(JPK_KR!AL:AL,JPK_KR!W:W,F410),"")</f>
        <v/>
      </c>
      <c r="H410" s="126" t="str">
        <f>IF(E410&lt;&gt;"",SUMIFS(JPK_KR!AM:AM,JPK_KR!W:W,F410),"")</f>
        <v/>
      </c>
      <c r="K410" s="24" t="str">
        <f>IF(I410&lt;&gt;"",SUMIFS(JPK_KR!AL:AL,JPK_KR!W:W,J410),"")</f>
        <v/>
      </c>
      <c r="L410" s="126" t="str">
        <f>IF(I410&lt;&gt;"",SUMIFS(JPK_KR!AM:AM,JPK_KR!W:W,J410),"")</f>
        <v/>
      </c>
      <c r="P410" s="24" t="str">
        <f>IF(M410&lt;&gt;"",IF(O410="",SUMIFS(JPK_KR!AL:AL,JPK_KR!W:W,N410),SUMIFS(JPK_KR!BF:BF,JPK_KR!BE:BE,N410,JPK_KR!BG:BG,O410)),"")</f>
        <v/>
      </c>
      <c r="Q410" s="126" t="str">
        <f>IF(M410&lt;&gt;"",IF(O410="",SUMIFS(JPK_KR!AM:AM,JPK_KR!W:W,N410),SUMIFS(JPK_KR!BI:BI,JPK_KR!BH:BH,N410,JPK_KR!BJ:BJ,O410)),"")</f>
        <v/>
      </c>
      <c r="U410" s="24" t="str">
        <f>IF(R410&lt;&gt;"",SUMIFS(JPK_KR!AL:AL,JPK_KR!W:W,S410),"")</f>
        <v/>
      </c>
      <c r="V410" s="126" t="str">
        <f>IF(R410&lt;&gt;"",SUMIFS(JPK_KR!AM:AM,JPK_KR!W:W,S410),"")</f>
        <v/>
      </c>
    </row>
    <row r="411" spans="3:22" x14ac:dyDescent="0.3">
      <c r="C411" s="24" t="str">
        <f>IF(A411&lt;&gt;"",SUMIFS(JPK_KR!AL:AL,JPK_KR!W:W,B411),"")</f>
        <v/>
      </c>
      <c r="D411" s="126" t="str">
        <f>IF(A411&lt;&gt;"",SUMIFS(JPK_KR!AM:AM,JPK_KR!W:W,B411),"")</f>
        <v/>
      </c>
      <c r="G411" s="24" t="str">
        <f>IF(E411&lt;&gt;"",SUMIFS(JPK_KR!AL:AL,JPK_KR!W:W,F411),"")</f>
        <v/>
      </c>
      <c r="H411" s="126" t="str">
        <f>IF(E411&lt;&gt;"",SUMIFS(JPK_KR!AM:AM,JPK_KR!W:W,F411),"")</f>
        <v/>
      </c>
      <c r="K411" s="24" t="str">
        <f>IF(I411&lt;&gt;"",SUMIFS(JPK_KR!AL:AL,JPK_KR!W:W,J411),"")</f>
        <v/>
      </c>
      <c r="L411" s="126" t="str">
        <f>IF(I411&lt;&gt;"",SUMIFS(JPK_KR!AM:AM,JPK_KR!W:W,J411),"")</f>
        <v/>
      </c>
      <c r="P411" s="24" t="str">
        <f>IF(M411&lt;&gt;"",IF(O411="",SUMIFS(JPK_KR!AL:AL,JPK_KR!W:W,N411),SUMIFS(JPK_KR!BF:BF,JPK_KR!BE:BE,N411,JPK_KR!BG:BG,O411)),"")</f>
        <v/>
      </c>
      <c r="Q411" s="126" t="str">
        <f>IF(M411&lt;&gt;"",IF(O411="",SUMIFS(JPK_KR!AM:AM,JPK_KR!W:W,N411),SUMIFS(JPK_KR!BI:BI,JPK_KR!BH:BH,N411,JPK_KR!BJ:BJ,O411)),"")</f>
        <v/>
      </c>
      <c r="U411" s="24" t="str">
        <f>IF(R411&lt;&gt;"",SUMIFS(JPK_KR!AL:AL,JPK_KR!W:W,S411),"")</f>
        <v/>
      </c>
      <c r="V411" s="126" t="str">
        <f>IF(R411&lt;&gt;"",SUMIFS(JPK_KR!AM:AM,JPK_KR!W:W,S411),"")</f>
        <v/>
      </c>
    </row>
    <row r="412" spans="3:22" x14ac:dyDescent="0.3">
      <c r="C412" s="24" t="str">
        <f>IF(A412&lt;&gt;"",SUMIFS(JPK_KR!AL:AL,JPK_KR!W:W,B412),"")</f>
        <v/>
      </c>
      <c r="D412" s="126" t="str">
        <f>IF(A412&lt;&gt;"",SUMIFS(JPK_KR!AM:AM,JPK_KR!W:W,B412),"")</f>
        <v/>
      </c>
      <c r="G412" s="24" t="str">
        <f>IF(E412&lt;&gt;"",SUMIFS(JPK_KR!AL:AL,JPK_KR!W:W,F412),"")</f>
        <v/>
      </c>
      <c r="H412" s="126" t="str">
        <f>IF(E412&lt;&gt;"",SUMIFS(JPK_KR!AM:AM,JPK_KR!W:W,F412),"")</f>
        <v/>
      </c>
      <c r="K412" s="24" t="str">
        <f>IF(I412&lt;&gt;"",SUMIFS(JPK_KR!AL:AL,JPK_KR!W:W,J412),"")</f>
        <v/>
      </c>
      <c r="L412" s="126" t="str">
        <f>IF(I412&lt;&gt;"",SUMIFS(JPK_KR!AM:AM,JPK_KR!W:W,J412),"")</f>
        <v/>
      </c>
      <c r="P412" s="24" t="str">
        <f>IF(M412&lt;&gt;"",IF(O412="",SUMIFS(JPK_KR!AL:AL,JPK_KR!W:W,N412),SUMIFS(JPK_KR!BF:BF,JPK_KR!BE:BE,N412,JPK_KR!BG:BG,O412)),"")</f>
        <v/>
      </c>
      <c r="Q412" s="126" t="str">
        <f>IF(M412&lt;&gt;"",IF(O412="",SUMIFS(JPK_KR!AM:AM,JPK_KR!W:W,N412),SUMIFS(JPK_KR!BI:BI,JPK_KR!BH:BH,N412,JPK_KR!BJ:BJ,O412)),"")</f>
        <v/>
      </c>
      <c r="U412" s="24" t="str">
        <f>IF(R412&lt;&gt;"",SUMIFS(JPK_KR!AL:AL,JPK_KR!W:W,S412),"")</f>
        <v/>
      </c>
      <c r="V412" s="126" t="str">
        <f>IF(R412&lt;&gt;"",SUMIFS(JPK_KR!AM:AM,JPK_KR!W:W,S412),"")</f>
        <v/>
      </c>
    </row>
    <row r="413" spans="3:22" x14ac:dyDescent="0.3">
      <c r="C413" s="24" t="str">
        <f>IF(A413&lt;&gt;"",SUMIFS(JPK_KR!AL:AL,JPK_KR!W:W,B413),"")</f>
        <v/>
      </c>
      <c r="D413" s="126" t="str">
        <f>IF(A413&lt;&gt;"",SUMIFS(JPK_KR!AM:AM,JPK_KR!W:W,B413),"")</f>
        <v/>
      </c>
      <c r="G413" s="24" t="str">
        <f>IF(E413&lt;&gt;"",SUMIFS(JPK_KR!AL:AL,JPK_KR!W:W,F413),"")</f>
        <v/>
      </c>
      <c r="H413" s="126" t="str">
        <f>IF(E413&lt;&gt;"",SUMIFS(JPK_KR!AM:AM,JPK_KR!W:W,F413),"")</f>
        <v/>
      </c>
      <c r="K413" s="24" t="str">
        <f>IF(I413&lt;&gt;"",SUMIFS(JPK_KR!AL:AL,JPK_KR!W:W,J413),"")</f>
        <v/>
      </c>
      <c r="L413" s="126" t="str">
        <f>IF(I413&lt;&gt;"",SUMIFS(JPK_KR!AM:AM,JPK_KR!W:W,J413),"")</f>
        <v/>
      </c>
      <c r="P413" s="24" t="str">
        <f>IF(M413&lt;&gt;"",IF(O413="",SUMIFS(JPK_KR!AL:AL,JPK_KR!W:W,N413),SUMIFS(JPK_KR!BF:BF,JPK_KR!BE:BE,N413,JPK_KR!BG:BG,O413)),"")</f>
        <v/>
      </c>
      <c r="Q413" s="126" t="str">
        <f>IF(M413&lt;&gt;"",IF(O413="",SUMIFS(JPK_KR!AM:AM,JPK_KR!W:W,N413),SUMIFS(JPK_KR!BI:BI,JPK_KR!BH:BH,N413,JPK_KR!BJ:BJ,O413)),"")</f>
        <v/>
      </c>
      <c r="U413" s="24" t="str">
        <f>IF(R413&lt;&gt;"",SUMIFS(JPK_KR!AL:AL,JPK_KR!W:W,S413),"")</f>
        <v/>
      </c>
      <c r="V413" s="126" t="str">
        <f>IF(R413&lt;&gt;"",SUMIFS(JPK_KR!AM:AM,JPK_KR!W:W,S413),"")</f>
        <v/>
      </c>
    </row>
    <row r="414" spans="3:22" x14ac:dyDescent="0.3">
      <c r="C414" s="24" t="str">
        <f>IF(A414&lt;&gt;"",SUMIFS(JPK_KR!AL:AL,JPK_KR!W:W,B414),"")</f>
        <v/>
      </c>
      <c r="D414" s="126" t="str">
        <f>IF(A414&lt;&gt;"",SUMIFS(JPK_KR!AM:AM,JPK_KR!W:W,B414),"")</f>
        <v/>
      </c>
      <c r="G414" s="24" t="str">
        <f>IF(E414&lt;&gt;"",SUMIFS(JPK_KR!AL:AL,JPK_KR!W:W,F414),"")</f>
        <v/>
      </c>
      <c r="H414" s="126" t="str">
        <f>IF(E414&lt;&gt;"",SUMIFS(JPK_KR!AM:AM,JPK_KR!W:W,F414),"")</f>
        <v/>
      </c>
      <c r="K414" s="24" t="str">
        <f>IF(I414&lt;&gt;"",SUMIFS(JPK_KR!AL:AL,JPK_KR!W:W,J414),"")</f>
        <v/>
      </c>
      <c r="L414" s="126" t="str">
        <f>IF(I414&lt;&gt;"",SUMIFS(JPK_KR!AM:AM,JPK_KR!W:W,J414),"")</f>
        <v/>
      </c>
      <c r="P414" s="24" t="str">
        <f>IF(M414&lt;&gt;"",IF(O414="",SUMIFS(JPK_KR!AL:AL,JPK_KR!W:W,N414),SUMIFS(JPK_KR!BF:BF,JPK_KR!BE:BE,N414,JPK_KR!BG:BG,O414)),"")</f>
        <v/>
      </c>
      <c r="Q414" s="126" t="str">
        <f>IF(M414&lt;&gt;"",IF(O414="",SUMIFS(JPK_KR!AM:AM,JPK_KR!W:W,N414),SUMIFS(JPK_KR!BI:BI,JPK_KR!BH:BH,N414,JPK_KR!BJ:BJ,O414)),"")</f>
        <v/>
      </c>
      <c r="U414" s="24" t="str">
        <f>IF(R414&lt;&gt;"",SUMIFS(JPK_KR!AL:AL,JPK_KR!W:W,S414),"")</f>
        <v/>
      </c>
      <c r="V414" s="126" t="str">
        <f>IF(R414&lt;&gt;"",SUMIFS(JPK_KR!AM:AM,JPK_KR!W:W,S414),"")</f>
        <v/>
      </c>
    </row>
    <row r="415" spans="3:22" x14ac:dyDescent="0.3">
      <c r="C415" s="24" t="str">
        <f>IF(A415&lt;&gt;"",SUMIFS(JPK_KR!AL:AL,JPK_KR!W:W,B415),"")</f>
        <v/>
      </c>
      <c r="D415" s="126" t="str">
        <f>IF(A415&lt;&gt;"",SUMIFS(JPK_KR!AM:AM,JPK_KR!W:W,B415),"")</f>
        <v/>
      </c>
      <c r="G415" s="24" t="str">
        <f>IF(E415&lt;&gt;"",SUMIFS(JPK_KR!AL:AL,JPK_KR!W:W,F415),"")</f>
        <v/>
      </c>
      <c r="H415" s="126" t="str">
        <f>IF(E415&lt;&gt;"",SUMIFS(JPK_KR!AM:AM,JPK_KR!W:W,F415),"")</f>
        <v/>
      </c>
      <c r="K415" s="24" t="str">
        <f>IF(I415&lt;&gt;"",SUMIFS(JPK_KR!AL:AL,JPK_KR!W:W,J415),"")</f>
        <v/>
      </c>
      <c r="L415" s="126" t="str">
        <f>IF(I415&lt;&gt;"",SUMIFS(JPK_KR!AM:AM,JPK_KR!W:W,J415),"")</f>
        <v/>
      </c>
      <c r="P415" s="24" t="str">
        <f>IF(M415&lt;&gt;"",IF(O415="",SUMIFS(JPK_KR!AL:AL,JPK_KR!W:W,N415),SUMIFS(JPK_KR!BF:BF,JPK_KR!BE:BE,N415,JPK_KR!BG:BG,O415)),"")</f>
        <v/>
      </c>
      <c r="Q415" s="126" t="str">
        <f>IF(M415&lt;&gt;"",IF(O415="",SUMIFS(JPK_KR!AM:AM,JPK_KR!W:W,N415),SUMIFS(JPK_KR!BI:BI,JPK_KR!BH:BH,N415,JPK_KR!BJ:BJ,O415)),"")</f>
        <v/>
      </c>
      <c r="U415" s="24" t="str">
        <f>IF(R415&lt;&gt;"",SUMIFS(JPK_KR!AL:AL,JPK_KR!W:W,S415),"")</f>
        <v/>
      </c>
      <c r="V415" s="126" t="str">
        <f>IF(R415&lt;&gt;"",SUMIFS(JPK_KR!AM:AM,JPK_KR!W:W,S415),"")</f>
        <v/>
      </c>
    </row>
    <row r="416" spans="3:22" x14ac:dyDescent="0.3">
      <c r="C416" s="24" t="str">
        <f>IF(A416&lt;&gt;"",SUMIFS(JPK_KR!AL:AL,JPK_KR!W:W,B416),"")</f>
        <v/>
      </c>
      <c r="D416" s="126" t="str">
        <f>IF(A416&lt;&gt;"",SUMIFS(JPK_KR!AM:AM,JPK_KR!W:W,B416),"")</f>
        <v/>
      </c>
      <c r="G416" s="24" t="str">
        <f>IF(E416&lt;&gt;"",SUMIFS(JPK_KR!AL:AL,JPK_KR!W:W,F416),"")</f>
        <v/>
      </c>
      <c r="H416" s="126" t="str">
        <f>IF(E416&lt;&gt;"",SUMIFS(JPK_KR!AM:AM,JPK_KR!W:W,F416),"")</f>
        <v/>
      </c>
      <c r="K416" s="24" t="str">
        <f>IF(I416&lt;&gt;"",SUMIFS(JPK_KR!AL:AL,JPK_KR!W:W,J416),"")</f>
        <v/>
      </c>
      <c r="L416" s="126" t="str">
        <f>IF(I416&lt;&gt;"",SUMIFS(JPK_KR!AM:AM,JPK_KR!W:W,J416),"")</f>
        <v/>
      </c>
      <c r="P416" s="24" t="str">
        <f>IF(M416&lt;&gt;"",IF(O416="",SUMIFS(JPK_KR!AL:AL,JPK_KR!W:W,N416),SUMIFS(JPK_KR!BF:BF,JPK_KR!BE:BE,N416,JPK_KR!BG:BG,O416)),"")</f>
        <v/>
      </c>
      <c r="Q416" s="126" t="str">
        <f>IF(M416&lt;&gt;"",IF(O416="",SUMIFS(JPK_KR!AM:AM,JPK_KR!W:W,N416),SUMIFS(JPK_KR!BI:BI,JPK_KR!BH:BH,N416,JPK_KR!BJ:BJ,O416)),"")</f>
        <v/>
      </c>
      <c r="U416" s="24" t="str">
        <f>IF(R416&lt;&gt;"",SUMIFS(JPK_KR!AL:AL,JPK_KR!W:W,S416),"")</f>
        <v/>
      </c>
      <c r="V416" s="126" t="str">
        <f>IF(R416&lt;&gt;"",SUMIFS(JPK_KR!AM:AM,JPK_KR!W:W,S416),"")</f>
        <v/>
      </c>
    </row>
    <row r="417" spans="3:22" x14ac:dyDescent="0.3">
      <c r="C417" s="24" t="str">
        <f>IF(A417&lt;&gt;"",SUMIFS(JPK_KR!AL:AL,JPK_KR!W:W,B417),"")</f>
        <v/>
      </c>
      <c r="D417" s="126" t="str">
        <f>IF(A417&lt;&gt;"",SUMIFS(JPK_KR!AM:AM,JPK_KR!W:W,B417),"")</f>
        <v/>
      </c>
      <c r="G417" s="24" t="str">
        <f>IF(E417&lt;&gt;"",SUMIFS(JPK_KR!AL:AL,JPK_KR!W:W,F417),"")</f>
        <v/>
      </c>
      <c r="H417" s="126" t="str">
        <f>IF(E417&lt;&gt;"",SUMIFS(JPK_KR!AM:AM,JPK_KR!W:W,F417),"")</f>
        <v/>
      </c>
      <c r="K417" s="24" t="str">
        <f>IF(I417&lt;&gt;"",SUMIFS(JPK_KR!AL:AL,JPK_KR!W:W,J417),"")</f>
        <v/>
      </c>
      <c r="L417" s="126" t="str">
        <f>IF(I417&lt;&gt;"",SUMIFS(JPK_KR!AM:AM,JPK_KR!W:W,J417),"")</f>
        <v/>
      </c>
      <c r="P417" s="24" t="str">
        <f>IF(M417&lt;&gt;"",IF(O417="",SUMIFS(JPK_KR!AL:AL,JPK_KR!W:W,N417),SUMIFS(JPK_KR!BF:BF,JPK_KR!BE:BE,N417,JPK_KR!BG:BG,O417)),"")</f>
        <v/>
      </c>
      <c r="Q417" s="126" t="str">
        <f>IF(M417&lt;&gt;"",IF(O417="",SUMIFS(JPK_KR!AM:AM,JPK_KR!W:W,N417),SUMIFS(JPK_KR!BI:BI,JPK_KR!BH:BH,N417,JPK_KR!BJ:BJ,O417)),"")</f>
        <v/>
      </c>
      <c r="U417" s="24" t="str">
        <f>IF(R417&lt;&gt;"",SUMIFS(JPK_KR!AL:AL,JPK_KR!W:W,S417),"")</f>
        <v/>
      </c>
      <c r="V417" s="126" t="str">
        <f>IF(R417&lt;&gt;"",SUMIFS(JPK_KR!AM:AM,JPK_KR!W:W,S417),"")</f>
        <v/>
      </c>
    </row>
    <row r="418" spans="3:22" x14ac:dyDescent="0.3">
      <c r="C418" s="24" t="str">
        <f>IF(A418&lt;&gt;"",SUMIFS(JPK_KR!AL:AL,JPK_KR!W:W,B418),"")</f>
        <v/>
      </c>
      <c r="D418" s="126" t="str">
        <f>IF(A418&lt;&gt;"",SUMIFS(JPK_KR!AM:AM,JPK_KR!W:W,B418),"")</f>
        <v/>
      </c>
      <c r="G418" s="24" t="str">
        <f>IF(E418&lt;&gt;"",SUMIFS(JPK_KR!AL:AL,JPK_KR!W:W,F418),"")</f>
        <v/>
      </c>
      <c r="H418" s="126" t="str">
        <f>IF(E418&lt;&gt;"",SUMIFS(JPK_KR!AM:AM,JPK_KR!W:W,F418),"")</f>
        <v/>
      </c>
      <c r="K418" s="24" t="str">
        <f>IF(I418&lt;&gt;"",SUMIFS(JPK_KR!AL:AL,JPK_KR!W:W,J418),"")</f>
        <v/>
      </c>
      <c r="L418" s="126" t="str">
        <f>IF(I418&lt;&gt;"",SUMIFS(JPK_KR!AM:AM,JPK_KR!W:W,J418),"")</f>
        <v/>
      </c>
      <c r="P418" s="24" t="str">
        <f>IF(M418&lt;&gt;"",IF(O418="",SUMIFS(JPK_KR!AL:AL,JPK_KR!W:W,N418),SUMIFS(JPK_KR!BF:BF,JPK_KR!BE:BE,N418,JPK_KR!BG:BG,O418)),"")</f>
        <v/>
      </c>
      <c r="Q418" s="126" t="str">
        <f>IF(M418&lt;&gt;"",IF(O418="",SUMIFS(JPK_KR!AM:AM,JPK_KR!W:W,N418),SUMIFS(JPK_KR!BI:BI,JPK_KR!BH:BH,N418,JPK_KR!BJ:BJ,O418)),"")</f>
        <v/>
      </c>
      <c r="U418" s="24" t="str">
        <f>IF(R418&lt;&gt;"",SUMIFS(JPK_KR!AL:AL,JPK_KR!W:W,S418),"")</f>
        <v/>
      </c>
      <c r="V418" s="126" t="str">
        <f>IF(R418&lt;&gt;"",SUMIFS(JPK_KR!AM:AM,JPK_KR!W:W,S418),"")</f>
        <v/>
      </c>
    </row>
    <row r="419" spans="3:22" x14ac:dyDescent="0.3">
      <c r="C419" s="24" t="str">
        <f>IF(A419&lt;&gt;"",SUMIFS(JPK_KR!AL:AL,JPK_KR!W:W,B419),"")</f>
        <v/>
      </c>
      <c r="D419" s="126" t="str">
        <f>IF(A419&lt;&gt;"",SUMIFS(JPK_KR!AM:AM,JPK_KR!W:W,B419),"")</f>
        <v/>
      </c>
      <c r="G419" s="24" t="str">
        <f>IF(E419&lt;&gt;"",SUMIFS(JPK_KR!AL:AL,JPK_KR!W:W,F419),"")</f>
        <v/>
      </c>
      <c r="H419" s="126" t="str">
        <f>IF(E419&lt;&gt;"",SUMIFS(JPK_KR!AM:AM,JPK_KR!W:W,F419),"")</f>
        <v/>
      </c>
      <c r="K419" s="24" t="str">
        <f>IF(I419&lt;&gt;"",SUMIFS(JPK_KR!AL:AL,JPK_KR!W:W,J419),"")</f>
        <v/>
      </c>
      <c r="L419" s="126" t="str">
        <f>IF(I419&lt;&gt;"",SUMIFS(JPK_KR!AM:AM,JPK_KR!W:W,J419),"")</f>
        <v/>
      </c>
      <c r="P419" s="24" t="str">
        <f>IF(M419&lt;&gt;"",IF(O419="",SUMIFS(JPK_KR!AL:AL,JPK_KR!W:W,N419),SUMIFS(JPK_KR!BF:BF,JPK_KR!BE:BE,N419,JPK_KR!BG:BG,O419)),"")</f>
        <v/>
      </c>
      <c r="Q419" s="126" t="str">
        <f>IF(M419&lt;&gt;"",IF(O419="",SUMIFS(JPK_KR!AM:AM,JPK_KR!W:W,N419),SUMIFS(JPK_KR!BI:BI,JPK_KR!BH:BH,N419,JPK_KR!BJ:BJ,O419)),"")</f>
        <v/>
      </c>
      <c r="U419" s="24" t="str">
        <f>IF(R419&lt;&gt;"",SUMIFS(JPK_KR!AL:AL,JPK_KR!W:W,S419),"")</f>
        <v/>
      </c>
      <c r="V419" s="126" t="str">
        <f>IF(R419&lt;&gt;"",SUMIFS(JPK_KR!AM:AM,JPK_KR!W:W,S419),"")</f>
        <v/>
      </c>
    </row>
    <row r="420" spans="3:22" x14ac:dyDescent="0.3">
      <c r="C420" s="24" t="str">
        <f>IF(A420&lt;&gt;"",SUMIFS(JPK_KR!AL:AL,JPK_KR!W:W,B420),"")</f>
        <v/>
      </c>
      <c r="D420" s="126" t="str">
        <f>IF(A420&lt;&gt;"",SUMIFS(JPK_KR!AM:AM,JPK_KR!W:W,B420),"")</f>
        <v/>
      </c>
      <c r="G420" s="24" t="str">
        <f>IF(E420&lt;&gt;"",SUMIFS(JPK_KR!AL:AL,JPK_KR!W:W,F420),"")</f>
        <v/>
      </c>
      <c r="H420" s="126" t="str">
        <f>IF(E420&lt;&gt;"",SUMIFS(JPK_KR!AM:AM,JPK_KR!W:W,F420),"")</f>
        <v/>
      </c>
      <c r="K420" s="24" t="str">
        <f>IF(I420&lt;&gt;"",SUMIFS(JPK_KR!AL:AL,JPK_KR!W:W,J420),"")</f>
        <v/>
      </c>
      <c r="L420" s="126" t="str">
        <f>IF(I420&lt;&gt;"",SUMIFS(JPK_KR!AM:AM,JPK_KR!W:W,J420),"")</f>
        <v/>
      </c>
      <c r="P420" s="24" t="str">
        <f>IF(M420&lt;&gt;"",IF(O420="",SUMIFS(JPK_KR!AL:AL,JPK_KR!W:W,N420),SUMIFS(JPK_KR!BF:BF,JPK_KR!BE:BE,N420,JPK_KR!BG:BG,O420)),"")</f>
        <v/>
      </c>
      <c r="Q420" s="126" t="str">
        <f>IF(M420&lt;&gt;"",IF(O420="",SUMIFS(JPK_KR!AM:AM,JPK_KR!W:W,N420),SUMIFS(JPK_KR!BI:BI,JPK_KR!BH:BH,N420,JPK_KR!BJ:BJ,O420)),"")</f>
        <v/>
      </c>
      <c r="U420" s="24" t="str">
        <f>IF(R420&lt;&gt;"",SUMIFS(JPK_KR!AL:AL,JPK_KR!W:W,S420),"")</f>
        <v/>
      </c>
      <c r="V420" s="126" t="str">
        <f>IF(R420&lt;&gt;"",SUMIFS(JPK_KR!AM:AM,JPK_KR!W:W,S420),"")</f>
        <v/>
      </c>
    </row>
    <row r="421" spans="3:22" x14ac:dyDescent="0.3">
      <c r="C421" s="24" t="str">
        <f>IF(A421&lt;&gt;"",SUMIFS(JPK_KR!AL:AL,JPK_KR!W:W,B421),"")</f>
        <v/>
      </c>
      <c r="D421" s="126" t="str">
        <f>IF(A421&lt;&gt;"",SUMIFS(JPK_KR!AM:AM,JPK_KR!W:W,B421),"")</f>
        <v/>
      </c>
      <c r="G421" s="24" t="str">
        <f>IF(E421&lt;&gt;"",SUMIFS(JPK_KR!AL:AL,JPK_KR!W:W,F421),"")</f>
        <v/>
      </c>
      <c r="H421" s="126" t="str">
        <f>IF(E421&lt;&gt;"",SUMIFS(JPK_KR!AM:AM,JPK_KR!W:W,F421),"")</f>
        <v/>
      </c>
      <c r="K421" s="24" t="str">
        <f>IF(I421&lt;&gt;"",SUMIFS(JPK_KR!AL:AL,JPK_KR!W:W,J421),"")</f>
        <v/>
      </c>
      <c r="L421" s="126" t="str">
        <f>IF(I421&lt;&gt;"",SUMIFS(JPK_KR!AM:AM,JPK_KR!W:W,J421),"")</f>
        <v/>
      </c>
      <c r="P421" s="24" t="str">
        <f>IF(M421&lt;&gt;"",IF(O421="",SUMIFS(JPK_KR!AL:AL,JPK_KR!W:W,N421),SUMIFS(JPK_KR!BF:BF,JPK_KR!BE:BE,N421,JPK_KR!BG:BG,O421)),"")</f>
        <v/>
      </c>
      <c r="Q421" s="126" t="str">
        <f>IF(M421&lt;&gt;"",IF(O421="",SUMIFS(JPK_KR!AM:AM,JPK_KR!W:W,N421),SUMIFS(JPK_KR!BI:BI,JPK_KR!BH:BH,N421,JPK_KR!BJ:BJ,O421)),"")</f>
        <v/>
      </c>
      <c r="U421" s="24" t="str">
        <f>IF(R421&lt;&gt;"",SUMIFS(JPK_KR!AL:AL,JPK_KR!W:W,S421),"")</f>
        <v/>
      </c>
      <c r="V421" s="126" t="str">
        <f>IF(R421&lt;&gt;"",SUMIFS(JPK_KR!AM:AM,JPK_KR!W:W,S421),"")</f>
        <v/>
      </c>
    </row>
    <row r="422" spans="3:22" x14ac:dyDescent="0.3">
      <c r="C422" s="24" t="str">
        <f>IF(A422&lt;&gt;"",SUMIFS(JPK_KR!AL:AL,JPK_KR!W:W,B422),"")</f>
        <v/>
      </c>
      <c r="D422" s="126" t="str">
        <f>IF(A422&lt;&gt;"",SUMIFS(JPK_KR!AM:AM,JPK_KR!W:W,B422),"")</f>
        <v/>
      </c>
      <c r="G422" s="24" t="str">
        <f>IF(E422&lt;&gt;"",SUMIFS(JPK_KR!AL:AL,JPK_KR!W:W,F422),"")</f>
        <v/>
      </c>
      <c r="H422" s="126" t="str">
        <f>IF(E422&lt;&gt;"",SUMIFS(JPK_KR!AM:AM,JPK_KR!W:W,F422),"")</f>
        <v/>
      </c>
      <c r="K422" s="24" t="str">
        <f>IF(I422&lt;&gt;"",SUMIFS(JPK_KR!AL:AL,JPK_KR!W:W,J422),"")</f>
        <v/>
      </c>
      <c r="L422" s="126" t="str">
        <f>IF(I422&lt;&gt;"",SUMIFS(JPK_KR!AM:AM,JPK_KR!W:W,J422),"")</f>
        <v/>
      </c>
      <c r="P422" s="24" t="str">
        <f>IF(M422&lt;&gt;"",IF(O422="",SUMIFS(JPK_KR!AL:AL,JPK_KR!W:W,N422),SUMIFS(JPK_KR!BF:BF,JPK_KR!BE:BE,N422,JPK_KR!BG:BG,O422)),"")</f>
        <v/>
      </c>
      <c r="Q422" s="126" t="str">
        <f>IF(M422&lt;&gt;"",IF(O422="",SUMIFS(JPK_KR!AM:AM,JPK_KR!W:W,N422),SUMIFS(JPK_KR!BI:BI,JPK_KR!BH:BH,N422,JPK_KR!BJ:BJ,O422)),"")</f>
        <v/>
      </c>
      <c r="U422" s="24" t="str">
        <f>IF(R422&lt;&gt;"",SUMIFS(JPK_KR!AL:AL,JPK_KR!W:W,S422),"")</f>
        <v/>
      </c>
      <c r="V422" s="126" t="str">
        <f>IF(R422&lt;&gt;"",SUMIFS(JPK_KR!AM:AM,JPK_KR!W:W,S422),"")</f>
        <v/>
      </c>
    </row>
    <row r="423" spans="3:22" x14ac:dyDescent="0.3">
      <c r="C423" s="24" t="str">
        <f>IF(A423&lt;&gt;"",SUMIFS(JPK_KR!AL:AL,JPK_KR!W:W,B423),"")</f>
        <v/>
      </c>
      <c r="D423" s="126" t="str">
        <f>IF(A423&lt;&gt;"",SUMIFS(JPK_KR!AM:AM,JPK_KR!W:W,B423),"")</f>
        <v/>
      </c>
      <c r="G423" s="24" t="str">
        <f>IF(E423&lt;&gt;"",SUMIFS(JPK_KR!AL:AL,JPK_KR!W:W,F423),"")</f>
        <v/>
      </c>
      <c r="H423" s="126" t="str">
        <f>IF(E423&lt;&gt;"",SUMIFS(JPK_KR!AM:AM,JPK_KR!W:W,F423),"")</f>
        <v/>
      </c>
      <c r="K423" s="24" t="str">
        <f>IF(I423&lt;&gt;"",SUMIFS(JPK_KR!AL:AL,JPK_KR!W:W,J423),"")</f>
        <v/>
      </c>
      <c r="L423" s="126" t="str">
        <f>IF(I423&lt;&gt;"",SUMIFS(JPK_KR!AM:AM,JPK_KR!W:W,J423),"")</f>
        <v/>
      </c>
      <c r="P423" s="24" t="str">
        <f>IF(M423&lt;&gt;"",IF(O423="",SUMIFS(JPK_KR!AL:AL,JPK_KR!W:W,N423),SUMIFS(JPK_KR!BF:BF,JPK_KR!BE:BE,N423,JPK_KR!BG:BG,O423)),"")</f>
        <v/>
      </c>
      <c r="Q423" s="126" t="str">
        <f>IF(M423&lt;&gt;"",IF(O423="",SUMIFS(JPK_KR!AM:AM,JPK_KR!W:W,N423),SUMIFS(JPK_KR!BI:BI,JPK_KR!BH:BH,N423,JPK_KR!BJ:BJ,O423)),"")</f>
        <v/>
      </c>
      <c r="U423" s="24" t="str">
        <f>IF(R423&lt;&gt;"",SUMIFS(JPK_KR!AL:AL,JPK_KR!W:W,S423),"")</f>
        <v/>
      </c>
      <c r="V423" s="126" t="str">
        <f>IF(R423&lt;&gt;"",SUMIFS(JPK_KR!AM:AM,JPK_KR!W:W,S423),"")</f>
        <v/>
      </c>
    </row>
    <row r="424" spans="3:22" x14ac:dyDescent="0.3">
      <c r="C424" s="24" t="str">
        <f>IF(A424&lt;&gt;"",SUMIFS(JPK_KR!AL:AL,JPK_KR!W:W,B424),"")</f>
        <v/>
      </c>
      <c r="D424" s="126" t="str">
        <f>IF(A424&lt;&gt;"",SUMIFS(JPK_KR!AM:AM,JPK_KR!W:W,B424),"")</f>
        <v/>
      </c>
      <c r="G424" s="24" t="str">
        <f>IF(E424&lt;&gt;"",SUMIFS(JPK_KR!AL:AL,JPK_KR!W:W,F424),"")</f>
        <v/>
      </c>
      <c r="H424" s="126" t="str">
        <f>IF(E424&lt;&gt;"",SUMIFS(JPK_KR!AM:AM,JPK_KR!W:W,F424),"")</f>
        <v/>
      </c>
      <c r="K424" s="24" t="str">
        <f>IF(I424&lt;&gt;"",SUMIFS(JPK_KR!AL:AL,JPK_KR!W:W,J424),"")</f>
        <v/>
      </c>
      <c r="L424" s="126" t="str">
        <f>IF(I424&lt;&gt;"",SUMIFS(JPK_KR!AM:AM,JPK_KR!W:W,J424),"")</f>
        <v/>
      </c>
      <c r="P424" s="24" t="str">
        <f>IF(M424&lt;&gt;"",IF(O424="",SUMIFS(JPK_KR!AL:AL,JPK_KR!W:W,N424),SUMIFS(JPK_KR!BF:BF,JPK_KR!BE:BE,N424,JPK_KR!BG:BG,O424)),"")</f>
        <v/>
      </c>
      <c r="Q424" s="126" t="str">
        <f>IF(M424&lt;&gt;"",IF(O424="",SUMIFS(JPK_KR!AM:AM,JPK_KR!W:W,N424),SUMIFS(JPK_KR!BI:BI,JPK_KR!BH:BH,N424,JPK_KR!BJ:BJ,O424)),"")</f>
        <v/>
      </c>
      <c r="U424" s="24" t="str">
        <f>IF(R424&lt;&gt;"",SUMIFS(JPK_KR!AL:AL,JPK_KR!W:W,S424),"")</f>
        <v/>
      </c>
      <c r="V424" s="126" t="str">
        <f>IF(R424&lt;&gt;"",SUMIFS(JPK_KR!AM:AM,JPK_KR!W:W,S424),"")</f>
        <v/>
      </c>
    </row>
    <row r="425" spans="3:22" x14ac:dyDescent="0.3">
      <c r="C425" s="24" t="str">
        <f>IF(A425&lt;&gt;"",SUMIFS(JPK_KR!AL:AL,JPK_KR!W:W,B425),"")</f>
        <v/>
      </c>
      <c r="D425" s="126" t="str">
        <f>IF(A425&lt;&gt;"",SUMIFS(JPK_KR!AM:AM,JPK_KR!W:W,B425),"")</f>
        <v/>
      </c>
      <c r="G425" s="24" t="str">
        <f>IF(E425&lt;&gt;"",SUMIFS(JPK_KR!AL:AL,JPK_KR!W:W,F425),"")</f>
        <v/>
      </c>
      <c r="H425" s="126" t="str">
        <f>IF(E425&lt;&gt;"",SUMIFS(JPK_KR!AM:AM,JPK_KR!W:W,F425),"")</f>
        <v/>
      </c>
      <c r="K425" s="24" t="str">
        <f>IF(I425&lt;&gt;"",SUMIFS(JPK_KR!AL:AL,JPK_KR!W:W,J425),"")</f>
        <v/>
      </c>
      <c r="L425" s="126" t="str">
        <f>IF(I425&lt;&gt;"",SUMIFS(JPK_KR!AM:AM,JPK_KR!W:W,J425),"")</f>
        <v/>
      </c>
      <c r="P425" s="24" t="str">
        <f>IF(M425&lt;&gt;"",IF(O425="",SUMIFS(JPK_KR!AL:AL,JPK_KR!W:W,N425),SUMIFS(JPK_KR!BF:BF,JPK_KR!BE:BE,N425,JPK_KR!BG:BG,O425)),"")</f>
        <v/>
      </c>
      <c r="Q425" s="126" t="str">
        <f>IF(M425&lt;&gt;"",IF(O425="",SUMIFS(JPK_KR!AM:AM,JPK_KR!W:W,N425),SUMIFS(JPK_KR!BI:BI,JPK_KR!BH:BH,N425,JPK_KR!BJ:BJ,O425)),"")</f>
        <v/>
      </c>
      <c r="U425" s="24" t="str">
        <f>IF(R425&lt;&gt;"",SUMIFS(JPK_KR!AL:AL,JPK_KR!W:W,S425),"")</f>
        <v/>
      </c>
      <c r="V425" s="126" t="str">
        <f>IF(R425&lt;&gt;"",SUMIFS(JPK_KR!AM:AM,JPK_KR!W:W,S425),"")</f>
        <v/>
      </c>
    </row>
    <row r="426" spans="3:22" x14ac:dyDescent="0.3">
      <c r="C426" s="24" t="str">
        <f>IF(A426&lt;&gt;"",SUMIFS(JPK_KR!AL:AL,JPK_KR!W:W,B426),"")</f>
        <v/>
      </c>
      <c r="D426" s="126" t="str">
        <f>IF(A426&lt;&gt;"",SUMIFS(JPK_KR!AM:AM,JPK_KR!W:W,B426),"")</f>
        <v/>
      </c>
      <c r="G426" s="24" t="str">
        <f>IF(E426&lt;&gt;"",SUMIFS(JPK_KR!AL:AL,JPK_KR!W:W,F426),"")</f>
        <v/>
      </c>
      <c r="H426" s="126" t="str">
        <f>IF(E426&lt;&gt;"",SUMIFS(JPK_KR!AM:AM,JPK_KR!W:W,F426),"")</f>
        <v/>
      </c>
      <c r="K426" s="24" t="str">
        <f>IF(I426&lt;&gt;"",SUMIFS(JPK_KR!AL:AL,JPK_KR!W:W,J426),"")</f>
        <v/>
      </c>
      <c r="L426" s="126" t="str">
        <f>IF(I426&lt;&gt;"",SUMIFS(JPK_KR!AM:AM,JPK_KR!W:W,J426),"")</f>
        <v/>
      </c>
      <c r="P426" s="24" t="str">
        <f>IF(M426&lt;&gt;"",IF(O426="",SUMIFS(JPK_KR!AL:AL,JPK_KR!W:W,N426),SUMIFS(JPK_KR!BF:BF,JPK_KR!BE:BE,N426,JPK_KR!BG:BG,O426)),"")</f>
        <v/>
      </c>
      <c r="Q426" s="126" t="str">
        <f>IF(M426&lt;&gt;"",IF(O426="",SUMIFS(JPK_KR!AM:AM,JPK_KR!W:W,N426),SUMIFS(JPK_KR!BI:BI,JPK_KR!BH:BH,N426,JPK_KR!BJ:BJ,O426)),"")</f>
        <v/>
      </c>
      <c r="U426" s="24" t="str">
        <f>IF(R426&lt;&gt;"",SUMIFS(JPK_KR!AL:AL,JPK_KR!W:W,S426),"")</f>
        <v/>
      </c>
      <c r="V426" s="126" t="str">
        <f>IF(R426&lt;&gt;"",SUMIFS(JPK_KR!AM:AM,JPK_KR!W:W,S426),"")</f>
        <v/>
      </c>
    </row>
    <row r="427" spans="3:22" x14ac:dyDescent="0.3">
      <c r="C427" s="24" t="str">
        <f>IF(A427&lt;&gt;"",SUMIFS(JPK_KR!AL:AL,JPK_KR!W:W,B427),"")</f>
        <v/>
      </c>
      <c r="D427" s="126" t="str">
        <f>IF(A427&lt;&gt;"",SUMIFS(JPK_KR!AM:AM,JPK_KR!W:W,B427),"")</f>
        <v/>
      </c>
      <c r="G427" s="24" t="str">
        <f>IF(E427&lt;&gt;"",SUMIFS(JPK_KR!AL:AL,JPK_KR!W:W,F427),"")</f>
        <v/>
      </c>
      <c r="H427" s="126" t="str">
        <f>IF(E427&lt;&gt;"",SUMIFS(JPK_KR!AM:AM,JPK_KR!W:W,F427),"")</f>
        <v/>
      </c>
      <c r="K427" s="24" t="str">
        <f>IF(I427&lt;&gt;"",SUMIFS(JPK_KR!AL:AL,JPK_KR!W:W,J427),"")</f>
        <v/>
      </c>
      <c r="L427" s="126" t="str">
        <f>IF(I427&lt;&gt;"",SUMIFS(JPK_KR!AM:AM,JPK_KR!W:W,J427),"")</f>
        <v/>
      </c>
      <c r="P427" s="24" t="str">
        <f>IF(M427&lt;&gt;"",IF(O427="",SUMIFS(JPK_KR!AL:AL,JPK_KR!W:W,N427),SUMIFS(JPK_KR!BF:BF,JPK_KR!BE:BE,N427,JPK_KR!BG:BG,O427)),"")</f>
        <v/>
      </c>
      <c r="Q427" s="126" t="str">
        <f>IF(M427&lt;&gt;"",IF(O427="",SUMIFS(JPK_KR!AM:AM,JPK_KR!W:W,N427),SUMIFS(JPK_KR!BI:BI,JPK_KR!BH:BH,N427,JPK_KR!BJ:BJ,O427)),"")</f>
        <v/>
      </c>
      <c r="U427" s="24" t="str">
        <f>IF(R427&lt;&gt;"",SUMIFS(JPK_KR!AL:AL,JPK_KR!W:W,S427),"")</f>
        <v/>
      </c>
      <c r="V427" s="126" t="str">
        <f>IF(R427&lt;&gt;"",SUMIFS(JPK_KR!AM:AM,JPK_KR!W:W,S427),"")</f>
        <v/>
      </c>
    </row>
    <row r="428" spans="3:22" x14ac:dyDescent="0.3">
      <c r="C428" s="24" t="str">
        <f>IF(A428&lt;&gt;"",SUMIFS(JPK_KR!AL:AL,JPK_KR!W:W,B428),"")</f>
        <v/>
      </c>
      <c r="D428" s="126" t="str">
        <f>IF(A428&lt;&gt;"",SUMIFS(JPK_KR!AM:AM,JPK_KR!W:W,B428),"")</f>
        <v/>
      </c>
      <c r="G428" s="24" t="str">
        <f>IF(E428&lt;&gt;"",SUMIFS(JPK_KR!AL:AL,JPK_KR!W:W,F428),"")</f>
        <v/>
      </c>
      <c r="H428" s="126" t="str">
        <f>IF(E428&lt;&gt;"",SUMIFS(JPK_KR!AM:AM,JPK_KR!W:W,F428),"")</f>
        <v/>
      </c>
      <c r="K428" s="24" t="str">
        <f>IF(I428&lt;&gt;"",SUMIFS(JPK_KR!AL:AL,JPK_KR!W:W,J428),"")</f>
        <v/>
      </c>
      <c r="L428" s="126" t="str">
        <f>IF(I428&lt;&gt;"",SUMIFS(JPK_KR!AM:AM,JPK_KR!W:W,J428),"")</f>
        <v/>
      </c>
      <c r="P428" s="24" t="str">
        <f>IF(M428&lt;&gt;"",IF(O428="",SUMIFS(JPK_KR!AL:AL,JPK_KR!W:W,N428),SUMIFS(JPK_KR!BF:BF,JPK_KR!BE:BE,N428,JPK_KR!BG:BG,O428)),"")</f>
        <v/>
      </c>
      <c r="Q428" s="126" t="str">
        <f>IF(M428&lt;&gt;"",IF(O428="",SUMIFS(JPK_KR!AM:AM,JPK_KR!W:W,N428),SUMIFS(JPK_KR!BI:BI,JPK_KR!BH:BH,N428,JPK_KR!BJ:BJ,O428)),"")</f>
        <v/>
      </c>
      <c r="U428" s="24" t="str">
        <f>IF(R428&lt;&gt;"",SUMIFS(JPK_KR!AL:AL,JPK_KR!W:W,S428),"")</f>
        <v/>
      </c>
      <c r="V428" s="126" t="str">
        <f>IF(R428&lt;&gt;"",SUMIFS(JPK_KR!AM:AM,JPK_KR!W:W,S428),"")</f>
        <v/>
      </c>
    </row>
    <row r="429" spans="3:22" x14ac:dyDescent="0.3">
      <c r="C429" s="24" t="str">
        <f>IF(A429&lt;&gt;"",SUMIFS(JPK_KR!AL:AL,JPK_KR!W:W,B429),"")</f>
        <v/>
      </c>
      <c r="D429" s="126" t="str">
        <f>IF(A429&lt;&gt;"",SUMIFS(JPK_KR!AM:AM,JPK_KR!W:W,B429),"")</f>
        <v/>
      </c>
      <c r="G429" s="24" t="str">
        <f>IF(E429&lt;&gt;"",SUMIFS(JPK_KR!AL:AL,JPK_KR!W:W,F429),"")</f>
        <v/>
      </c>
      <c r="H429" s="126" t="str">
        <f>IF(E429&lt;&gt;"",SUMIFS(JPK_KR!AM:AM,JPK_KR!W:W,F429),"")</f>
        <v/>
      </c>
      <c r="K429" s="24" t="str">
        <f>IF(I429&lt;&gt;"",SUMIFS(JPK_KR!AL:AL,JPK_KR!W:W,J429),"")</f>
        <v/>
      </c>
      <c r="L429" s="126" t="str">
        <f>IF(I429&lt;&gt;"",SUMIFS(JPK_KR!AM:AM,JPK_KR!W:W,J429),"")</f>
        <v/>
      </c>
      <c r="P429" s="24" t="str">
        <f>IF(M429&lt;&gt;"",IF(O429="",SUMIFS(JPK_KR!AL:AL,JPK_KR!W:W,N429),SUMIFS(JPK_KR!BF:BF,JPK_KR!BE:BE,N429,JPK_KR!BG:BG,O429)),"")</f>
        <v/>
      </c>
      <c r="Q429" s="126" t="str">
        <f>IF(M429&lt;&gt;"",IF(O429="",SUMIFS(JPK_KR!AM:AM,JPK_KR!W:W,N429),SUMIFS(JPK_KR!BI:BI,JPK_KR!BH:BH,N429,JPK_KR!BJ:BJ,O429)),"")</f>
        <v/>
      </c>
      <c r="U429" s="24" t="str">
        <f>IF(R429&lt;&gt;"",SUMIFS(JPK_KR!AL:AL,JPK_KR!W:W,S429),"")</f>
        <v/>
      </c>
      <c r="V429" s="126" t="str">
        <f>IF(R429&lt;&gt;"",SUMIFS(JPK_KR!AM:AM,JPK_KR!W:W,S429),"")</f>
        <v/>
      </c>
    </row>
    <row r="430" spans="3:22" x14ac:dyDescent="0.3">
      <c r="C430" s="24" t="str">
        <f>IF(A430&lt;&gt;"",SUMIFS(JPK_KR!AL:AL,JPK_KR!W:W,B430),"")</f>
        <v/>
      </c>
      <c r="D430" s="126" t="str">
        <f>IF(A430&lt;&gt;"",SUMIFS(JPK_KR!AM:AM,JPK_KR!W:W,B430),"")</f>
        <v/>
      </c>
      <c r="G430" s="24" t="str">
        <f>IF(E430&lt;&gt;"",SUMIFS(JPK_KR!AL:AL,JPK_KR!W:W,F430),"")</f>
        <v/>
      </c>
      <c r="H430" s="126" t="str">
        <f>IF(E430&lt;&gt;"",SUMIFS(JPK_KR!AM:AM,JPK_KR!W:W,F430),"")</f>
        <v/>
      </c>
      <c r="K430" s="24" t="str">
        <f>IF(I430&lt;&gt;"",SUMIFS(JPK_KR!AL:AL,JPK_KR!W:W,J430),"")</f>
        <v/>
      </c>
      <c r="L430" s="126" t="str">
        <f>IF(I430&lt;&gt;"",SUMIFS(JPK_KR!AM:AM,JPK_KR!W:W,J430),"")</f>
        <v/>
      </c>
      <c r="P430" s="24" t="str">
        <f>IF(M430&lt;&gt;"",IF(O430="",SUMIFS(JPK_KR!AL:AL,JPK_KR!W:W,N430),SUMIFS(JPK_KR!BF:BF,JPK_KR!BE:BE,N430,JPK_KR!BG:BG,O430)),"")</f>
        <v/>
      </c>
      <c r="Q430" s="126" t="str">
        <f>IF(M430&lt;&gt;"",IF(O430="",SUMIFS(JPK_KR!AM:AM,JPK_KR!W:W,N430),SUMIFS(JPK_KR!BI:BI,JPK_KR!BH:BH,N430,JPK_KR!BJ:BJ,O430)),"")</f>
        <v/>
      </c>
      <c r="U430" s="24" t="str">
        <f>IF(R430&lt;&gt;"",SUMIFS(JPK_KR!AL:AL,JPK_KR!W:W,S430),"")</f>
        <v/>
      </c>
      <c r="V430" s="126" t="str">
        <f>IF(R430&lt;&gt;"",SUMIFS(JPK_KR!AM:AM,JPK_KR!W:W,S430),"")</f>
        <v/>
      </c>
    </row>
    <row r="431" spans="3:22" x14ac:dyDescent="0.3">
      <c r="C431" s="24" t="str">
        <f>IF(A431&lt;&gt;"",SUMIFS(JPK_KR!AL:AL,JPK_KR!W:W,B431),"")</f>
        <v/>
      </c>
      <c r="D431" s="126" t="str">
        <f>IF(A431&lt;&gt;"",SUMIFS(JPK_KR!AM:AM,JPK_KR!W:W,B431),"")</f>
        <v/>
      </c>
      <c r="G431" s="24" t="str">
        <f>IF(E431&lt;&gt;"",SUMIFS(JPK_KR!AL:AL,JPK_KR!W:W,F431),"")</f>
        <v/>
      </c>
      <c r="H431" s="126" t="str">
        <f>IF(E431&lt;&gt;"",SUMIFS(JPK_KR!AM:AM,JPK_KR!W:W,F431),"")</f>
        <v/>
      </c>
      <c r="K431" s="24" t="str">
        <f>IF(I431&lt;&gt;"",SUMIFS(JPK_KR!AL:AL,JPK_KR!W:W,J431),"")</f>
        <v/>
      </c>
      <c r="L431" s="126" t="str">
        <f>IF(I431&lt;&gt;"",SUMIFS(JPK_KR!AM:AM,JPK_KR!W:W,J431),"")</f>
        <v/>
      </c>
      <c r="P431" s="24" t="str">
        <f>IF(M431&lt;&gt;"",IF(O431="",SUMIFS(JPK_KR!AL:AL,JPK_KR!W:W,N431),SUMIFS(JPK_KR!BF:BF,JPK_KR!BE:BE,N431,JPK_KR!BG:BG,O431)),"")</f>
        <v/>
      </c>
      <c r="Q431" s="126" t="str">
        <f>IF(M431&lt;&gt;"",IF(O431="",SUMIFS(JPK_KR!AM:AM,JPK_KR!W:W,N431),SUMIFS(JPK_KR!BI:BI,JPK_KR!BH:BH,N431,JPK_KR!BJ:BJ,O431)),"")</f>
        <v/>
      </c>
      <c r="U431" s="24" t="str">
        <f>IF(R431&lt;&gt;"",SUMIFS(JPK_KR!AL:AL,JPK_KR!W:W,S431),"")</f>
        <v/>
      </c>
      <c r="V431" s="126" t="str">
        <f>IF(R431&lt;&gt;"",SUMIFS(JPK_KR!AM:AM,JPK_KR!W:W,S431),"")</f>
        <v/>
      </c>
    </row>
    <row r="432" spans="3:22" x14ac:dyDescent="0.3">
      <c r="C432" s="24" t="str">
        <f>IF(A432&lt;&gt;"",SUMIFS(JPK_KR!AL:AL,JPK_KR!W:W,B432),"")</f>
        <v/>
      </c>
      <c r="D432" s="126" t="str">
        <f>IF(A432&lt;&gt;"",SUMIFS(JPK_KR!AM:AM,JPK_KR!W:W,B432),"")</f>
        <v/>
      </c>
      <c r="G432" s="24" t="str">
        <f>IF(E432&lt;&gt;"",SUMIFS(JPK_KR!AL:AL,JPK_KR!W:W,F432),"")</f>
        <v/>
      </c>
      <c r="H432" s="126" t="str">
        <f>IF(E432&lt;&gt;"",SUMIFS(JPK_KR!AM:AM,JPK_KR!W:W,F432),"")</f>
        <v/>
      </c>
      <c r="K432" s="24" t="str">
        <f>IF(I432&lt;&gt;"",SUMIFS(JPK_KR!AL:AL,JPK_KR!W:W,J432),"")</f>
        <v/>
      </c>
      <c r="L432" s="126" t="str">
        <f>IF(I432&lt;&gt;"",SUMIFS(JPK_KR!AM:AM,JPK_KR!W:W,J432),"")</f>
        <v/>
      </c>
      <c r="P432" s="24" t="str">
        <f>IF(M432&lt;&gt;"",IF(O432="",SUMIFS(JPK_KR!AL:AL,JPK_KR!W:W,N432),SUMIFS(JPK_KR!BF:BF,JPK_KR!BE:BE,N432,JPK_KR!BG:BG,O432)),"")</f>
        <v/>
      </c>
      <c r="Q432" s="126" t="str">
        <f>IF(M432&lt;&gt;"",IF(O432="",SUMIFS(JPK_KR!AM:AM,JPK_KR!W:W,N432),SUMIFS(JPK_KR!BI:BI,JPK_KR!BH:BH,N432,JPK_KR!BJ:BJ,O432)),"")</f>
        <v/>
      </c>
      <c r="U432" s="24" t="str">
        <f>IF(R432&lt;&gt;"",SUMIFS(JPK_KR!AL:AL,JPK_KR!W:W,S432),"")</f>
        <v/>
      </c>
      <c r="V432" s="126" t="str">
        <f>IF(R432&lt;&gt;"",SUMIFS(JPK_KR!AM:AM,JPK_KR!W:W,S432),"")</f>
        <v/>
      </c>
    </row>
    <row r="433" spans="3:22" x14ac:dyDescent="0.3">
      <c r="C433" s="24" t="str">
        <f>IF(A433&lt;&gt;"",SUMIFS(JPK_KR!AL:AL,JPK_KR!W:W,B433),"")</f>
        <v/>
      </c>
      <c r="D433" s="126" t="str">
        <f>IF(A433&lt;&gt;"",SUMIFS(JPK_KR!AM:AM,JPK_KR!W:W,B433),"")</f>
        <v/>
      </c>
      <c r="G433" s="24" t="str">
        <f>IF(E433&lt;&gt;"",SUMIFS(JPK_KR!AL:AL,JPK_KR!W:W,F433),"")</f>
        <v/>
      </c>
      <c r="H433" s="126" t="str">
        <f>IF(E433&lt;&gt;"",SUMIFS(JPK_KR!AM:AM,JPK_KR!W:W,F433),"")</f>
        <v/>
      </c>
      <c r="K433" s="24" t="str">
        <f>IF(I433&lt;&gt;"",SUMIFS(JPK_KR!AL:AL,JPK_KR!W:W,J433),"")</f>
        <v/>
      </c>
      <c r="L433" s="126" t="str">
        <f>IF(I433&lt;&gt;"",SUMIFS(JPK_KR!AM:AM,JPK_KR!W:W,J433),"")</f>
        <v/>
      </c>
      <c r="P433" s="24" t="str">
        <f>IF(M433&lt;&gt;"",IF(O433="",SUMIFS(JPK_KR!AL:AL,JPK_KR!W:W,N433),SUMIFS(JPK_KR!BF:BF,JPK_KR!BE:BE,N433,JPK_KR!BG:BG,O433)),"")</f>
        <v/>
      </c>
      <c r="Q433" s="126" t="str">
        <f>IF(M433&lt;&gt;"",IF(O433="",SUMIFS(JPK_KR!AM:AM,JPK_KR!W:W,N433),SUMIFS(JPK_KR!BI:BI,JPK_KR!BH:BH,N433,JPK_KR!BJ:BJ,O433)),"")</f>
        <v/>
      </c>
      <c r="U433" s="24" t="str">
        <f>IF(R433&lt;&gt;"",SUMIFS(JPK_KR!AL:AL,JPK_KR!W:W,S433),"")</f>
        <v/>
      </c>
      <c r="V433" s="126" t="str">
        <f>IF(R433&lt;&gt;"",SUMIFS(JPK_KR!AM:AM,JPK_KR!W:W,S433),"")</f>
        <v/>
      </c>
    </row>
    <row r="434" spans="3:22" x14ac:dyDescent="0.3">
      <c r="C434" s="24" t="str">
        <f>IF(A434&lt;&gt;"",SUMIFS(JPK_KR!AL:AL,JPK_KR!W:W,B434),"")</f>
        <v/>
      </c>
      <c r="D434" s="126" t="str">
        <f>IF(A434&lt;&gt;"",SUMIFS(JPK_KR!AM:AM,JPK_KR!W:W,B434),"")</f>
        <v/>
      </c>
      <c r="G434" s="24" t="str">
        <f>IF(E434&lt;&gt;"",SUMIFS(JPK_KR!AL:AL,JPK_KR!W:W,F434),"")</f>
        <v/>
      </c>
      <c r="H434" s="126" t="str">
        <f>IF(E434&lt;&gt;"",SUMIFS(JPK_KR!AM:AM,JPK_KR!W:W,F434),"")</f>
        <v/>
      </c>
      <c r="K434" s="24" t="str">
        <f>IF(I434&lt;&gt;"",SUMIFS(JPK_KR!AL:AL,JPK_KR!W:W,J434),"")</f>
        <v/>
      </c>
      <c r="L434" s="126" t="str">
        <f>IF(I434&lt;&gt;"",SUMIFS(JPK_KR!AM:AM,JPK_KR!W:W,J434),"")</f>
        <v/>
      </c>
      <c r="P434" s="24" t="str">
        <f>IF(M434&lt;&gt;"",IF(O434="",SUMIFS(JPK_KR!AL:AL,JPK_KR!W:W,N434),SUMIFS(JPK_KR!BF:BF,JPK_KR!BE:BE,N434,JPK_KR!BG:BG,O434)),"")</f>
        <v/>
      </c>
      <c r="Q434" s="126" t="str">
        <f>IF(M434&lt;&gt;"",IF(O434="",SUMIFS(JPK_KR!AM:AM,JPK_KR!W:W,N434),SUMIFS(JPK_KR!BI:BI,JPK_KR!BH:BH,N434,JPK_KR!BJ:BJ,O434)),"")</f>
        <v/>
      </c>
      <c r="U434" s="24" t="str">
        <f>IF(R434&lt;&gt;"",SUMIFS(JPK_KR!AL:AL,JPK_KR!W:W,S434),"")</f>
        <v/>
      </c>
      <c r="V434" s="126" t="str">
        <f>IF(R434&lt;&gt;"",SUMIFS(JPK_KR!AM:AM,JPK_KR!W:W,S434),"")</f>
        <v/>
      </c>
    </row>
    <row r="435" spans="3:22" x14ac:dyDescent="0.3">
      <c r="C435" s="24" t="str">
        <f>IF(A435&lt;&gt;"",SUMIFS(JPK_KR!AL:AL,JPK_KR!W:W,B435),"")</f>
        <v/>
      </c>
      <c r="D435" s="126" t="str">
        <f>IF(A435&lt;&gt;"",SUMIFS(JPK_KR!AM:AM,JPK_KR!W:W,B435),"")</f>
        <v/>
      </c>
      <c r="G435" s="24" t="str">
        <f>IF(E435&lt;&gt;"",SUMIFS(JPK_KR!AL:AL,JPK_KR!W:W,F435),"")</f>
        <v/>
      </c>
      <c r="H435" s="126" t="str">
        <f>IF(E435&lt;&gt;"",SUMIFS(JPK_KR!AM:AM,JPK_KR!W:W,F435),"")</f>
        <v/>
      </c>
      <c r="K435" s="24" t="str">
        <f>IF(I435&lt;&gt;"",SUMIFS(JPK_KR!AL:AL,JPK_KR!W:W,J435),"")</f>
        <v/>
      </c>
      <c r="L435" s="126" t="str">
        <f>IF(I435&lt;&gt;"",SUMIFS(JPK_KR!AM:AM,JPK_KR!W:W,J435),"")</f>
        <v/>
      </c>
      <c r="P435" s="24" t="str">
        <f>IF(M435&lt;&gt;"",IF(O435="",SUMIFS(JPK_KR!AL:AL,JPK_KR!W:W,N435),SUMIFS(JPK_KR!BF:BF,JPK_KR!BE:BE,N435,JPK_KR!BG:BG,O435)),"")</f>
        <v/>
      </c>
      <c r="Q435" s="126" t="str">
        <f>IF(M435&lt;&gt;"",IF(O435="",SUMIFS(JPK_KR!AM:AM,JPK_KR!W:W,N435),SUMIFS(JPK_KR!BI:BI,JPK_KR!BH:BH,N435,JPK_KR!BJ:BJ,O435)),"")</f>
        <v/>
      </c>
      <c r="U435" s="24" t="str">
        <f>IF(R435&lt;&gt;"",SUMIFS(JPK_KR!AL:AL,JPK_KR!W:W,S435),"")</f>
        <v/>
      </c>
      <c r="V435" s="126" t="str">
        <f>IF(R435&lt;&gt;"",SUMIFS(JPK_KR!AM:AM,JPK_KR!W:W,S435),"")</f>
        <v/>
      </c>
    </row>
    <row r="436" spans="3:22" x14ac:dyDescent="0.3">
      <c r="C436" s="24" t="str">
        <f>IF(A436&lt;&gt;"",SUMIFS(JPK_KR!AL:AL,JPK_KR!W:W,B436),"")</f>
        <v/>
      </c>
      <c r="D436" s="126" t="str">
        <f>IF(A436&lt;&gt;"",SUMIFS(JPK_KR!AM:AM,JPK_KR!W:W,B436),"")</f>
        <v/>
      </c>
      <c r="G436" s="24" t="str">
        <f>IF(E436&lt;&gt;"",SUMIFS(JPK_KR!AL:AL,JPK_KR!W:W,F436),"")</f>
        <v/>
      </c>
      <c r="H436" s="126" t="str">
        <f>IF(E436&lt;&gt;"",SUMIFS(JPK_KR!AM:AM,JPK_KR!W:W,F436),"")</f>
        <v/>
      </c>
      <c r="K436" s="24" t="str">
        <f>IF(I436&lt;&gt;"",SUMIFS(JPK_KR!AL:AL,JPK_KR!W:W,J436),"")</f>
        <v/>
      </c>
      <c r="L436" s="126" t="str">
        <f>IF(I436&lt;&gt;"",SUMIFS(JPK_KR!AM:AM,JPK_KR!W:W,J436),"")</f>
        <v/>
      </c>
      <c r="P436" s="24" t="str">
        <f>IF(M436&lt;&gt;"",IF(O436="",SUMIFS(JPK_KR!AL:AL,JPK_KR!W:W,N436),SUMIFS(JPK_KR!BF:BF,JPK_KR!BE:BE,N436,JPK_KR!BG:BG,O436)),"")</f>
        <v/>
      </c>
      <c r="Q436" s="126" t="str">
        <f>IF(M436&lt;&gt;"",IF(O436="",SUMIFS(JPK_KR!AM:AM,JPK_KR!W:W,N436),SUMIFS(JPK_KR!BI:BI,JPK_KR!BH:BH,N436,JPK_KR!BJ:BJ,O436)),"")</f>
        <v/>
      </c>
      <c r="U436" s="24" t="str">
        <f>IF(R436&lt;&gt;"",SUMIFS(JPK_KR!AL:AL,JPK_KR!W:W,S436),"")</f>
        <v/>
      </c>
      <c r="V436" s="126" t="str">
        <f>IF(R436&lt;&gt;"",SUMIFS(JPK_KR!AM:AM,JPK_KR!W:W,S436),"")</f>
        <v/>
      </c>
    </row>
    <row r="437" spans="3:22" x14ac:dyDescent="0.3">
      <c r="C437" s="24" t="str">
        <f>IF(A437&lt;&gt;"",SUMIFS(JPK_KR!AL:AL,JPK_KR!W:W,B437),"")</f>
        <v/>
      </c>
      <c r="D437" s="126" t="str">
        <f>IF(A437&lt;&gt;"",SUMIFS(JPK_KR!AM:AM,JPK_KR!W:W,B437),"")</f>
        <v/>
      </c>
      <c r="G437" s="24" t="str">
        <f>IF(E437&lt;&gt;"",SUMIFS(JPK_KR!AL:AL,JPK_KR!W:W,F437),"")</f>
        <v/>
      </c>
      <c r="H437" s="126" t="str">
        <f>IF(E437&lt;&gt;"",SUMIFS(JPK_KR!AM:AM,JPK_KR!W:W,F437),"")</f>
        <v/>
      </c>
      <c r="K437" s="24" t="str">
        <f>IF(I437&lt;&gt;"",SUMIFS(JPK_KR!AL:AL,JPK_KR!W:W,J437),"")</f>
        <v/>
      </c>
      <c r="L437" s="126" t="str">
        <f>IF(I437&lt;&gt;"",SUMIFS(JPK_KR!AM:AM,JPK_KR!W:W,J437),"")</f>
        <v/>
      </c>
      <c r="P437" s="24" t="str">
        <f>IF(M437&lt;&gt;"",IF(O437="",SUMIFS(JPK_KR!AL:AL,JPK_KR!W:W,N437),SUMIFS(JPK_KR!BF:BF,JPK_KR!BE:BE,N437,JPK_KR!BG:BG,O437)),"")</f>
        <v/>
      </c>
      <c r="Q437" s="126" t="str">
        <f>IF(M437&lt;&gt;"",IF(O437="",SUMIFS(JPK_KR!AM:AM,JPK_KR!W:W,N437),SUMIFS(JPK_KR!BI:BI,JPK_KR!BH:BH,N437,JPK_KR!BJ:BJ,O437)),"")</f>
        <v/>
      </c>
      <c r="U437" s="24" t="str">
        <f>IF(R437&lt;&gt;"",SUMIFS(JPK_KR!AL:AL,JPK_KR!W:W,S437),"")</f>
        <v/>
      </c>
      <c r="V437" s="126" t="str">
        <f>IF(R437&lt;&gt;"",SUMIFS(JPK_KR!AM:AM,JPK_KR!W:W,S437),"")</f>
        <v/>
      </c>
    </row>
    <row r="438" spans="3:22" x14ac:dyDescent="0.3">
      <c r="C438" s="24" t="str">
        <f>IF(A438&lt;&gt;"",SUMIFS(JPK_KR!AL:AL,JPK_KR!W:W,B438),"")</f>
        <v/>
      </c>
      <c r="D438" s="126" t="str">
        <f>IF(A438&lt;&gt;"",SUMIFS(JPK_KR!AM:AM,JPK_KR!W:W,B438),"")</f>
        <v/>
      </c>
      <c r="G438" s="24" t="str">
        <f>IF(E438&lt;&gt;"",SUMIFS(JPK_KR!AL:AL,JPK_KR!W:W,F438),"")</f>
        <v/>
      </c>
      <c r="H438" s="126" t="str">
        <f>IF(E438&lt;&gt;"",SUMIFS(JPK_KR!AM:AM,JPK_KR!W:W,F438),"")</f>
        <v/>
      </c>
      <c r="K438" s="24" t="str">
        <f>IF(I438&lt;&gt;"",SUMIFS(JPK_KR!AL:AL,JPK_KR!W:W,J438),"")</f>
        <v/>
      </c>
      <c r="L438" s="126" t="str">
        <f>IF(I438&lt;&gt;"",SUMIFS(JPK_KR!AM:AM,JPK_KR!W:W,J438),"")</f>
        <v/>
      </c>
      <c r="P438" s="24" t="str">
        <f>IF(M438&lt;&gt;"",IF(O438="",SUMIFS(JPK_KR!AL:AL,JPK_KR!W:W,N438),SUMIFS(JPK_KR!BF:BF,JPK_KR!BE:BE,N438,JPK_KR!BG:BG,O438)),"")</f>
        <v/>
      </c>
      <c r="Q438" s="126" t="str">
        <f>IF(M438&lt;&gt;"",IF(O438="",SUMIFS(JPK_KR!AM:AM,JPK_KR!W:W,N438),SUMIFS(JPK_KR!BI:BI,JPK_KR!BH:BH,N438,JPK_KR!BJ:BJ,O438)),"")</f>
        <v/>
      </c>
      <c r="U438" s="24" t="str">
        <f>IF(R438&lt;&gt;"",SUMIFS(JPK_KR!AL:AL,JPK_KR!W:W,S438),"")</f>
        <v/>
      </c>
      <c r="V438" s="126" t="str">
        <f>IF(R438&lt;&gt;"",SUMIFS(JPK_KR!AM:AM,JPK_KR!W:W,S438),"")</f>
        <v/>
      </c>
    </row>
    <row r="439" spans="3:22" x14ac:dyDescent="0.3">
      <c r="C439" s="24" t="str">
        <f>IF(A439&lt;&gt;"",SUMIFS(JPK_KR!AL:AL,JPK_KR!W:W,B439),"")</f>
        <v/>
      </c>
      <c r="D439" s="126" t="str">
        <f>IF(A439&lt;&gt;"",SUMIFS(JPK_KR!AM:AM,JPK_KR!W:W,B439),"")</f>
        <v/>
      </c>
      <c r="G439" s="24" t="str">
        <f>IF(E439&lt;&gt;"",SUMIFS(JPK_KR!AL:AL,JPK_KR!W:W,F439),"")</f>
        <v/>
      </c>
      <c r="H439" s="126" t="str">
        <f>IF(E439&lt;&gt;"",SUMIFS(JPK_KR!AM:AM,JPK_KR!W:W,F439),"")</f>
        <v/>
      </c>
      <c r="K439" s="24" t="str">
        <f>IF(I439&lt;&gt;"",SUMIFS(JPK_KR!AL:AL,JPK_KR!W:W,J439),"")</f>
        <v/>
      </c>
      <c r="L439" s="126" t="str">
        <f>IF(I439&lt;&gt;"",SUMIFS(JPK_KR!AM:AM,JPK_KR!W:W,J439),"")</f>
        <v/>
      </c>
      <c r="P439" s="24" t="str">
        <f>IF(M439&lt;&gt;"",IF(O439="",SUMIFS(JPK_KR!AL:AL,JPK_KR!W:W,N439),SUMIFS(JPK_KR!BF:BF,JPK_KR!BE:BE,N439,JPK_KR!BG:BG,O439)),"")</f>
        <v/>
      </c>
      <c r="Q439" s="126" t="str">
        <f>IF(M439&lt;&gt;"",IF(O439="",SUMIFS(JPK_KR!AM:AM,JPK_KR!W:W,N439),SUMIFS(JPK_KR!BI:BI,JPK_KR!BH:BH,N439,JPK_KR!BJ:BJ,O439)),"")</f>
        <v/>
      </c>
      <c r="U439" s="24" t="str">
        <f>IF(R439&lt;&gt;"",SUMIFS(JPK_KR!AL:AL,JPK_KR!W:W,S439),"")</f>
        <v/>
      </c>
      <c r="V439" s="126" t="str">
        <f>IF(R439&lt;&gt;"",SUMIFS(JPK_KR!AM:AM,JPK_KR!W:W,S439),"")</f>
        <v/>
      </c>
    </row>
    <row r="440" spans="3:22" x14ac:dyDescent="0.3">
      <c r="C440" s="24" t="str">
        <f>IF(A440&lt;&gt;"",SUMIFS(JPK_KR!AL:AL,JPK_KR!W:W,B440),"")</f>
        <v/>
      </c>
      <c r="D440" s="126" t="str">
        <f>IF(A440&lt;&gt;"",SUMIFS(JPK_KR!AM:AM,JPK_KR!W:W,B440),"")</f>
        <v/>
      </c>
      <c r="G440" s="24" t="str">
        <f>IF(E440&lt;&gt;"",SUMIFS(JPK_KR!AL:AL,JPK_KR!W:W,F440),"")</f>
        <v/>
      </c>
      <c r="H440" s="126" t="str">
        <f>IF(E440&lt;&gt;"",SUMIFS(JPK_KR!AM:AM,JPK_KR!W:W,F440),"")</f>
        <v/>
      </c>
      <c r="K440" s="24" t="str">
        <f>IF(I440&lt;&gt;"",SUMIFS(JPK_KR!AL:AL,JPK_KR!W:W,J440),"")</f>
        <v/>
      </c>
      <c r="L440" s="126" t="str">
        <f>IF(I440&lt;&gt;"",SUMIFS(JPK_KR!AM:AM,JPK_KR!W:W,J440),"")</f>
        <v/>
      </c>
      <c r="P440" s="24" t="str">
        <f>IF(M440&lt;&gt;"",IF(O440="",SUMIFS(JPK_KR!AL:AL,JPK_KR!W:W,N440),SUMIFS(JPK_KR!BF:BF,JPK_KR!BE:BE,N440,JPK_KR!BG:BG,O440)),"")</f>
        <v/>
      </c>
      <c r="Q440" s="126" t="str">
        <f>IF(M440&lt;&gt;"",IF(O440="",SUMIFS(JPK_KR!AM:AM,JPK_KR!W:W,N440),SUMIFS(JPK_KR!BI:BI,JPK_KR!BH:BH,N440,JPK_KR!BJ:BJ,O440)),"")</f>
        <v/>
      </c>
      <c r="U440" s="24" t="str">
        <f>IF(R440&lt;&gt;"",SUMIFS(JPK_KR!AL:AL,JPK_KR!W:W,S440),"")</f>
        <v/>
      </c>
      <c r="V440" s="126" t="str">
        <f>IF(R440&lt;&gt;"",SUMIFS(JPK_KR!AM:AM,JPK_KR!W:W,S440),"")</f>
        <v/>
      </c>
    </row>
    <row r="441" spans="3:22" x14ac:dyDescent="0.3">
      <c r="C441" s="24" t="str">
        <f>IF(A441&lt;&gt;"",SUMIFS(JPK_KR!AL:AL,JPK_KR!W:W,B441),"")</f>
        <v/>
      </c>
      <c r="D441" s="126" t="str">
        <f>IF(A441&lt;&gt;"",SUMIFS(JPK_KR!AM:AM,JPK_KR!W:W,B441),"")</f>
        <v/>
      </c>
      <c r="G441" s="24" t="str">
        <f>IF(E441&lt;&gt;"",SUMIFS(JPK_KR!AL:AL,JPK_KR!W:W,F441),"")</f>
        <v/>
      </c>
      <c r="H441" s="126" t="str">
        <f>IF(E441&lt;&gt;"",SUMIFS(JPK_KR!AM:AM,JPK_KR!W:W,F441),"")</f>
        <v/>
      </c>
      <c r="K441" s="24" t="str">
        <f>IF(I441&lt;&gt;"",SUMIFS(JPK_KR!AL:AL,JPK_KR!W:W,J441),"")</f>
        <v/>
      </c>
      <c r="L441" s="126" t="str">
        <f>IF(I441&lt;&gt;"",SUMIFS(JPK_KR!AM:AM,JPK_KR!W:W,J441),"")</f>
        <v/>
      </c>
      <c r="P441" s="24" t="str">
        <f>IF(M441&lt;&gt;"",IF(O441="",SUMIFS(JPK_KR!AL:AL,JPK_KR!W:W,N441),SUMIFS(JPK_KR!BF:BF,JPK_KR!BE:BE,N441,JPK_KR!BG:BG,O441)),"")</f>
        <v/>
      </c>
      <c r="Q441" s="126" t="str">
        <f>IF(M441&lt;&gt;"",IF(O441="",SUMIFS(JPK_KR!AM:AM,JPK_KR!W:W,N441),SUMIFS(JPK_KR!BI:BI,JPK_KR!BH:BH,N441,JPK_KR!BJ:BJ,O441)),"")</f>
        <v/>
      </c>
      <c r="U441" s="24" t="str">
        <f>IF(R441&lt;&gt;"",SUMIFS(JPK_KR!AL:AL,JPK_KR!W:W,S441),"")</f>
        <v/>
      </c>
      <c r="V441" s="126" t="str">
        <f>IF(R441&lt;&gt;"",SUMIFS(JPK_KR!AM:AM,JPK_KR!W:W,S441),"")</f>
        <v/>
      </c>
    </row>
    <row r="442" spans="3:22" x14ac:dyDescent="0.3">
      <c r="C442" s="24" t="str">
        <f>IF(A442&lt;&gt;"",SUMIFS(JPK_KR!AL:AL,JPK_KR!W:W,B442),"")</f>
        <v/>
      </c>
      <c r="D442" s="126" t="str">
        <f>IF(A442&lt;&gt;"",SUMIFS(JPK_KR!AM:AM,JPK_KR!W:W,B442),"")</f>
        <v/>
      </c>
      <c r="G442" s="24" t="str">
        <f>IF(E442&lt;&gt;"",SUMIFS(JPK_KR!AL:AL,JPK_KR!W:W,F442),"")</f>
        <v/>
      </c>
      <c r="H442" s="126" t="str">
        <f>IF(E442&lt;&gt;"",SUMIFS(JPK_KR!AM:AM,JPK_KR!W:W,F442),"")</f>
        <v/>
      </c>
      <c r="K442" s="24" t="str">
        <f>IF(I442&lt;&gt;"",SUMIFS(JPK_KR!AL:AL,JPK_KR!W:W,J442),"")</f>
        <v/>
      </c>
      <c r="L442" s="126" t="str">
        <f>IF(I442&lt;&gt;"",SUMIFS(JPK_KR!AM:AM,JPK_KR!W:W,J442),"")</f>
        <v/>
      </c>
      <c r="P442" s="24" t="str">
        <f>IF(M442&lt;&gt;"",IF(O442="",SUMIFS(JPK_KR!AL:AL,JPK_KR!W:W,N442),SUMIFS(JPK_KR!BF:BF,JPK_KR!BE:BE,N442,JPK_KR!BG:BG,O442)),"")</f>
        <v/>
      </c>
      <c r="Q442" s="126" t="str">
        <f>IF(M442&lt;&gt;"",IF(O442="",SUMIFS(JPK_KR!AM:AM,JPK_KR!W:W,N442),SUMIFS(JPK_KR!BI:BI,JPK_KR!BH:BH,N442,JPK_KR!BJ:BJ,O442)),"")</f>
        <v/>
      </c>
      <c r="U442" s="24" t="str">
        <f>IF(R442&lt;&gt;"",SUMIFS(JPK_KR!AL:AL,JPK_KR!W:W,S442),"")</f>
        <v/>
      </c>
      <c r="V442" s="126" t="str">
        <f>IF(R442&lt;&gt;"",SUMIFS(JPK_KR!AM:AM,JPK_KR!W:W,S442),"")</f>
        <v/>
      </c>
    </row>
    <row r="443" spans="3:22" x14ac:dyDescent="0.3">
      <c r="C443" s="24" t="str">
        <f>IF(A443&lt;&gt;"",SUMIFS(JPK_KR!AL:AL,JPK_KR!W:W,B443),"")</f>
        <v/>
      </c>
      <c r="D443" s="126" t="str">
        <f>IF(A443&lt;&gt;"",SUMIFS(JPK_KR!AM:AM,JPK_KR!W:W,B443),"")</f>
        <v/>
      </c>
      <c r="G443" s="24" t="str">
        <f>IF(E443&lt;&gt;"",SUMIFS(JPK_KR!AL:AL,JPK_KR!W:W,F443),"")</f>
        <v/>
      </c>
      <c r="H443" s="126" t="str">
        <f>IF(E443&lt;&gt;"",SUMIFS(JPK_KR!AM:AM,JPK_KR!W:W,F443),"")</f>
        <v/>
      </c>
      <c r="K443" s="24" t="str">
        <f>IF(I443&lt;&gt;"",SUMIFS(JPK_KR!AL:AL,JPK_KR!W:W,J443),"")</f>
        <v/>
      </c>
      <c r="L443" s="126" t="str">
        <f>IF(I443&lt;&gt;"",SUMIFS(JPK_KR!AM:AM,JPK_KR!W:W,J443),"")</f>
        <v/>
      </c>
      <c r="P443" s="24" t="str">
        <f>IF(M443&lt;&gt;"",IF(O443="",SUMIFS(JPK_KR!AL:AL,JPK_KR!W:W,N443),SUMIFS(JPK_KR!BF:BF,JPK_KR!BE:BE,N443,JPK_KR!BG:BG,O443)),"")</f>
        <v/>
      </c>
      <c r="Q443" s="126" t="str">
        <f>IF(M443&lt;&gt;"",IF(O443="",SUMIFS(JPK_KR!AM:AM,JPK_KR!W:W,N443),SUMIFS(JPK_KR!BI:BI,JPK_KR!BH:BH,N443,JPK_KR!BJ:BJ,O443)),"")</f>
        <v/>
      </c>
      <c r="U443" s="24" t="str">
        <f>IF(R443&lt;&gt;"",SUMIFS(JPK_KR!AL:AL,JPK_KR!W:W,S443),"")</f>
        <v/>
      </c>
      <c r="V443" s="126" t="str">
        <f>IF(R443&lt;&gt;"",SUMIFS(JPK_KR!AM:AM,JPK_KR!W:W,S443),"")</f>
        <v/>
      </c>
    </row>
    <row r="444" spans="3:22" x14ac:dyDescent="0.3">
      <c r="C444" s="24" t="str">
        <f>IF(A444&lt;&gt;"",SUMIFS(JPK_KR!AL:AL,JPK_KR!W:W,B444),"")</f>
        <v/>
      </c>
      <c r="D444" s="126" t="str">
        <f>IF(A444&lt;&gt;"",SUMIFS(JPK_KR!AM:AM,JPK_KR!W:W,B444),"")</f>
        <v/>
      </c>
      <c r="G444" s="24" t="str">
        <f>IF(E444&lt;&gt;"",SUMIFS(JPK_KR!AL:AL,JPK_KR!W:W,F444),"")</f>
        <v/>
      </c>
      <c r="H444" s="126" t="str">
        <f>IF(E444&lt;&gt;"",SUMIFS(JPK_KR!AM:AM,JPK_KR!W:W,F444),"")</f>
        <v/>
      </c>
      <c r="K444" s="24" t="str">
        <f>IF(I444&lt;&gt;"",SUMIFS(JPK_KR!AL:AL,JPK_KR!W:W,J444),"")</f>
        <v/>
      </c>
      <c r="L444" s="126" t="str">
        <f>IF(I444&lt;&gt;"",SUMIFS(JPK_KR!AM:AM,JPK_KR!W:W,J444),"")</f>
        <v/>
      </c>
      <c r="P444" s="24" t="str">
        <f>IF(M444&lt;&gt;"",IF(O444="",SUMIFS(JPK_KR!AL:AL,JPK_KR!W:W,N444),SUMIFS(JPK_KR!BF:BF,JPK_KR!BE:BE,N444,JPK_KR!BG:BG,O444)),"")</f>
        <v/>
      </c>
      <c r="Q444" s="126" t="str">
        <f>IF(M444&lt;&gt;"",IF(O444="",SUMIFS(JPK_KR!AM:AM,JPK_KR!W:W,N444),SUMIFS(JPK_KR!BI:BI,JPK_KR!BH:BH,N444,JPK_KR!BJ:BJ,O444)),"")</f>
        <v/>
      </c>
      <c r="U444" s="24" t="str">
        <f>IF(R444&lt;&gt;"",SUMIFS(JPK_KR!AL:AL,JPK_KR!W:W,S444),"")</f>
        <v/>
      </c>
      <c r="V444" s="126" t="str">
        <f>IF(R444&lt;&gt;"",SUMIFS(JPK_KR!AM:AM,JPK_KR!W:W,S444),"")</f>
        <v/>
      </c>
    </row>
    <row r="445" spans="3:22" x14ac:dyDescent="0.3">
      <c r="C445" s="24" t="str">
        <f>IF(A445&lt;&gt;"",SUMIFS(JPK_KR!AL:AL,JPK_KR!W:W,B445),"")</f>
        <v/>
      </c>
      <c r="D445" s="126" t="str">
        <f>IF(A445&lt;&gt;"",SUMIFS(JPK_KR!AM:AM,JPK_KR!W:W,B445),"")</f>
        <v/>
      </c>
      <c r="G445" s="24" t="str">
        <f>IF(E445&lt;&gt;"",SUMIFS(JPK_KR!AL:AL,JPK_KR!W:W,F445),"")</f>
        <v/>
      </c>
      <c r="H445" s="126" t="str">
        <f>IF(E445&lt;&gt;"",SUMIFS(JPK_KR!AM:AM,JPK_KR!W:W,F445),"")</f>
        <v/>
      </c>
      <c r="K445" s="24" t="str">
        <f>IF(I445&lt;&gt;"",SUMIFS(JPK_KR!AL:AL,JPK_KR!W:W,J445),"")</f>
        <v/>
      </c>
      <c r="L445" s="126" t="str">
        <f>IF(I445&lt;&gt;"",SUMIFS(JPK_KR!AM:AM,JPK_KR!W:W,J445),"")</f>
        <v/>
      </c>
      <c r="P445" s="24" t="str">
        <f>IF(M445&lt;&gt;"",IF(O445="",SUMIFS(JPK_KR!AL:AL,JPK_KR!W:W,N445),SUMIFS(JPK_KR!BF:BF,JPK_KR!BE:BE,N445,JPK_KR!BG:BG,O445)),"")</f>
        <v/>
      </c>
      <c r="Q445" s="126" t="str">
        <f>IF(M445&lt;&gt;"",IF(O445="",SUMIFS(JPK_KR!AM:AM,JPK_KR!W:W,N445),SUMIFS(JPK_KR!BI:BI,JPK_KR!BH:BH,N445,JPK_KR!BJ:BJ,O445)),"")</f>
        <v/>
      </c>
      <c r="U445" s="24" t="str">
        <f>IF(R445&lt;&gt;"",SUMIFS(JPK_KR!AL:AL,JPK_KR!W:W,S445),"")</f>
        <v/>
      </c>
      <c r="V445" s="126" t="str">
        <f>IF(R445&lt;&gt;"",SUMIFS(JPK_KR!AM:AM,JPK_KR!W:W,S445),"")</f>
        <v/>
      </c>
    </row>
    <row r="446" spans="3:22" x14ac:dyDescent="0.3">
      <c r="C446" s="24" t="str">
        <f>IF(A446&lt;&gt;"",SUMIFS(JPK_KR!AL:AL,JPK_KR!W:W,B446),"")</f>
        <v/>
      </c>
      <c r="D446" s="126" t="str">
        <f>IF(A446&lt;&gt;"",SUMIFS(JPK_KR!AM:AM,JPK_KR!W:W,B446),"")</f>
        <v/>
      </c>
      <c r="G446" s="24" t="str">
        <f>IF(E446&lt;&gt;"",SUMIFS(JPK_KR!AL:AL,JPK_KR!W:W,F446),"")</f>
        <v/>
      </c>
      <c r="H446" s="126" t="str">
        <f>IF(E446&lt;&gt;"",SUMIFS(JPK_KR!AM:AM,JPK_KR!W:W,F446),"")</f>
        <v/>
      </c>
      <c r="K446" s="24" t="str">
        <f>IF(I446&lt;&gt;"",SUMIFS(JPK_KR!AL:AL,JPK_KR!W:W,J446),"")</f>
        <v/>
      </c>
      <c r="L446" s="126" t="str">
        <f>IF(I446&lt;&gt;"",SUMIFS(JPK_KR!AM:AM,JPK_KR!W:W,J446),"")</f>
        <v/>
      </c>
      <c r="P446" s="24" t="str">
        <f>IF(M446&lt;&gt;"",IF(O446="",SUMIFS(JPK_KR!AL:AL,JPK_KR!W:W,N446),SUMIFS(JPK_KR!BF:BF,JPK_KR!BE:BE,N446,JPK_KR!BG:BG,O446)),"")</f>
        <v/>
      </c>
      <c r="Q446" s="126" t="str">
        <f>IF(M446&lt;&gt;"",IF(O446="",SUMIFS(JPK_KR!AM:AM,JPK_KR!W:W,N446),SUMIFS(JPK_KR!BI:BI,JPK_KR!BH:BH,N446,JPK_KR!BJ:BJ,O446)),"")</f>
        <v/>
      </c>
      <c r="U446" s="24" t="str">
        <f>IF(R446&lt;&gt;"",SUMIFS(JPK_KR!AL:AL,JPK_KR!W:W,S446),"")</f>
        <v/>
      </c>
      <c r="V446" s="126" t="str">
        <f>IF(R446&lt;&gt;"",SUMIFS(JPK_KR!AM:AM,JPK_KR!W:W,S446),"")</f>
        <v/>
      </c>
    </row>
    <row r="447" spans="3:22" x14ac:dyDescent="0.3">
      <c r="C447" s="24" t="str">
        <f>IF(A447&lt;&gt;"",SUMIFS(JPK_KR!AL:AL,JPK_KR!W:W,B447),"")</f>
        <v/>
      </c>
      <c r="D447" s="126" t="str">
        <f>IF(A447&lt;&gt;"",SUMIFS(JPK_KR!AM:AM,JPK_KR!W:W,B447),"")</f>
        <v/>
      </c>
      <c r="G447" s="24" t="str">
        <f>IF(E447&lt;&gt;"",SUMIFS(JPK_KR!AL:AL,JPK_KR!W:W,F447),"")</f>
        <v/>
      </c>
      <c r="H447" s="126" t="str">
        <f>IF(E447&lt;&gt;"",SUMIFS(JPK_KR!AM:AM,JPK_KR!W:W,F447),"")</f>
        <v/>
      </c>
      <c r="K447" s="24" t="str">
        <f>IF(I447&lt;&gt;"",SUMIFS(JPK_KR!AL:AL,JPK_KR!W:W,J447),"")</f>
        <v/>
      </c>
      <c r="L447" s="126" t="str">
        <f>IF(I447&lt;&gt;"",SUMIFS(JPK_KR!AM:AM,JPK_KR!W:W,J447),"")</f>
        <v/>
      </c>
      <c r="P447" s="24" t="str">
        <f>IF(M447&lt;&gt;"",IF(O447="",SUMIFS(JPK_KR!AL:AL,JPK_KR!W:W,N447),SUMIFS(JPK_KR!BF:BF,JPK_KR!BE:BE,N447,JPK_KR!BG:BG,O447)),"")</f>
        <v/>
      </c>
      <c r="Q447" s="126" t="str">
        <f>IF(M447&lt;&gt;"",IF(O447="",SUMIFS(JPK_KR!AM:AM,JPK_KR!W:W,N447),SUMIFS(JPK_KR!BI:BI,JPK_KR!BH:BH,N447,JPK_KR!BJ:BJ,O447)),"")</f>
        <v/>
      </c>
      <c r="U447" s="24" t="str">
        <f>IF(R447&lt;&gt;"",SUMIFS(JPK_KR!AL:AL,JPK_KR!W:W,S447),"")</f>
        <v/>
      </c>
      <c r="V447" s="126" t="str">
        <f>IF(R447&lt;&gt;"",SUMIFS(JPK_KR!AM:AM,JPK_KR!W:W,S447),"")</f>
        <v/>
      </c>
    </row>
    <row r="448" spans="3:22" x14ac:dyDescent="0.3">
      <c r="C448" s="24" t="str">
        <f>IF(A448&lt;&gt;"",SUMIFS(JPK_KR!AL:AL,JPK_KR!W:W,B448),"")</f>
        <v/>
      </c>
      <c r="D448" s="126" t="str">
        <f>IF(A448&lt;&gt;"",SUMIFS(JPK_KR!AM:AM,JPK_KR!W:W,B448),"")</f>
        <v/>
      </c>
      <c r="G448" s="24" t="str">
        <f>IF(E448&lt;&gt;"",SUMIFS(JPK_KR!AL:AL,JPK_KR!W:W,F448),"")</f>
        <v/>
      </c>
      <c r="H448" s="126" t="str">
        <f>IF(E448&lt;&gt;"",SUMIFS(JPK_KR!AM:AM,JPK_KR!W:W,F448),"")</f>
        <v/>
      </c>
      <c r="K448" s="24" t="str">
        <f>IF(I448&lt;&gt;"",SUMIFS(JPK_KR!AL:AL,JPK_KR!W:W,J448),"")</f>
        <v/>
      </c>
      <c r="L448" s="126" t="str">
        <f>IF(I448&lt;&gt;"",SUMIFS(JPK_KR!AM:AM,JPK_KR!W:W,J448),"")</f>
        <v/>
      </c>
      <c r="P448" s="24" t="str">
        <f>IF(M448&lt;&gt;"",IF(O448="",SUMIFS(JPK_KR!AL:AL,JPK_KR!W:W,N448),SUMIFS(JPK_KR!BF:BF,JPK_KR!BE:BE,N448,JPK_KR!BG:BG,O448)),"")</f>
        <v/>
      </c>
      <c r="Q448" s="126" t="str">
        <f>IF(M448&lt;&gt;"",IF(O448="",SUMIFS(JPK_KR!AM:AM,JPK_KR!W:W,N448),SUMIFS(JPK_KR!BI:BI,JPK_KR!BH:BH,N448,JPK_KR!BJ:BJ,O448)),"")</f>
        <v/>
      </c>
      <c r="U448" s="24" t="str">
        <f>IF(R448&lt;&gt;"",SUMIFS(JPK_KR!AL:AL,JPK_KR!W:W,S448),"")</f>
        <v/>
      </c>
      <c r="V448" s="126" t="str">
        <f>IF(R448&lt;&gt;"",SUMIFS(JPK_KR!AM:AM,JPK_KR!W:W,S448),"")</f>
        <v/>
      </c>
    </row>
    <row r="449" spans="3:22" x14ac:dyDescent="0.3">
      <c r="C449" s="24" t="str">
        <f>IF(A449&lt;&gt;"",SUMIFS(JPK_KR!AL:AL,JPK_KR!W:W,B449),"")</f>
        <v/>
      </c>
      <c r="D449" s="126" t="str">
        <f>IF(A449&lt;&gt;"",SUMIFS(JPK_KR!AM:AM,JPK_KR!W:W,B449),"")</f>
        <v/>
      </c>
      <c r="G449" s="24" t="str">
        <f>IF(E449&lt;&gt;"",SUMIFS(JPK_KR!AL:AL,JPK_KR!W:W,F449),"")</f>
        <v/>
      </c>
      <c r="H449" s="126" t="str">
        <f>IF(E449&lt;&gt;"",SUMIFS(JPK_KR!AM:AM,JPK_KR!W:W,F449),"")</f>
        <v/>
      </c>
      <c r="K449" s="24" t="str">
        <f>IF(I449&lt;&gt;"",SUMIFS(JPK_KR!AL:AL,JPK_KR!W:W,J449),"")</f>
        <v/>
      </c>
      <c r="L449" s="126" t="str">
        <f>IF(I449&lt;&gt;"",SUMIFS(JPK_KR!AM:AM,JPK_KR!W:W,J449),"")</f>
        <v/>
      </c>
      <c r="P449" s="24" t="str">
        <f>IF(M449&lt;&gt;"",IF(O449="",SUMIFS(JPK_KR!AL:AL,JPK_KR!W:W,N449),SUMIFS(JPK_KR!BF:BF,JPK_KR!BE:BE,N449,JPK_KR!BG:BG,O449)),"")</f>
        <v/>
      </c>
      <c r="Q449" s="126" t="str">
        <f>IF(M449&lt;&gt;"",IF(O449="",SUMIFS(JPK_KR!AM:AM,JPK_KR!W:W,N449),SUMIFS(JPK_KR!BI:BI,JPK_KR!BH:BH,N449,JPK_KR!BJ:BJ,O449)),"")</f>
        <v/>
      </c>
      <c r="U449" s="24" t="str">
        <f>IF(R449&lt;&gt;"",SUMIFS(JPK_KR!AL:AL,JPK_KR!W:W,S449),"")</f>
        <v/>
      </c>
      <c r="V449" s="126" t="str">
        <f>IF(R449&lt;&gt;"",SUMIFS(JPK_KR!AM:AM,JPK_KR!W:W,S449),"")</f>
        <v/>
      </c>
    </row>
    <row r="450" spans="3:22" x14ac:dyDescent="0.3">
      <c r="C450" s="24" t="str">
        <f>IF(A450&lt;&gt;"",SUMIFS(JPK_KR!AL:AL,JPK_KR!W:W,B450),"")</f>
        <v/>
      </c>
      <c r="D450" s="126" t="str">
        <f>IF(A450&lt;&gt;"",SUMIFS(JPK_KR!AM:AM,JPK_KR!W:W,B450),"")</f>
        <v/>
      </c>
      <c r="G450" s="24" t="str">
        <f>IF(E450&lt;&gt;"",SUMIFS(JPK_KR!AL:AL,JPK_KR!W:W,F450),"")</f>
        <v/>
      </c>
      <c r="H450" s="126" t="str">
        <f>IF(E450&lt;&gt;"",SUMIFS(JPK_KR!AM:AM,JPK_KR!W:W,F450),"")</f>
        <v/>
      </c>
      <c r="K450" s="24" t="str">
        <f>IF(I450&lt;&gt;"",SUMIFS(JPK_KR!AL:AL,JPK_KR!W:W,J450),"")</f>
        <v/>
      </c>
      <c r="L450" s="126" t="str">
        <f>IF(I450&lt;&gt;"",SUMIFS(JPK_KR!AM:AM,JPK_KR!W:W,J450),"")</f>
        <v/>
      </c>
      <c r="P450" s="24" t="str">
        <f>IF(M450&lt;&gt;"",IF(O450="",SUMIFS(JPK_KR!AL:AL,JPK_KR!W:W,N450),SUMIFS(JPK_KR!BF:BF,JPK_KR!BE:BE,N450,JPK_KR!BG:BG,O450)),"")</f>
        <v/>
      </c>
      <c r="Q450" s="126" t="str">
        <f>IF(M450&lt;&gt;"",IF(O450="",SUMIFS(JPK_KR!AM:AM,JPK_KR!W:W,N450),SUMIFS(JPK_KR!BI:BI,JPK_KR!BH:BH,N450,JPK_KR!BJ:BJ,O450)),"")</f>
        <v/>
      </c>
      <c r="U450" s="24" t="str">
        <f>IF(R450&lt;&gt;"",SUMIFS(JPK_KR!AL:AL,JPK_KR!W:W,S450),"")</f>
        <v/>
      </c>
      <c r="V450" s="126" t="str">
        <f>IF(R450&lt;&gt;"",SUMIFS(JPK_KR!AM:AM,JPK_KR!W:W,S450),"")</f>
        <v/>
      </c>
    </row>
    <row r="451" spans="3:22" x14ac:dyDescent="0.3">
      <c r="C451" s="24" t="str">
        <f>IF(A451&lt;&gt;"",SUMIFS(JPK_KR!AL:AL,JPK_KR!W:W,B451),"")</f>
        <v/>
      </c>
      <c r="D451" s="126" t="str">
        <f>IF(A451&lt;&gt;"",SUMIFS(JPK_KR!AM:AM,JPK_KR!W:W,B451),"")</f>
        <v/>
      </c>
      <c r="G451" s="24" t="str">
        <f>IF(E451&lt;&gt;"",SUMIFS(JPK_KR!AL:AL,JPK_KR!W:W,F451),"")</f>
        <v/>
      </c>
      <c r="H451" s="126" t="str">
        <f>IF(E451&lt;&gt;"",SUMIFS(JPK_KR!AM:AM,JPK_KR!W:W,F451),"")</f>
        <v/>
      </c>
      <c r="K451" s="24" t="str">
        <f>IF(I451&lt;&gt;"",SUMIFS(JPK_KR!AL:AL,JPK_KR!W:W,J451),"")</f>
        <v/>
      </c>
      <c r="L451" s="126" t="str">
        <f>IF(I451&lt;&gt;"",SUMIFS(JPK_KR!AM:AM,JPK_KR!W:W,J451),"")</f>
        <v/>
      </c>
      <c r="P451" s="24" t="str">
        <f>IF(M451&lt;&gt;"",IF(O451="",SUMIFS(JPK_KR!AL:AL,JPK_KR!W:W,N451),SUMIFS(JPK_KR!BF:BF,JPK_KR!BE:BE,N451,JPK_KR!BG:BG,O451)),"")</f>
        <v/>
      </c>
      <c r="Q451" s="126" t="str">
        <f>IF(M451&lt;&gt;"",IF(O451="",SUMIFS(JPK_KR!AM:AM,JPK_KR!W:W,N451),SUMIFS(JPK_KR!BI:BI,JPK_KR!BH:BH,N451,JPK_KR!BJ:BJ,O451)),"")</f>
        <v/>
      </c>
      <c r="U451" s="24" t="str">
        <f>IF(R451&lt;&gt;"",SUMIFS(JPK_KR!AL:AL,JPK_KR!W:W,S451),"")</f>
        <v/>
      </c>
      <c r="V451" s="126" t="str">
        <f>IF(R451&lt;&gt;"",SUMIFS(JPK_KR!AM:AM,JPK_KR!W:W,S451),"")</f>
        <v/>
      </c>
    </row>
    <row r="452" spans="3:22" x14ac:dyDescent="0.3">
      <c r="C452" s="24" t="str">
        <f>IF(A452&lt;&gt;"",SUMIFS(JPK_KR!AL:AL,JPK_KR!W:W,B452),"")</f>
        <v/>
      </c>
      <c r="D452" s="126" t="str">
        <f>IF(A452&lt;&gt;"",SUMIFS(JPK_KR!AM:AM,JPK_KR!W:W,B452),"")</f>
        <v/>
      </c>
      <c r="G452" s="24" t="str">
        <f>IF(E452&lt;&gt;"",SUMIFS(JPK_KR!AL:AL,JPK_KR!W:W,F452),"")</f>
        <v/>
      </c>
      <c r="H452" s="126" t="str">
        <f>IF(E452&lt;&gt;"",SUMIFS(JPK_KR!AM:AM,JPK_KR!W:W,F452),"")</f>
        <v/>
      </c>
      <c r="K452" s="24" t="str">
        <f>IF(I452&lt;&gt;"",SUMIFS(JPK_KR!AL:AL,JPK_KR!W:W,J452),"")</f>
        <v/>
      </c>
      <c r="L452" s="126" t="str">
        <f>IF(I452&lt;&gt;"",SUMIFS(JPK_KR!AM:AM,JPK_KR!W:W,J452),"")</f>
        <v/>
      </c>
      <c r="P452" s="24" t="str">
        <f>IF(M452&lt;&gt;"",IF(O452="",SUMIFS(JPK_KR!AL:AL,JPK_KR!W:W,N452),SUMIFS(JPK_KR!BF:BF,JPK_KR!BE:BE,N452,JPK_KR!BG:BG,O452)),"")</f>
        <v/>
      </c>
      <c r="Q452" s="126" t="str">
        <f>IF(M452&lt;&gt;"",IF(O452="",SUMIFS(JPK_KR!AM:AM,JPK_KR!W:W,N452),SUMIFS(JPK_KR!BI:BI,JPK_KR!BH:BH,N452,JPK_KR!BJ:BJ,O452)),"")</f>
        <v/>
      </c>
      <c r="U452" s="24" t="str">
        <f>IF(R452&lt;&gt;"",SUMIFS(JPK_KR!AL:AL,JPK_KR!W:W,S452),"")</f>
        <v/>
      </c>
      <c r="V452" s="126" t="str">
        <f>IF(R452&lt;&gt;"",SUMIFS(JPK_KR!AM:AM,JPK_KR!W:W,S452),"")</f>
        <v/>
      </c>
    </row>
    <row r="453" spans="3:22" x14ac:dyDescent="0.3">
      <c r="C453" s="24" t="str">
        <f>IF(A453&lt;&gt;"",SUMIFS(JPK_KR!AL:AL,JPK_KR!W:W,B453),"")</f>
        <v/>
      </c>
      <c r="D453" s="126" t="str">
        <f>IF(A453&lt;&gt;"",SUMIFS(JPK_KR!AM:AM,JPK_KR!W:W,B453),"")</f>
        <v/>
      </c>
      <c r="G453" s="24" t="str">
        <f>IF(E453&lt;&gt;"",SUMIFS(JPK_KR!AL:AL,JPK_KR!W:W,F453),"")</f>
        <v/>
      </c>
      <c r="H453" s="126" t="str">
        <f>IF(E453&lt;&gt;"",SUMIFS(JPK_KR!AM:AM,JPK_KR!W:W,F453),"")</f>
        <v/>
      </c>
      <c r="K453" s="24" t="str">
        <f>IF(I453&lt;&gt;"",SUMIFS(JPK_KR!AL:AL,JPK_KR!W:W,J453),"")</f>
        <v/>
      </c>
      <c r="L453" s="126" t="str">
        <f>IF(I453&lt;&gt;"",SUMIFS(JPK_KR!AM:AM,JPK_KR!W:W,J453),"")</f>
        <v/>
      </c>
      <c r="P453" s="24" t="str">
        <f>IF(M453&lt;&gt;"",IF(O453="",SUMIFS(JPK_KR!AL:AL,JPK_KR!W:W,N453),SUMIFS(JPK_KR!BF:BF,JPK_KR!BE:BE,N453,JPK_KR!BG:BG,O453)),"")</f>
        <v/>
      </c>
      <c r="Q453" s="126" t="str">
        <f>IF(M453&lt;&gt;"",IF(O453="",SUMIFS(JPK_KR!AM:AM,JPK_KR!W:W,N453),SUMIFS(JPK_KR!BI:BI,JPK_KR!BH:BH,N453,JPK_KR!BJ:BJ,O453)),"")</f>
        <v/>
      </c>
      <c r="U453" s="24" t="str">
        <f>IF(R453&lt;&gt;"",SUMIFS(JPK_KR!AL:AL,JPK_KR!W:W,S453),"")</f>
        <v/>
      </c>
      <c r="V453" s="126" t="str">
        <f>IF(R453&lt;&gt;"",SUMIFS(JPK_KR!AM:AM,JPK_KR!W:W,S453),"")</f>
        <v/>
      </c>
    </row>
    <row r="454" spans="3:22" x14ac:dyDescent="0.3">
      <c r="C454" s="24" t="str">
        <f>IF(A454&lt;&gt;"",SUMIFS(JPK_KR!AL:AL,JPK_KR!W:W,B454),"")</f>
        <v/>
      </c>
      <c r="D454" s="126" t="str">
        <f>IF(A454&lt;&gt;"",SUMIFS(JPK_KR!AM:AM,JPK_KR!W:W,B454),"")</f>
        <v/>
      </c>
      <c r="G454" s="24" t="str">
        <f>IF(E454&lt;&gt;"",SUMIFS(JPK_KR!AL:AL,JPK_KR!W:W,F454),"")</f>
        <v/>
      </c>
      <c r="H454" s="126" t="str">
        <f>IF(E454&lt;&gt;"",SUMIFS(JPK_KR!AM:AM,JPK_KR!W:W,F454),"")</f>
        <v/>
      </c>
      <c r="K454" s="24" t="str">
        <f>IF(I454&lt;&gt;"",SUMIFS(JPK_KR!AL:AL,JPK_KR!W:W,J454),"")</f>
        <v/>
      </c>
      <c r="L454" s="126" t="str">
        <f>IF(I454&lt;&gt;"",SUMIFS(JPK_KR!AM:AM,JPK_KR!W:W,J454),"")</f>
        <v/>
      </c>
      <c r="P454" s="24" t="str">
        <f>IF(M454&lt;&gt;"",IF(O454="",SUMIFS(JPK_KR!AL:AL,JPK_KR!W:W,N454),SUMIFS(JPK_KR!BF:BF,JPK_KR!BE:BE,N454,JPK_KR!BG:BG,O454)),"")</f>
        <v/>
      </c>
      <c r="Q454" s="126" t="str">
        <f>IF(M454&lt;&gt;"",IF(O454="",SUMIFS(JPK_KR!AM:AM,JPK_KR!W:W,N454),SUMIFS(JPK_KR!BI:BI,JPK_KR!BH:BH,N454,JPK_KR!BJ:BJ,O454)),"")</f>
        <v/>
      </c>
      <c r="U454" s="24" t="str">
        <f>IF(R454&lt;&gt;"",SUMIFS(JPK_KR!AL:AL,JPK_KR!W:W,S454),"")</f>
        <v/>
      </c>
      <c r="V454" s="126" t="str">
        <f>IF(R454&lt;&gt;"",SUMIFS(JPK_KR!AM:AM,JPK_KR!W:W,S454),"")</f>
        <v/>
      </c>
    </row>
    <row r="455" spans="3:22" x14ac:dyDescent="0.3">
      <c r="C455" s="24" t="str">
        <f>IF(A455&lt;&gt;"",SUMIFS(JPK_KR!AL:AL,JPK_KR!W:W,B455),"")</f>
        <v/>
      </c>
      <c r="D455" s="126" t="str">
        <f>IF(A455&lt;&gt;"",SUMIFS(JPK_KR!AM:AM,JPK_KR!W:W,B455),"")</f>
        <v/>
      </c>
      <c r="G455" s="24" t="str">
        <f>IF(E455&lt;&gt;"",SUMIFS(JPK_KR!AL:AL,JPK_KR!W:W,F455),"")</f>
        <v/>
      </c>
      <c r="H455" s="126" t="str">
        <f>IF(E455&lt;&gt;"",SUMIFS(JPK_KR!AM:AM,JPK_KR!W:W,F455),"")</f>
        <v/>
      </c>
      <c r="K455" s="24" t="str">
        <f>IF(I455&lt;&gt;"",SUMIFS(JPK_KR!AL:AL,JPK_KR!W:W,J455),"")</f>
        <v/>
      </c>
      <c r="L455" s="126" t="str">
        <f>IF(I455&lt;&gt;"",SUMIFS(JPK_KR!AM:AM,JPK_KR!W:W,J455),"")</f>
        <v/>
      </c>
      <c r="P455" s="24" t="str">
        <f>IF(M455&lt;&gt;"",IF(O455="",SUMIFS(JPK_KR!AL:AL,JPK_KR!W:W,N455),SUMIFS(JPK_KR!BF:BF,JPK_KR!BE:BE,N455,JPK_KR!BG:BG,O455)),"")</f>
        <v/>
      </c>
      <c r="Q455" s="126" t="str">
        <f>IF(M455&lt;&gt;"",IF(O455="",SUMIFS(JPK_KR!AM:AM,JPK_KR!W:W,N455),SUMIFS(JPK_KR!BI:BI,JPK_KR!BH:BH,N455,JPK_KR!BJ:BJ,O455)),"")</f>
        <v/>
      </c>
      <c r="U455" s="24" t="str">
        <f>IF(R455&lt;&gt;"",SUMIFS(JPK_KR!AL:AL,JPK_KR!W:W,S455),"")</f>
        <v/>
      </c>
      <c r="V455" s="126" t="str">
        <f>IF(R455&lt;&gt;"",SUMIFS(JPK_KR!AM:AM,JPK_KR!W:W,S455),"")</f>
        <v/>
      </c>
    </row>
    <row r="456" spans="3:22" x14ac:dyDescent="0.3">
      <c r="C456" s="24" t="str">
        <f>IF(A456&lt;&gt;"",SUMIFS(JPK_KR!AL:AL,JPK_KR!W:W,B456),"")</f>
        <v/>
      </c>
      <c r="D456" s="126" t="str">
        <f>IF(A456&lt;&gt;"",SUMIFS(JPK_KR!AM:AM,JPK_KR!W:W,B456),"")</f>
        <v/>
      </c>
      <c r="G456" s="24" t="str">
        <f>IF(E456&lt;&gt;"",SUMIFS(JPK_KR!AL:AL,JPK_KR!W:W,F456),"")</f>
        <v/>
      </c>
      <c r="H456" s="126" t="str">
        <f>IF(E456&lt;&gt;"",SUMIFS(JPK_KR!AM:AM,JPK_KR!W:W,F456),"")</f>
        <v/>
      </c>
      <c r="K456" s="24" t="str">
        <f>IF(I456&lt;&gt;"",SUMIFS(JPK_KR!AL:AL,JPK_KR!W:W,J456),"")</f>
        <v/>
      </c>
      <c r="L456" s="126" t="str">
        <f>IF(I456&lt;&gt;"",SUMIFS(JPK_KR!AM:AM,JPK_KR!W:W,J456),"")</f>
        <v/>
      </c>
      <c r="P456" s="24" t="str">
        <f>IF(M456&lt;&gt;"",IF(O456="",SUMIFS(JPK_KR!AL:AL,JPK_KR!W:W,N456),SUMIFS(JPK_KR!BF:BF,JPK_KR!BE:BE,N456,JPK_KR!BG:BG,O456)),"")</f>
        <v/>
      </c>
      <c r="Q456" s="126" t="str">
        <f>IF(M456&lt;&gt;"",IF(O456="",SUMIFS(JPK_KR!AM:AM,JPK_KR!W:W,N456),SUMIFS(JPK_KR!BI:BI,JPK_KR!BH:BH,N456,JPK_KR!BJ:BJ,O456)),"")</f>
        <v/>
      </c>
      <c r="U456" s="24" t="str">
        <f>IF(R456&lt;&gt;"",SUMIFS(JPK_KR!AL:AL,JPK_KR!W:W,S456),"")</f>
        <v/>
      </c>
      <c r="V456" s="126" t="str">
        <f>IF(R456&lt;&gt;"",SUMIFS(JPK_KR!AM:AM,JPK_KR!W:W,S456),"")</f>
        <v/>
      </c>
    </row>
    <row r="457" spans="3:22" x14ac:dyDescent="0.3">
      <c r="C457" s="24" t="str">
        <f>IF(A457&lt;&gt;"",SUMIFS(JPK_KR!AL:AL,JPK_KR!W:W,B457),"")</f>
        <v/>
      </c>
      <c r="D457" s="126" t="str">
        <f>IF(A457&lt;&gt;"",SUMIFS(JPK_KR!AM:AM,JPK_KR!W:W,B457),"")</f>
        <v/>
      </c>
      <c r="G457" s="24" t="str">
        <f>IF(E457&lt;&gt;"",SUMIFS(JPK_KR!AL:AL,JPK_KR!W:W,F457),"")</f>
        <v/>
      </c>
      <c r="H457" s="126" t="str">
        <f>IF(E457&lt;&gt;"",SUMIFS(JPK_KR!AM:AM,JPK_KR!W:W,F457),"")</f>
        <v/>
      </c>
      <c r="K457" s="24" t="str">
        <f>IF(I457&lt;&gt;"",SUMIFS(JPK_KR!AL:AL,JPK_KR!W:W,J457),"")</f>
        <v/>
      </c>
      <c r="L457" s="126" t="str">
        <f>IF(I457&lt;&gt;"",SUMIFS(JPK_KR!AM:AM,JPK_KR!W:W,J457),"")</f>
        <v/>
      </c>
      <c r="P457" s="24" t="str">
        <f>IF(M457&lt;&gt;"",IF(O457="",SUMIFS(JPK_KR!AL:AL,JPK_KR!W:W,N457),SUMIFS(JPK_KR!BF:BF,JPK_KR!BE:BE,N457,JPK_KR!BG:BG,O457)),"")</f>
        <v/>
      </c>
      <c r="Q457" s="126" t="str">
        <f>IF(M457&lt;&gt;"",IF(O457="",SUMIFS(JPK_KR!AM:AM,JPK_KR!W:W,N457),SUMIFS(JPK_KR!BI:BI,JPK_KR!BH:BH,N457,JPK_KR!BJ:BJ,O457)),"")</f>
        <v/>
      </c>
      <c r="U457" s="24" t="str">
        <f>IF(R457&lt;&gt;"",SUMIFS(JPK_KR!AL:AL,JPK_KR!W:W,S457),"")</f>
        <v/>
      </c>
      <c r="V457" s="126" t="str">
        <f>IF(R457&lt;&gt;"",SUMIFS(JPK_KR!AM:AM,JPK_KR!W:W,S457),"")</f>
        <v/>
      </c>
    </row>
    <row r="458" spans="3:22" x14ac:dyDescent="0.3">
      <c r="C458" s="24" t="str">
        <f>IF(A458&lt;&gt;"",SUMIFS(JPK_KR!AL:AL,JPK_KR!W:W,B458),"")</f>
        <v/>
      </c>
      <c r="D458" s="126" t="str">
        <f>IF(A458&lt;&gt;"",SUMIFS(JPK_KR!AM:AM,JPK_KR!W:W,B458),"")</f>
        <v/>
      </c>
      <c r="G458" s="24" t="str">
        <f>IF(E458&lt;&gt;"",SUMIFS(JPK_KR!AL:AL,JPK_KR!W:W,F458),"")</f>
        <v/>
      </c>
      <c r="H458" s="126" t="str">
        <f>IF(E458&lt;&gt;"",SUMIFS(JPK_KR!AM:AM,JPK_KR!W:W,F458),"")</f>
        <v/>
      </c>
      <c r="K458" s="24" t="str">
        <f>IF(I458&lt;&gt;"",SUMIFS(JPK_KR!AL:AL,JPK_KR!W:W,J458),"")</f>
        <v/>
      </c>
      <c r="L458" s="126" t="str">
        <f>IF(I458&lt;&gt;"",SUMIFS(JPK_KR!AM:AM,JPK_KR!W:W,J458),"")</f>
        <v/>
      </c>
      <c r="P458" s="24" t="str">
        <f>IF(M458&lt;&gt;"",IF(O458="",SUMIFS(JPK_KR!AL:AL,JPK_KR!W:W,N458),SUMIFS(JPK_KR!BF:BF,JPK_KR!BE:BE,N458,JPK_KR!BG:BG,O458)),"")</f>
        <v/>
      </c>
      <c r="Q458" s="126" t="str">
        <f>IF(M458&lt;&gt;"",IF(O458="",SUMIFS(JPK_KR!AM:AM,JPK_KR!W:W,N458),SUMIFS(JPK_KR!BI:BI,JPK_KR!BH:BH,N458,JPK_KR!BJ:BJ,O458)),"")</f>
        <v/>
      </c>
      <c r="U458" s="24" t="str">
        <f>IF(R458&lt;&gt;"",SUMIFS(JPK_KR!AL:AL,JPK_KR!W:W,S458),"")</f>
        <v/>
      </c>
      <c r="V458" s="126" t="str">
        <f>IF(R458&lt;&gt;"",SUMIFS(JPK_KR!AM:AM,JPK_KR!W:W,S458),"")</f>
        <v/>
      </c>
    </row>
    <row r="459" spans="3:22" x14ac:dyDescent="0.3">
      <c r="C459" s="24" t="str">
        <f>IF(A459&lt;&gt;"",SUMIFS(JPK_KR!AL:AL,JPK_KR!W:W,B459),"")</f>
        <v/>
      </c>
      <c r="D459" s="126" t="str">
        <f>IF(A459&lt;&gt;"",SUMIFS(JPK_KR!AM:AM,JPK_KR!W:W,B459),"")</f>
        <v/>
      </c>
      <c r="G459" s="24" t="str">
        <f>IF(E459&lt;&gt;"",SUMIFS(JPK_KR!AL:AL,JPK_KR!W:W,F459),"")</f>
        <v/>
      </c>
      <c r="H459" s="126" t="str">
        <f>IF(E459&lt;&gt;"",SUMIFS(JPK_KR!AM:AM,JPK_KR!W:W,F459),"")</f>
        <v/>
      </c>
      <c r="K459" s="24" t="str">
        <f>IF(I459&lt;&gt;"",SUMIFS(JPK_KR!AL:AL,JPK_KR!W:W,J459),"")</f>
        <v/>
      </c>
      <c r="L459" s="126" t="str">
        <f>IF(I459&lt;&gt;"",SUMIFS(JPK_KR!AM:AM,JPK_KR!W:W,J459),"")</f>
        <v/>
      </c>
      <c r="P459" s="24" t="str">
        <f>IF(M459&lt;&gt;"",IF(O459="",SUMIFS(JPK_KR!AL:AL,JPK_KR!W:W,N459),SUMIFS(JPK_KR!BF:BF,JPK_KR!BE:BE,N459,JPK_KR!BG:BG,O459)),"")</f>
        <v/>
      </c>
      <c r="Q459" s="126" t="str">
        <f>IF(M459&lt;&gt;"",IF(O459="",SUMIFS(JPK_KR!AM:AM,JPK_KR!W:W,N459),SUMIFS(JPK_KR!BI:BI,JPK_KR!BH:BH,N459,JPK_KR!BJ:BJ,O459)),"")</f>
        <v/>
      </c>
      <c r="U459" s="24" t="str">
        <f>IF(R459&lt;&gt;"",SUMIFS(JPK_KR!AL:AL,JPK_KR!W:W,S459),"")</f>
        <v/>
      </c>
      <c r="V459" s="126" t="str">
        <f>IF(R459&lt;&gt;"",SUMIFS(JPK_KR!AM:AM,JPK_KR!W:W,S459),"")</f>
        <v/>
      </c>
    </row>
    <row r="460" spans="3:22" x14ac:dyDescent="0.3">
      <c r="C460" s="24" t="str">
        <f>IF(A460&lt;&gt;"",SUMIFS(JPK_KR!AL:AL,JPK_KR!W:W,B460),"")</f>
        <v/>
      </c>
      <c r="D460" s="126" t="str">
        <f>IF(A460&lt;&gt;"",SUMIFS(JPK_KR!AM:AM,JPK_KR!W:W,B460),"")</f>
        <v/>
      </c>
      <c r="G460" s="24" t="str">
        <f>IF(E460&lt;&gt;"",SUMIFS(JPK_KR!AL:AL,JPK_KR!W:W,F460),"")</f>
        <v/>
      </c>
      <c r="H460" s="126" t="str">
        <f>IF(E460&lt;&gt;"",SUMIFS(JPK_KR!AM:AM,JPK_KR!W:W,F460),"")</f>
        <v/>
      </c>
      <c r="K460" s="24" t="str">
        <f>IF(I460&lt;&gt;"",SUMIFS(JPK_KR!AL:AL,JPK_KR!W:W,J460),"")</f>
        <v/>
      </c>
      <c r="L460" s="126" t="str">
        <f>IF(I460&lt;&gt;"",SUMIFS(JPK_KR!AM:AM,JPK_KR!W:W,J460),"")</f>
        <v/>
      </c>
      <c r="P460" s="24" t="str">
        <f>IF(M460&lt;&gt;"",IF(O460="",SUMIFS(JPK_KR!AL:AL,JPK_KR!W:W,N460),SUMIFS(JPK_KR!BF:BF,JPK_KR!BE:BE,N460,JPK_KR!BG:BG,O460)),"")</f>
        <v/>
      </c>
      <c r="Q460" s="126" t="str">
        <f>IF(M460&lt;&gt;"",IF(O460="",SUMIFS(JPK_KR!AM:AM,JPK_KR!W:W,N460),SUMIFS(JPK_KR!BI:BI,JPK_KR!BH:BH,N460,JPK_KR!BJ:BJ,O460)),"")</f>
        <v/>
      </c>
      <c r="U460" s="24" t="str">
        <f>IF(R460&lt;&gt;"",SUMIFS(JPK_KR!AL:AL,JPK_KR!W:W,S460),"")</f>
        <v/>
      </c>
      <c r="V460" s="126" t="str">
        <f>IF(R460&lt;&gt;"",SUMIFS(JPK_KR!AM:AM,JPK_KR!W:W,S460),"")</f>
        <v/>
      </c>
    </row>
    <row r="461" spans="3:22" x14ac:dyDescent="0.3">
      <c r="C461" s="24" t="str">
        <f>IF(A461&lt;&gt;"",SUMIFS(JPK_KR!AL:AL,JPK_KR!W:W,B461),"")</f>
        <v/>
      </c>
      <c r="D461" s="126" t="str">
        <f>IF(A461&lt;&gt;"",SUMIFS(JPK_KR!AM:AM,JPK_KR!W:W,B461),"")</f>
        <v/>
      </c>
      <c r="G461" s="24" t="str">
        <f>IF(E461&lt;&gt;"",SUMIFS(JPK_KR!AL:AL,JPK_KR!W:W,F461),"")</f>
        <v/>
      </c>
      <c r="H461" s="126" t="str">
        <f>IF(E461&lt;&gt;"",SUMIFS(JPK_KR!AM:AM,JPK_KR!W:W,F461),"")</f>
        <v/>
      </c>
      <c r="K461" s="24" t="str">
        <f>IF(I461&lt;&gt;"",SUMIFS(JPK_KR!AL:AL,JPK_KR!W:W,J461),"")</f>
        <v/>
      </c>
      <c r="L461" s="126" t="str">
        <f>IF(I461&lt;&gt;"",SUMIFS(JPK_KR!AM:AM,JPK_KR!W:W,J461),"")</f>
        <v/>
      </c>
      <c r="P461" s="24" t="str">
        <f>IF(M461&lt;&gt;"",IF(O461="",SUMIFS(JPK_KR!AL:AL,JPK_KR!W:W,N461),SUMIFS(JPK_KR!BF:BF,JPK_KR!BE:BE,N461,JPK_KR!BG:BG,O461)),"")</f>
        <v/>
      </c>
      <c r="Q461" s="126" t="str">
        <f>IF(M461&lt;&gt;"",IF(O461="",SUMIFS(JPK_KR!AM:AM,JPK_KR!W:W,N461),SUMIFS(JPK_KR!BI:BI,JPK_KR!BH:BH,N461,JPK_KR!BJ:BJ,O461)),"")</f>
        <v/>
      </c>
      <c r="U461" s="24" t="str">
        <f>IF(R461&lt;&gt;"",SUMIFS(JPK_KR!AL:AL,JPK_KR!W:W,S461),"")</f>
        <v/>
      </c>
      <c r="V461" s="126" t="str">
        <f>IF(R461&lt;&gt;"",SUMIFS(JPK_KR!AM:AM,JPK_KR!W:W,S461),"")</f>
        <v/>
      </c>
    </row>
    <row r="462" spans="3:22" x14ac:dyDescent="0.3">
      <c r="C462" s="24" t="str">
        <f>IF(A462&lt;&gt;"",SUMIFS(JPK_KR!AL:AL,JPK_KR!W:W,B462),"")</f>
        <v/>
      </c>
      <c r="D462" s="126" t="str">
        <f>IF(A462&lt;&gt;"",SUMIFS(JPK_KR!AM:AM,JPK_KR!W:W,B462),"")</f>
        <v/>
      </c>
      <c r="G462" s="24" t="str">
        <f>IF(E462&lt;&gt;"",SUMIFS(JPK_KR!AL:AL,JPK_KR!W:W,F462),"")</f>
        <v/>
      </c>
      <c r="H462" s="126" t="str">
        <f>IF(E462&lt;&gt;"",SUMIFS(JPK_KR!AM:AM,JPK_KR!W:W,F462),"")</f>
        <v/>
      </c>
      <c r="K462" s="24" t="str">
        <f>IF(I462&lt;&gt;"",SUMIFS(JPK_KR!AL:AL,JPK_KR!W:W,J462),"")</f>
        <v/>
      </c>
      <c r="L462" s="126" t="str">
        <f>IF(I462&lt;&gt;"",SUMIFS(JPK_KR!AM:AM,JPK_KR!W:W,J462),"")</f>
        <v/>
      </c>
      <c r="P462" s="24" t="str">
        <f>IF(M462&lt;&gt;"",IF(O462="",SUMIFS(JPK_KR!AL:AL,JPK_KR!W:W,N462),SUMIFS(JPK_KR!BF:BF,JPK_KR!BE:BE,N462,JPK_KR!BG:BG,O462)),"")</f>
        <v/>
      </c>
      <c r="Q462" s="126" t="str">
        <f>IF(M462&lt;&gt;"",IF(O462="",SUMIFS(JPK_KR!AM:AM,JPK_KR!W:W,N462),SUMIFS(JPK_KR!BI:BI,JPK_KR!BH:BH,N462,JPK_KR!BJ:BJ,O462)),"")</f>
        <v/>
      </c>
      <c r="U462" s="24" t="str">
        <f>IF(R462&lt;&gt;"",SUMIFS(JPK_KR!AL:AL,JPK_KR!W:W,S462),"")</f>
        <v/>
      </c>
      <c r="V462" s="126" t="str">
        <f>IF(R462&lt;&gt;"",SUMIFS(JPK_KR!AM:AM,JPK_KR!W:W,S462),"")</f>
        <v/>
      </c>
    </row>
    <row r="463" spans="3:22" x14ac:dyDescent="0.3">
      <c r="C463" s="24" t="str">
        <f>IF(A463&lt;&gt;"",SUMIFS(JPK_KR!AL:AL,JPK_KR!W:W,B463),"")</f>
        <v/>
      </c>
      <c r="D463" s="126" t="str">
        <f>IF(A463&lt;&gt;"",SUMIFS(JPK_KR!AM:AM,JPK_KR!W:W,B463),"")</f>
        <v/>
      </c>
      <c r="G463" s="24" t="str">
        <f>IF(E463&lt;&gt;"",SUMIFS(JPK_KR!AL:AL,JPK_KR!W:W,F463),"")</f>
        <v/>
      </c>
      <c r="H463" s="126" t="str">
        <f>IF(E463&lt;&gt;"",SUMIFS(JPK_KR!AM:AM,JPK_KR!W:W,F463),"")</f>
        <v/>
      </c>
      <c r="K463" s="24" t="str">
        <f>IF(I463&lt;&gt;"",SUMIFS(JPK_KR!AL:AL,JPK_KR!W:W,J463),"")</f>
        <v/>
      </c>
      <c r="L463" s="126" t="str">
        <f>IF(I463&lt;&gt;"",SUMIFS(JPK_KR!AM:AM,JPK_KR!W:W,J463),"")</f>
        <v/>
      </c>
      <c r="P463" s="24" t="str">
        <f>IF(M463&lt;&gt;"",IF(O463="",SUMIFS(JPK_KR!AL:AL,JPK_KR!W:W,N463),SUMIFS(JPK_KR!BF:BF,JPK_KR!BE:BE,N463,JPK_KR!BG:BG,O463)),"")</f>
        <v/>
      </c>
      <c r="Q463" s="126" t="str">
        <f>IF(M463&lt;&gt;"",IF(O463="",SUMIFS(JPK_KR!AM:AM,JPK_KR!W:W,N463),SUMIFS(JPK_KR!BI:BI,JPK_KR!BH:BH,N463,JPK_KR!BJ:BJ,O463)),"")</f>
        <v/>
      </c>
      <c r="U463" s="24" t="str">
        <f>IF(R463&lt;&gt;"",SUMIFS(JPK_KR!AL:AL,JPK_KR!W:W,S463),"")</f>
        <v/>
      </c>
      <c r="V463" s="126" t="str">
        <f>IF(R463&lt;&gt;"",SUMIFS(JPK_KR!AM:AM,JPK_KR!W:W,S463),"")</f>
        <v/>
      </c>
    </row>
    <row r="464" spans="3:22" x14ac:dyDescent="0.3">
      <c r="C464" s="24" t="str">
        <f>IF(A464&lt;&gt;"",SUMIFS(JPK_KR!AL:AL,JPK_KR!W:W,B464),"")</f>
        <v/>
      </c>
      <c r="D464" s="126" t="str">
        <f>IF(A464&lt;&gt;"",SUMIFS(JPK_KR!AM:AM,JPK_KR!W:W,B464),"")</f>
        <v/>
      </c>
      <c r="G464" s="24" t="str">
        <f>IF(E464&lt;&gt;"",SUMIFS(JPK_KR!AL:AL,JPK_KR!W:W,F464),"")</f>
        <v/>
      </c>
      <c r="H464" s="126" t="str">
        <f>IF(E464&lt;&gt;"",SUMIFS(JPK_KR!AM:AM,JPK_KR!W:W,F464),"")</f>
        <v/>
      </c>
      <c r="K464" s="24" t="str">
        <f>IF(I464&lt;&gt;"",SUMIFS(JPK_KR!AL:AL,JPK_KR!W:W,J464),"")</f>
        <v/>
      </c>
      <c r="L464" s="126" t="str">
        <f>IF(I464&lt;&gt;"",SUMIFS(JPK_KR!AM:AM,JPK_KR!W:W,J464),"")</f>
        <v/>
      </c>
      <c r="P464" s="24" t="str">
        <f>IF(M464&lt;&gt;"",IF(O464="",SUMIFS(JPK_KR!AL:AL,JPK_KR!W:W,N464),SUMIFS(JPK_KR!BF:BF,JPK_KR!BE:BE,N464,JPK_KR!BG:BG,O464)),"")</f>
        <v/>
      </c>
      <c r="Q464" s="126" t="str">
        <f>IF(M464&lt;&gt;"",IF(O464="",SUMIFS(JPK_KR!AM:AM,JPK_KR!W:W,N464),SUMIFS(JPK_KR!BI:BI,JPK_KR!BH:BH,N464,JPK_KR!BJ:BJ,O464)),"")</f>
        <v/>
      </c>
      <c r="U464" s="24" t="str">
        <f>IF(R464&lt;&gt;"",SUMIFS(JPK_KR!AL:AL,JPK_KR!W:W,S464),"")</f>
        <v/>
      </c>
      <c r="V464" s="126" t="str">
        <f>IF(R464&lt;&gt;"",SUMIFS(JPK_KR!AM:AM,JPK_KR!W:W,S464),"")</f>
        <v/>
      </c>
    </row>
    <row r="465" spans="3:22" x14ac:dyDescent="0.3">
      <c r="C465" s="24" t="str">
        <f>IF(A465&lt;&gt;"",SUMIFS(JPK_KR!AL:AL,JPK_KR!W:W,B465),"")</f>
        <v/>
      </c>
      <c r="D465" s="126" t="str">
        <f>IF(A465&lt;&gt;"",SUMIFS(JPK_KR!AM:AM,JPK_KR!W:W,B465),"")</f>
        <v/>
      </c>
      <c r="G465" s="24" t="str">
        <f>IF(E465&lt;&gt;"",SUMIFS(JPK_KR!AL:AL,JPK_KR!W:W,F465),"")</f>
        <v/>
      </c>
      <c r="H465" s="126" t="str">
        <f>IF(E465&lt;&gt;"",SUMIFS(JPK_KR!AM:AM,JPK_KR!W:W,F465),"")</f>
        <v/>
      </c>
      <c r="K465" s="24" t="str">
        <f>IF(I465&lt;&gt;"",SUMIFS(JPK_KR!AL:AL,JPK_KR!W:W,J465),"")</f>
        <v/>
      </c>
      <c r="L465" s="126" t="str">
        <f>IF(I465&lt;&gt;"",SUMIFS(JPK_KR!AM:AM,JPK_KR!W:W,J465),"")</f>
        <v/>
      </c>
      <c r="P465" s="24" t="str">
        <f>IF(M465&lt;&gt;"",IF(O465="",SUMIFS(JPK_KR!AL:AL,JPK_KR!W:W,N465),SUMIFS(JPK_KR!BF:BF,JPK_KR!BE:BE,N465,JPK_KR!BG:BG,O465)),"")</f>
        <v/>
      </c>
      <c r="Q465" s="126" t="str">
        <f>IF(M465&lt;&gt;"",IF(O465="",SUMIFS(JPK_KR!AM:AM,JPK_KR!W:W,N465),SUMIFS(JPK_KR!BI:BI,JPK_KR!BH:BH,N465,JPK_KR!BJ:BJ,O465)),"")</f>
        <v/>
      </c>
      <c r="U465" s="24" t="str">
        <f>IF(R465&lt;&gt;"",SUMIFS(JPK_KR!AL:AL,JPK_KR!W:W,S465),"")</f>
        <v/>
      </c>
      <c r="V465" s="126" t="str">
        <f>IF(R465&lt;&gt;"",SUMIFS(JPK_KR!AM:AM,JPK_KR!W:W,S465),"")</f>
        <v/>
      </c>
    </row>
    <row r="466" spans="3:22" x14ac:dyDescent="0.3">
      <c r="C466" s="24" t="str">
        <f>IF(A466&lt;&gt;"",SUMIFS(JPK_KR!AL:AL,JPK_KR!W:W,B466),"")</f>
        <v/>
      </c>
      <c r="D466" s="126" t="str">
        <f>IF(A466&lt;&gt;"",SUMIFS(JPK_KR!AM:AM,JPK_KR!W:W,B466),"")</f>
        <v/>
      </c>
      <c r="G466" s="24" t="str">
        <f>IF(E466&lt;&gt;"",SUMIFS(JPK_KR!AL:AL,JPK_KR!W:W,F466),"")</f>
        <v/>
      </c>
      <c r="H466" s="126" t="str">
        <f>IF(E466&lt;&gt;"",SUMIFS(JPK_KR!AM:AM,JPK_KR!W:W,F466),"")</f>
        <v/>
      </c>
      <c r="K466" s="24" t="str">
        <f>IF(I466&lt;&gt;"",SUMIFS(JPK_KR!AL:AL,JPK_KR!W:W,J466),"")</f>
        <v/>
      </c>
      <c r="L466" s="126" t="str">
        <f>IF(I466&lt;&gt;"",SUMIFS(JPK_KR!AM:AM,JPK_KR!W:W,J466),"")</f>
        <v/>
      </c>
      <c r="P466" s="24" t="str">
        <f>IF(M466&lt;&gt;"",IF(O466="",SUMIFS(JPK_KR!AL:AL,JPK_KR!W:W,N466),SUMIFS(JPK_KR!BF:BF,JPK_KR!BE:BE,N466,JPK_KR!BG:BG,O466)),"")</f>
        <v/>
      </c>
      <c r="Q466" s="126" t="str">
        <f>IF(M466&lt;&gt;"",IF(O466="",SUMIFS(JPK_KR!AM:AM,JPK_KR!W:W,N466),SUMIFS(JPK_KR!BI:BI,JPK_KR!BH:BH,N466,JPK_KR!BJ:BJ,O466)),"")</f>
        <v/>
      </c>
      <c r="U466" s="24" t="str">
        <f>IF(R466&lt;&gt;"",SUMIFS(JPK_KR!AL:AL,JPK_KR!W:W,S466),"")</f>
        <v/>
      </c>
      <c r="V466" s="126" t="str">
        <f>IF(R466&lt;&gt;"",SUMIFS(JPK_KR!AM:AM,JPK_KR!W:W,S466),"")</f>
        <v/>
      </c>
    </row>
    <row r="467" spans="3:22" x14ac:dyDescent="0.3">
      <c r="C467" s="24" t="str">
        <f>IF(A467&lt;&gt;"",SUMIFS(JPK_KR!AL:AL,JPK_KR!W:W,B467),"")</f>
        <v/>
      </c>
      <c r="D467" s="126" t="str">
        <f>IF(A467&lt;&gt;"",SUMIFS(JPK_KR!AM:AM,JPK_KR!W:W,B467),"")</f>
        <v/>
      </c>
      <c r="G467" s="24" t="str">
        <f>IF(E467&lt;&gt;"",SUMIFS(JPK_KR!AL:AL,JPK_KR!W:W,F467),"")</f>
        <v/>
      </c>
      <c r="H467" s="126" t="str">
        <f>IF(E467&lt;&gt;"",SUMIFS(JPK_KR!AM:AM,JPK_KR!W:W,F467),"")</f>
        <v/>
      </c>
      <c r="K467" s="24" t="str">
        <f>IF(I467&lt;&gt;"",SUMIFS(JPK_KR!AL:AL,JPK_KR!W:W,J467),"")</f>
        <v/>
      </c>
      <c r="L467" s="126" t="str">
        <f>IF(I467&lt;&gt;"",SUMIFS(JPK_KR!AM:AM,JPK_KR!W:W,J467),"")</f>
        <v/>
      </c>
      <c r="P467" s="24" t="str">
        <f>IF(M467&lt;&gt;"",IF(O467="",SUMIFS(JPK_KR!AL:AL,JPK_KR!W:W,N467),SUMIFS(JPK_KR!BF:BF,JPK_KR!BE:BE,N467,JPK_KR!BG:BG,O467)),"")</f>
        <v/>
      </c>
      <c r="Q467" s="126" t="str">
        <f>IF(M467&lt;&gt;"",IF(O467="",SUMIFS(JPK_KR!AM:AM,JPK_KR!W:W,N467),SUMIFS(JPK_KR!BI:BI,JPK_KR!BH:BH,N467,JPK_KR!BJ:BJ,O467)),"")</f>
        <v/>
      </c>
      <c r="U467" s="24" t="str">
        <f>IF(R467&lt;&gt;"",SUMIFS(JPK_KR!AL:AL,JPK_KR!W:W,S467),"")</f>
        <v/>
      </c>
      <c r="V467" s="126" t="str">
        <f>IF(R467&lt;&gt;"",SUMIFS(JPK_KR!AM:AM,JPK_KR!W:W,S467),"")</f>
        <v/>
      </c>
    </row>
    <row r="468" spans="3:22" x14ac:dyDescent="0.3">
      <c r="C468" s="24" t="str">
        <f>IF(A468&lt;&gt;"",SUMIFS(JPK_KR!AL:AL,JPK_KR!W:W,B468),"")</f>
        <v/>
      </c>
      <c r="D468" s="126" t="str">
        <f>IF(A468&lt;&gt;"",SUMIFS(JPK_KR!AM:AM,JPK_KR!W:W,B468),"")</f>
        <v/>
      </c>
      <c r="G468" s="24" t="str">
        <f>IF(E468&lt;&gt;"",SUMIFS(JPK_KR!AL:AL,JPK_KR!W:W,F468),"")</f>
        <v/>
      </c>
      <c r="H468" s="126" t="str">
        <f>IF(E468&lt;&gt;"",SUMIFS(JPK_KR!AM:AM,JPK_KR!W:W,F468),"")</f>
        <v/>
      </c>
      <c r="K468" s="24" t="str">
        <f>IF(I468&lt;&gt;"",SUMIFS(JPK_KR!AL:AL,JPK_KR!W:W,J468),"")</f>
        <v/>
      </c>
      <c r="L468" s="126" t="str">
        <f>IF(I468&lt;&gt;"",SUMIFS(JPK_KR!AM:AM,JPK_KR!W:W,J468),"")</f>
        <v/>
      </c>
      <c r="P468" s="24" t="str">
        <f>IF(M468&lt;&gt;"",IF(O468="",SUMIFS(JPK_KR!AL:AL,JPK_KR!W:W,N468),SUMIFS(JPK_KR!BF:BF,JPK_KR!BE:BE,N468,JPK_KR!BG:BG,O468)),"")</f>
        <v/>
      </c>
      <c r="Q468" s="126" t="str">
        <f>IF(M468&lt;&gt;"",IF(O468="",SUMIFS(JPK_KR!AM:AM,JPK_KR!W:W,N468),SUMIFS(JPK_KR!BI:BI,JPK_KR!BH:BH,N468,JPK_KR!BJ:BJ,O468)),"")</f>
        <v/>
      </c>
      <c r="U468" s="24" t="str">
        <f>IF(R468&lt;&gt;"",SUMIFS(JPK_KR!AL:AL,JPK_KR!W:W,S468),"")</f>
        <v/>
      </c>
      <c r="V468" s="126" t="str">
        <f>IF(R468&lt;&gt;"",SUMIFS(JPK_KR!AM:AM,JPK_KR!W:W,S468),"")</f>
        <v/>
      </c>
    </row>
    <row r="469" spans="3:22" x14ac:dyDescent="0.3">
      <c r="C469" s="24" t="str">
        <f>IF(A469&lt;&gt;"",SUMIFS(JPK_KR!AL:AL,JPK_KR!W:W,B469),"")</f>
        <v/>
      </c>
      <c r="D469" s="126" t="str">
        <f>IF(A469&lt;&gt;"",SUMIFS(JPK_KR!AM:AM,JPK_KR!W:W,B469),"")</f>
        <v/>
      </c>
      <c r="G469" s="24" t="str">
        <f>IF(E469&lt;&gt;"",SUMIFS(JPK_KR!AL:AL,JPK_KR!W:W,F469),"")</f>
        <v/>
      </c>
      <c r="H469" s="126" t="str">
        <f>IF(E469&lt;&gt;"",SUMIFS(JPK_KR!AM:AM,JPK_KR!W:W,F469),"")</f>
        <v/>
      </c>
      <c r="K469" s="24" t="str">
        <f>IF(I469&lt;&gt;"",SUMIFS(JPK_KR!AL:AL,JPK_KR!W:W,J469),"")</f>
        <v/>
      </c>
      <c r="L469" s="126" t="str">
        <f>IF(I469&lt;&gt;"",SUMIFS(JPK_KR!AM:AM,JPK_KR!W:W,J469),"")</f>
        <v/>
      </c>
      <c r="P469" s="24" t="str">
        <f>IF(M469&lt;&gt;"",IF(O469="",SUMIFS(JPK_KR!AL:AL,JPK_KR!W:W,N469),SUMIFS(JPK_KR!BF:BF,JPK_KR!BE:BE,N469,JPK_KR!BG:BG,O469)),"")</f>
        <v/>
      </c>
      <c r="Q469" s="126" t="str">
        <f>IF(M469&lt;&gt;"",IF(O469="",SUMIFS(JPK_KR!AM:AM,JPK_KR!W:W,N469),SUMIFS(JPK_KR!BI:BI,JPK_KR!BH:BH,N469,JPK_KR!BJ:BJ,O469)),"")</f>
        <v/>
      </c>
      <c r="U469" s="24" t="str">
        <f>IF(R469&lt;&gt;"",SUMIFS(JPK_KR!AL:AL,JPK_KR!W:W,S469),"")</f>
        <v/>
      </c>
      <c r="V469" s="126" t="str">
        <f>IF(R469&lt;&gt;"",SUMIFS(JPK_KR!AM:AM,JPK_KR!W:W,S469),"")</f>
        <v/>
      </c>
    </row>
    <row r="470" spans="3:22" x14ac:dyDescent="0.3">
      <c r="C470" s="24" t="str">
        <f>IF(A470&lt;&gt;"",SUMIFS(JPK_KR!AL:AL,JPK_KR!W:W,B470),"")</f>
        <v/>
      </c>
      <c r="D470" s="126" t="str">
        <f>IF(A470&lt;&gt;"",SUMIFS(JPK_KR!AM:AM,JPK_KR!W:W,B470),"")</f>
        <v/>
      </c>
      <c r="G470" s="24" t="str">
        <f>IF(E470&lt;&gt;"",SUMIFS(JPK_KR!AL:AL,JPK_KR!W:W,F470),"")</f>
        <v/>
      </c>
      <c r="H470" s="126" t="str">
        <f>IF(E470&lt;&gt;"",SUMIFS(JPK_KR!AM:AM,JPK_KR!W:W,F470),"")</f>
        <v/>
      </c>
      <c r="K470" s="24" t="str">
        <f>IF(I470&lt;&gt;"",SUMIFS(JPK_KR!AL:AL,JPK_KR!W:W,J470),"")</f>
        <v/>
      </c>
      <c r="L470" s="126" t="str">
        <f>IF(I470&lt;&gt;"",SUMIFS(JPK_KR!AM:AM,JPK_KR!W:W,J470),"")</f>
        <v/>
      </c>
      <c r="P470" s="24" t="str">
        <f>IF(M470&lt;&gt;"",IF(O470="",SUMIFS(JPK_KR!AL:AL,JPK_KR!W:W,N470),SUMIFS(JPK_KR!BF:BF,JPK_KR!BE:BE,N470,JPK_KR!BG:BG,O470)),"")</f>
        <v/>
      </c>
      <c r="Q470" s="126" t="str">
        <f>IF(M470&lt;&gt;"",IF(O470="",SUMIFS(JPK_KR!AM:AM,JPK_KR!W:W,N470),SUMIFS(JPK_KR!BI:BI,JPK_KR!BH:BH,N470,JPK_KR!BJ:BJ,O470)),"")</f>
        <v/>
      </c>
      <c r="U470" s="24" t="str">
        <f>IF(R470&lt;&gt;"",SUMIFS(JPK_KR!AL:AL,JPK_KR!W:W,S470),"")</f>
        <v/>
      </c>
      <c r="V470" s="126" t="str">
        <f>IF(R470&lt;&gt;"",SUMIFS(JPK_KR!AM:AM,JPK_KR!W:W,S470),"")</f>
        <v/>
      </c>
    </row>
    <row r="471" spans="3:22" x14ac:dyDescent="0.3">
      <c r="C471" s="24" t="str">
        <f>IF(A471&lt;&gt;"",SUMIFS(JPK_KR!AL:AL,JPK_KR!W:W,B471),"")</f>
        <v/>
      </c>
      <c r="D471" s="126" t="str">
        <f>IF(A471&lt;&gt;"",SUMIFS(JPK_KR!AM:AM,JPK_KR!W:W,B471),"")</f>
        <v/>
      </c>
      <c r="G471" s="24" t="str">
        <f>IF(E471&lt;&gt;"",SUMIFS(JPK_KR!AL:AL,JPK_KR!W:W,F471),"")</f>
        <v/>
      </c>
      <c r="H471" s="126" t="str">
        <f>IF(E471&lt;&gt;"",SUMIFS(JPK_KR!AM:AM,JPK_KR!W:W,F471),"")</f>
        <v/>
      </c>
      <c r="K471" s="24" t="str">
        <f>IF(I471&lt;&gt;"",SUMIFS(JPK_KR!AL:AL,JPK_KR!W:W,J471),"")</f>
        <v/>
      </c>
      <c r="L471" s="126" t="str">
        <f>IF(I471&lt;&gt;"",SUMIFS(JPK_KR!AM:AM,JPK_KR!W:W,J471),"")</f>
        <v/>
      </c>
      <c r="P471" s="24" t="str">
        <f>IF(M471&lt;&gt;"",IF(O471="",SUMIFS(JPK_KR!AL:AL,JPK_KR!W:W,N471),SUMIFS(JPK_KR!BF:BF,JPK_KR!BE:BE,N471,JPK_KR!BG:BG,O471)),"")</f>
        <v/>
      </c>
      <c r="Q471" s="126" t="str">
        <f>IF(M471&lt;&gt;"",IF(O471="",SUMIFS(JPK_KR!AM:AM,JPK_KR!W:W,N471),SUMIFS(JPK_KR!BI:BI,JPK_KR!BH:BH,N471,JPK_KR!BJ:BJ,O471)),"")</f>
        <v/>
      </c>
      <c r="U471" s="24" t="str">
        <f>IF(R471&lt;&gt;"",SUMIFS(JPK_KR!AL:AL,JPK_KR!W:W,S471),"")</f>
        <v/>
      </c>
      <c r="V471" s="126" t="str">
        <f>IF(R471&lt;&gt;"",SUMIFS(JPK_KR!AM:AM,JPK_KR!W:W,S471),"")</f>
        <v/>
      </c>
    </row>
    <row r="472" spans="3:22" x14ac:dyDescent="0.3">
      <c r="C472" s="24" t="str">
        <f>IF(A472&lt;&gt;"",SUMIFS(JPK_KR!AL:AL,JPK_KR!W:W,B472),"")</f>
        <v/>
      </c>
      <c r="D472" s="126" t="str">
        <f>IF(A472&lt;&gt;"",SUMIFS(JPK_KR!AM:AM,JPK_KR!W:W,B472),"")</f>
        <v/>
      </c>
      <c r="G472" s="24" t="str">
        <f>IF(E472&lt;&gt;"",SUMIFS(JPK_KR!AL:AL,JPK_KR!W:W,F472),"")</f>
        <v/>
      </c>
      <c r="H472" s="126" t="str">
        <f>IF(E472&lt;&gt;"",SUMIFS(JPK_KR!AM:AM,JPK_KR!W:W,F472),"")</f>
        <v/>
      </c>
      <c r="K472" s="24" t="str">
        <f>IF(I472&lt;&gt;"",SUMIFS(JPK_KR!AL:AL,JPK_KR!W:W,J472),"")</f>
        <v/>
      </c>
      <c r="L472" s="126" t="str">
        <f>IF(I472&lt;&gt;"",SUMIFS(JPK_KR!AM:AM,JPK_KR!W:W,J472),"")</f>
        <v/>
      </c>
      <c r="P472" s="24" t="str">
        <f>IF(M472&lt;&gt;"",IF(O472="",SUMIFS(JPK_KR!AL:AL,JPK_KR!W:W,N472),SUMIFS(JPK_KR!BF:BF,JPK_KR!BE:BE,N472,JPK_KR!BG:BG,O472)),"")</f>
        <v/>
      </c>
      <c r="Q472" s="126" t="str">
        <f>IF(M472&lt;&gt;"",IF(O472="",SUMIFS(JPK_KR!AM:AM,JPK_KR!W:W,N472),SUMIFS(JPK_KR!BI:BI,JPK_KR!BH:BH,N472,JPK_KR!BJ:BJ,O472)),"")</f>
        <v/>
      </c>
      <c r="U472" s="24" t="str">
        <f>IF(R472&lt;&gt;"",SUMIFS(JPK_KR!AL:AL,JPK_KR!W:W,S472),"")</f>
        <v/>
      </c>
      <c r="V472" s="126" t="str">
        <f>IF(R472&lt;&gt;"",SUMIFS(JPK_KR!AM:AM,JPK_KR!W:W,S472),"")</f>
        <v/>
      </c>
    </row>
    <row r="473" spans="3:22" x14ac:dyDescent="0.3">
      <c r="C473" s="24" t="str">
        <f>IF(A473&lt;&gt;"",SUMIFS(JPK_KR!AL:AL,JPK_KR!W:W,B473),"")</f>
        <v/>
      </c>
      <c r="D473" s="126" t="str">
        <f>IF(A473&lt;&gt;"",SUMIFS(JPK_KR!AM:AM,JPK_KR!W:W,B473),"")</f>
        <v/>
      </c>
      <c r="G473" s="24" t="str">
        <f>IF(E473&lt;&gt;"",SUMIFS(JPK_KR!AL:AL,JPK_KR!W:W,F473),"")</f>
        <v/>
      </c>
      <c r="H473" s="126" t="str">
        <f>IF(E473&lt;&gt;"",SUMIFS(JPK_KR!AM:AM,JPK_KR!W:W,F473),"")</f>
        <v/>
      </c>
      <c r="K473" s="24" t="str">
        <f>IF(I473&lt;&gt;"",SUMIFS(JPK_KR!AL:AL,JPK_KR!W:W,J473),"")</f>
        <v/>
      </c>
      <c r="L473" s="126" t="str">
        <f>IF(I473&lt;&gt;"",SUMIFS(JPK_KR!AM:AM,JPK_KR!W:W,J473),"")</f>
        <v/>
      </c>
      <c r="P473" s="24" t="str">
        <f>IF(M473&lt;&gt;"",IF(O473="",SUMIFS(JPK_KR!AL:AL,JPK_KR!W:W,N473),SUMIFS(JPK_KR!BF:BF,JPK_KR!BE:BE,N473,JPK_KR!BG:BG,O473)),"")</f>
        <v/>
      </c>
      <c r="Q473" s="126" t="str">
        <f>IF(M473&lt;&gt;"",IF(O473="",SUMIFS(JPK_KR!AM:AM,JPK_KR!W:W,N473),SUMIFS(JPK_KR!BI:BI,JPK_KR!BH:BH,N473,JPK_KR!BJ:BJ,O473)),"")</f>
        <v/>
      </c>
      <c r="U473" s="24" t="str">
        <f>IF(R473&lt;&gt;"",SUMIFS(JPK_KR!AL:AL,JPK_KR!W:W,S473),"")</f>
        <v/>
      </c>
      <c r="V473" s="126" t="str">
        <f>IF(R473&lt;&gt;"",SUMIFS(JPK_KR!AM:AM,JPK_KR!W:W,S473),"")</f>
        <v/>
      </c>
    </row>
    <row r="474" spans="3:22" x14ac:dyDescent="0.3">
      <c r="C474" s="24" t="str">
        <f>IF(A474&lt;&gt;"",SUMIFS(JPK_KR!AL:AL,JPK_KR!W:W,B474),"")</f>
        <v/>
      </c>
      <c r="D474" s="126" t="str">
        <f>IF(A474&lt;&gt;"",SUMIFS(JPK_KR!AM:AM,JPK_KR!W:W,B474),"")</f>
        <v/>
      </c>
      <c r="G474" s="24" t="str">
        <f>IF(E474&lt;&gt;"",SUMIFS(JPK_KR!AL:AL,JPK_KR!W:W,F474),"")</f>
        <v/>
      </c>
      <c r="H474" s="126" t="str">
        <f>IF(E474&lt;&gt;"",SUMIFS(JPK_KR!AM:AM,JPK_KR!W:W,F474),"")</f>
        <v/>
      </c>
      <c r="K474" s="24" t="str">
        <f>IF(I474&lt;&gt;"",SUMIFS(JPK_KR!AL:AL,JPK_KR!W:W,J474),"")</f>
        <v/>
      </c>
      <c r="L474" s="126" t="str">
        <f>IF(I474&lt;&gt;"",SUMIFS(JPK_KR!AM:AM,JPK_KR!W:W,J474),"")</f>
        <v/>
      </c>
      <c r="P474" s="24" t="str">
        <f>IF(M474&lt;&gt;"",IF(O474="",SUMIFS(JPK_KR!AL:AL,JPK_KR!W:W,N474),SUMIFS(JPK_KR!BF:BF,JPK_KR!BE:BE,N474,JPK_KR!BG:BG,O474)),"")</f>
        <v/>
      </c>
      <c r="Q474" s="126" t="str">
        <f>IF(M474&lt;&gt;"",IF(O474="",SUMIFS(JPK_KR!AM:AM,JPK_KR!W:W,N474),SUMIFS(JPK_KR!BI:BI,JPK_KR!BH:BH,N474,JPK_KR!BJ:BJ,O474)),"")</f>
        <v/>
      </c>
      <c r="U474" s="24" t="str">
        <f>IF(R474&lt;&gt;"",SUMIFS(JPK_KR!AL:AL,JPK_KR!W:W,S474),"")</f>
        <v/>
      </c>
      <c r="V474" s="126" t="str">
        <f>IF(R474&lt;&gt;"",SUMIFS(JPK_KR!AM:AM,JPK_KR!W:W,S474),"")</f>
        <v/>
      </c>
    </row>
    <row r="475" spans="3:22" x14ac:dyDescent="0.3">
      <c r="C475" s="24" t="str">
        <f>IF(A475&lt;&gt;"",SUMIFS(JPK_KR!AL:AL,JPK_KR!W:W,B475),"")</f>
        <v/>
      </c>
      <c r="D475" s="126" t="str">
        <f>IF(A475&lt;&gt;"",SUMIFS(JPK_KR!AM:AM,JPK_KR!W:W,B475),"")</f>
        <v/>
      </c>
      <c r="G475" s="24" t="str">
        <f>IF(E475&lt;&gt;"",SUMIFS(JPK_KR!AL:AL,JPK_KR!W:W,F475),"")</f>
        <v/>
      </c>
      <c r="H475" s="126" t="str">
        <f>IF(E475&lt;&gt;"",SUMIFS(JPK_KR!AM:AM,JPK_KR!W:W,F475),"")</f>
        <v/>
      </c>
      <c r="K475" s="24" t="str">
        <f>IF(I475&lt;&gt;"",SUMIFS(JPK_KR!AL:AL,JPK_KR!W:W,J475),"")</f>
        <v/>
      </c>
      <c r="L475" s="126" t="str">
        <f>IF(I475&lt;&gt;"",SUMIFS(JPK_KR!AM:AM,JPK_KR!W:W,J475),"")</f>
        <v/>
      </c>
      <c r="P475" s="24" t="str">
        <f>IF(M475&lt;&gt;"",IF(O475="",SUMIFS(JPK_KR!AL:AL,JPK_KR!W:W,N475),SUMIFS(JPK_KR!BF:BF,JPK_KR!BE:BE,N475,JPK_KR!BG:BG,O475)),"")</f>
        <v/>
      </c>
      <c r="Q475" s="126" t="str">
        <f>IF(M475&lt;&gt;"",IF(O475="",SUMIFS(JPK_KR!AM:AM,JPK_KR!W:W,N475),SUMIFS(JPK_KR!BI:BI,JPK_KR!BH:BH,N475,JPK_KR!BJ:BJ,O475)),"")</f>
        <v/>
      </c>
      <c r="U475" s="24" t="str">
        <f>IF(R475&lt;&gt;"",SUMIFS(JPK_KR!AL:AL,JPK_KR!W:W,S475),"")</f>
        <v/>
      </c>
      <c r="V475" s="126" t="str">
        <f>IF(R475&lt;&gt;"",SUMIFS(JPK_KR!AM:AM,JPK_KR!W:W,S475),"")</f>
        <v/>
      </c>
    </row>
    <row r="476" spans="3:22" x14ac:dyDescent="0.3">
      <c r="C476" s="24" t="str">
        <f>IF(A476&lt;&gt;"",SUMIFS(JPK_KR!AL:AL,JPK_KR!W:W,B476),"")</f>
        <v/>
      </c>
      <c r="D476" s="126" t="str">
        <f>IF(A476&lt;&gt;"",SUMIFS(JPK_KR!AM:AM,JPK_KR!W:W,B476),"")</f>
        <v/>
      </c>
      <c r="G476" s="24" t="str">
        <f>IF(E476&lt;&gt;"",SUMIFS(JPK_KR!AL:AL,JPK_KR!W:W,F476),"")</f>
        <v/>
      </c>
      <c r="H476" s="126" t="str">
        <f>IF(E476&lt;&gt;"",SUMIFS(JPK_KR!AM:AM,JPK_KR!W:W,F476),"")</f>
        <v/>
      </c>
      <c r="K476" s="24" t="str">
        <f>IF(I476&lt;&gt;"",SUMIFS(JPK_KR!AL:AL,JPK_KR!W:W,J476),"")</f>
        <v/>
      </c>
      <c r="L476" s="126" t="str">
        <f>IF(I476&lt;&gt;"",SUMIFS(JPK_KR!AM:AM,JPK_KR!W:W,J476),"")</f>
        <v/>
      </c>
      <c r="P476" s="24" t="str">
        <f>IF(M476&lt;&gt;"",IF(O476="",SUMIFS(JPK_KR!AL:AL,JPK_KR!W:W,N476),SUMIFS(JPK_KR!BF:BF,JPK_KR!BE:BE,N476,JPK_KR!BG:BG,O476)),"")</f>
        <v/>
      </c>
      <c r="Q476" s="126" t="str">
        <f>IF(M476&lt;&gt;"",IF(O476="",SUMIFS(JPK_KR!AM:AM,JPK_KR!W:W,N476),SUMIFS(JPK_KR!BI:BI,JPK_KR!BH:BH,N476,JPK_KR!BJ:BJ,O476)),"")</f>
        <v/>
      </c>
      <c r="U476" s="24" t="str">
        <f>IF(R476&lt;&gt;"",SUMIFS(JPK_KR!AL:AL,JPK_KR!W:W,S476),"")</f>
        <v/>
      </c>
      <c r="V476" s="126" t="str">
        <f>IF(R476&lt;&gt;"",SUMIFS(JPK_KR!AM:AM,JPK_KR!W:W,S476),"")</f>
        <v/>
      </c>
    </row>
    <row r="477" spans="3:22" x14ac:dyDescent="0.3">
      <c r="C477" s="24" t="str">
        <f>IF(A477&lt;&gt;"",SUMIFS(JPK_KR!AL:AL,JPK_KR!W:W,B477),"")</f>
        <v/>
      </c>
      <c r="D477" s="126" t="str">
        <f>IF(A477&lt;&gt;"",SUMIFS(JPK_KR!AM:AM,JPK_KR!W:W,B477),"")</f>
        <v/>
      </c>
      <c r="G477" s="24" t="str">
        <f>IF(E477&lt;&gt;"",SUMIFS(JPK_KR!AL:AL,JPK_KR!W:W,F477),"")</f>
        <v/>
      </c>
      <c r="H477" s="126" t="str">
        <f>IF(E477&lt;&gt;"",SUMIFS(JPK_KR!AM:AM,JPK_KR!W:W,F477),"")</f>
        <v/>
      </c>
      <c r="K477" s="24" t="str">
        <f>IF(I477&lt;&gt;"",SUMIFS(JPK_KR!AL:AL,JPK_KR!W:W,J477),"")</f>
        <v/>
      </c>
      <c r="L477" s="126" t="str">
        <f>IF(I477&lt;&gt;"",SUMIFS(JPK_KR!AM:AM,JPK_KR!W:W,J477),"")</f>
        <v/>
      </c>
      <c r="P477" s="24" t="str">
        <f>IF(M477&lt;&gt;"",IF(O477="",SUMIFS(JPK_KR!AL:AL,JPK_KR!W:W,N477),SUMIFS(JPK_KR!BF:BF,JPK_KR!BE:BE,N477,JPK_KR!BG:BG,O477)),"")</f>
        <v/>
      </c>
      <c r="Q477" s="126" t="str">
        <f>IF(M477&lt;&gt;"",IF(O477="",SUMIFS(JPK_KR!AM:AM,JPK_KR!W:W,N477),SUMIFS(JPK_KR!BI:BI,JPK_KR!BH:BH,N477,JPK_KR!BJ:BJ,O477)),"")</f>
        <v/>
      </c>
      <c r="U477" s="24" t="str">
        <f>IF(R477&lt;&gt;"",SUMIFS(JPK_KR!AL:AL,JPK_KR!W:W,S477),"")</f>
        <v/>
      </c>
      <c r="V477" s="126" t="str">
        <f>IF(R477&lt;&gt;"",SUMIFS(JPK_KR!AM:AM,JPK_KR!W:W,S477),"")</f>
        <v/>
      </c>
    </row>
    <row r="478" spans="3:22" x14ac:dyDescent="0.3">
      <c r="C478" s="24" t="str">
        <f>IF(A478&lt;&gt;"",SUMIFS(JPK_KR!AL:AL,JPK_KR!W:W,B478),"")</f>
        <v/>
      </c>
      <c r="D478" s="126" t="str">
        <f>IF(A478&lt;&gt;"",SUMIFS(JPK_KR!AM:AM,JPK_KR!W:W,B478),"")</f>
        <v/>
      </c>
      <c r="G478" s="24" t="str">
        <f>IF(E478&lt;&gt;"",SUMIFS(JPK_KR!AL:AL,JPK_KR!W:W,F478),"")</f>
        <v/>
      </c>
      <c r="H478" s="126" t="str">
        <f>IF(E478&lt;&gt;"",SUMIFS(JPK_KR!AM:AM,JPK_KR!W:W,F478),"")</f>
        <v/>
      </c>
      <c r="K478" s="24" t="str">
        <f>IF(I478&lt;&gt;"",SUMIFS(JPK_KR!AL:AL,JPK_KR!W:W,J478),"")</f>
        <v/>
      </c>
      <c r="L478" s="126" t="str">
        <f>IF(I478&lt;&gt;"",SUMIFS(JPK_KR!AM:AM,JPK_KR!W:W,J478),"")</f>
        <v/>
      </c>
      <c r="P478" s="24" t="str">
        <f>IF(M478&lt;&gt;"",IF(O478="",SUMIFS(JPK_KR!AL:AL,JPK_KR!W:W,N478),SUMIFS(JPK_KR!BF:BF,JPK_KR!BE:BE,N478,JPK_KR!BG:BG,O478)),"")</f>
        <v/>
      </c>
      <c r="Q478" s="126" t="str">
        <f>IF(M478&lt;&gt;"",IF(O478="",SUMIFS(JPK_KR!AM:AM,JPK_KR!W:W,N478),SUMIFS(JPK_KR!BI:BI,JPK_KR!BH:BH,N478,JPK_KR!BJ:BJ,O478)),"")</f>
        <v/>
      </c>
      <c r="U478" s="24" t="str">
        <f>IF(R478&lt;&gt;"",SUMIFS(JPK_KR!AL:AL,JPK_KR!W:W,S478),"")</f>
        <v/>
      </c>
      <c r="V478" s="126" t="str">
        <f>IF(R478&lt;&gt;"",SUMIFS(JPK_KR!AM:AM,JPK_KR!W:W,S478),"")</f>
        <v/>
      </c>
    </row>
    <row r="479" spans="3:22" x14ac:dyDescent="0.3">
      <c r="C479" s="24" t="str">
        <f>IF(A479&lt;&gt;"",SUMIFS(JPK_KR!AL:AL,JPK_KR!W:W,B479),"")</f>
        <v/>
      </c>
      <c r="D479" s="126" t="str">
        <f>IF(A479&lt;&gt;"",SUMIFS(JPK_KR!AM:AM,JPK_KR!W:W,B479),"")</f>
        <v/>
      </c>
      <c r="G479" s="24" t="str">
        <f>IF(E479&lt;&gt;"",SUMIFS(JPK_KR!AL:AL,JPK_KR!W:W,F479),"")</f>
        <v/>
      </c>
      <c r="H479" s="126" t="str">
        <f>IF(E479&lt;&gt;"",SUMIFS(JPK_KR!AM:AM,JPK_KR!W:W,F479),"")</f>
        <v/>
      </c>
      <c r="K479" s="24" t="str">
        <f>IF(I479&lt;&gt;"",SUMIFS(JPK_KR!AL:AL,JPK_KR!W:W,J479),"")</f>
        <v/>
      </c>
      <c r="L479" s="126" t="str">
        <f>IF(I479&lt;&gt;"",SUMIFS(JPK_KR!AM:AM,JPK_KR!W:W,J479),"")</f>
        <v/>
      </c>
      <c r="P479" s="24" t="str">
        <f>IF(M479&lt;&gt;"",IF(O479="",SUMIFS(JPK_KR!AL:AL,JPK_KR!W:W,N479),SUMIFS(JPK_KR!BF:BF,JPK_KR!BE:BE,N479,JPK_KR!BG:BG,O479)),"")</f>
        <v/>
      </c>
      <c r="Q479" s="126" t="str">
        <f>IF(M479&lt;&gt;"",IF(O479="",SUMIFS(JPK_KR!AM:AM,JPK_KR!W:W,N479),SUMIFS(JPK_KR!BI:BI,JPK_KR!BH:BH,N479,JPK_KR!BJ:BJ,O479)),"")</f>
        <v/>
      </c>
      <c r="U479" s="24" t="str">
        <f>IF(R479&lt;&gt;"",SUMIFS(JPK_KR!AL:AL,JPK_KR!W:W,S479),"")</f>
        <v/>
      </c>
      <c r="V479" s="126" t="str">
        <f>IF(R479&lt;&gt;"",SUMIFS(JPK_KR!AM:AM,JPK_KR!W:W,S479),"")</f>
        <v/>
      </c>
    </row>
    <row r="480" spans="3:22" x14ac:dyDescent="0.3">
      <c r="C480" s="24" t="str">
        <f>IF(A480&lt;&gt;"",SUMIFS(JPK_KR!AL:AL,JPK_KR!W:W,B480),"")</f>
        <v/>
      </c>
      <c r="D480" s="126" t="str">
        <f>IF(A480&lt;&gt;"",SUMIFS(JPK_KR!AM:AM,JPK_KR!W:W,B480),"")</f>
        <v/>
      </c>
      <c r="G480" s="24" t="str">
        <f>IF(E480&lt;&gt;"",SUMIFS(JPK_KR!AL:AL,JPK_KR!W:W,F480),"")</f>
        <v/>
      </c>
      <c r="H480" s="126" t="str">
        <f>IF(E480&lt;&gt;"",SUMIFS(JPK_KR!AM:AM,JPK_KR!W:W,F480),"")</f>
        <v/>
      </c>
      <c r="K480" s="24" t="str">
        <f>IF(I480&lt;&gt;"",SUMIFS(JPK_KR!AL:AL,JPK_KR!W:W,J480),"")</f>
        <v/>
      </c>
      <c r="L480" s="126" t="str">
        <f>IF(I480&lt;&gt;"",SUMIFS(JPK_KR!AM:AM,JPK_KR!W:W,J480),"")</f>
        <v/>
      </c>
      <c r="P480" s="24" t="str">
        <f>IF(M480&lt;&gt;"",IF(O480="",SUMIFS(JPK_KR!AL:AL,JPK_KR!W:W,N480),SUMIFS(JPK_KR!BF:BF,JPK_KR!BE:BE,N480,JPK_KR!BG:BG,O480)),"")</f>
        <v/>
      </c>
      <c r="Q480" s="126" t="str">
        <f>IF(M480&lt;&gt;"",IF(O480="",SUMIFS(JPK_KR!AM:AM,JPK_KR!W:W,N480),SUMIFS(JPK_KR!BI:BI,JPK_KR!BH:BH,N480,JPK_KR!BJ:BJ,O480)),"")</f>
        <v/>
      </c>
      <c r="U480" s="24" t="str">
        <f>IF(R480&lt;&gt;"",SUMIFS(JPK_KR!AL:AL,JPK_KR!W:W,S480),"")</f>
        <v/>
      </c>
      <c r="V480" s="126" t="str">
        <f>IF(R480&lt;&gt;"",SUMIFS(JPK_KR!AM:AM,JPK_KR!W:W,S480),"")</f>
        <v/>
      </c>
    </row>
    <row r="481" spans="3:22" x14ac:dyDescent="0.3">
      <c r="C481" s="24" t="str">
        <f>IF(A481&lt;&gt;"",SUMIFS(JPK_KR!AL:AL,JPK_KR!W:W,B481),"")</f>
        <v/>
      </c>
      <c r="D481" s="126" t="str">
        <f>IF(A481&lt;&gt;"",SUMIFS(JPK_KR!AM:AM,JPK_KR!W:W,B481),"")</f>
        <v/>
      </c>
      <c r="G481" s="24" t="str">
        <f>IF(E481&lt;&gt;"",SUMIFS(JPK_KR!AL:AL,JPK_KR!W:W,F481),"")</f>
        <v/>
      </c>
      <c r="H481" s="126" t="str">
        <f>IF(E481&lt;&gt;"",SUMIFS(JPK_KR!AM:AM,JPK_KR!W:W,F481),"")</f>
        <v/>
      </c>
      <c r="K481" s="24" t="str">
        <f>IF(I481&lt;&gt;"",SUMIFS(JPK_KR!AL:AL,JPK_KR!W:W,J481),"")</f>
        <v/>
      </c>
      <c r="L481" s="126" t="str">
        <f>IF(I481&lt;&gt;"",SUMIFS(JPK_KR!AM:AM,JPK_KR!W:W,J481),"")</f>
        <v/>
      </c>
      <c r="P481" s="24" t="str">
        <f>IF(M481&lt;&gt;"",IF(O481="",SUMIFS(JPK_KR!AL:AL,JPK_KR!W:W,N481),SUMIFS(JPK_KR!BF:BF,JPK_KR!BE:BE,N481,JPK_KR!BG:BG,O481)),"")</f>
        <v/>
      </c>
      <c r="Q481" s="126" t="str">
        <f>IF(M481&lt;&gt;"",IF(O481="",SUMIFS(JPK_KR!AM:AM,JPK_KR!W:W,N481),SUMIFS(JPK_KR!BI:BI,JPK_KR!BH:BH,N481,JPK_KR!BJ:BJ,O481)),"")</f>
        <v/>
      </c>
      <c r="U481" s="24" t="str">
        <f>IF(R481&lt;&gt;"",SUMIFS(JPK_KR!AL:AL,JPK_KR!W:W,S481),"")</f>
        <v/>
      </c>
      <c r="V481" s="126" t="str">
        <f>IF(R481&lt;&gt;"",SUMIFS(JPK_KR!AM:AM,JPK_KR!W:W,S481),"")</f>
        <v/>
      </c>
    </row>
    <row r="482" spans="3:22" x14ac:dyDescent="0.3">
      <c r="C482" s="24" t="str">
        <f>IF(A482&lt;&gt;"",SUMIFS(JPK_KR!AL:AL,JPK_KR!W:W,B482),"")</f>
        <v/>
      </c>
      <c r="D482" s="126" t="str">
        <f>IF(A482&lt;&gt;"",SUMIFS(JPK_KR!AM:AM,JPK_KR!W:W,B482),"")</f>
        <v/>
      </c>
      <c r="G482" s="24" t="str">
        <f>IF(E482&lt;&gt;"",SUMIFS(JPK_KR!AL:AL,JPK_KR!W:W,F482),"")</f>
        <v/>
      </c>
      <c r="H482" s="126" t="str">
        <f>IF(E482&lt;&gt;"",SUMIFS(JPK_KR!AM:AM,JPK_KR!W:W,F482),"")</f>
        <v/>
      </c>
      <c r="K482" s="24" t="str">
        <f>IF(I482&lt;&gt;"",SUMIFS(JPK_KR!AL:AL,JPK_KR!W:W,J482),"")</f>
        <v/>
      </c>
      <c r="L482" s="126" t="str">
        <f>IF(I482&lt;&gt;"",SUMIFS(JPK_KR!AM:AM,JPK_KR!W:W,J482),"")</f>
        <v/>
      </c>
      <c r="P482" s="24" t="str">
        <f>IF(M482&lt;&gt;"",IF(O482="",SUMIFS(JPK_KR!AL:AL,JPK_KR!W:W,N482),SUMIFS(JPK_KR!BF:BF,JPK_KR!BE:BE,N482,JPK_KR!BG:BG,O482)),"")</f>
        <v/>
      </c>
      <c r="Q482" s="126" t="str">
        <f>IF(M482&lt;&gt;"",IF(O482="",SUMIFS(JPK_KR!AM:AM,JPK_KR!W:W,N482),SUMIFS(JPK_KR!BI:BI,JPK_KR!BH:BH,N482,JPK_KR!BJ:BJ,O482)),"")</f>
        <v/>
      </c>
      <c r="U482" s="24" t="str">
        <f>IF(R482&lt;&gt;"",SUMIFS(JPK_KR!AL:AL,JPK_KR!W:W,S482),"")</f>
        <v/>
      </c>
      <c r="V482" s="126" t="str">
        <f>IF(R482&lt;&gt;"",SUMIFS(JPK_KR!AM:AM,JPK_KR!W:W,S482),"")</f>
        <v/>
      </c>
    </row>
    <row r="483" spans="3:22" x14ac:dyDescent="0.3">
      <c r="C483" s="24" t="str">
        <f>IF(A483&lt;&gt;"",SUMIFS(JPK_KR!AL:AL,JPK_KR!W:W,B483),"")</f>
        <v/>
      </c>
      <c r="D483" s="126" t="str">
        <f>IF(A483&lt;&gt;"",SUMIFS(JPK_KR!AM:AM,JPK_KR!W:W,B483),"")</f>
        <v/>
      </c>
      <c r="G483" s="24" t="str">
        <f>IF(E483&lt;&gt;"",SUMIFS(JPK_KR!AL:AL,JPK_KR!W:W,F483),"")</f>
        <v/>
      </c>
      <c r="H483" s="126" t="str">
        <f>IF(E483&lt;&gt;"",SUMIFS(JPK_KR!AM:AM,JPK_KR!W:W,F483),"")</f>
        <v/>
      </c>
      <c r="K483" s="24" t="str">
        <f>IF(I483&lt;&gt;"",SUMIFS(JPK_KR!AL:AL,JPK_KR!W:W,J483),"")</f>
        <v/>
      </c>
      <c r="L483" s="126" t="str">
        <f>IF(I483&lt;&gt;"",SUMIFS(JPK_KR!AM:AM,JPK_KR!W:W,J483),"")</f>
        <v/>
      </c>
      <c r="P483" s="24" t="str">
        <f>IF(M483&lt;&gt;"",IF(O483="",SUMIFS(JPK_KR!AL:AL,JPK_KR!W:W,N483),SUMIFS(JPK_KR!BF:BF,JPK_KR!BE:BE,N483,JPK_KR!BG:BG,O483)),"")</f>
        <v/>
      </c>
      <c r="Q483" s="126" t="str">
        <f>IF(M483&lt;&gt;"",IF(O483="",SUMIFS(JPK_KR!AM:AM,JPK_KR!W:W,N483),SUMIFS(JPK_KR!BI:BI,JPK_KR!BH:BH,N483,JPK_KR!BJ:BJ,O483)),"")</f>
        <v/>
      </c>
      <c r="U483" s="24" t="str">
        <f>IF(R483&lt;&gt;"",SUMIFS(JPK_KR!AL:AL,JPK_KR!W:W,S483),"")</f>
        <v/>
      </c>
      <c r="V483" s="126" t="str">
        <f>IF(R483&lt;&gt;"",SUMIFS(JPK_KR!AM:AM,JPK_KR!W:W,S483),"")</f>
        <v/>
      </c>
    </row>
    <row r="484" spans="3:22" x14ac:dyDescent="0.3">
      <c r="C484" s="24" t="str">
        <f>IF(A484&lt;&gt;"",SUMIFS(JPK_KR!AL:AL,JPK_KR!W:W,B484),"")</f>
        <v/>
      </c>
      <c r="D484" s="126" t="str">
        <f>IF(A484&lt;&gt;"",SUMIFS(JPK_KR!AM:AM,JPK_KR!W:W,B484),"")</f>
        <v/>
      </c>
      <c r="G484" s="24" t="str">
        <f>IF(E484&lt;&gt;"",SUMIFS(JPK_KR!AL:AL,JPK_KR!W:W,F484),"")</f>
        <v/>
      </c>
      <c r="H484" s="126" t="str">
        <f>IF(E484&lt;&gt;"",SUMIFS(JPK_KR!AM:AM,JPK_KR!W:W,F484),"")</f>
        <v/>
      </c>
      <c r="K484" s="24" t="str">
        <f>IF(I484&lt;&gt;"",SUMIFS(JPK_KR!AL:AL,JPK_KR!W:W,J484),"")</f>
        <v/>
      </c>
      <c r="L484" s="126" t="str">
        <f>IF(I484&lt;&gt;"",SUMIFS(JPK_KR!AM:AM,JPK_KR!W:W,J484),"")</f>
        <v/>
      </c>
      <c r="P484" s="24" t="str">
        <f>IF(M484&lt;&gt;"",IF(O484="",SUMIFS(JPK_KR!AL:AL,JPK_KR!W:W,N484),SUMIFS(JPK_KR!BF:BF,JPK_KR!BE:BE,N484,JPK_KR!BG:BG,O484)),"")</f>
        <v/>
      </c>
      <c r="Q484" s="126" t="str">
        <f>IF(M484&lt;&gt;"",IF(O484="",SUMIFS(JPK_KR!AM:AM,JPK_KR!W:W,N484),SUMIFS(JPK_KR!BI:BI,JPK_KR!BH:BH,N484,JPK_KR!BJ:BJ,O484)),"")</f>
        <v/>
      </c>
      <c r="U484" s="24" t="str">
        <f>IF(R484&lt;&gt;"",SUMIFS(JPK_KR!AL:AL,JPK_KR!W:W,S484),"")</f>
        <v/>
      </c>
      <c r="V484" s="126" t="str">
        <f>IF(R484&lt;&gt;"",SUMIFS(JPK_KR!AM:AM,JPK_KR!W:W,S484),"")</f>
        <v/>
      </c>
    </row>
    <row r="485" spans="3:22" x14ac:dyDescent="0.3">
      <c r="C485" s="24" t="str">
        <f>IF(A485&lt;&gt;"",SUMIFS(JPK_KR!AL:AL,JPK_KR!W:W,B485),"")</f>
        <v/>
      </c>
      <c r="D485" s="126" t="str">
        <f>IF(A485&lt;&gt;"",SUMIFS(JPK_KR!AM:AM,JPK_KR!W:W,B485),"")</f>
        <v/>
      </c>
      <c r="G485" s="24" t="str">
        <f>IF(E485&lt;&gt;"",SUMIFS(JPK_KR!AL:AL,JPK_KR!W:W,F485),"")</f>
        <v/>
      </c>
      <c r="H485" s="126" t="str">
        <f>IF(E485&lt;&gt;"",SUMIFS(JPK_KR!AM:AM,JPK_KR!W:W,F485),"")</f>
        <v/>
      </c>
      <c r="K485" s="24" t="str">
        <f>IF(I485&lt;&gt;"",SUMIFS(JPK_KR!AL:AL,JPK_KR!W:W,J485),"")</f>
        <v/>
      </c>
      <c r="L485" s="126" t="str">
        <f>IF(I485&lt;&gt;"",SUMIFS(JPK_KR!AM:AM,JPK_KR!W:W,J485),"")</f>
        <v/>
      </c>
      <c r="P485" s="24" t="str">
        <f>IF(M485&lt;&gt;"",IF(O485="",SUMIFS(JPK_KR!AL:AL,JPK_KR!W:W,N485),SUMIFS(JPK_KR!BF:BF,JPK_KR!BE:BE,N485,JPK_KR!BG:BG,O485)),"")</f>
        <v/>
      </c>
      <c r="Q485" s="126" t="str">
        <f>IF(M485&lt;&gt;"",IF(O485="",SUMIFS(JPK_KR!AM:AM,JPK_KR!W:W,N485),SUMIFS(JPK_KR!BI:BI,JPK_KR!BH:BH,N485,JPK_KR!BJ:BJ,O485)),"")</f>
        <v/>
      </c>
      <c r="U485" s="24" t="str">
        <f>IF(R485&lt;&gt;"",SUMIFS(JPK_KR!AL:AL,JPK_KR!W:W,S485),"")</f>
        <v/>
      </c>
      <c r="V485" s="126" t="str">
        <f>IF(R485&lt;&gt;"",SUMIFS(JPK_KR!AM:AM,JPK_KR!W:W,S485),"")</f>
        <v/>
      </c>
    </row>
    <row r="486" spans="3:22" x14ac:dyDescent="0.3">
      <c r="C486" s="24" t="str">
        <f>IF(A486&lt;&gt;"",SUMIFS(JPK_KR!AL:AL,JPK_KR!W:W,B486),"")</f>
        <v/>
      </c>
      <c r="D486" s="126" t="str">
        <f>IF(A486&lt;&gt;"",SUMIFS(JPK_KR!AM:AM,JPK_KR!W:W,B486),"")</f>
        <v/>
      </c>
      <c r="G486" s="24" t="str">
        <f>IF(E486&lt;&gt;"",SUMIFS(JPK_KR!AL:AL,JPK_KR!W:W,F486),"")</f>
        <v/>
      </c>
      <c r="H486" s="126" t="str">
        <f>IF(E486&lt;&gt;"",SUMIFS(JPK_KR!AM:AM,JPK_KR!W:W,F486),"")</f>
        <v/>
      </c>
      <c r="K486" s="24" t="str">
        <f>IF(I486&lt;&gt;"",SUMIFS(JPK_KR!AL:AL,JPK_KR!W:W,J486),"")</f>
        <v/>
      </c>
      <c r="L486" s="126" t="str">
        <f>IF(I486&lt;&gt;"",SUMIFS(JPK_KR!AM:AM,JPK_KR!W:W,J486),"")</f>
        <v/>
      </c>
      <c r="P486" s="24" t="str">
        <f>IF(M486&lt;&gt;"",IF(O486="",SUMIFS(JPK_KR!AL:AL,JPK_KR!W:W,N486),SUMIFS(JPK_KR!BF:BF,JPK_KR!BE:BE,N486,JPK_KR!BG:BG,O486)),"")</f>
        <v/>
      </c>
      <c r="Q486" s="126" t="str">
        <f>IF(M486&lt;&gt;"",IF(O486="",SUMIFS(JPK_KR!AM:AM,JPK_KR!W:W,N486),SUMIFS(JPK_KR!BI:BI,JPK_KR!BH:BH,N486,JPK_KR!BJ:BJ,O486)),"")</f>
        <v/>
      </c>
      <c r="U486" s="24" t="str">
        <f>IF(R486&lt;&gt;"",SUMIFS(JPK_KR!AL:AL,JPK_KR!W:W,S486),"")</f>
        <v/>
      </c>
      <c r="V486" s="126" t="str">
        <f>IF(R486&lt;&gt;"",SUMIFS(JPK_KR!AM:AM,JPK_KR!W:W,S486),"")</f>
        <v/>
      </c>
    </row>
    <row r="487" spans="3:22" x14ac:dyDescent="0.3">
      <c r="C487" s="24" t="str">
        <f>IF(A487&lt;&gt;"",SUMIFS(JPK_KR!AL:AL,JPK_KR!W:W,B487),"")</f>
        <v/>
      </c>
      <c r="D487" s="126" t="str">
        <f>IF(A487&lt;&gt;"",SUMIFS(JPK_KR!AM:AM,JPK_KR!W:W,B487),"")</f>
        <v/>
      </c>
      <c r="G487" s="24" t="str">
        <f>IF(E487&lt;&gt;"",SUMIFS(JPK_KR!AL:AL,JPK_KR!W:W,F487),"")</f>
        <v/>
      </c>
      <c r="H487" s="126" t="str">
        <f>IF(E487&lt;&gt;"",SUMIFS(JPK_KR!AM:AM,JPK_KR!W:W,F487),"")</f>
        <v/>
      </c>
      <c r="K487" s="24" t="str">
        <f>IF(I487&lt;&gt;"",SUMIFS(JPK_KR!AL:AL,JPK_KR!W:W,J487),"")</f>
        <v/>
      </c>
      <c r="L487" s="126" t="str">
        <f>IF(I487&lt;&gt;"",SUMIFS(JPK_KR!AM:AM,JPK_KR!W:W,J487),"")</f>
        <v/>
      </c>
      <c r="P487" s="24" t="str">
        <f>IF(M487&lt;&gt;"",IF(O487="",SUMIFS(JPK_KR!AL:AL,JPK_KR!W:W,N487),SUMIFS(JPK_KR!BF:BF,JPK_KR!BE:BE,N487,JPK_KR!BG:BG,O487)),"")</f>
        <v/>
      </c>
      <c r="Q487" s="126" t="str">
        <f>IF(M487&lt;&gt;"",IF(O487="",SUMIFS(JPK_KR!AM:AM,JPK_KR!W:W,N487),SUMIFS(JPK_KR!BI:BI,JPK_KR!BH:BH,N487,JPK_KR!BJ:BJ,O487)),"")</f>
        <v/>
      </c>
      <c r="U487" s="24" t="str">
        <f>IF(R487&lt;&gt;"",SUMIFS(JPK_KR!AL:AL,JPK_KR!W:W,S487),"")</f>
        <v/>
      </c>
      <c r="V487" s="126" t="str">
        <f>IF(R487&lt;&gt;"",SUMIFS(JPK_KR!AM:AM,JPK_KR!W:W,S487),"")</f>
        <v/>
      </c>
    </row>
    <row r="488" spans="3:22" x14ac:dyDescent="0.3">
      <c r="C488" s="24" t="str">
        <f>IF(A488&lt;&gt;"",SUMIFS(JPK_KR!AL:AL,JPK_KR!W:W,B488),"")</f>
        <v/>
      </c>
      <c r="D488" s="126" t="str">
        <f>IF(A488&lt;&gt;"",SUMIFS(JPK_KR!AM:AM,JPK_KR!W:W,B488),"")</f>
        <v/>
      </c>
      <c r="G488" s="24" t="str">
        <f>IF(E488&lt;&gt;"",SUMIFS(JPK_KR!AL:AL,JPK_KR!W:W,F488),"")</f>
        <v/>
      </c>
      <c r="H488" s="126" t="str">
        <f>IF(E488&lt;&gt;"",SUMIFS(JPK_KR!AM:AM,JPK_KR!W:W,F488),"")</f>
        <v/>
      </c>
      <c r="K488" s="24" t="str">
        <f>IF(I488&lt;&gt;"",SUMIFS(JPK_KR!AL:AL,JPK_KR!W:W,J488),"")</f>
        <v/>
      </c>
      <c r="L488" s="126" t="str">
        <f>IF(I488&lt;&gt;"",SUMIFS(JPK_KR!AM:AM,JPK_KR!W:W,J488),"")</f>
        <v/>
      </c>
      <c r="P488" s="24" t="str">
        <f>IF(M488&lt;&gt;"",IF(O488="",SUMIFS(JPK_KR!AL:AL,JPK_KR!W:W,N488),SUMIFS(JPK_KR!BF:BF,JPK_KR!BE:BE,N488,JPK_KR!BG:BG,O488)),"")</f>
        <v/>
      </c>
      <c r="Q488" s="126" t="str">
        <f>IF(M488&lt;&gt;"",IF(O488="",SUMIFS(JPK_KR!AM:AM,JPK_KR!W:W,N488),SUMIFS(JPK_KR!BI:BI,JPK_KR!BH:BH,N488,JPK_KR!BJ:BJ,O488)),"")</f>
        <v/>
      </c>
      <c r="U488" s="24" t="str">
        <f>IF(R488&lt;&gt;"",SUMIFS(JPK_KR!AL:AL,JPK_KR!W:W,S488),"")</f>
        <v/>
      </c>
      <c r="V488" s="126" t="str">
        <f>IF(R488&lt;&gt;"",SUMIFS(JPK_KR!AM:AM,JPK_KR!W:W,S488),"")</f>
        <v/>
      </c>
    </row>
    <row r="489" spans="3:22" x14ac:dyDescent="0.3">
      <c r="C489" s="24" t="str">
        <f>IF(A489&lt;&gt;"",SUMIFS(JPK_KR!AL:AL,JPK_KR!W:W,B489),"")</f>
        <v/>
      </c>
      <c r="D489" s="126" t="str">
        <f>IF(A489&lt;&gt;"",SUMIFS(JPK_KR!AM:AM,JPK_KR!W:W,B489),"")</f>
        <v/>
      </c>
      <c r="G489" s="24" t="str">
        <f>IF(E489&lt;&gt;"",SUMIFS(JPK_KR!AL:AL,JPK_KR!W:W,F489),"")</f>
        <v/>
      </c>
      <c r="H489" s="126" t="str">
        <f>IF(E489&lt;&gt;"",SUMIFS(JPK_KR!AM:AM,JPK_KR!W:W,F489),"")</f>
        <v/>
      </c>
      <c r="K489" s="24" t="str">
        <f>IF(I489&lt;&gt;"",SUMIFS(JPK_KR!AL:AL,JPK_KR!W:W,J489),"")</f>
        <v/>
      </c>
      <c r="L489" s="126" t="str">
        <f>IF(I489&lt;&gt;"",SUMIFS(JPK_KR!AM:AM,JPK_KR!W:W,J489),"")</f>
        <v/>
      </c>
      <c r="P489" s="24" t="str">
        <f>IF(M489&lt;&gt;"",IF(O489="",SUMIFS(JPK_KR!AL:AL,JPK_KR!W:W,N489),SUMIFS(JPK_KR!BF:BF,JPK_KR!BE:BE,N489,JPK_KR!BG:BG,O489)),"")</f>
        <v/>
      </c>
      <c r="Q489" s="126" t="str">
        <f>IF(M489&lt;&gt;"",IF(O489="",SUMIFS(JPK_KR!AM:AM,JPK_KR!W:W,N489),SUMIFS(JPK_KR!BI:BI,JPK_KR!BH:BH,N489,JPK_KR!BJ:BJ,O489)),"")</f>
        <v/>
      </c>
      <c r="U489" s="24" t="str">
        <f>IF(R489&lt;&gt;"",SUMIFS(JPK_KR!AL:AL,JPK_KR!W:W,S489),"")</f>
        <v/>
      </c>
      <c r="V489" s="126" t="str">
        <f>IF(R489&lt;&gt;"",SUMIFS(JPK_KR!AM:AM,JPK_KR!W:W,S489),"")</f>
        <v/>
      </c>
    </row>
    <row r="490" spans="3:22" x14ac:dyDescent="0.3">
      <c r="C490" s="24" t="str">
        <f>IF(A490&lt;&gt;"",SUMIFS(JPK_KR!AL:AL,JPK_KR!W:W,B490),"")</f>
        <v/>
      </c>
      <c r="D490" s="126" t="str">
        <f>IF(A490&lt;&gt;"",SUMIFS(JPK_KR!AM:AM,JPK_KR!W:W,B490),"")</f>
        <v/>
      </c>
      <c r="G490" s="24" t="str">
        <f>IF(E490&lt;&gt;"",SUMIFS(JPK_KR!AL:AL,JPK_KR!W:W,F490),"")</f>
        <v/>
      </c>
      <c r="H490" s="126" t="str">
        <f>IF(E490&lt;&gt;"",SUMIFS(JPK_KR!AM:AM,JPK_KR!W:W,F490),"")</f>
        <v/>
      </c>
      <c r="K490" s="24" t="str">
        <f>IF(I490&lt;&gt;"",SUMIFS(JPK_KR!AL:AL,JPK_KR!W:W,J490),"")</f>
        <v/>
      </c>
      <c r="L490" s="126" t="str">
        <f>IF(I490&lt;&gt;"",SUMIFS(JPK_KR!AM:AM,JPK_KR!W:W,J490),"")</f>
        <v/>
      </c>
      <c r="P490" s="24" t="str">
        <f>IF(M490&lt;&gt;"",IF(O490="",SUMIFS(JPK_KR!AL:AL,JPK_KR!W:W,N490),SUMIFS(JPK_KR!BF:BF,JPK_KR!BE:BE,N490,JPK_KR!BG:BG,O490)),"")</f>
        <v/>
      </c>
      <c r="Q490" s="126" t="str">
        <f>IF(M490&lt;&gt;"",IF(O490="",SUMIFS(JPK_KR!AM:AM,JPK_KR!W:W,N490),SUMIFS(JPK_KR!BI:BI,JPK_KR!BH:BH,N490,JPK_KR!BJ:BJ,O490)),"")</f>
        <v/>
      </c>
      <c r="U490" s="24" t="str">
        <f>IF(R490&lt;&gt;"",SUMIFS(JPK_KR!AL:AL,JPK_KR!W:W,S490),"")</f>
        <v/>
      </c>
      <c r="V490" s="126" t="str">
        <f>IF(R490&lt;&gt;"",SUMIFS(JPK_KR!AM:AM,JPK_KR!W:W,S490),"")</f>
        <v/>
      </c>
    </row>
    <row r="491" spans="3:22" x14ac:dyDescent="0.3">
      <c r="C491" s="24" t="str">
        <f>IF(A491&lt;&gt;"",SUMIFS(JPK_KR!AL:AL,JPK_KR!W:W,B491),"")</f>
        <v/>
      </c>
      <c r="D491" s="126" t="str">
        <f>IF(A491&lt;&gt;"",SUMIFS(JPK_KR!AM:AM,JPK_KR!W:W,B491),"")</f>
        <v/>
      </c>
      <c r="G491" s="24" t="str">
        <f>IF(E491&lt;&gt;"",SUMIFS(JPK_KR!AL:AL,JPK_KR!W:W,F491),"")</f>
        <v/>
      </c>
      <c r="H491" s="126" t="str">
        <f>IF(E491&lt;&gt;"",SUMIFS(JPK_KR!AM:AM,JPK_KR!W:W,F491),"")</f>
        <v/>
      </c>
      <c r="K491" s="24" t="str">
        <f>IF(I491&lt;&gt;"",SUMIFS(JPK_KR!AL:AL,JPK_KR!W:W,J491),"")</f>
        <v/>
      </c>
      <c r="L491" s="126" t="str">
        <f>IF(I491&lt;&gt;"",SUMIFS(JPK_KR!AM:AM,JPK_KR!W:W,J491),"")</f>
        <v/>
      </c>
      <c r="P491" s="24" t="str">
        <f>IF(M491&lt;&gt;"",IF(O491="",SUMIFS(JPK_KR!AL:AL,JPK_KR!W:W,N491),SUMIFS(JPK_KR!BF:BF,JPK_KR!BE:BE,N491,JPK_KR!BG:BG,O491)),"")</f>
        <v/>
      </c>
      <c r="Q491" s="126" t="str">
        <f>IF(M491&lt;&gt;"",IF(O491="",SUMIFS(JPK_KR!AM:AM,JPK_KR!W:W,N491),SUMIFS(JPK_KR!BI:BI,JPK_KR!BH:BH,N491,JPK_KR!BJ:BJ,O491)),"")</f>
        <v/>
      </c>
      <c r="U491" s="24" t="str">
        <f>IF(R491&lt;&gt;"",SUMIFS(JPK_KR!AL:AL,JPK_KR!W:W,S491),"")</f>
        <v/>
      </c>
      <c r="V491" s="126" t="str">
        <f>IF(R491&lt;&gt;"",SUMIFS(JPK_KR!AM:AM,JPK_KR!W:W,S491),"")</f>
        <v/>
      </c>
    </row>
    <row r="492" spans="3:22" x14ac:dyDescent="0.3">
      <c r="C492" s="24" t="str">
        <f>IF(A492&lt;&gt;"",SUMIFS(JPK_KR!AL:AL,JPK_KR!W:W,B492),"")</f>
        <v/>
      </c>
      <c r="D492" s="126" t="str">
        <f>IF(A492&lt;&gt;"",SUMIFS(JPK_KR!AM:AM,JPK_KR!W:W,B492),"")</f>
        <v/>
      </c>
      <c r="G492" s="24" t="str">
        <f>IF(E492&lt;&gt;"",SUMIFS(JPK_KR!AL:AL,JPK_KR!W:W,F492),"")</f>
        <v/>
      </c>
      <c r="H492" s="126" t="str">
        <f>IF(E492&lt;&gt;"",SUMIFS(JPK_KR!AM:AM,JPK_KR!W:W,F492),"")</f>
        <v/>
      </c>
      <c r="K492" s="24" t="str">
        <f>IF(I492&lt;&gt;"",SUMIFS(JPK_KR!AL:AL,JPK_KR!W:W,J492),"")</f>
        <v/>
      </c>
      <c r="L492" s="126" t="str">
        <f>IF(I492&lt;&gt;"",SUMIFS(JPK_KR!AM:AM,JPK_KR!W:W,J492),"")</f>
        <v/>
      </c>
      <c r="P492" s="24" t="str">
        <f>IF(M492&lt;&gt;"",IF(O492="",SUMIFS(JPK_KR!AL:AL,JPK_KR!W:W,N492),SUMIFS(JPK_KR!BF:BF,JPK_KR!BE:BE,N492,JPK_KR!BG:BG,O492)),"")</f>
        <v/>
      </c>
      <c r="Q492" s="126" t="str">
        <f>IF(M492&lt;&gt;"",IF(O492="",SUMIFS(JPK_KR!AM:AM,JPK_KR!W:W,N492),SUMIFS(JPK_KR!BI:BI,JPK_KR!BH:BH,N492,JPK_KR!BJ:BJ,O492)),"")</f>
        <v/>
      </c>
      <c r="U492" s="24" t="str">
        <f>IF(R492&lt;&gt;"",SUMIFS(JPK_KR!AL:AL,JPK_KR!W:W,S492),"")</f>
        <v/>
      </c>
      <c r="V492" s="126" t="str">
        <f>IF(R492&lt;&gt;"",SUMIFS(JPK_KR!AM:AM,JPK_KR!W:W,S492),"")</f>
        <v/>
      </c>
    </row>
    <row r="493" spans="3:22" x14ac:dyDescent="0.3">
      <c r="C493" s="24" t="str">
        <f>IF(A493&lt;&gt;"",SUMIFS(JPK_KR!AL:AL,JPK_KR!W:W,B493),"")</f>
        <v/>
      </c>
      <c r="D493" s="126" t="str">
        <f>IF(A493&lt;&gt;"",SUMIFS(JPK_KR!AM:AM,JPK_KR!W:W,B493),"")</f>
        <v/>
      </c>
      <c r="G493" s="24" t="str">
        <f>IF(E493&lt;&gt;"",SUMIFS(JPK_KR!AL:AL,JPK_KR!W:W,F493),"")</f>
        <v/>
      </c>
      <c r="H493" s="126" t="str">
        <f>IF(E493&lt;&gt;"",SUMIFS(JPK_KR!AM:AM,JPK_KR!W:W,F493),"")</f>
        <v/>
      </c>
      <c r="K493" s="24" t="str">
        <f>IF(I493&lt;&gt;"",SUMIFS(JPK_KR!AL:AL,JPK_KR!W:W,J493),"")</f>
        <v/>
      </c>
      <c r="L493" s="126" t="str">
        <f>IF(I493&lt;&gt;"",SUMIFS(JPK_KR!AM:AM,JPK_KR!W:W,J493),"")</f>
        <v/>
      </c>
      <c r="P493" s="24" t="str">
        <f>IF(M493&lt;&gt;"",IF(O493="",SUMIFS(JPK_KR!AL:AL,JPK_KR!W:W,N493),SUMIFS(JPK_KR!BF:BF,JPK_KR!BE:BE,N493,JPK_KR!BG:BG,O493)),"")</f>
        <v/>
      </c>
      <c r="Q493" s="126" t="str">
        <f>IF(M493&lt;&gt;"",IF(O493="",SUMIFS(JPK_KR!AM:AM,JPK_KR!W:W,N493),SUMIFS(JPK_KR!BI:BI,JPK_KR!BH:BH,N493,JPK_KR!BJ:BJ,O493)),"")</f>
        <v/>
      </c>
      <c r="U493" s="24" t="str">
        <f>IF(R493&lt;&gt;"",SUMIFS(JPK_KR!AL:AL,JPK_KR!W:W,S493),"")</f>
        <v/>
      </c>
      <c r="V493" s="126" t="str">
        <f>IF(R493&lt;&gt;"",SUMIFS(JPK_KR!AM:AM,JPK_KR!W:W,S493),"")</f>
        <v/>
      </c>
    </row>
    <row r="494" spans="3:22" x14ac:dyDescent="0.3">
      <c r="C494" s="24" t="str">
        <f>IF(A494&lt;&gt;"",SUMIFS(JPK_KR!AL:AL,JPK_KR!W:W,B494),"")</f>
        <v/>
      </c>
      <c r="D494" s="126" t="str">
        <f>IF(A494&lt;&gt;"",SUMIFS(JPK_KR!AM:AM,JPK_KR!W:W,B494),"")</f>
        <v/>
      </c>
      <c r="G494" s="24" t="str">
        <f>IF(E494&lt;&gt;"",SUMIFS(JPK_KR!AL:AL,JPK_KR!W:W,F494),"")</f>
        <v/>
      </c>
      <c r="H494" s="126" t="str">
        <f>IF(E494&lt;&gt;"",SUMIFS(JPK_KR!AM:AM,JPK_KR!W:W,F494),"")</f>
        <v/>
      </c>
      <c r="K494" s="24" t="str">
        <f>IF(I494&lt;&gt;"",SUMIFS(JPK_KR!AL:AL,JPK_KR!W:W,J494),"")</f>
        <v/>
      </c>
      <c r="L494" s="126" t="str">
        <f>IF(I494&lt;&gt;"",SUMIFS(JPK_KR!AM:AM,JPK_KR!W:W,J494),"")</f>
        <v/>
      </c>
      <c r="P494" s="24" t="str">
        <f>IF(M494&lt;&gt;"",IF(O494="",SUMIFS(JPK_KR!AL:AL,JPK_KR!W:W,N494),SUMIFS(JPK_KR!BF:BF,JPK_KR!BE:BE,N494,JPK_KR!BG:BG,O494)),"")</f>
        <v/>
      </c>
      <c r="Q494" s="126" t="str">
        <f>IF(M494&lt;&gt;"",IF(O494="",SUMIFS(JPK_KR!AM:AM,JPK_KR!W:W,N494),SUMIFS(JPK_KR!BI:BI,JPK_KR!BH:BH,N494,JPK_KR!BJ:BJ,O494)),"")</f>
        <v/>
      </c>
      <c r="U494" s="24" t="str">
        <f>IF(R494&lt;&gt;"",SUMIFS(JPK_KR!AL:AL,JPK_KR!W:W,S494),"")</f>
        <v/>
      </c>
      <c r="V494" s="126" t="str">
        <f>IF(R494&lt;&gt;"",SUMIFS(JPK_KR!AM:AM,JPK_KR!W:W,S494),"")</f>
        <v/>
      </c>
    </row>
    <row r="495" spans="3:22" x14ac:dyDescent="0.3">
      <c r="C495" s="24" t="str">
        <f>IF(A495&lt;&gt;"",SUMIFS(JPK_KR!AL:AL,JPK_KR!W:W,B495),"")</f>
        <v/>
      </c>
      <c r="D495" s="126" t="str">
        <f>IF(A495&lt;&gt;"",SUMIFS(JPK_KR!AM:AM,JPK_KR!W:W,B495),"")</f>
        <v/>
      </c>
      <c r="G495" s="24" t="str">
        <f>IF(E495&lt;&gt;"",SUMIFS(JPK_KR!AL:AL,JPK_KR!W:W,F495),"")</f>
        <v/>
      </c>
      <c r="H495" s="126" t="str">
        <f>IF(E495&lt;&gt;"",SUMIFS(JPK_KR!AM:AM,JPK_KR!W:W,F495),"")</f>
        <v/>
      </c>
      <c r="K495" s="24" t="str">
        <f>IF(I495&lt;&gt;"",SUMIFS(JPK_KR!AL:AL,JPK_KR!W:W,J495),"")</f>
        <v/>
      </c>
      <c r="L495" s="126" t="str">
        <f>IF(I495&lt;&gt;"",SUMIFS(JPK_KR!AM:AM,JPK_KR!W:W,J495),"")</f>
        <v/>
      </c>
      <c r="P495" s="24" t="str">
        <f>IF(M495&lt;&gt;"",IF(O495="",SUMIFS(JPK_KR!AL:AL,JPK_KR!W:W,N495),SUMIFS(JPK_KR!BF:BF,JPK_KR!BE:BE,N495,JPK_KR!BG:BG,O495)),"")</f>
        <v/>
      </c>
      <c r="Q495" s="126" t="str">
        <f>IF(M495&lt;&gt;"",IF(O495="",SUMIFS(JPK_KR!AM:AM,JPK_KR!W:W,N495),SUMIFS(JPK_KR!BI:BI,JPK_KR!BH:BH,N495,JPK_KR!BJ:BJ,O495)),"")</f>
        <v/>
      </c>
      <c r="U495" s="24" t="str">
        <f>IF(R495&lt;&gt;"",SUMIFS(JPK_KR!AL:AL,JPK_KR!W:W,S495),"")</f>
        <v/>
      </c>
      <c r="V495" s="126" t="str">
        <f>IF(R495&lt;&gt;"",SUMIFS(JPK_KR!AM:AM,JPK_KR!W:W,S495),"")</f>
        <v/>
      </c>
    </row>
    <row r="496" spans="3:22" x14ac:dyDescent="0.3">
      <c r="C496" s="24" t="str">
        <f>IF(A496&lt;&gt;"",SUMIFS(JPK_KR!AL:AL,JPK_KR!W:W,B496),"")</f>
        <v/>
      </c>
      <c r="D496" s="126" t="str">
        <f>IF(A496&lt;&gt;"",SUMIFS(JPK_KR!AM:AM,JPK_KR!W:W,B496),"")</f>
        <v/>
      </c>
      <c r="G496" s="24" t="str">
        <f>IF(E496&lt;&gt;"",SUMIFS(JPK_KR!AL:AL,JPK_KR!W:W,F496),"")</f>
        <v/>
      </c>
      <c r="H496" s="126" t="str">
        <f>IF(E496&lt;&gt;"",SUMIFS(JPK_KR!AM:AM,JPK_KR!W:W,F496),"")</f>
        <v/>
      </c>
      <c r="K496" s="24" t="str">
        <f>IF(I496&lt;&gt;"",SUMIFS(JPK_KR!AL:AL,JPK_KR!W:W,J496),"")</f>
        <v/>
      </c>
      <c r="L496" s="126" t="str">
        <f>IF(I496&lt;&gt;"",SUMIFS(JPK_KR!AM:AM,JPK_KR!W:W,J496),"")</f>
        <v/>
      </c>
      <c r="P496" s="24" t="str">
        <f>IF(M496&lt;&gt;"",IF(O496="",SUMIFS(JPK_KR!AL:AL,JPK_KR!W:W,N496),SUMIFS(JPK_KR!BF:BF,JPK_KR!BE:BE,N496,JPK_KR!BG:BG,O496)),"")</f>
        <v/>
      </c>
      <c r="Q496" s="126" t="str">
        <f>IF(M496&lt;&gt;"",IF(O496="",SUMIFS(JPK_KR!AM:AM,JPK_KR!W:W,N496),SUMIFS(JPK_KR!BI:BI,JPK_KR!BH:BH,N496,JPK_KR!BJ:BJ,O496)),"")</f>
        <v/>
      </c>
      <c r="U496" s="24" t="str">
        <f>IF(R496&lt;&gt;"",SUMIFS(JPK_KR!AL:AL,JPK_KR!W:W,S496),"")</f>
        <v/>
      </c>
      <c r="V496" s="126" t="str">
        <f>IF(R496&lt;&gt;"",SUMIFS(JPK_KR!AM:AM,JPK_KR!W:W,S496),"")</f>
        <v/>
      </c>
    </row>
    <row r="497" spans="3:22" x14ac:dyDescent="0.3">
      <c r="C497" s="24" t="str">
        <f>IF(A497&lt;&gt;"",SUMIFS(JPK_KR!AL:AL,JPK_KR!W:W,B497),"")</f>
        <v/>
      </c>
      <c r="D497" s="126" t="str">
        <f>IF(A497&lt;&gt;"",SUMIFS(JPK_KR!AM:AM,JPK_KR!W:W,B497),"")</f>
        <v/>
      </c>
      <c r="G497" s="24" t="str">
        <f>IF(E497&lt;&gt;"",SUMIFS(JPK_KR!AL:AL,JPK_KR!W:W,F497),"")</f>
        <v/>
      </c>
      <c r="H497" s="126" t="str">
        <f>IF(E497&lt;&gt;"",SUMIFS(JPK_KR!AM:AM,JPK_KR!W:W,F497),"")</f>
        <v/>
      </c>
      <c r="K497" s="24" t="str">
        <f>IF(I497&lt;&gt;"",SUMIFS(JPK_KR!AL:AL,JPK_KR!W:W,J497),"")</f>
        <v/>
      </c>
      <c r="L497" s="126" t="str">
        <f>IF(I497&lt;&gt;"",SUMIFS(JPK_KR!AM:AM,JPK_KR!W:W,J497),"")</f>
        <v/>
      </c>
      <c r="P497" s="24" t="str">
        <f>IF(M497&lt;&gt;"",IF(O497="",SUMIFS(JPK_KR!AL:AL,JPK_KR!W:W,N497),SUMIFS(JPK_KR!BF:BF,JPK_KR!BE:BE,N497,JPK_KR!BG:BG,O497)),"")</f>
        <v/>
      </c>
      <c r="Q497" s="126" t="str">
        <f>IF(M497&lt;&gt;"",IF(O497="",SUMIFS(JPK_KR!AM:AM,JPK_KR!W:W,N497),SUMIFS(JPK_KR!BI:BI,JPK_KR!BH:BH,N497,JPK_KR!BJ:BJ,O497)),"")</f>
        <v/>
      </c>
      <c r="U497" s="24" t="str">
        <f>IF(R497&lt;&gt;"",SUMIFS(JPK_KR!AL:AL,JPK_KR!W:W,S497),"")</f>
        <v/>
      </c>
      <c r="V497" s="126" t="str">
        <f>IF(R497&lt;&gt;"",SUMIFS(JPK_KR!AM:AM,JPK_KR!W:W,S497),"")</f>
        <v/>
      </c>
    </row>
    <row r="498" spans="3:22" x14ac:dyDescent="0.3">
      <c r="C498" s="24" t="str">
        <f>IF(A498&lt;&gt;"",SUMIFS(JPK_KR!AL:AL,JPK_KR!W:W,B498),"")</f>
        <v/>
      </c>
      <c r="D498" s="126" t="str">
        <f>IF(A498&lt;&gt;"",SUMIFS(JPK_KR!AM:AM,JPK_KR!W:W,B498),"")</f>
        <v/>
      </c>
      <c r="G498" s="24" t="str">
        <f>IF(E498&lt;&gt;"",SUMIFS(JPK_KR!AL:AL,JPK_KR!W:W,F498),"")</f>
        <v/>
      </c>
      <c r="H498" s="126" t="str">
        <f>IF(E498&lt;&gt;"",SUMIFS(JPK_KR!AM:AM,JPK_KR!W:W,F498),"")</f>
        <v/>
      </c>
      <c r="K498" s="24" t="str">
        <f>IF(I498&lt;&gt;"",SUMIFS(JPK_KR!AL:AL,JPK_KR!W:W,J498),"")</f>
        <v/>
      </c>
      <c r="L498" s="126" t="str">
        <f>IF(I498&lt;&gt;"",SUMIFS(JPK_KR!AM:AM,JPK_KR!W:W,J498),"")</f>
        <v/>
      </c>
      <c r="P498" s="24" t="str">
        <f>IF(M498&lt;&gt;"",IF(O498="",SUMIFS(JPK_KR!AL:AL,JPK_KR!W:W,N498),SUMIFS(JPK_KR!BF:BF,JPK_KR!BE:BE,N498,JPK_KR!BG:BG,O498)),"")</f>
        <v/>
      </c>
      <c r="Q498" s="126" t="str">
        <f>IF(M498&lt;&gt;"",IF(O498="",SUMIFS(JPK_KR!AM:AM,JPK_KR!W:W,N498),SUMIFS(JPK_KR!BI:BI,JPK_KR!BH:BH,N498,JPK_KR!BJ:BJ,O498)),"")</f>
        <v/>
      </c>
      <c r="U498" s="24" t="str">
        <f>IF(R498&lt;&gt;"",SUMIFS(JPK_KR!AL:AL,JPK_KR!W:W,S498),"")</f>
        <v/>
      </c>
      <c r="V498" s="126" t="str">
        <f>IF(R498&lt;&gt;"",SUMIFS(JPK_KR!AM:AM,JPK_KR!W:W,S498),"")</f>
        <v/>
      </c>
    </row>
    <row r="499" spans="3:22" x14ac:dyDescent="0.3">
      <c r="C499" s="24" t="str">
        <f>IF(A499&lt;&gt;"",SUMIFS(JPK_KR!AL:AL,JPK_KR!W:W,B499),"")</f>
        <v/>
      </c>
      <c r="D499" s="126" t="str">
        <f>IF(A499&lt;&gt;"",SUMIFS(JPK_KR!AM:AM,JPK_KR!W:W,B499),"")</f>
        <v/>
      </c>
      <c r="G499" s="24" t="str">
        <f>IF(E499&lt;&gt;"",SUMIFS(JPK_KR!AL:AL,JPK_KR!W:W,F499),"")</f>
        <v/>
      </c>
      <c r="H499" s="126" t="str">
        <f>IF(E499&lt;&gt;"",SUMIFS(JPK_KR!AM:AM,JPK_KR!W:W,F499),"")</f>
        <v/>
      </c>
      <c r="K499" s="24" t="str">
        <f>IF(I499&lt;&gt;"",SUMIFS(JPK_KR!AL:AL,JPK_KR!W:W,J499),"")</f>
        <v/>
      </c>
      <c r="L499" s="126" t="str">
        <f>IF(I499&lt;&gt;"",SUMIFS(JPK_KR!AM:AM,JPK_KR!W:W,J499),"")</f>
        <v/>
      </c>
      <c r="P499" s="24" t="str">
        <f>IF(M499&lt;&gt;"",IF(O499="",SUMIFS(JPK_KR!AL:AL,JPK_KR!W:W,N499),SUMIFS(JPK_KR!BF:BF,JPK_KR!BE:BE,N499,JPK_KR!BG:BG,O499)),"")</f>
        <v/>
      </c>
      <c r="Q499" s="126" t="str">
        <f>IF(M499&lt;&gt;"",IF(O499="",SUMIFS(JPK_KR!AM:AM,JPK_KR!W:W,N499),SUMIFS(JPK_KR!BI:BI,JPK_KR!BH:BH,N499,JPK_KR!BJ:BJ,O499)),"")</f>
        <v/>
      </c>
      <c r="U499" s="24" t="str">
        <f>IF(R499&lt;&gt;"",SUMIFS(JPK_KR!AL:AL,JPK_KR!W:W,S499),"")</f>
        <v/>
      </c>
      <c r="V499" s="126" t="str">
        <f>IF(R499&lt;&gt;"",SUMIFS(JPK_KR!AM:AM,JPK_KR!W:W,S499),"")</f>
        <v/>
      </c>
    </row>
    <row r="500" spans="3:22" x14ac:dyDescent="0.3">
      <c r="C500" s="24" t="str">
        <f>IF(A500&lt;&gt;"",SUMIFS(JPK_KR!AL:AL,JPK_KR!W:W,B500),"")</f>
        <v/>
      </c>
      <c r="D500" s="126" t="str">
        <f>IF(A500&lt;&gt;"",SUMIFS(JPK_KR!AM:AM,JPK_KR!W:W,B500),"")</f>
        <v/>
      </c>
      <c r="G500" s="24" t="str">
        <f>IF(E500&lt;&gt;"",SUMIFS(JPK_KR!AL:AL,JPK_KR!W:W,F500),"")</f>
        <v/>
      </c>
      <c r="H500" s="126" t="str">
        <f>IF(E500&lt;&gt;"",SUMIFS(JPK_KR!AM:AM,JPK_KR!W:W,F500),"")</f>
        <v/>
      </c>
      <c r="K500" s="24" t="str">
        <f>IF(I500&lt;&gt;"",SUMIFS(JPK_KR!AL:AL,JPK_KR!W:W,J500),"")</f>
        <v/>
      </c>
      <c r="L500" s="126" t="str">
        <f>IF(I500&lt;&gt;"",SUMIFS(JPK_KR!AM:AM,JPK_KR!W:W,J500),"")</f>
        <v/>
      </c>
      <c r="P500" s="24" t="str">
        <f>IF(M500&lt;&gt;"",IF(O500="",SUMIFS(JPK_KR!AL:AL,JPK_KR!W:W,N500),SUMIFS(JPK_KR!BF:BF,JPK_KR!BE:BE,N500,JPK_KR!BG:BG,O500)),"")</f>
        <v/>
      </c>
      <c r="Q500" s="126" t="str">
        <f>IF(M500&lt;&gt;"",IF(O500="",SUMIFS(JPK_KR!AM:AM,JPK_KR!W:W,N500),SUMIFS(JPK_KR!BI:BI,JPK_KR!BH:BH,N500,JPK_KR!BJ:BJ,O500)),"")</f>
        <v/>
      </c>
      <c r="U500" s="24" t="str">
        <f>IF(R500&lt;&gt;"",SUMIFS(JPK_KR!AL:AL,JPK_KR!W:W,S500),"")</f>
        <v/>
      </c>
      <c r="V500" s="126" t="str">
        <f>IF(R500&lt;&gt;"",SUMIFS(JPK_KR!AM:AM,JPK_KR!W:W,S500),"")</f>
        <v/>
      </c>
    </row>
    <row r="501" spans="3:22" x14ac:dyDescent="0.3">
      <c r="C501" s="24" t="str">
        <f>IF(A501&lt;&gt;"",SUMIFS(JPK_KR!AL:AL,JPK_KR!W:W,B501),"")</f>
        <v/>
      </c>
      <c r="D501" s="126" t="str">
        <f>IF(A501&lt;&gt;"",SUMIFS(JPK_KR!AM:AM,JPK_KR!W:W,B501),"")</f>
        <v/>
      </c>
      <c r="G501" s="24" t="str">
        <f>IF(E501&lt;&gt;"",SUMIFS(JPK_KR!AL:AL,JPK_KR!W:W,F501),"")</f>
        <v/>
      </c>
      <c r="H501" s="126" t="str">
        <f>IF(E501&lt;&gt;"",SUMIFS(JPK_KR!AM:AM,JPK_KR!W:W,F501),"")</f>
        <v/>
      </c>
      <c r="K501" s="24" t="str">
        <f>IF(I501&lt;&gt;"",SUMIFS(JPK_KR!AL:AL,JPK_KR!W:W,J501),"")</f>
        <v/>
      </c>
      <c r="L501" s="126" t="str">
        <f>IF(I501&lt;&gt;"",SUMIFS(JPK_KR!AM:AM,JPK_KR!W:W,J501),"")</f>
        <v/>
      </c>
      <c r="P501" s="24" t="str">
        <f>IF(M501&lt;&gt;"",IF(O501="",SUMIFS(JPK_KR!AL:AL,JPK_KR!W:W,N501),SUMIFS(JPK_KR!BF:BF,JPK_KR!BE:BE,N501,JPK_KR!BG:BG,O501)),"")</f>
        <v/>
      </c>
      <c r="Q501" s="126" t="str">
        <f>IF(M501&lt;&gt;"",IF(O501="",SUMIFS(JPK_KR!AM:AM,JPK_KR!W:W,N501),SUMIFS(JPK_KR!BI:BI,JPK_KR!BH:BH,N501,JPK_KR!BJ:BJ,O501)),"")</f>
        <v/>
      </c>
      <c r="U501" s="24" t="str">
        <f>IF(R501&lt;&gt;"",SUMIFS(JPK_KR!AL:AL,JPK_KR!W:W,S501),"")</f>
        <v/>
      </c>
      <c r="V501" s="126" t="str">
        <f>IF(R501&lt;&gt;"",SUMIFS(JPK_KR!AM:AM,JPK_KR!W:W,S501),"")</f>
        <v/>
      </c>
    </row>
    <row r="502" spans="3:22" x14ac:dyDescent="0.3">
      <c r="C502" s="24" t="str">
        <f>IF(A502&lt;&gt;"",SUMIFS(JPK_KR!AL:AL,JPK_KR!W:W,B502),"")</f>
        <v/>
      </c>
      <c r="D502" s="126" t="str">
        <f>IF(A502&lt;&gt;"",SUMIFS(JPK_KR!AM:AM,JPK_KR!W:W,B502),"")</f>
        <v/>
      </c>
      <c r="G502" s="24" t="str">
        <f>IF(E502&lt;&gt;"",SUMIFS(JPK_KR!AL:AL,JPK_KR!W:W,F502),"")</f>
        <v/>
      </c>
      <c r="H502" s="126" t="str">
        <f>IF(E502&lt;&gt;"",SUMIFS(JPK_KR!AM:AM,JPK_KR!W:W,F502),"")</f>
        <v/>
      </c>
      <c r="K502" s="24" t="str">
        <f>IF(I502&lt;&gt;"",SUMIFS(JPK_KR!AL:AL,JPK_KR!W:W,J502),"")</f>
        <v/>
      </c>
      <c r="L502" s="126" t="str">
        <f>IF(I502&lt;&gt;"",SUMIFS(JPK_KR!AM:AM,JPK_KR!W:W,J502),"")</f>
        <v/>
      </c>
      <c r="P502" s="24" t="str">
        <f>IF(M502&lt;&gt;"",IF(O502="",SUMIFS(JPK_KR!AL:AL,JPK_KR!W:W,N502),SUMIFS(JPK_KR!BF:BF,JPK_KR!BE:BE,N502,JPK_KR!BG:BG,O502)),"")</f>
        <v/>
      </c>
      <c r="Q502" s="126" t="str">
        <f>IF(M502&lt;&gt;"",IF(O502="",SUMIFS(JPK_KR!AM:AM,JPK_KR!W:W,N502),SUMIFS(JPK_KR!BI:BI,JPK_KR!BH:BH,N502,JPK_KR!BJ:BJ,O502)),"")</f>
        <v/>
      </c>
      <c r="U502" s="24" t="str">
        <f>IF(R502&lt;&gt;"",SUMIFS(JPK_KR!AL:AL,JPK_KR!W:W,S502),"")</f>
        <v/>
      </c>
      <c r="V502" s="126" t="str">
        <f>IF(R502&lt;&gt;"",SUMIFS(JPK_KR!AM:AM,JPK_KR!W:W,S502),"")</f>
        <v/>
      </c>
    </row>
    <row r="503" spans="3:22" x14ac:dyDescent="0.3">
      <c r="C503" s="24" t="str">
        <f>IF(A503&lt;&gt;"",SUMIFS(JPK_KR!AL:AL,JPK_KR!W:W,B503),"")</f>
        <v/>
      </c>
      <c r="D503" s="126" t="str">
        <f>IF(A503&lt;&gt;"",SUMIFS(JPK_KR!AM:AM,JPK_KR!W:W,B503),"")</f>
        <v/>
      </c>
      <c r="G503" s="24" t="str">
        <f>IF(E503&lt;&gt;"",SUMIFS(JPK_KR!AL:AL,JPK_KR!W:W,F503),"")</f>
        <v/>
      </c>
      <c r="H503" s="126" t="str">
        <f>IF(E503&lt;&gt;"",SUMIFS(JPK_KR!AM:AM,JPK_KR!W:W,F503),"")</f>
        <v/>
      </c>
      <c r="K503" s="24" t="str">
        <f>IF(I503&lt;&gt;"",SUMIFS(JPK_KR!AL:AL,JPK_KR!W:W,J503),"")</f>
        <v/>
      </c>
      <c r="L503" s="126" t="str">
        <f>IF(I503&lt;&gt;"",SUMIFS(JPK_KR!AM:AM,JPK_KR!W:W,J503),"")</f>
        <v/>
      </c>
      <c r="P503" s="24" t="str">
        <f>IF(M503&lt;&gt;"",IF(O503="",SUMIFS(JPK_KR!AL:AL,JPK_KR!W:W,N503),SUMIFS(JPK_KR!BF:BF,JPK_KR!BE:BE,N503,JPK_KR!BG:BG,O503)),"")</f>
        <v/>
      </c>
      <c r="Q503" s="126" t="str">
        <f>IF(M503&lt;&gt;"",IF(O503="",SUMIFS(JPK_KR!AM:AM,JPK_KR!W:W,N503),SUMIFS(JPK_KR!BI:BI,JPK_KR!BH:BH,N503,JPK_KR!BJ:BJ,O503)),"")</f>
        <v/>
      </c>
      <c r="U503" s="24" t="str">
        <f>IF(R503&lt;&gt;"",SUMIFS(JPK_KR!AL:AL,JPK_KR!W:W,S503),"")</f>
        <v/>
      </c>
      <c r="V503" s="126" t="str">
        <f>IF(R503&lt;&gt;"",SUMIFS(JPK_KR!AM:AM,JPK_KR!W:W,S503),"")</f>
        <v/>
      </c>
    </row>
    <row r="504" spans="3:22" x14ac:dyDescent="0.3">
      <c r="C504" s="24" t="str">
        <f>IF(A504&lt;&gt;"",SUMIFS(JPK_KR!AL:AL,JPK_KR!W:W,B504),"")</f>
        <v/>
      </c>
      <c r="D504" s="126" t="str">
        <f>IF(A504&lt;&gt;"",SUMIFS(JPK_KR!AM:AM,JPK_KR!W:W,B504),"")</f>
        <v/>
      </c>
      <c r="G504" s="24" t="str">
        <f>IF(E504&lt;&gt;"",SUMIFS(JPK_KR!AL:AL,JPK_KR!W:W,F504),"")</f>
        <v/>
      </c>
      <c r="H504" s="126" t="str">
        <f>IF(E504&lt;&gt;"",SUMIFS(JPK_KR!AM:AM,JPK_KR!W:W,F504),"")</f>
        <v/>
      </c>
      <c r="K504" s="24" t="str">
        <f>IF(I504&lt;&gt;"",SUMIFS(JPK_KR!AL:AL,JPK_KR!W:W,J504),"")</f>
        <v/>
      </c>
      <c r="L504" s="126" t="str">
        <f>IF(I504&lt;&gt;"",SUMIFS(JPK_KR!AM:AM,JPK_KR!W:W,J504),"")</f>
        <v/>
      </c>
      <c r="P504" s="24" t="str">
        <f>IF(M504&lt;&gt;"",IF(O504="",SUMIFS(JPK_KR!AL:AL,JPK_KR!W:W,N504),SUMIFS(JPK_KR!BF:BF,JPK_KR!BE:BE,N504,JPK_KR!BG:BG,O504)),"")</f>
        <v/>
      </c>
      <c r="Q504" s="126" t="str">
        <f>IF(M504&lt;&gt;"",IF(O504="",SUMIFS(JPK_KR!AM:AM,JPK_KR!W:W,N504),SUMIFS(JPK_KR!BI:BI,JPK_KR!BH:BH,N504,JPK_KR!BJ:BJ,O504)),"")</f>
        <v/>
      </c>
      <c r="U504" s="24" t="str">
        <f>IF(R504&lt;&gt;"",SUMIFS(JPK_KR!AL:AL,JPK_KR!W:W,S504),"")</f>
        <v/>
      </c>
      <c r="V504" s="126" t="str">
        <f>IF(R504&lt;&gt;"",SUMIFS(JPK_KR!AM:AM,JPK_KR!W:W,S504),"")</f>
        <v/>
      </c>
    </row>
    <row r="505" spans="3:22" x14ac:dyDescent="0.3">
      <c r="C505" s="24" t="str">
        <f>IF(A505&lt;&gt;"",SUMIFS(JPK_KR!AL:AL,JPK_KR!W:W,B505),"")</f>
        <v/>
      </c>
      <c r="D505" s="126" t="str">
        <f>IF(A505&lt;&gt;"",SUMIFS(JPK_KR!AM:AM,JPK_KR!W:W,B505),"")</f>
        <v/>
      </c>
      <c r="G505" s="24" t="str">
        <f>IF(E505&lt;&gt;"",SUMIFS(JPK_KR!AL:AL,JPK_KR!W:W,F505),"")</f>
        <v/>
      </c>
      <c r="H505" s="126" t="str">
        <f>IF(E505&lt;&gt;"",SUMIFS(JPK_KR!AM:AM,JPK_KR!W:W,F505),"")</f>
        <v/>
      </c>
      <c r="K505" s="24" t="str">
        <f>IF(I505&lt;&gt;"",SUMIFS(JPK_KR!AL:AL,JPK_KR!W:W,J505),"")</f>
        <v/>
      </c>
      <c r="L505" s="126" t="str">
        <f>IF(I505&lt;&gt;"",SUMIFS(JPK_KR!AM:AM,JPK_KR!W:W,J505),"")</f>
        <v/>
      </c>
      <c r="P505" s="24" t="str">
        <f>IF(M505&lt;&gt;"",IF(O505="",SUMIFS(JPK_KR!AL:AL,JPK_KR!W:W,N505),SUMIFS(JPK_KR!BF:BF,JPK_KR!BE:BE,N505,JPK_KR!BG:BG,O505)),"")</f>
        <v/>
      </c>
      <c r="Q505" s="126" t="str">
        <f>IF(M505&lt;&gt;"",IF(O505="",SUMIFS(JPK_KR!AM:AM,JPK_KR!W:W,N505),SUMIFS(JPK_KR!BI:BI,JPK_KR!BH:BH,N505,JPK_KR!BJ:BJ,O505)),"")</f>
        <v/>
      </c>
      <c r="U505" s="24" t="str">
        <f>IF(R505&lt;&gt;"",SUMIFS(JPK_KR!AL:AL,JPK_KR!W:W,S505),"")</f>
        <v/>
      </c>
      <c r="V505" s="126" t="str">
        <f>IF(R505&lt;&gt;"",SUMIFS(JPK_KR!AM:AM,JPK_KR!W:W,S505),"")</f>
        <v/>
      </c>
    </row>
    <row r="506" spans="3:22" x14ac:dyDescent="0.3">
      <c r="C506" s="24" t="str">
        <f>IF(A506&lt;&gt;"",SUMIFS(JPK_KR!AL:AL,JPK_KR!W:W,B506),"")</f>
        <v/>
      </c>
      <c r="D506" s="126" t="str">
        <f>IF(A506&lt;&gt;"",SUMIFS(JPK_KR!AM:AM,JPK_KR!W:W,B506),"")</f>
        <v/>
      </c>
      <c r="G506" s="24" t="str">
        <f>IF(E506&lt;&gt;"",SUMIFS(JPK_KR!AL:AL,JPK_KR!W:W,F506),"")</f>
        <v/>
      </c>
      <c r="H506" s="126" t="str">
        <f>IF(E506&lt;&gt;"",SUMIFS(JPK_KR!AM:AM,JPK_KR!W:W,F506),"")</f>
        <v/>
      </c>
      <c r="K506" s="24" t="str">
        <f>IF(I506&lt;&gt;"",SUMIFS(JPK_KR!AL:AL,JPK_KR!W:W,J506),"")</f>
        <v/>
      </c>
      <c r="L506" s="126" t="str">
        <f>IF(I506&lt;&gt;"",SUMIFS(JPK_KR!AM:AM,JPK_KR!W:W,J506),"")</f>
        <v/>
      </c>
      <c r="P506" s="24" t="str">
        <f>IF(M506&lt;&gt;"",IF(O506="",SUMIFS(JPK_KR!AL:AL,JPK_KR!W:W,N506),SUMIFS(JPK_KR!BF:BF,JPK_KR!BE:BE,N506,JPK_KR!BG:BG,O506)),"")</f>
        <v/>
      </c>
      <c r="Q506" s="126" t="str">
        <f>IF(M506&lt;&gt;"",IF(O506="",SUMIFS(JPK_KR!AM:AM,JPK_KR!W:W,N506),SUMIFS(JPK_KR!BI:BI,JPK_KR!BH:BH,N506,JPK_KR!BJ:BJ,O506)),"")</f>
        <v/>
      </c>
      <c r="U506" s="24" t="str">
        <f>IF(R506&lt;&gt;"",SUMIFS(JPK_KR!AL:AL,JPK_KR!W:W,S506),"")</f>
        <v/>
      </c>
      <c r="V506" s="126" t="str">
        <f>IF(R506&lt;&gt;"",SUMIFS(JPK_KR!AM:AM,JPK_KR!W:W,S506),"")</f>
        <v/>
      </c>
    </row>
    <row r="507" spans="3:22" x14ac:dyDescent="0.3">
      <c r="C507" s="24" t="str">
        <f>IF(A507&lt;&gt;"",SUMIFS(JPK_KR!AL:AL,JPK_KR!W:W,B507),"")</f>
        <v/>
      </c>
      <c r="D507" s="126" t="str">
        <f>IF(A507&lt;&gt;"",SUMIFS(JPK_KR!AM:AM,JPK_KR!W:W,B507),"")</f>
        <v/>
      </c>
      <c r="G507" s="24" t="str">
        <f>IF(E507&lt;&gt;"",SUMIFS(JPK_KR!AL:AL,JPK_KR!W:W,F507),"")</f>
        <v/>
      </c>
      <c r="H507" s="126" t="str">
        <f>IF(E507&lt;&gt;"",SUMIFS(JPK_KR!AM:AM,JPK_KR!W:W,F507),"")</f>
        <v/>
      </c>
      <c r="K507" s="24" t="str">
        <f>IF(I507&lt;&gt;"",SUMIFS(JPK_KR!AL:AL,JPK_KR!W:W,J507),"")</f>
        <v/>
      </c>
      <c r="L507" s="126" t="str">
        <f>IF(I507&lt;&gt;"",SUMIFS(JPK_KR!AM:AM,JPK_KR!W:W,J507),"")</f>
        <v/>
      </c>
      <c r="P507" s="24" t="str">
        <f>IF(M507&lt;&gt;"",IF(O507="",SUMIFS(JPK_KR!AL:AL,JPK_KR!W:W,N507),SUMIFS(JPK_KR!BF:BF,JPK_KR!BE:BE,N507,JPK_KR!BG:BG,O507)),"")</f>
        <v/>
      </c>
      <c r="Q507" s="126" t="str">
        <f>IF(M507&lt;&gt;"",IF(O507="",SUMIFS(JPK_KR!AM:AM,JPK_KR!W:W,N507),SUMIFS(JPK_KR!BI:BI,JPK_KR!BH:BH,N507,JPK_KR!BJ:BJ,O507)),"")</f>
        <v/>
      </c>
      <c r="U507" s="24" t="str">
        <f>IF(R507&lt;&gt;"",SUMIFS(JPK_KR!AL:AL,JPK_KR!W:W,S507),"")</f>
        <v/>
      </c>
      <c r="V507" s="126" t="str">
        <f>IF(R507&lt;&gt;"",SUMIFS(JPK_KR!AM:AM,JPK_KR!W:W,S507),"")</f>
        <v/>
      </c>
    </row>
    <row r="508" spans="3:22" x14ac:dyDescent="0.3">
      <c r="C508" s="24" t="str">
        <f>IF(A508&lt;&gt;"",SUMIFS(JPK_KR!AL:AL,JPK_KR!W:W,B508),"")</f>
        <v/>
      </c>
      <c r="D508" s="126" t="str">
        <f>IF(A508&lt;&gt;"",SUMIFS(JPK_KR!AM:AM,JPK_KR!W:W,B508),"")</f>
        <v/>
      </c>
      <c r="G508" s="24" t="str">
        <f>IF(E508&lt;&gt;"",SUMIFS(JPK_KR!AL:AL,JPK_KR!W:W,F508),"")</f>
        <v/>
      </c>
      <c r="H508" s="126" t="str">
        <f>IF(E508&lt;&gt;"",SUMIFS(JPK_KR!AM:AM,JPK_KR!W:W,F508),"")</f>
        <v/>
      </c>
      <c r="K508" s="24" t="str">
        <f>IF(I508&lt;&gt;"",SUMIFS(JPK_KR!AL:AL,JPK_KR!W:W,J508),"")</f>
        <v/>
      </c>
      <c r="L508" s="126" t="str">
        <f>IF(I508&lt;&gt;"",SUMIFS(JPK_KR!AM:AM,JPK_KR!W:W,J508),"")</f>
        <v/>
      </c>
      <c r="P508" s="24" t="str">
        <f>IF(M508&lt;&gt;"",IF(O508="",SUMIFS(JPK_KR!AL:AL,JPK_KR!W:W,N508),SUMIFS(JPK_KR!BF:BF,JPK_KR!BE:BE,N508,JPK_KR!BG:BG,O508)),"")</f>
        <v/>
      </c>
      <c r="Q508" s="126" t="str">
        <f>IF(M508&lt;&gt;"",IF(O508="",SUMIFS(JPK_KR!AM:AM,JPK_KR!W:W,N508),SUMIFS(JPK_KR!BI:BI,JPK_KR!BH:BH,N508,JPK_KR!BJ:BJ,O508)),"")</f>
        <v/>
      </c>
      <c r="U508" s="24" t="str">
        <f>IF(R508&lt;&gt;"",SUMIFS(JPK_KR!AL:AL,JPK_KR!W:W,S508),"")</f>
        <v/>
      </c>
      <c r="V508" s="126" t="str">
        <f>IF(R508&lt;&gt;"",SUMIFS(JPK_KR!AM:AM,JPK_KR!W:W,S508),"")</f>
        <v/>
      </c>
    </row>
    <row r="509" spans="3:22" x14ac:dyDescent="0.3">
      <c r="C509" s="24" t="str">
        <f>IF(A509&lt;&gt;"",SUMIFS(JPK_KR!AL:AL,JPK_KR!W:W,B509),"")</f>
        <v/>
      </c>
      <c r="D509" s="126" t="str">
        <f>IF(A509&lt;&gt;"",SUMIFS(JPK_KR!AM:AM,JPK_KR!W:W,B509),"")</f>
        <v/>
      </c>
      <c r="G509" s="24" t="str">
        <f>IF(E509&lt;&gt;"",SUMIFS(JPK_KR!AL:AL,JPK_KR!W:W,F509),"")</f>
        <v/>
      </c>
      <c r="H509" s="126" t="str">
        <f>IF(E509&lt;&gt;"",SUMIFS(JPK_KR!AM:AM,JPK_KR!W:W,F509),"")</f>
        <v/>
      </c>
      <c r="K509" s="24" t="str">
        <f>IF(I509&lt;&gt;"",SUMIFS(JPK_KR!AL:AL,JPK_KR!W:W,J509),"")</f>
        <v/>
      </c>
      <c r="L509" s="126" t="str">
        <f>IF(I509&lt;&gt;"",SUMIFS(JPK_KR!AM:AM,JPK_KR!W:W,J509),"")</f>
        <v/>
      </c>
      <c r="P509" s="24" t="str">
        <f>IF(M509&lt;&gt;"",IF(O509="",SUMIFS(JPK_KR!AL:AL,JPK_KR!W:W,N509),SUMIFS(JPK_KR!BF:BF,JPK_KR!BE:BE,N509,JPK_KR!BG:BG,O509)),"")</f>
        <v/>
      </c>
      <c r="Q509" s="126" t="str">
        <f>IF(M509&lt;&gt;"",IF(O509="",SUMIFS(JPK_KR!AM:AM,JPK_KR!W:W,N509),SUMIFS(JPK_KR!BI:BI,JPK_KR!BH:BH,N509,JPK_KR!BJ:BJ,O509)),"")</f>
        <v/>
      </c>
      <c r="U509" s="24" t="str">
        <f>IF(R509&lt;&gt;"",SUMIFS(JPK_KR!AL:AL,JPK_KR!W:W,S509),"")</f>
        <v/>
      </c>
      <c r="V509" s="126" t="str">
        <f>IF(R509&lt;&gt;"",SUMIFS(JPK_KR!AM:AM,JPK_KR!W:W,S509),"")</f>
        <v/>
      </c>
    </row>
    <row r="510" spans="3:22" x14ac:dyDescent="0.3">
      <c r="C510" s="24" t="str">
        <f>IF(A510&lt;&gt;"",SUMIFS(JPK_KR!AL:AL,JPK_KR!W:W,B510),"")</f>
        <v/>
      </c>
      <c r="D510" s="126" t="str">
        <f>IF(A510&lt;&gt;"",SUMIFS(JPK_KR!AM:AM,JPK_KR!W:W,B510),"")</f>
        <v/>
      </c>
      <c r="G510" s="24" t="str">
        <f>IF(E510&lt;&gt;"",SUMIFS(JPK_KR!AL:AL,JPK_KR!W:W,F510),"")</f>
        <v/>
      </c>
      <c r="H510" s="126" t="str">
        <f>IF(E510&lt;&gt;"",SUMIFS(JPK_KR!AM:AM,JPK_KR!W:W,F510),"")</f>
        <v/>
      </c>
      <c r="K510" s="24" t="str">
        <f>IF(I510&lt;&gt;"",SUMIFS(JPK_KR!AL:AL,JPK_KR!W:W,J510),"")</f>
        <v/>
      </c>
      <c r="L510" s="126" t="str">
        <f>IF(I510&lt;&gt;"",SUMIFS(JPK_KR!AM:AM,JPK_KR!W:W,J510),"")</f>
        <v/>
      </c>
      <c r="P510" s="24" t="str">
        <f>IF(M510&lt;&gt;"",IF(O510="",SUMIFS(JPK_KR!AL:AL,JPK_KR!W:W,N510),SUMIFS(JPK_KR!BF:BF,JPK_KR!BE:BE,N510,JPK_KR!BG:BG,O510)),"")</f>
        <v/>
      </c>
      <c r="Q510" s="126" t="str">
        <f>IF(M510&lt;&gt;"",IF(O510="",SUMIFS(JPK_KR!AM:AM,JPK_KR!W:W,N510),SUMIFS(JPK_KR!BI:BI,JPK_KR!BH:BH,N510,JPK_KR!BJ:BJ,O510)),"")</f>
        <v/>
      </c>
      <c r="U510" s="24" t="str">
        <f>IF(R510&lt;&gt;"",SUMIFS(JPK_KR!AL:AL,JPK_KR!W:W,S510),"")</f>
        <v/>
      </c>
      <c r="V510" s="126" t="str">
        <f>IF(R510&lt;&gt;"",SUMIFS(JPK_KR!AM:AM,JPK_KR!W:W,S510),"")</f>
        <v/>
      </c>
    </row>
    <row r="511" spans="3:22" x14ac:dyDescent="0.3">
      <c r="C511" s="24" t="str">
        <f>IF(A511&lt;&gt;"",SUMIFS(JPK_KR!AL:AL,JPK_KR!W:W,B511),"")</f>
        <v/>
      </c>
      <c r="D511" s="126" t="str">
        <f>IF(A511&lt;&gt;"",SUMIFS(JPK_KR!AM:AM,JPK_KR!W:W,B511),"")</f>
        <v/>
      </c>
      <c r="G511" s="24" t="str">
        <f>IF(E511&lt;&gt;"",SUMIFS(JPK_KR!AL:AL,JPK_KR!W:W,F511),"")</f>
        <v/>
      </c>
      <c r="H511" s="126" t="str">
        <f>IF(E511&lt;&gt;"",SUMIFS(JPK_KR!AM:AM,JPK_KR!W:W,F511),"")</f>
        <v/>
      </c>
      <c r="K511" s="24" t="str">
        <f>IF(I511&lt;&gt;"",SUMIFS(JPK_KR!AL:AL,JPK_KR!W:W,J511),"")</f>
        <v/>
      </c>
      <c r="L511" s="126" t="str">
        <f>IF(I511&lt;&gt;"",SUMIFS(JPK_KR!AM:AM,JPK_KR!W:W,J511),"")</f>
        <v/>
      </c>
      <c r="P511" s="24" t="str">
        <f>IF(M511&lt;&gt;"",IF(O511="",SUMIFS(JPK_KR!AL:AL,JPK_KR!W:W,N511),SUMIFS(JPK_KR!BF:BF,JPK_KR!BE:BE,N511,JPK_KR!BG:BG,O511)),"")</f>
        <v/>
      </c>
      <c r="Q511" s="126" t="str">
        <f>IF(M511&lt;&gt;"",IF(O511="",SUMIFS(JPK_KR!AM:AM,JPK_KR!W:W,N511),SUMIFS(JPK_KR!BI:BI,JPK_KR!BH:BH,N511,JPK_KR!BJ:BJ,O511)),"")</f>
        <v/>
      </c>
      <c r="U511" s="24" t="str">
        <f>IF(R511&lt;&gt;"",SUMIFS(JPK_KR!AL:AL,JPK_KR!W:W,S511),"")</f>
        <v/>
      </c>
      <c r="V511" s="126" t="str">
        <f>IF(R511&lt;&gt;"",SUMIFS(JPK_KR!AM:AM,JPK_KR!W:W,S511),"")</f>
        <v/>
      </c>
    </row>
    <row r="512" spans="3:22" x14ac:dyDescent="0.3">
      <c r="C512" s="24" t="str">
        <f>IF(A512&lt;&gt;"",SUMIFS(JPK_KR!AL:AL,JPK_KR!W:W,B512),"")</f>
        <v/>
      </c>
      <c r="D512" s="126" t="str">
        <f>IF(A512&lt;&gt;"",SUMIFS(JPK_KR!AM:AM,JPK_KR!W:W,B512),"")</f>
        <v/>
      </c>
      <c r="G512" s="24" t="str">
        <f>IF(E512&lt;&gt;"",SUMIFS(JPK_KR!AL:AL,JPK_KR!W:W,F512),"")</f>
        <v/>
      </c>
      <c r="H512" s="126" t="str">
        <f>IF(E512&lt;&gt;"",SUMIFS(JPK_KR!AM:AM,JPK_KR!W:W,F512),"")</f>
        <v/>
      </c>
      <c r="K512" s="24" t="str">
        <f>IF(I512&lt;&gt;"",SUMIFS(JPK_KR!AL:AL,JPK_KR!W:W,J512),"")</f>
        <v/>
      </c>
      <c r="L512" s="126" t="str">
        <f>IF(I512&lt;&gt;"",SUMIFS(JPK_KR!AM:AM,JPK_KR!W:W,J512),"")</f>
        <v/>
      </c>
      <c r="P512" s="24" t="str">
        <f>IF(M512&lt;&gt;"",IF(O512="",SUMIFS(JPK_KR!AL:AL,JPK_KR!W:W,N512),SUMIFS(JPK_KR!BF:BF,JPK_KR!BE:BE,N512,JPK_KR!BG:BG,O512)),"")</f>
        <v/>
      </c>
      <c r="Q512" s="126" t="str">
        <f>IF(M512&lt;&gt;"",IF(O512="",SUMIFS(JPK_KR!AM:AM,JPK_KR!W:W,N512),SUMIFS(JPK_KR!BI:BI,JPK_KR!BH:BH,N512,JPK_KR!BJ:BJ,O512)),"")</f>
        <v/>
      </c>
      <c r="U512" s="24" t="str">
        <f>IF(R512&lt;&gt;"",SUMIFS(JPK_KR!AL:AL,JPK_KR!W:W,S512),"")</f>
        <v/>
      </c>
      <c r="V512" s="126" t="str">
        <f>IF(R512&lt;&gt;"",SUMIFS(JPK_KR!AM:AM,JPK_KR!W:W,S512),"")</f>
        <v/>
      </c>
    </row>
    <row r="513" spans="3:22" x14ac:dyDescent="0.3">
      <c r="C513" s="24" t="str">
        <f>IF(A513&lt;&gt;"",SUMIFS(JPK_KR!AL:AL,JPK_KR!W:W,B513),"")</f>
        <v/>
      </c>
      <c r="D513" s="126" t="str">
        <f>IF(A513&lt;&gt;"",SUMIFS(JPK_KR!AM:AM,JPK_KR!W:W,B513),"")</f>
        <v/>
      </c>
      <c r="G513" s="24" t="str">
        <f>IF(E513&lt;&gt;"",SUMIFS(JPK_KR!AL:AL,JPK_KR!W:W,F513),"")</f>
        <v/>
      </c>
      <c r="H513" s="126" t="str">
        <f>IF(E513&lt;&gt;"",SUMIFS(JPK_KR!AM:AM,JPK_KR!W:W,F513),"")</f>
        <v/>
      </c>
      <c r="K513" s="24" t="str">
        <f>IF(I513&lt;&gt;"",SUMIFS(JPK_KR!AL:AL,JPK_KR!W:W,J513),"")</f>
        <v/>
      </c>
      <c r="L513" s="126" t="str">
        <f>IF(I513&lt;&gt;"",SUMIFS(JPK_KR!AM:AM,JPK_KR!W:W,J513),"")</f>
        <v/>
      </c>
      <c r="P513" s="24" t="str">
        <f>IF(M513&lt;&gt;"",IF(O513="",SUMIFS(JPK_KR!AL:AL,JPK_KR!W:W,N513),SUMIFS(JPK_KR!BF:BF,JPK_KR!BE:BE,N513,JPK_KR!BG:BG,O513)),"")</f>
        <v/>
      </c>
      <c r="Q513" s="126" t="str">
        <f>IF(M513&lt;&gt;"",IF(O513="",SUMIFS(JPK_KR!AM:AM,JPK_KR!W:W,N513),SUMIFS(JPK_KR!BI:BI,JPK_KR!BH:BH,N513,JPK_KR!BJ:BJ,O513)),"")</f>
        <v/>
      </c>
      <c r="U513" s="24" t="str">
        <f>IF(R513&lt;&gt;"",SUMIFS(JPK_KR!AL:AL,JPK_KR!W:W,S513),"")</f>
        <v/>
      </c>
      <c r="V513" s="126" t="str">
        <f>IF(R513&lt;&gt;"",SUMIFS(JPK_KR!AM:AM,JPK_KR!W:W,S513),"")</f>
        <v/>
      </c>
    </row>
    <row r="514" spans="3:22" x14ac:dyDescent="0.3">
      <c r="C514" s="24" t="str">
        <f>IF(A514&lt;&gt;"",SUMIFS(JPK_KR!AL:AL,JPK_KR!W:W,B514),"")</f>
        <v/>
      </c>
      <c r="D514" s="126" t="str">
        <f>IF(A514&lt;&gt;"",SUMIFS(JPK_KR!AM:AM,JPK_KR!W:W,B514),"")</f>
        <v/>
      </c>
      <c r="G514" s="24" t="str">
        <f>IF(E514&lt;&gt;"",SUMIFS(JPK_KR!AL:AL,JPK_KR!W:W,F514),"")</f>
        <v/>
      </c>
      <c r="H514" s="126" t="str">
        <f>IF(E514&lt;&gt;"",SUMIFS(JPK_KR!AM:AM,JPK_KR!W:W,F514),"")</f>
        <v/>
      </c>
      <c r="K514" s="24" t="str">
        <f>IF(I514&lt;&gt;"",SUMIFS(JPK_KR!AL:AL,JPK_KR!W:W,J514),"")</f>
        <v/>
      </c>
      <c r="L514" s="126" t="str">
        <f>IF(I514&lt;&gt;"",SUMIFS(JPK_KR!AM:AM,JPK_KR!W:W,J514),"")</f>
        <v/>
      </c>
      <c r="P514" s="24" t="str">
        <f>IF(M514&lt;&gt;"",IF(O514="",SUMIFS(JPK_KR!AL:AL,JPK_KR!W:W,N514),SUMIFS(JPK_KR!BF:BF,JPK_KR!BE:BE,N514,JPK_KR!BG:BG,O514)),"")</f>
        <v/>
      </c>
      <c r="Q514" s="126" t="str">
        <f>IF(M514&lt;&gt;"",IF(O514="",SUMIFS(JPK_KR!AM:AM,JPK_KR!W:W,N514),SUMIFS(JPK_KR!BI:BI,JPK_KR!BH:BH,N514,JPK_KR!BJ:BJ,O514)),"")</f>
        <v/>
      </c>
      <c r="U514" s="24" t="str">
        <f>IF(R514&lt;&gt;"",SUMIFS(JPK_KR!AL:AL,JPK_KR!W:W,S514),"")</f>
        <v/>
      </c>
      <c r="V514" s="126" t="str">
        <f>IF(R514&lt;&gt;"",SUMIFS(JPK_KR!AM:AM,JPK_KR!W:W,S514),"")</f>
        <v/>
      </c>
    </row>
    <row r="515" spans="3:22" x14ac:dyDescent="0.3">
      <c r="C515" s="24" t="str">
        <f>IF(A515&lt;&gt;"",SUMIFS(JPK_KR!AL:AL,JPK_KR!W:W,B515),"")</f>
        <v/>
      </c>
      <c r="D515" s="126" t="str">
        <f>IF(A515&lt;&gt;"",SUMIFS(JPK_KR!AM:AM,JPK_KR!W:W,B515),"")</f>
        <v/>
      </c>
      <c r="G515" s="24" t="str">
        <f>IF(E515&lt;&gt;"",SUMIFS(JPK_KR!AL:AL,JPK_KR!W:W,F515),"")</f>
        <v/>
      </c>
      <c r="H515" s="126" t="str">
        <f>IF(E515&lt;&gt;"",SUMIFS(JPK_KR!AM:AM,JPK_KR!W:W,F515),"")</f>
        <v/>
      </c>
      <c r="K515" s="24" t="str">
        <f>IF(I515&lt;&gt;"",SUMIFS(JPK_KR!AL:AL,JPK_KR!W:W,J515),"")</f>
        <v/>
      </c>
      <c r="L515" s="126" t="str">
        <f>IF(I515&lt;&gt;"",SUMIFS(JPK_KR!AM:AM,JPK_KR!W:W,J515),"")</f>
        <v/>
      </c>
      <c r="P515" s="24" t="str">
        <f>IF(M515&lt;&gt;"",IF(O515="",SUMIFS(JPK_KR!AL:AL,JPK_KR!W:W,N515),SUMIFS(JPK_KR!BF:BF,JPK_KR!BE:BE,N515,JPK_KR!BG:BG,O515)),"")</f>
        <v/>
      </c>
      <c r="Q515" s="126" t="str">
        <f>IF(M515&lt;&gt;"",IF(O515="",SUMIFS(JPK_KR!AM:AM,JPK_KR!W:W,N515),SUMIFS(JPK_KR!BI:BI,JPK_KR!BH:BH,N515,JPK_KR!BJ:BJ,O515)),"")</f>
        <v/>
      </c>
      <c r="U515" s="24" t="str">
        <f>IF(R515&lt;&gt;"",SUMIFS(JPK_KR!AL:AL,JPK_KR!W:W,S515),"")</f>
        <v/>
      </c>
      <c r="V515" s="126" t="str">
        <f>IF(R515&lt;&gt;"",SUMIFS(JPK_KR!AM:AM,JPK_KR!W:W,S515),"")</f>
        <v/>
      </c>
    </row>
    <row r="516" spans="3:22" x14ac:dyDescent="0.3">
      <c r="C516" s="24" t="str">
        <f>IF(A516&lt;&gt;"",SUMIFS(JPK_KR!AL:AL,JPK_KR!W:W,B516),"")</f>
        <v/>
      </c>
      <c r="D516" s="126" t="str">
        <f>IF(A516&lt;&gt;"",SUMIFS(JPK_KR!AM:AM,JPK_KR!W:W,B516),"")</f>
        <v/>
      </c>
      <c r="G516" s="24" t="str">
        <f>IF(E516&lt;&gt;"",SUMIFS(JPK_KR!AL:AL,JPK_KR!W:W,F516),"")</f>
        <v/>
      </c>
      <c r="H516" s="126" t="str">
        <f>IF(E516&lt;&gt;"",SUMIFS(JPK_KR!AM:AM,JPK_KR!W:W,F516),"")</f>
        <v/>
      </c>
      <c r="K516" s="24" t="str">
        <f>IF(I516&lt;&gt;"",SUMIFS(JPK_KR!AL:AL,JPK_KR!W:W,J516),"")</f>
        <v/>
      </c>
      <c r="L516" s="126" t="str">
        <f>IF(I516&lt;&gt;"",SUMIFS(JPK_KR!AM:AM,JPK_KR!W:W,J516),"")</f>
        <v/>
      </c>
      <c r="P516" s="24" t="str">
        <f>IF(M516&lt;&gt;"",IF(O516="",SUMIFS(JPK_KR!AL:AL,JPK_KR!W:W,N516),SUMIFS(JPK_KR!BF:BF,JPK_KR!BE:BE,N516,JPK_KR!BG:BG,O516)),"")</f>
        <v/>
      </c>
      <c r="Q516" s="126" t="str">
        <f>IF(M516&lt;&gt;"",IF(O516="",SUMIFS(JPK_KR!AM:AM,JPK_KR!W:W,N516),SUMIFS(JPK_KR!BI:BI,JPK_KR!BH:BH,N516,JPK_KR!BJ:BJ,O516)),"")</f>
        <v/>
      </c>
      <c r="U516" s="24" t="str">
        <f>IF(R516&lt;&gt;"",SUMIFS(JPK_KR!AL:AL,JPK_KR!W:W,S516),"")</f>
        <v/>
      </c>
      <c r="V516" s="126" t="str">
        <f>IF(R516&lt;&gt;"",SUMIFS(JPK_KR!AM:AM,JPK_KR!W:W,S516),"")</f>
        <v/>
      </c>
    </row>
    <row r="517" spans="3:22" x14ac:dyDescent="0.3">
      <c r="C517" s="24" t="str">
        <f>IF(A517&lt;&gt;"",SUMIFS(JPK_KR!AL:AL,JPK_KR!W:W,B517),"")</f>
        <v/>
      </c>
      <c r="D517" s="126" t="str">
        <f>IF(A517&lt;&gt;"",SUMIFS(JPK_KR!AM:AM,JPK_KR!W:W,B517),"")</f>
        <v/>
      </c>
      <c r="G517" s="24" t="str">
        <f>IF(E517&lt;&gt;"",SUMIFS(JPK_KR!AL:AL,JPK_KR!W:W,F517),"")</f>
        <v/>
      </c>
      <c r="H517" s="126" t="str">
        <f>IF(E517&lt;&gt;"",SUMIFS(JPK_KR!AM:AM,JPK_KR!W:W,F517),"")</f>
        <v/>
      </c>
      <c r="K517" s="24" t="str">
        <f>IF(I517&lt;&gt;"",SUMIFS(JPK_KR!AL:AL,JPK_KR!W:W,J517),"")</f>
        <v/>
      </c>
      <c r="L517" s="126" t="str">
        <f>IF(I517&lt;&gt;"",SUMIFS(JPK_KR!AM:AM,JPK_KR!W:W,J517),"")</f>
        <v/>
      </c>
      <c r="P517" s="24" t="str">
        <f>IF(M517&lt;&gt;"",IF(O517="",SUMIFS(JPK_KR!AL:AL,JPK_KR!W:W,N517),SUMIFS(JPK_KR!BF:BF,JPK_KR!BE:BE,N517,JPK_KR!BG:BG,O517)),"")</f>
        <v/>
      </c>
      <c r="Q517" s="126" t="str">
        <f>IF(M517&lt;&gt;"",IF(O517="",SUMIFS(JPK_KR!AM:AM,JPK_KR!W:W,N517),SUMIFS(JPK_KR!BI:BI,JPK_KR!BH:BH,N517,JPK_KR!BJ:BJ,O517)),"")</f>
        <v/>
      </c>
      <c r="U517" s="24" t="str">
        <f>IF(R517&lt;&gt;"",SUMIFS(JPK_KR!AL:AL,JPK_KR!W:W,S517),"")</f>
        <v/>
      </c>
      <c r="V517" s="126" t="str">
        <f>IF(R517&lt;&gt;"",SUMIFS(JPK_KR!AM:AM,JPK_KR!W:W,S517),"")</f>
        <v/>
      </c>
    </row>
    <row r="518" spans="3:22" x14ac:dyDescent="0.3">
      <c r="C518" s="24" t="str">
        <f>IF(A518&lt;&gt;"",SUMIFS(JPK_KR!AL:AL,JPK_KR!W:W,B518),"")</f>
        <v/>
      </c>
      <c r="D518" s="126" t="str">
        <f>IF(A518&lt;&gt;"",SUMIFS(JPK_KR!AM:AM,JPK_KR!W:W,B518),"")</f>
        <v/>
      </c>
      <c r="G518" s="24" t="str">
        <f>IF(E518&lt;&gt;"",SUMIFS(JPK_KR!AL:AL,JPK_KR!W:W,F518),"")</f>
        <v/>
      </c>
      <c r="H518" s="126" t="str">
        <f>IF(E518&lt;&gt;"",SUMIFS(JPK_KR!AM:AM,JPK_KR!W:W,F518),"")</f>
        <v/>
      </c>
      <c r="K518" s="24" t="str">
        <f>IF(I518&lt;&gt;"",SUMIFS(JPK_KR!AL:AL,JPK_KR!W:W,J518),"")</f>
        <v/>
      </c>
      <c r="L518" s="126" t="str">
        <f>IF(I518&lt;&gt;"",SUMIFS(JPK_KR!AM:AM,JPK_KR!W:W,J518),"")</f>
        <v/>
      </c>
      <c r="P518" s="24" t="str">
        <f>IF(M518&lt;&gt;"",IF(O518="",SUMIFS(JPK_KR!AL:AL,JPK_KR!W:W,N518),SUMIFS(JPK_KR!BF:BF,JPK_KR!BE:BE,N518,JPK_KR!BG:BG,O518)),"")</f>
        <v/>
      </c>
      <c r="Q518" s="126" t="str">
        <f>IF(M518&lt;&gt;"",IF(O518="",SUMIFS(JPK_KR!AM:AM,JPK_KR!W:W,N518),SUMIFS(JPK_KR!BI:BI,JPK_KR!BH:BH,N518,JPK_KR!BJ:BJ,O518)),"")</f>
        <v/>
      </c>
      <c r="U518" s="24" t="str">
        <f>IF(R518&lt;&gt;"",SUMIFS(JPK_KR!AL:AL,JPK_KR!W:W,S518),"")</f>
        <v/>
      </c>
      <c r="V518" s="126" t="str">
        <f>IF(R518&lt;&gt;"",SUMIFS(JPK_KR!AM:AM,JPK_KR!W:W,S518),"")</f>
        <v/>
      </c>
    </row>
    <row r="519" spans="3:22" x14ac:dyDescent="0.3">
      <c r="C519" s="24" t="str">
        <f>IF(A519&lt;&gt;"",SUMIFS(JPK_KR!AL:AL,JPK_KR!W:W,B519),"")</f>
        <v/>
      </c>
      <c r="D519" s="126" t="str">
        <f>IF(A519&lt;&gt;"",SUMIFS(JPK_KR!AM:AM,JPK_KR!W:W,B519),"")</f>
        <v/>
      </c>
      <c r="G519" s="24" t="str">
        <f>IF(E519&lt;&gt;"",SUMIFS(JPK_KR!AL:AL,JPK_KR!W:W,F519),"")</f>
        <v/>
      </c>
      <c r="H519" s="126" t="str">
        <f>IF(E519&lt;&gt;"",SUMIFS(JPK_KR!AM:AM,JPK_KR!W:W,F519),"")</f>
        <v/>
      </c>
      <c r="K519" s="24" t="str">
        <f>IF(I519&lt;&gt;"",SUMIFS(JPK_KR!AL:AL,JPK_KR!W:W,J519),"")</f>
        <v/>
      </c>
      <c r="L519" s="126" t="str">
        <f>IF(I519&lt;&gt;"",SUMIFS(JPK_KR!AM:AM,JPK_KR!W:W,J519),"")</f>
        <v/>
      </c>
      <c r="P519" s="24" t="str">
        <f>IF(M519&lt;&gt;"",IF(O519="",SUMIFS(JPK_KR!AL:AL,JPK_KR!W:W,N519),SUMIFS(JPK_KR!BF:BF,JPK_KR!BE:BE,N519,JPK_KR!BG:BG,O519)),"")</f>
        <v/>
      </c>
      <c r="Q519" s="126" t="str">
        <f>IF(M519&lt;&gt;"",IF(O519="",SUMIFS(JPK_KR!AM:AM,JPK_KR!W:W,N519),SUMIFS(JPK_KR!BI:BI,JPK_KR!BH:BH,N519,JPK_KR!BJ:BJ,O519)),"")</f>
        <v/>
      </c>
      <c r="U519" s="24" t="str">
        <f>IF(R519&lt;&gt;"",SUMIFS(JPK_KR!AL:AL,JPK_KR!W:W,S519),"")</f>
        <v/>
      </c>
      <c r="V519" s="126" t="str">
        <f>IF(R519&lt;&gt;"",SUMIFS(JPK_KR!AM:AM,JPK_KR!W:W,S519),"")</f>
        <v/>
      </c>
    </row>
    <row r="520" spans="3:22" x14ac:dyDescent="0.3">
      <c r="C520" s="24" t="str">
        <f>IF(A520&lt;&gt;"",SUMIFS(JPK_KR!AL:AL,JPK_KR!W:W,B520),"")</f>
        <v/>
      </c>
      <c r="D520" s="126" t="str">
        <f>IF(A520&lt;&gt;"",SUMIFS(JPK_KR!AM:AM,JPK_KR!W:W,B520),"")</f>
        <v/>
      </c>
      <c r="G520" s="24" t="str">
        <f>IF(E520&lt;&gt;"",SUMIFS(JPK_KR!AL:AL,JPK_KR!W:W,F520),"")</f>
        <v/>
      </c>
      <c r="H520" s="126" t="str">
        <f>IF(E520&lt;&gt;"",SUMIFS(JPK_KR!AM:AM,JPK_KR!W:W,F520),"")</f>
        <v/>
      </c>
      <c r="K520" s="24" t="str">
        <f>IF(I520&lt;&gt;"",SUMIFS(JPK_KR!AL:AL,JPK_KR!W:W,J520),"")</f>
        <v/>
      </c>
      <c r="L520" s="126" t="str">
        <f>IF(I520&lt;&gt;"",SUMIFS(JPK_KR!AM:AM,JPK_KR!W:W,J520),"")</f>
        <v/>
      </c>
      <c r="P520" s="24" t="str">
        <f>IF(M520&lt;&gt;"",IF(O520="",SUMIFS(JPK_KR!AL:AL,JPK_KR!W:W,N520),SUMIFS(JPK_KR!BF:BF,JPK_KR!BE:BE,N520,JPK_KR!BG:BG,O520)),"")</f>
        <v/>
      </c>
      <c r="Q520" s="126" t="str">
        <f>IF(M520&lt;&gt;"",IF(O520="",SUMIFS(JPK_KR!AM:AM,JPK_KR!W:W,N520),SUMIFS(JPK_KR!BI:BI,JPK_KR!BH:BH,N520,JPK_KR!BJ:BJ,O520)),"")</f>
        <v/>
      </c>
      <c r="U520" s="24" t="str">
        <f>IF(R520&lt;&gt;"",SUMIFS(JPK_KR!AL:AL,JPK_KR!W:W,S520),"")</f>
        <v/>
      </c>
      <c r="V520" s="126" t="str">
        <f>IF(R520&lt;&gt;"",SUMIFS(JPK_KR!AM:AM,JPK_KR!W:W,S520),"")</f>
        <v/>
      </c>
    </row>
    <row r="521" spans="3:22" x14ac:dyDescent="0.3">
      <c r="C521" s="24" t="str">
        <f>IF(A521&lt;&gt;"",SUMIFS(JPK_KR!AL:AL,JPK_KR!W:W,B521),"")</f>
        <v/>
      </c>
      <c r="D521" s="126" t="str">
        <f>IF(A521&lt;&gt;"",SUMIFS(JPK_KR!AM:AM,JPK_KR!W:W,B521),"")</f>
        <v/>
      </c>
      <c r="G521" s="24" t="str">
        <f>IF(E521&lt;&gt;"",SUMIFS(JPK_KR!AL:AL,JPK_KR!W:W,F521),"")</f>
        <v/>
      </c>
      <c r="H521" s="126" t="str">
        <f>IF(E521&lt;&gt;"",SUMIFS(JPK_KR!AM:AM,JPK_KR!W:W,F521),"")</f>
        <v/>
      </c>
      <c r="K521" s="24" t="str">
        <f>IF(I521&lt;&gt;"",SUMIFS(JPK_KR!AL:AL,JPK_KR!W:W,J521),"")</f>
        <v/>
      </c>
      <c r="L521" s="126" t="str">
        <f>IF(I521&lt;&gt;"",SUMIFS(JPK_KR!AM:AM,JPK_KR!W:W,J521),"")</f>
        <v/>
      </c>
      <c r="P521" s="24" t="str">
        <f>IF(M521&lt;&gt;"",IF(O521="",SUMIFS(JPK_KR!AL:AL,JPK_KR!W:W,N521),SUMIFS(JPK_KR!BF:BF,JPK_KR!BE:BE,N521,JPK_KR!BG:BG,O521)),"")</f>
        <v/>
      </c>
      <c r="Q521" s="126" t="str">
        <f>IF(M521&lt;&gt;"",IF(O521="",SUMIFS(JPK_KR!AM:AM,JPK_KR!W:W,N521),SUMIFS(JPK_KR!BI:BI,JPK_KR!BH:BH,N521,JPK_KR!BJ:BJ,O521)),"")</f>
        <v/>
      </c>
      <c r="U521" s="24" t="str">
        <f>IF(R521&lt;&gt;"",SUMIFS(JPK_KR!AL:AL,JPK_KR!W:W,S521),"")</f>
        <v/>
      </c>
      <c r="V521" s="126" t="str">
        <f>IF(R521&lt;&gt;"",SUMIFS(JPK_KR!AM:AM,JPK_KR!W:W,S521),"")</f>
        <v/>
      </c>
    </row>
    <row r="522" spans="3:22" x14ac:dyDescent="0.3">
      <c r="C522" s="24" t="str">
        <f>IF(A522&lt;&gt;"",SUMIFS(JPK_KR!AL:AL,JPK_KR!W:W,B522),"")</f>
        <v/>
      </c>
      <c r="D522" s="126" t="str">
        <f>IF(A522&lt;&gt;"",SUMIFS(JPK_KR!AM:AM,JPK_KR!W:W,B522),"")</f>
        <v/>
      </c>
      <c r="G522" s="24" t="str">
        <f>IF(E522&lt;&gt;"",SUMIFS(JPK_KR!AL:AL,JPK_KR!W:W,F522),"")</f>
        <v/>
      </c>
      <c r="H522" s="126" t="str">
        <f>IF(E522&lt;&gt;"",SUMIFS(JPK_KR!AM:AM,JPK_KR!W:W,F522),"")</f>
        <v/>
      </c>
      <c r="K522" s="24" t="str">
        <f>IF(I522&lt;&gt;"",SUMIFS(JPK_KR!AL:AL,JPK_KR!W:W,J522),"")</f>
        <v/>
      </c>
      <c r="L522" s="126" t="str">
        <f>IF(I522&lt;&gt;"",SUMIFS(JPK_KR!AM:AM,JPK_KR!W:W,J522),"")</f>
        <v/>
      </c>
      <c r="P522" s="24" t="str">
        <f>IF(M522&lt;&gt;"",IF(O522="",SUMIFS(JPK_KR!AL:AL,JPK_KR!W:W,N522),SUMIFS(JPK_KR!BF:BF,JPK_KR!BE:BE,N522,JPK_KR!BG:BG,O522)),"")</f>
        <v/>
      </c>
      <c r="Q522" s="126" t="str">
        <f>IF(M522&lt;&gt;"",IF(O522="",SUMIFS(JPK_KR!AM:AM,JPK_KR!W:W,N522),SUMIFS(JPK_KR!BI:BI,JPK_KR!BH:BH,N522,JPK_KR!BJ:BJ,O522)),"")</f>
        <v/>
      </c>
      <c r="U522" s="24" t="str">
        <f>IF(R522&lt;&gt;"",SUMIFS(JPK_KR!AL:AL,JPK_KR!W:W,S522),"")</f>
        <v/>
      </c>
      <c r="V522" s="126" t="str">
        <f>IF(R522&lt;&gt;"",SUMIFS(JPK_KR!AM:AM,JPK_KR!W:W,S522),"")</f>
        <v/>
      </c>
    </row>
    <row r="523" spans="3:22" x14ac:dyDescent="0.3">
      <c r="C523" s="24" t="str">
        <f>IF(A523&lt;&gt;"",SUMIFS(JPK_KR!AL:AL,JPK_KR!W:W,B523),"")</f>
        <v/>
      </c>
      <c r="D523" s="126" t="str">
        <f>IF(A523&lt;&gt;"",SUMIFS(JPK_KR!AM:AM,JPK_KR!W:W,B523),"")</f>
        <v/>
      </c>
      <c r="G523" s="24" t="str">
        <f>IF(E523&lt;&gt;"",SUMIFS(JPK_KR!AL:AL,JPK_KR!W:W,F523),"")</f>
        <v/>
      </c>
      <c r="H523" s="126" t="str">
        <f>IF(E523&lt;&gt;"",SUMIFS(JPK_KR!AM:AM,JPK_KR!W:W,F523),"")</f>
        <v/>
      </c>
      <c r="K523" s="24" t="str">
        <f>IF(I523&lt;&gt;"",SUMIFS(JPK_KR!AL:AL,JPK_KR!W:W,J523),"")</f>
        <v/>
      </c>
      <c r="L523" s="126" t="str">
        <f>IF(I523&lt;&gt;"",SUMIFS(JPK_KR!AM:AM,JPK_KR!W:W,J523),"")</f>
        <v/>
      </c>
      <c r="P523" s="24" t="str">
        <f>IF(M523&lt;&gt;"",IF(O523="",SUMIFS(JPK_KR!AL:AL,JPK_KR!W:W,N523),SUMIFS(JPK_KR!BF:BF,JPK_KR!BE:BE,N523,JPK_KR!BG:BG,O523)),"")</f>
        <v/>
      </c>
      <c r="Q523" s="126" t="str">
        <f>IF(M523&lt;&gt;"",IF(O523="",SUMIFS(JPK_KR!AM:AM,JPK_KR!W:W,N523),SUMIFS(JPK_KR!BI:BI,JPK_KR!BH:BH,N523,JPK_KR!BJ:BJ,O523)),"")</f>
        <v/>
      </c>
      <c r="U523" s="24" t="str">
        <f>IF(R523&lt;&gt;"",SUMIFS(JPK_KR!AL:AL,JPK_KR!W:W,S523),"")</f>
        <v/>
      </c>
      <c r="V523" s="126" t="str">
        <f>IF(R523&lt;&gt;"",SUMIFS(JPK_KR!AM:AM,JPK_KR!W:W,S523),"")</f>
        <v/>
      </c>
    </row>
    <row r="524" spans="3:22" x14ac:dyDescent="0.3">
      <c r="C524" s="24" t="str">
        <f>IF(A524&lt;&gt;"",SUMIFS(JPK_KR!AL:AL,JPK_KR!W:W,B524),"")</f>
        <v/>
      </c>
      <c r="D524" s="126" t="str">
        <f>IF(A524&lt;&gt;"",SUMIFS(JPK_KR!AM:AM,JPK_KR!W:W,B524),"")</f>
        <v/>
      </c>
      <c r="G524" s="24" t="str">
        <f>IF(E524&lt;&gt;"",SUMIFS(JPK_KR!AL:AL,JPK_KR!W:W,F524),"")</f>
        <v/>
      </c>
      <c r="H524" s="126" t="str">
        <f>IF(E524&lt;&gt;"",SUMIFS(JPK_KR!AM:AM,JPK_KR!W:W,F524),"")</f>
        <v/>
      </c>
      <c r="K524" s="24" t="str">
        <f>IF(I524&lt;&gt;"",SUMIFS(JPK_KR!AL:AL,JPK_KR!W:W,J524),"")</f>
        <v/>
      </c>
      <c r="L524" s="126" t="str">
        <f>IF(I524&lt;&gt;"",SUMIFS(JPK_KR!AM:AM,JPK_KR!W:W,J524),"")</f>
        <v/>
      </c>
      <c r="P524" s="24" t="str">
        <f>IF(M524&lt;&gt;"",IF(O524="",SUMIFS(JPK_KR!AL:AL,JPK_KR!W:W,N524),SUMIFS(JPK_KR!BF:BF,JPK_KR!BE:BE,N524,JPK_KR!BG:BG,O524)),"")</f>
        <v/>
      </c>
      <c r="Q524" s="126" t="str">
        <f>IF(M524&lt;&gt;"",IF(O524="",SUMIFS(JPK_KR!AM:AM,JPK_KR!W:W,N524),SUMIFS(JPK_KR!BI:BI,JPK_KR!BH:BH,N524,JPK_KR!BJ:BJ,O524)),"")</f>
        <v/>
      </c>
      <c r="U524" s="24" t="str">
        <f>IF(R524&lt;&gt;"",SUMIFS(JPK_KR!AL:AL,JPK_KR!W:W,S524),"")</f>
        <v/>
      </c>
      <c r="V524" s="126" t="str">
        <f>IF(R524&lt;&gt;"",SUMIFS(JPK_KR!AM:AM,JPK_KR!W:W,S524),"")</f>
        <v/>
      </c>
    </row>
    <row r="525" spans="3:22" x14ac:dyDescent="0.3">
      <c r="C525" s="24" t="str">
        <f>IF(A525&lt;&gt;"",SUMIFS(JPK_KR!AL:AL,JPK_KR!W:W,B525),"")</f>
        <v/>
      </c>
      <c r="D525" s="126" t="str">
        <f>IF(A525&lt;&gt;"",SUMIFS(JPK_KR!AM:AM,JPK_KR!W:W,B525),"")</f>
        <v/>
      </c>
      <c r="G525" s="24" t="str">
        <f>IF(E525&lt;&gt;"",SUMIFS(JPK_KR!AL:AL,JPK_KR!W:W,F525),"")</f>
        <v/>
      </c>
      <c r="H525" s="126" t="str">
        <f>IF(E525&lt;&gt;"",SUMIFS(JPK_KR!AM:AM,JPK_KR!W:W,F525),"")</f>
        <v/>
      </c>
      <c r="K525" s="24" t="str">
        <f>IF(I525&lt;&gt;"",SUMIFS(JPK_KR!AL:AL,JPK_KR!W:W,J525),"")</f>
        <v/>
      </c>
      <c r="L525" s="126" t="str">
        <f>IF(I525&lt;&gt;"",SUMIFS(JPK_KR!AM:AM,JPK_KR!W:W,J525),"")</f>
        <v/>
      </c>
      <c r="P525" s="24" t="str">
        <f>IF(M525&lt;&gt;"",IF(O525="",SUMIFS(JPK_KR!AL:AL,JPK_KR!W:W,N525),SUMIFS(JPK_KR!BF:BF,JPK_KR!BE:BE,N525,JPK_KR!BG:BG,O525)),"")</f>
        <v/>
      </c>
      <c r="Q525" s="126" t="str">
        <f>IF(M525&lt;&gt;"",IF(O525="",SUMIFS(JPK_KR!AM:AM,JPK_KR!W:W,N525),SUMIFS(JPK_KR!BI:BI,JPK_KR!BH:BH,N525,JPK_KR!BJ:BJ,O525)),"")</f>
        <v/>
      </c>
      <c r="U525" s="24" t="str">
        <f>IF(R525&lt;&gt;"",SUMIFS(JPK_KR!AL:AL,JPK_KR!W:W,S525),"")</f>
        <v/>
      </c>
      <c r="V525" s="126" t="str">
        <f>IF(R525&lt;&gt;"",SUMIFS(JPK_KR!AM:AM,JPK_KR!W:W,S525),"")</f>
        <v/>
      </c>
    </row>
    <row r="526" spans="3:22" x14ac:dyDescent="0.3">
      <c r="C526" s="24" t="str">
        <f>IF(A526&lt;&gt;"",SUMIFS(JPK_KR!AL:AL,JPK_KR!W:W,B526),"")</f>
        <v/>
      </c>
      <c r="D526" s="126" t="str">
        <f>IF(A526&lt;&gt;"",SUMIFS(JPK_KR!AM:AM,JPK_KR!W:W,B526),"")</f>
        <v/>
      </c>
      <c r="G526" s="24" t="str">
        <f>IF(E526&lt;&gt;"",SUMIFS(JPK_KR!AL:AL,JPK_KR!W:W,F526),"")</f>
        <v/>
      </c>
      <c r="H526" s="126" t="str">
        <f>IF(E526&lt;&gt;"",SUMIFS(JPK_KR!AM:AM,JPK_KR!W:W,F526),"")</f>
        <v/>
      </c>
      <c r="K526" s="24" t="str">
        <f>IF(I526&lt;&gt;"",SUMIFS(JPK_KR!AL:AL,JPK_KR!W:W,J526),"")</f>
        <v/>
      </c>
      <c r="L526" s="126" t="str">
        <f>IF(I526&lt;&gt;"",SUMIFS(JPK_KR!AM:AM,JPK_KR!W:W,J526),"")</f>
        <v/>
      </c>
      <c r="P526" s="24" t="str">
        <f>IF(M526&lt;&gt;"",IF(O526="",SUMIFS(JPK_KR!AL:AL,JPK_KR!W:W,N526),SUMIFS(JPK_KR!BF:BF,JPK_KR!BE:BE,N526,JPK_KR!BG:BG,O526)),"")</f>
        <v/>
      </c>
      <c r="Q526" s="126" t="str">
        <f>IF(M526&lt;&gt;"",IF(O526="",SUMIFS(JPK_KR!AM:AM,JPK_KR!W:W,N526),SUMIFS(JPK_KR!BI:BI,JPK_KR!BH:BH,N526,JPK_KR!BJ:BJ,O526)),"")</f>
        <v/>
      </c>
      <c r="U526" s="24" t="str">
        <f>IF(R526&lt;&gt;"",SUMIFS(JPK_KR!AL:AL,JPK_KR!W:W,S526),"")</f>
        <v/>
      </c>
      <c r="V526" s="126" t="str">
        <f>IF(R526&lt;&gt;"",SUMIFS(JPK_KR!AM:AM,JPK_KR!W:W,S526),"")</f>
        <v/>
      </c>
    </row>
    <row r="527" spans="3:22" x14ac:dyDescent="0.3">
      <c r="C527" s="24" t="str">
        <f>IF(A527&lt;&gt;"",SUMIFS(JPK_KR!AL:AL,JPK_KR!W:W,B527),"")</f>
        <v/>
      </c>
      <c r="D527" s="126" t="str">
        <f>IF(A527&lt;&gt;"",SUMIFS(JPK_KR!AM:AM,JPK_KR!W:W,B527),"")</f>
        <v/>
      </c>
      <c r="G527" s="24" t="str">
        <f>IF(E527&lt;&gt;"",SUMIFS(JPK_KR!AL:AL,JPK_KR!W:W,F527),"")</f>
        <v/>
      </c>
      <c r="H527" s="126" t="str">
        <f>IF(E527&lt;&gt;"",SUMIFS(JPK_KR!AM:AM,JPK_KR!W:W,F527),"")</f>
        <v/>
      </c>
      <c r="K527" s="24" t="str">
        <f>IF(I527&lt;&gt;"",SUMIFS(JPK_KR!AL:AL,JPK_KR!W:W,J527),"")</f>
        <v/>
      </c>
      <c r="L527" s="126" t="str">
        <f>IF(I527&lt;&gt;"",SUMIFS(JPK_KR!AM:AM,JPK_KR!W:W,J527),"")</f>
        <v/>
      </c>
      <c r="P527" s="24" t="str">
        <f>IF(M527&lt;&gt;"",IF(O527="",SUMIFS(JPK_KR!AL:AL,JPK_KR!W:W,N527),SUMIFS(JPK_KR!BF:BF,JPK_KR!BE:BE,N527,JPK_KR!BG:BG,O527)),"")</f>
        <v/>
      </c>
      <c r="Q527" s="126" t="str">
        <f>IF(M527&lt;&gt;"",IF(O527="",SUMIFS(JPK_KR!AM:AM,JPK_KR!W:W,N527),SUMIFS(JPK_KR!BI:BI,JPK_KR!BH:BH,N527,JPK_KR!BJ:BJ,O527)),"")</f>
        <v/>
      </c>
      <c r="U527" s="24" t="str">
        <f>IF(R527&lt;&gt;"",SUMIFS(JPK_KR!AL:AL,JPK_KR!W:W,S527),"")</f>
        <v/>
      </c>
      <c r="V527" s="126" t="str">
        <f>IF(R527&lt;&gt;"",SUMIFS(JPK_KR!AM:AM,JPK_KR!W:W,S527),"")</f>
        <v/>
      </c>
    </row>
    <row r="528" spans="3:22" x14ac:dyDescent="0.3">
      <c r="C528" s="24" t="str">
        <f>IF(A528&lt;&gt;"",SUMIFS(JPK_KR!AL:AL,JPK_KR!W:W,B528),"")</f>
        <v/>
      </c>
      <c r="D528" s="126" t="str">
        <f>IF(A528&lt;&gt;"",SUMIFS(JPK_KR!AM:AM,JPK_KR!W:W,B528),"")</f>
        <v/>
      </c>
      <c r="G528" s="24" t="str">
        <f>IF(E528&lt;&gt;"",SUMIFS(JPK_KR!AL:AL,JPK_KR!W:W,F528),"")</f>
        <v/>
      </c>
      <c r="H528" s="126" t="str">
        <f>IF(E528&lt;&gt;"",SUMIFS(JPK_KR!AM:AM,JPK_KR!W:W,F528),"")</f>
        <v/>
      </c>
      <c r="K528" s="24" t="str">
        <f>IF(I528&lt;&gt;"",SUMIFS(JPK_KR!AL:AL,JPK_KR!W:W,J528),"")</f>
        <v/>
      </c>
      <c r="L528" s="126" t="str">
        <f>IF(I528&lt;&gt;"",SUMIFS(JPK_KR!AM:AM,JPK_KR!W:W,J528),"")</f>
        <v/>
      </c>
      <c r="P528" s="24" t="str">
        <f>IF(M528&lt;&gt;"",IF(O528="",SUMIFS(JPK_KR!AL:AL,JPK_KR!W:W,N528),SUMIFS(JPK_KR!BF:BF,JPK_KR!BE:BE,N528,JPK_KR!BG:BG,O528)),"")</f>
        <v/>
      </c>
      <c r="Q528" s="126" t="str">
        <f>IF(M528&lt;&gt;"",IF(O528="",SUMIFS(JPK_KR!AM:AM,JPK_KR!W:W,N528),SUMIFS(JPK_KR!BI:BI,JPK_KR!BH:BH,N528,JPK_KR!BJ:BJ,O528)),"")</f>
        <v/>
      </c>
      <c r="U528" s="24" t="str">
        <f>IF(R528&lt;&gt;"",SUMIFS(JPK_KR!AL:AL,JPK_KR!W:W,S528),"")</f>
        <v/>
      </c>
      <c r="V528" s="126" t="str">
        <f>IF(R528&lt;&gt;"",SUMIFS(JPK_KR!AM:AM,JPK_KR!W:W,S528),"")</f>
        <v/>
      </c>
    </row>
    <row r="529" spans="3:22" x14ac:dyDescent="0.3">
      <c r="C529" s="24" t="str">
        <f>IF(A529&lt;&gt;"",SUMIFS(JPK_KR!AL:AL,JPK_KR!W:W,B529),"")</f>
        <v/>
      </c>
      <c r="D529" s="126" t="str">
        <f>IF(A529&lt;&gt;"",SUMIFS(JPK_KR!AM:AM,JPK_KR!W:W,B529),"")</f>
        <v/>
      </c>
      <c r="G529" s="24" t="str">
        <f>IF(E529&lt;&gt;"",SUMIFS(JPK_KR!AL:AL,JPK_KR!W:W,F529),"")</f>
        <v/>
      </c>
      <c r="H529" s="126" t="str">
        <f>IF(E529&lt;&gt;"",SUMIFS(JPK_KR!AM:AM,JPK_KR!W:W,F529),"")</f>
        <v/>
      </c>
      <c r="K529" s="24" t="str">
        <f>IF(I529&lt;&gt;"",SUMIFS(JPK_KR!AL:AL,JPK_KR!W:W,J529),"")</f>
        <v/>
      </c>
      <c r="L529" s="126" t="str">
        <f>IF(I529&lt;&gt;"",SUMIFS(JPK_KR!AM:AM,JPK_KR!W:W,J529),"")</f>
        <v/>
      </c>
      <c r="P529" s="24" t="str">
        <f>IF(M529&lt;&gt;"",IF(O529="",SUMIFS(JPK_KR!AL:AL,JPK_KR!W:W,N529),SUMIFS(JPK_KR!BF:BF,JPK_KR!BE:BE,N529,JPK_KR!BG:BG,O529)),"")</f>
        <v/>
      </c>
      <c r="Q529" s="126" t="str">
        <f>IF(M529&lt;&gt;"",IF(O529="",SUMIFS(JPK_KR!AM:AM,JPK_KR!W:W,N529),SUMIFS(JPK_KR!BI:BI,JPK_KR!BH:BH,N529,JPK_KR!BJ:BJ,O529)),"")</f>
        <v/>
      </c>
      <c r="U529" s="24" t="str">
        <f>IF(R529&lt;&gt;"",SUMIFS(JPK_KR!AL:AL,JPK_KR!W:W,S529),"")</f>
        <v/>
      </c>
      <c r="V529" s="126" t="str">
        <f>IF(R529&lt;&gt;"",SUMIFS(JPK_KR!AM:AM,JPK_KR!W:W,S529),"")</f>
        <v/>
      </c>
    </row>
    <row r="530" spans="3:22" x14ac:dyDescent="0.3">
      <c r="C530" s="24" t="str">
        <f>IF(A530&lt;&gt;"",SUMIFS(JPK_KR!AL:AL,JPK_KR!W:W,B530),"")</f>
        <v/>
      </c>
      <c r="D530" s="126" t="str">
        <f>IF(A530&lt;&gt;"",SUMIFS(JPK_KR!AM:AM,JPK_KR!W:W,B530),"")</f>
        <v/>
      </c>
      <c r="G530" s="24" t="str">
        <f>IF(E530&lt;&gt;"",SUMIFS(JPK_KR!AL:AL,JPK_KR!W:W,F530),"")</f>
        <v/>
      </c>
      <c r="H530" s="126" t="str">
        <f>IF(E530&lt;&gt;"",SUMIFS(JPK_KR!AM:AM,JPK_KR!W:W,F530),"")</f>
        <v/>
      </c>
      <c r="K530" s="24" t="str">
        <f>IF(I530&lt;&gt;"",SUMIFS(JPK_KR!AL:AL,JPK_KR!W:W,J530),"")</f>
        <v/>
      </c>
      <c r="L530" s="126" t="str">
        <f>IF(I530&lt;&gt;"",SUMIFS(JPK_KR!AM:AM,JPK_KR!W:W,J530),"")</f>
        <v/>
      </c>
      <c r="P530" s="24" t="str">
        <f>IF(M530&lt;&gt;"",IF(O530="",SUMIFS(JPK_KR!AL:AL,JPK_KR!W:W,N530),SUMIFS(JPK_KR!BF:BF,JPK_KR!BE:BE,N530,JPK_KR!BG:BG,O530)),"")</f>
        <v/>
      </c>
      <c r="Q530" s="126" t="str">
        <f>IF(M530&lt;&gt;"",IF(O530="",SUMIFS(JPK_KR!AM:AM,JPK_KR!W:W,N530),SUMIFS(JPK_KR!BI:BI,JPK_KR!BH:BH,N530,JPK_KR!BJ:BJ,O530)),"")</f>
        <v/>
      </c>
      <c r="U530" s="24" t="str">
        <f>IF(R530&lt;&gt;"",SUMIFS(JPK_KR!AL:AL,JPK_KR!W:W,S530),"")</f>
        <v/>
      </c>
      <c r="V530" s="126" t="str">
        <f>IF(R530&lt;&gt;"",SUMIFS(JPK_KR!AM:AM,JPK_KR!W:W,S530),"")</f>
        <v/>
      </c>
    </row>
    <row r="531" spans="3:22" x14ac:dyDescent="0.3">
      <c r="C531" s="24" t="str">
        <f>IF(A531&lt;&gt;"",SUMIFS(JPK_KR!AL:AL,JPK_KR!W:W,B531),"")</f>
        <v/>
      </c>
      <c r="D531" s="126" t="str">
        <f>IF(A531&lt;&gt;"",SUMIFS(JPK_KR!AM:AM,JPK_KR!W:W,B531),"")</f>
        <v/>
      </c>
      <c r="G531" s="24" t="str">
        <f>IF(E531&lt;&gt;"",SUMIFS(JPK_KR!AL:AL,JPK_KR!W:W,F531),"")</f>
        <v/>
      </c>
      <c r="H531" s="126" t="str">
        <f>IF(E531&lt;&gt;"",SUMIFS(JPK_KR!AM:AM,JPK_KR!W:W,F531),"")</f>
        <v/>
      </c>
      <c r="K531" s="24" t="str">
        <f>IF(I531&lt;&gt;"",SUMIFS(JPK_KR!AL:AL,JPK_KR!W:W,J531),"")</f>
        <v/>
      </c>
      <c r="L531" s="126" t="str">
        <f>IF(I531&lt;&gt;"",SUMIFS(JPK_KR!AM:AM,JPK_KR!W:W,J531),"")</f>
        <v/>
      </c>
      <c r="P531" s="24" t="str">
        <f>IF(M531&lt;&gt;"",IF(O531="",SUMIFS(JPK_KR!AL:AL,JPK_KR!W:W,N531),SUMIFS(JPK_KR!BF:BF,JPK_KR!BE:BE,N531,JPK_KR!BG:BG,O531)),"")</f>
        <v/>
      </c>
      <c r="Q531" s="126" t="str">
        <f>IF(M531&lt;&gt;"",IF(O531="",SUMIFS(JPK_KR!AM:AM,JPK_KR!W:W,N531),SUMIFS(JPK_KR!BI:BI,JPK_KR!BH:BH,N531,JPK_KR!BJ:BJ,O531)),"")</f>
        <v/>
      </c>
      <c r="U531" s="24" t="str">
        <f>IF(R531&lt;&gt;"",SUMIFS(JPK_KR!AL:AL,JPK_KR!W:W,S531),"")</f>
        <v/>
      </c>
      <c r="V531" s="126" t="str">
        <f>IF(R531&lt;&gt;"",SUMIFS(JPK_KR!AM:AM,JPK_KR!W:W,S531),"")</f>
        <v/>
      </c>
    </row>
    <row r="532" spans="3:22" x14ac:dyDescent="0.3">
      <c r="C532" s="24" t="str">
        <f>IF(A532&lt;&gt;"",SUMIFS(JPK_KR!AL:AL,JPK_KR!W:W,B532),"")</f>
        <v/>
      </c>
      <c r="D532" s="126" t="str">
        <f>IF(A532&lt;&gt;"",SUMIFS(JPK_KR!AM:AM,JPK_KR!W:W,B532),"")</f>
        <v/>
      </c>
      <c r="G532" s="24" t="str">
        <f>IF(E532&lt;&gt;"",SUMIFS(JPK_KR!AL:AL,JPK_KR!W:W,F532),"")</f>
        <v/>
      </c>
      <c r="H532" s="126" t="str">
        <f>IF(E532&lt;&gt;"",SUMIFS(JPK_KR!AM:AM,JPK_KR!W:W,F532),"")</f>
        <v/>
      </c>
      <c r="K532" s="24" t="str">
        <f>IF(I532&lt;&gt;"",SUMIFS(JPK_KR!AL:AL,JPK_KR!W:W,J532),"")</f>
        <v/>
      </c>
      <c r="L532" s="126" t="str">
        <f>IF(I532&lt;&gt;"",SUMIFS(JPK_KR!AM:AM,JPK_KR!W:W,J532),"")</f>
        <v/>
      </c>
      <c r="P532" s="24" t="str">
        <f>IF(M532&lt;&gt;"",IF(O532="",SUMIFS(JPK_KR!AL:AL,JPK_KR!W:W,N532),SUMIFS(JPK_KR!BF:BF,JPK_KR!BE:BE,N532,JPK_KR!BG:BG,O532)),"")</f>
        <v/>
      </c>
      <c r="Q532" s="126" t="str">
        <f>IF(M532&lt;&gt;"",IF(O532="",SUMIFS(JPK_KR!AM:AM,JPK_KR!W:W,N532),SUMIFS(JPK_KR!BI:BI,JPK_KR!BH:BH,N532,JPK_KR!BJ:BJ,O532)),"")</f>
        <v/>
      </c>
      <c r="U532" s="24" t="str">
        <f>IF(R532&lt;&gt;"",SUMIFS(JPK_KR!AL:AL,JPK_KR!W:W,S532),"")</f>
        <v/>
      </c>
      <c r="V532" s="126" t="str">
        <f>IF(R532&lt;&gt;"",SUMIFS(JPK_KR!AM:AM,JPK_KR!W:W,S532),"")</f>
        <v/>
      </c>
    </row>
    <row r="533" spans="3:22" x14ac:dyDescent="0.3">
      <c r="C533" s="24" t="str">
        <f>IF(A533&lt;&gt;"",SUMIFS(JPK_KR!AL:AL,JPK_KR!W:W,B533),"")</f>
        <v/>
      </c>
      <c r="D533" s="126" t="str">
        <f>IF(A533&lt;&gt;"",SUMIFS(JPK_KR!AM:AM,JPK_KR!W:W,B533),"")</f>
        <v/>
      </c>
      <c r="G533" s="24" t="str">
        <f>IF(E533&lt;&gt;"",SUMIFS(JPK_KR!AL:AL,JPK_KR!W:W,F533),"")</f>
        <v/>
      </c>
      <c r="H533" s="126" t="str">
        <f>IF(E533&lt;&gt;"",SUMIFS(JPK_KR!AM:AM,JPK_KR!W:W,F533),"")</f>
        <v/>
      </c>
      <c r="K533" s="24" t="str">
        <f>IF(I533&lt;&gt;"",SUMIFS(JPK_KR!AL:AL,JPK_KR!W:W,J533),"")</f>
        <v/>
      </c>
      <c r="L533" s="126" t="str">
        <f>IF(I533&lt;&gt;"",SUMIFS(JPK_KR!AM:AM,JPK_KR!W:W,J533),"")</f>
        <v/>
      </c>
      <c r="P533" s="24" t="str">
        <f>IF(M533&lt;&gt;"",IF(O533="",SUMIFS(JPK_KR!AL:AL,JPK_KR!W:W,N533),SUMIFS(JPK_KR!BF:BF,JPK_KR!BE:BE,N533,JPK_KR!BG:BG,O533)),"")</f>
        <v/>
      </c>
      <c r="Q533" s="126" t="str">
        <f>IF(M533&lt;&gt;"",IF(O533="",SUMIFS(JPK_KR!AM:AM,JPK_KR!W:W,N533),SUMIFS(JPK_KR!BI:BI,JPK_KR!BH:BH,N533,JPK_KR!BJ:BJ,O533)),"")</f>
        <v/>
      </c>
      <c r="U533" s="24" t="str">
        <f>IF(R533&lt;&gt;"",SUMIFS(JPK_KR!AL:AL,JPK_KR!W:W,S533),"")</f>
        <v/>
      </c>
      <c r="V533" s="126" t="str">
        <f>IF(R533&lt;&gt;"",SUMIFS(JPK_KR!AM:AM,JPK_KR!W:W,S533),"")</f>
        <v/>
      </c>
    </row>
    <row r="534" spans="3:22" x14ac:dyDescent="0.3">
      <c r="C534" s="24" t="str">
        <f>IF(A534&lt;&gt;"",SUMIFS(JPK_KR!AL:AL,JPK_KR!W:W,B534),"")</f>
        <v/>
      </c>
      <c r="D534" s="126" t="str">
        <f>IF(A534&lt;&gt;"",SUMIFS(JPK_KR!AM:AM,JPK_KR!W:W,B534),"")</f>
        <v/>
      </c>
      <c r="G534" s="24" t="str">
        <f>IF(E534&lt;&gt;"",SUMIFS(JPK_KR!AL:AL,JPK_KR!W:W,F534),"")</f>
        <v/>
      </c>
      <c r="H534" s="126" t="str">
        <f>IF(E534&lt;&gt;"",SUMIFS(JPK_KR!AM:AM,JPK_KR!W:W,F534),"")</f>
        <v/>
      </c>
      <c r="K534" s="24" t="str">
        <f>IF(I534&lt;&gt;"",SUMIFS(JPK_KR!AL:AL,JPK_KR!W:W,J534),"")</f>
        <v/>
      </c>
      <c r="L534" s="126" t="str">
        <f>IF(I534&lt;&gt;"",SUMIFS(JPK_KR!AM:AM,JPK_KR!W:W,J534),"")</f>
        <v/>
      </c>
      <c r="P534" s="24" t="str">
        <f>IF(M534&lt;&gt;"",IF(O534="",SUMIFS(JPK_KR!AL:AL,JPK_KR!W:W,N534),SUMIFS(JPK_KR!BF:BF,JPK_KR!BE:BE,N534,JPK_KR!BG:BG,O534)),"")</f>
        <v/>
      </c>
      <c r="Q534" s="126" t="str">
        <f>IF(M534&lt;&gt;"",IF(O534="",SUMIFS(JPK_KR!AM:AM,JPK_KR!W:W,N534),SUMIFS(JPK_KR!BI:BI,JPK_KR!BH:BH,N534,JPK_KR!BJ:BJ,O534)),"")</f>
        <v/>
      </c>
      <c r="U534" s="24" t="str">
        <f>IF(R534&lt;&gt;"",SUMIFS(JPK_KR!AL:AL,JPK_KR!W:W,S534),"")</f>
        <v/>
      </c>
      <c r="V534" s="126" t="str">
        <f>IF(R534&lt;&gt;"",SUMIFS(JPK_KR!AM:AM,JPK_KR!W:W,S534),"")</f>
        <v/>
      </c>
    </row>
    <row r="535" spans="3:22" x14ac:dyDescent="0.3">
      <c r="C535" s="24" t="str">
        <f>IF(A535&lt;&gt;"",SUMIFS(JPK_KR!AL:AL,JPK_KR!W:W,B535),"")</f>
        <v/>
      </c>
      <c r="D535" s="126" t="str">
        <f>IF(A535&lt;&gt;"",SUMIFS(JPK_KR!AM:AM,JPK_KR!W:W,B535),"")</f>
        <v/>
      </c>
      <c r="G535" s="24" t="str">
        <f>IF(E535&lt;&gt;"",SUMIFS(JPK_KR!AL:AL,JPK_KR!W:W,F535),"")</f>
        <v/>
      </c>
      <c r="H535" s="126" t="str">
        <f>IF(E535&lt;&gt;"",SUMIFS(JPK_KR!AM:AM,JPK_KR!W:W,F535),"")</f>
        <v/>
      </c>
      <c r="K535" s="24" t="str">
        <f>IF(I535&lt;&gt;"",SUMIFS(JPK_KR!AL:AL,JPK_KR!W:W,J535),"")</f>
        <v/>
      </c>
      <c r="L535" s="126" t="str">
        <f>IF(I535&lt;&gt;"",SUMIFS(JPK_KR!AM:AM,JPK_KR!W:W,J535),"")</f>
        <v/>
      </c>
      <c r="P535" s="24" t="str">
        <f>IF(M535&lt;&gt;"",IF(O535="",SUMIFS(JPK_KR!AL:AL,JPK_KR!W:W,N535),SUMIFS(JPK_KR!BF:BF,JPK_KR!BE:BE,N535,JPK_KR!BG:BG,O535)),"")</f>
        <v/>
      </c>
      <c r="Q535" s="126" t="str">
        <f>IF(M535&lt;&gt;"",IF(O535="",SUMIFS(JPK_KR!AM:AM,JPK_KR!W:W,N535),SUMIFS(JPK_KR!BI:BI,JPK_KR!BH:BH,N535,JPK_KR!BJ:BJ,O535)),"")</f>
        <v/>
      </c>
      <c r="U535" s="24" t="str">
        <f>IF(R535&lt;&gt;"",SUMIFS(JPK_KR!AL:AL,JPK_KR!W:W,S535),"")</f>
        <v/>
      </c>
      <c r="V535" s="126" t="str">
        <f>IF(R535&lt;&gt;"",SUMIFS(JPK_KR!AM:AM,JPK_KR!W:W,S535),"")</f>
        <v/>
      </c>
    </row>
    <row r="536" spans="3:22" x14ac:dyDescent="0.3">
      <c r="C536" s="24" t="str">
        <f>IF(A536&lt;&gt;"",SUMIFS(JPK_KR!AL:AL,JPK_KR!W:W,B536),"")</f>
        <v/>
      </c>
      <c r="D536" s="126" t="str">
        <f>IF(A536&lt;&gt;"",SUMIFS(JPK_KR!AM:AM,JPK_KR!W:W,B536),"")</f>
        <v/>
      </c>
      <c r="G536" s="24" t="str">
        <f>IF(E536&lt;&gt;"",SUMIFS(JPK_KR!AL:AL,JPK_KR!W:W,F536),"")</f>
        <v/>
      </c>
      <c r="H536" s="126" t="str">
        <f>IF(E536&lt;&gt;"",SUMIFS(JPK_KR!AM:AM,JPK_KR!W:W,F536),"")</f>
        <v/>
      </c>
      <c r="K536" s="24" t="str">
        <f>IF(I536&lt;&gt;"",SUMIFS(JPK_KR!AL:AL,JPK_KR!W:W,J536),"")</f>
        <v/>
      </c>
      <c r="L536" s="126" t="str">
        <f>IF(I536&lt;&gt;"",SUMIFS(JPK_KR!AM:AM,JPK_KR!W:W,J536),"")</f>
        <v/>
      </c>
      <c r="P536" s="24" t="str">
        <f>IF(M536&lt;&gt;"",IF(O536="",SUMIFS(JPK_KR!AL:AL,JPK_KR!W:W,N536),SUMIFS(JPK_KR!BF:BF,JPK_KR!BE:BE,N536,JPK_KR!BG:BG,O536)),"")</f>
        <v/>
      </c>
      <c r="Q536" s="126" t="str">
        <f>IF(M536&lt;&gt;"",IF(O536="",SUMIFS(JPK_KR!AM:AM,JPK_KR!W:W,N536),SUMIFS(JPK_KR!BI:BI,JPK_KR!BH:BH,N536,JPK_KR!BJ:BJ,O536)),"")</f>
        <v/>
      </c>
      <c r="U536" s="24" t="str">
        <f>IF(R536&lt;&gt;"",SUMIFS(JPK_KR!AL:AL,JPK_KR!W:W,S536),"")</f>
        <v/>
      </c>
      <c r="V536" s="126" t="str">
        <f>IF(R536&lt;&gt;"",SUMIFS(JPK_KR!AM:AM,JPK_KR!W:W,S536),"")</f>
        <v/>
      </c>
    </row>
    <row r="537" spans="3:22" x14ac:dyDescent="0.3">
      <c r="C537" s="24" t="str">
        <f>IF(A537&lt;&gt;"",SUMIFS(JPK_KR!AL:AL,JPK_KR!W:W,B537),"")</f>
        <v/>
      </c>
      <c r="D537" s="126" t="str">
        <f>IF(A537&lt;&gt;"",SUMIFS(JPK_KR!AM:AM,JPK_KR!W:W,B537),"")</f>
        <v/>
      </c>
      <c r="G537" s="24" t="str">
        <f>IF(E537&lt;&gt;"",SUMIFS(JPK_KR!AL:AL,JPK_KR!W:W,F537),"")</f>
        <v/>
      </c>
      <c r="H537" s="126" t="str">
        <f>IF(E537&lt;&gt;"",SUMIFS(JPK_KR!AM:AM,JPK_KR!W:W,F537),"")</f>
        <v/>
      </c>
      <c r="K537" s="24" t="str">
        <f>IF(I537&lt;&gt;"",SUMIFS(JPK_KR!AL:AL,JPK_KR!W:W,J537),"")</f>
        <v/>
      </c>
      <c r="L537" s="126" t="str">
        <f>IF(I537&lt;&gt;"",SUMIFS(JPK_KR!AM:AM,JPK_KR!W:W,J537),"")</f>
        <v/>
      </c>
      <c r="P537" s="24" t="str">
        <f>IF(M537&lt;&gt;"",IF(O537="",SUMIFS(JPK_KR!AL:AL,JPK_KR!W:W,N537),SUMIFS(JPK_KR!BF:BF,JPK_KR!BE:BE,N537,JPK_KR!BG:BG,O537)),"")</f>
        <v/>
      </c>
      <c r="Q537" s="126" t="str">
        <f>IF(M537&lt;&gt;"",IF(O537="",SUMIFS(JPK_KR!AM:AM,JPK_KR!W:W,N537),SUMIFS(JPK_KR!BI:BI,JPK_KR!BH:BH,N537,JPK_KR!BJ:BJ,O537)),"")</f>
        <v/>
      </c>
      <c r="U537" s="24" t="str">
        <f>IF(R537&lt;&gt;"",SUMIFS(JPK_KR!AL:AL,JPK_KR!W:W,S537),"")</f>
        <v/>
      </c>
      <c r="V537" s="126" t="str">
        <f>IF(R537&lt;&gt;"",SUMIFS(JPK_KR!AM:AM,JPK_KR!W:W,S537),"")</f>
        <v/>
      </c>
    </row>
    <row r="538" spans="3:22" x14ac:dyDescent="0.3">
      <c r="C538" s="24" t="str">
        <f>IF(A538&lt;&gt;"",SUMIFS(JPK_KR!AL:AL,JPK_KR!W:W,B538),"")</f>
        <v/>
      </c>
      <c r="D538" s="126" t="str">
        <f>IF(A538&lt;&gt;"",SUMIFS(JPK_KR!AM:AM,JPK_KR!W:W,B538),"")</f>
        <v/>
      </c>
      <c r="G538" s="24" t="str">
        <f>IF(E538&lt;&gt;"",SUMIFS(JPK_KR!AL:AL,JPK_KR!W:W,F538),"")</f>
        <v/>
      </c>
      <c r="H538" s="126" t="str">
        <f>IF(E538&lt;&gt;"",SUMIFS(JPK_KR!AM:AM,JPK_KR!W:W,F538),"")</f>
        <v/>
      </c>
      <c r="K538" s="24" t="str">
        <f>IF(I538&lt;&gt;"",SUMIFS(JPK_KR!AL:AL,JPK_KR!W:W,J538),"")</f>
        <v/>
      </c>
      <c r="L538" s="126" t="str">
        <f>IF(I538&lt;&gt;"",SUMIFS(JPK_KR!AM:AM,JPK_KR!W:W,J538),"")</f>
        <v/>
      </c>
      <c r="P538" s="24" t="str">
        <f>IF(M538&lt;&gt;"",IF(O538="",SUMIFS(JPK_KR!AL:AL,JPK_KR!W:W,N538),SUMIFS(JPK_KR!BF:BF,JPK_KR!BE:BE,N538,JPK_KR!BG:BG,O538)),"")</f>
        <v/>
      </c>
      <c r="Q538" s="126" t="str">
        <f>IF(M538&lt;&gt;"",IF(O538="",SUMIFS(JPK_KR!AM:AM,JPK_KR!W:W,N538),SUMIFS(JPK_KR!BI:BI,JPK_KR!BH:BH,N538,JPK_KR!BJ:BJ,O538)),"")</f>
        <v/>
      </c>
      <c r="U538" s="24" t="str">
        <f>IF(R538&lt;&gt;"",SUMIFS(JPK_KR!AL:AL,JPK_KR!W:W,S538),"")</f>
        <v/>
      </c>
      <c r="V538" s="126" t="str">
        <f>IF(R538&lt;&gt;"",SUMIFS(JPK_KR!AM:AM,JPK_KR!W:W,S538),"")</f>
        <v/>
      </c>
    </row>
    <row r="539" spans="3:22" x14ac:dyDescent="0.3">
      <c r="C539" s="24" t="str">
        <f>IF(A539&lt;&gt;"",SUMIFS(JPK_KR!AL:AL,JPK_KR!W:W,B539),"")</f>
        <v/>
      </c>
      <c r="D539" s="126" t="str">
        <f>IF(A539&lt;&gt;"",SUMIFS(JPK_KR!AM:AM,JPK_KR!W:W,B539),"")</f>
        <v/>
      </c>
      <c r="G539" s="24" t="str">
        <f>IF(E539&lt;&gt;"",SUMIFS(JPK_KR!AL:AL,JPK_KR!W:W,F539),"")</f>
        <v/>
      </c>
      <c r="H539" s="126" t="str">
        <f>IF(E539&lt;&gt;"",SUMIFS(JPK_KR!AM:AM,JPK_KR!W:W,F539),"")</f>
        <v/>
      </c>
      <c r="K539" s="24" t="str">
        <f>IF(I539&lt;&gt;"",SUMIFS(JPK_KR!AL:AL,JPK_KR!W:W,J539),"")</f>
        <v/>
      </c>
      <c r="L539" s="126" t="str">
        <f>IF(I539&lt;&gt;"",SUMIFS(JPK_KR!AM:AM,JPK_KR!W:W,J539),"")</f>
        <v/>
      </c>
      <c r="P539" s="24" t="str">
        <f>IF(M539&lt;&gt;"",IF(O539="",SUMIFS(JPK_KR!AL:AL,JPK_KR!W:W,N539),SUMIFS(JPK_KR!BF:BF,JPK_KR!BE:BE,N539,JPK_KR!BG:BG,O539)),"")</f>
        <v/>
      </c>
      <c r="Q539" s="126" t="str">
        <f>IF(M539&lt;&gt;"",IF(O539="",SUMIFS(JPK_KR!AM:AM,JPK_KR!W:W,N539),SUMIFS(JPK_KR!BI:BI,JPK_KR!BH:BH,N539,JPK_KR!BJ:BJ,O539)),"")</f>
        <v/>
      </c>
      <c r="U539" s="24" t="str">
        <f>IF(R539&lt;&gt;"",SUMIFS(JPK_KR!AL:AL,JPK_KR!W:W,S539),"")</f>
        <v/>
      </c>
      <c r="V539" s="126" t="str">
        <f>IF(R539&lt;&gt;"",SUMIFS(JPK_KR!AM:AM,JPK_KR!W:W,S539),"")</f>
        <v/>
      </c>
    </row>
    <row r="540" spans="3:22" x14ac:dyDescent="0.3">
      <c r="C540" s="24" t="str">
        <f>IF(A540&lt;&gt;"",SUMIFS(JPK_KR!AL:AL,JPK_KR!W:W,B540),"")</f>
        <v/>
      </c>
      <c r="D540" s="126" t="str">
        <f>IF(A540&lt;&gt;"",SUMIFS(JPK_KR!AM:AM,JPK_KR!W:W,B540),"")</f>
        <v/>
      </c>
      <c r="G540" s="24" t="str">
        <f>IF(E540&lt;&gt;"",SUMIFS(JPK_KR!AL:AL,JPK_KR!W:W,F540),"")</f>
        <v/>
      </c>
      <c r="H540" s="126" t="str">
        <f>IF(E540&lt;&gt;"",SUMIFS(JPK_KR!AM:AM,JPK_KR!W:W,F540),"")</f>
        <v/>
      </c>
      <c r="K540" s="24" t="str">
        <f>IF(I540&lt;&gt;"",SUMIFS(JPK_KR!AL:AL,JPK_KR!W:W,J540),"")</f>
        <v/>
      </c>
      <c r="L540" s="126" t="str">
        <f>IF(I540&lt;&gt;"",SUMIFS(JPK_KR!AM:AM,JPK_KR!W:W,J540),"")</f>
        <v/>
      </c>
      <c r="P540" s="24" t="str">
        <f>IF(M540&lt;&gt;"",IF(O540="",SUMIFS(JPK_KR!AL:AL,JPK_KR!W:W,N540),SUMIFS(JPK_KR!BF:BF,JPK_KR!BE:BE,N540,JPK_KR!BG:BG,O540)),"")</f>
        <v/>
      </c>
      <c r="Q540" s="126" t="str">
        <f>IF(M540&lt;&gt;"",IF(O540="",SUMIFS(JPK_KR!AM:AM,JPK_KR!W:W,N540),SUMIFS(JPK_KR!BI:BI,JPK_KR!BH:BH,N540,JPK_KR!BJ:BJ,O540)),"")</f>
        <v/>
      </c>
      <c r="U540" s="24" t="str">
        <f>IF(R540&lt;&gt;"",SUMIFS(JPK_KR!AL:AL,JPK_KR!W:W,S540),"")</f>
        <v/>
      </c>
      <c r="V540" s="126" t="str">
        <f>IF(R540&lt;&gt;"",SUMIFS(JPK_KR!AM:AM,JPK_KR!W:W,S540),"")</f>
        <v/>
      </c>
    </row>
    <row r="541" spans="3:22" x14ac:dyDescent="0.3">
      <c r="C541" s="24" t="str">
        <f>IF(A541&lt;&gt;"",SUMIFS(JPK_KR!AL:AL,JPK_KR!W:W,B541),"")</f>
        <v/>
      </c>
      <c r="D541" s="126" t="str">
        <f>IF(A541&lt;&gt;"",SUMIFS(JPK_KR!AM:AM,JPK_KR!W:W,B541),"")</f>
        <v/>
      </c>
      <c r="G541" s="24" t="str">
        <f>IF(E541&lt;&gt;"",SUMIFS(JPK_KR!AL:AL,JPK_KR!W:W,F541),"")</f>
        <v/>
      </c>
      <c r="H541" s="126" t="str">
        <f>IF(E541&lt;&gt;"",SUMIFS(JPK_KR!AM:AM,JPK_KR!W:W,F541),"")</f>
        <v/>
      </c>
      <c r="K541" s="24" t="str">
        <f>IF(I541&lt;&gt;"",SUMIFS(JPK_KR!AL:AL,JPK_KR!W:W,J541),"")</f>
        <v/>
      </c>
      <c r="L541" s="126" t="str">
        <f>IF(I541&lt;&gt;"",SUMIFS(JPK_KR!AM:AM,JPK_KR!W:W,J541),"")</f>
        <v/>
      </c>
      <c r="P541" s="24" t="str">
        <f>IF(M541&lt;&gt;"",IF(O541="",SUMIFS(JPK_KR!AL:AL,JPK_KR!W:W,N541),SUMIFS(JPK_KR!BF:BF,JPK_KR!BE:BE,N541,JPK_KR!BG:BG,O541)),"")</f>
        <v/>
      </c>
      <c r="Q541" s="126" t="str">
        <f>IF(M541&lt;&gt;"",IF(O541="",SUMIFS(JPK_KR!AM:AM,JPK_KR!W:W,N541),SUMIFS(JPK_KR!BI:BI,JPK_KR!BH:BH,N541,JPK_KR!BJ:BJ,O541)),"")</f>
        <v/>
      </c>
      <c r="U541" s="24" t="str">
        <f>IF(R541&lt;&gt;"",SUMIFS(JPK_KR!AL:AL,JPK_KR!W:W,S541),"")</f>
        <v/>
      </c>
      <c r="V541" s="126" t="str">
        <f>IF(R541&lt;&gt;"",SUMIFS(JPK_KR!AM:AM,JPK_KR!W:W,S541),"")</f>
        <v/>
      </c>
    </row>
    <row r="542" spans="3:22" x14ac:dyDescent="0.3">
      <c r="C542" s="24" t="str">
        <f>IF(A542&lt;&gt;"",SUMIFS(JPK_KR!AL:AL,JPK_KR!W:W,B542),"")</f>
        <v/>
      </c>
      <c r="D542" s="126" t="str">
        <f>IF(A542&lt;&gt;"",SUMIFS(JPK_KR!AM:AM,JPK_KR!W:W,B542),"")</f>
        <v/>
      </c>
      <c r="G542" s="24" t="str">
        <f>IF(E542&lt;&gt;"",SUMIFS(JPK_KR!AL:AL,JPK_KR!W:W,F542),"")</f>
        <v/>
      </c>
      <c r="H542" s="126" t="str">
        <f>IF(E542&lt;&gt;"",SUMIFS(JPK_KR!AM:AM,JPK_KR!W:W,F542),"")</f>
        <v/>
      </c>
      <c r="K542" s="24" t="str">
        <f>IF(I542&lt;&gt;"",SUMIFS(JPK_KR!AL:AL,JPK_KR!W:W,J542),"")</f>
        <v/>
      </c>
      <c r="L542" s="126" t="str">
        <f>IF(I542&lt;&gt;"",SUMIFS(JPK_KR!AM:AM,JPK_KR!W:W,J542),"")</f>
        <v/>
      </c>
      <c r="P542" s="24" t="str">
        <f>IF(M542&lt;&gt;"",IF(O542="",SUMIFS(JPK_KR!AL:AL,JPK_KR!W:W,N542),SUMIFS(JPK_KR!BF:BF,JPK_KR!BE:BE,N542,JPK_KR!BG:BG,O542)),"")</f>
        <v/>
      </c>
      <c r="Q542" s="126" t="str">
        <f>IF(M542&lt;&gt;"",IF(O542="",SUMIFS(JPK_KR!AM:AM,JPK_KR!W:W,N542),SUMIFS(JPK_KR!BI:BI,JPK_KR!BH:BH,N542,JPK_KR!BJ:BJ,O542)),"")</f>
        <v/>
      </c>
      <c r="U542" s="24" t="str">
        <f>IF(R542&lt;&gt;"",SUMIFS(JPK_KR!AL:AL,JPK_KR!W:W,S542),"")</f>
        <v/>
      </c>
      <c r="V542" s="126" t="str">
        <f>IF(R542&lt;&gt;"",SUMIFS(JPK_KR!AM:AM,JPK_KR!W:W,S542),"")</f>
        <v/>
      </c>
    </row>
    <row r="543" spans="3:22" x14ac:dyDescent="0.3">
      <c r="C543" s="24" t="str">
        <f>IF(A543&lt;&gt;"",SUMIFS(JPK_KR!AL:AL,JPK_KR!W:W,B543),"")</f>
        <v/>
      </c>
      <c r="D543" s="126" t="str">
        <f>IF(A543&lt;&gt;"",SUMIFS(JPK_KR!AM:AM,JPK_KR!W:W,B543),"")</f>
        <v/>
      </c>
      <c r="G543" s="24" t="str">
        <f>IF(E543&lt;&gt;"",SUMIFS(JPK_KR!AL:AL,JPK_KR!W:W,F543),"")</f>
        <v/>
      </c>
      <c r="H543" s="126" t="str">
        <f>IF(E543&lt;&gt;"",SUMIFS(JPK_KR!AM:AM,JPK_KR!W:W,F543),"")</f>
        <v/>
      </c>
      <c r="K543" s="24" t="str">
        <f>IF(I543&lt;&gt;"",SUMIFS(JPK_KR!AL:AL,JPK_KR!W:W,J543),"")</f>
        <v/>
      </c>
      <c r="L543" s="126" t="str">
        <f>IF(I543&lt;&gt;"",SUMIFS(JPK_KR!AM:AM,JPK_KR!W:W,J543),"")</f>
        <v/>
      </c>
      <c r="P543" s="24" t="str">
        <f>IF(M543&lt;&gt;"",IF(O543="",SUMIFS(JPK_KR!AL:AL,JPK_KR!W:W,N543),SUMIFS(JPK_KR!BF:BF,JPK_KR!BE:BE,N543,JPK_KR!BG:BG,O543)),"")</f>
        <v/>
      </c>
      <c r="Q543" s="126" t="str">
        <f>IF(M543&lt;&gt;"",IF(O543="",SUMIFS(JPK_KR!AM:AM,JPK_KR!W:W,N543),SUMIFS(JPK_KR!BI:BI,JPK_KR!BH:BH,N543,JPK_KR!BJ:BJ,O543)),"")</f>
        <v/>
      </c>
      <c r="U543" s="24" t="str">
        <f>IF(R543&lt;&gt;"",SUMIFS(JPK_KR!AL:AL,JPK_KR!W:W,S543),"")</f>
        <v/>
      </c>
      <c r="V543" s="126" t="str">
        <f>IF(R543&lt;&gt;"",SUMIFS(JPK_KR!AM:AM,JPK_KR!W:W,S543),"")</f>
        <v/>
      </c>
    </row>
    <row r="544" spans="3:22" x14ac:dyDescent="0.3">
      <c r="C544" s="24" t="str">
        <f>IF(A544&lt;&gt;"",SUMIFS(JPK_KR!AL:AL,JPK_KR!W:W,B544),"")</f>
        <v/>
      </c>
      <c r="D544" s="126" t="str">
        <f>IF(A544&lt;&gt;"",SUMIFS(JPK_KR!AM:AM,JPK_KR!W:W,B544),"")</f>
        <v/>
      </c>
      <c r="G544" s="24" t="str">
        <f>IF(E544&lt;&gt;"",SUMIFS(JPK_KR!AL:AL,JPK_KR!W:W,F544),"")</f>
        <v/>
      </c>
      <c r="H544" s="126" t="str">
        <f>IF(E544&lt;&gt;"",SUMIFS(JPK_KR!AM:AM,JPK_KR!W:W,F544),"")</f>
        <v/>
      </c>
      <c r="K544" s="24" t="str">
        <f>IF(I544&lt;&gt;"",SUMIFS(JPK_KR!AL:AL,JPK_KR!W:W,J544),"")</f>
        <v/>
      </c>
      <c r="L544" s="126" t="str">
        <f>IF(I544&lt;&gt;"",SUMIFS(JPK_KR!AM:AM,JPK_KR!W:W,J544),"")</f>
        <v/>
      </c>
      <c r="P544" s="24" t="str">
        <f>IF(M544&lt;&gt;"",IF(O544="",SUMIFS(JPK_KR!AL:AL,JPK_KR!W:W,N544),SUMIFS(JPK_KR!BF:BF,JPK_KR!BE:BE,N544,JPK_KR!BG:BG,O544)),"")</f>
        <v/>
      </c>
      <c r="Q544" s="126" t="str">
        <f>IF(M544&lt;&gt;"",IF(O544="",SUMIFS(JPK_KR!AM:AM,JPK_KR!W:W,N544),SUMIFS(JPK_KR!BI:BI,JPK_KR!BH:BH,N544,JPK_KR!BJ:BJ,O544)),"")</f>
        <v/>
      </c>
      <c r="U544" s="24" t="str">
        <f>IF(R544&lt;&gt;"",SUMIFS(JPK_KR!AL:AL,JPK_KR!W:W,S544),"")</f>
        <v/>
      </c>
      <c r="V544" s="126" t="str">
        <f>IF(R544&lt;&gt;"",SUMIFS(JPK_KR!AM:AM,JPK_KR!W:W,S544),"")</f>
        <v/>
      </c>
    </row>
    <row r="545" spans="3:22" x14ac:dyDescent="0.3">
      <c r="C545" s="24" t="str">
        <f>IF(A545&lt;&gt;"",SUMIFS(JPK_KR!AL:AL,JPK_KR!W:W,B545),"")</f>
        <v/>
      </c>
      <c r="D545" s="126" t="str">
        <f>IF(A545&lt;&gt;"",SUMIFS(JPK_KR!AM:AM,JPK_KR!W:W,B545),"")</f>
        <v/>
      </c>
      <c r="G545" s="24" t="str">
        <f>IF(E545&lt;&gt;"",SUMIFS(JPK_KR!AL:AL,JPK_KR!W:W,F545),"")</f>
        <v/>
      </c>
      <c r="H545" s="126" t="str">
        <f>IF(E545&lt;&gt;"",SUMIFS(JPK_KR!AM:AM,JPK_KR!W:W,F545),"")</f>
        <v/>
      </c>
      <c r="K545" s="24" t="str">
        <f>IF(I545&lt;&gt;"",SUMIFS(JPK_KR!AL:AL,JPK_KR!W:W,J545),"")</f>
        <v/>
      </c>
      <c r="L545" s="126" t="str">
        <f>IF(I545&lt;&gt;"",SUMIFS(JPK_KR!AM:AM,JPK_KR!W:W,J545),"")</f>
        <v/>
      </c>
      <c r="P545" s="24" t="str">
        <f>IF(M545&lt;&gt;"",IF(O545="",SUMIFS(JPK_KR!AL:AL,JPK_KR!W:W,N545),SUMIFS(JPK_KR!BF:BF,JPK_KR!BE:BE,N545,JPK_KR!BG:BG,O545)),"")</f>
        <v/>
      </c>
      <c r="Q545" s="126" t="str">
        <f>IF(M545&lt;&gt;"",IF(O545="",SUMIFS(JPK_KR!AM:AM,JPK_KR!W:W,N545),SUMIFS(JPK_KR!BI:BI,JPK_KR!BH:BH,N545,JPK_KR!BJ:BJ,O545)),"")</f>
        <v/>
      </c>
      <c r="U545" s="24" t="str">
        <f>IF(R545&lt;&gt;"",SUMIFS(JPK_KR!AL:AL,JPK_KR!W:W,S545),"")</f>
        <v/>
      </c>
      <c r="V545" s="126" t="str">
        <f>IF(R545&lt;&gt;"",SUMIFS(JPK_KR!AM:AM,JPK_KR!W:W,S545),"")</f>
        <v/>
      </c>
    </row>
    <row r="546" spans="3:22" x14ac:dyDescent="0.3">
      <c r="C546" s="24" t="str">
        <f>IF(A546&lt;&gt;"",SUMIFS(JPK_KR!AL:AL,JPK_KR!W:W,B546),"")</f>
        <v/>
      </c>
      <c r="D546" s="126" t="str">
        <f>IF(A546&lt;&gt;"",SUMIFS(JPK_KR!AM:AM,JPK_KR!W:W,B546),"")</f>
        <v/>
      </c>
      <c r="G546" s="24" t="str">
        <f>IF(E546&lt;&gt;"",SUMIFS(JPK_KR!AL:AL,JPK_KR!W:W,F546),"")</f>
        <v/>
      </c>
      <c r="H546" s="126" t="str">
        <f>IF(E546&lt;&gt;"",SUMIFS(JPK_KR!AM:AM,JPK_KR!W:W,F546),"")</f>
        <v/>
      </c>
      <c r="K546" s="24" t="str">
        <f>IF(I546&lt;&gt;"",SUMIFS(JPK_KR!AL:AL,JPK_KR!W:W,J546),"")</f>
        <v/>
      </c>
      <c r="L546" s="126" t="str">
        <f>IF(I546&lt;&gt;"",SUMIFS(JPK_KR!AM:AM,JPK_KR!W:W,J546),"")</f>
        <v/>
      </c>
      <c r="P546" s="24" t="str">
        <f>IF(M546&lt;&gt;"",IF(O546="",SUMIFS(JPK_KR!AL:AL,JPK_KR!W:W,N546),SUMIFS(JPK_KR!BF:BF,JPK_KR!BE:BE,N546,JPK_KR!BG:BG,O546)),"")</f>
        <v/>
      </c>
      <c r="Q546" s="126" t="str">
        <f>IF(M546&lt;&gt;"",IF(O546="",SUMIFS(JPK_KR!AM:AM,JPK_KR!W:W,N546),SUMIFS(JPK_KR!BI:BI,JPK_KR!BH:BH,N546,JPK_KR!BJ:BJ,O546)),"")</f>
        <v/>
      </c>
      <c r="U546" s="24" t="str">
        <f>IF(R546&lt;&gt;"",SUMIFS(JPK_KR!AL:AL,JPK_KR!W:W,S546),"")</f>
        <v/>
      </c>
      <c r="V546" s="126" t="str">
        <f>IF(R546&lt;&gt;"",SUMIFS(JPK_KR!AM:AM,JPK_KR!W:W,S546),"")</f>
        <v/>
      </c>
    </row>
    <row r="547" spans="3:22" x14ac:dyDescent="0.3">
      <c r="C547" s="24" t="str">
        <f>IF(A547&lt;&gt;"",SUMIFS(JPK_KR!AL:AL,JPK_KR!W:W,B547),"")</f>
        <v/>
      </c>
      <c r="D547" s="126" t="str">
        <f>IF(A547&lt;&gt;"",SUMIFS(JPK_KR!AM:AM,JPK_KR!W:W,B547),"")</f>
        <v/>
      </c>
      <c r="G547" s="24" t="str">
        <f>IF(E547&lt;&gt;"",SUMIFS(JPK_KR!AL:AL,JPK_KR!W:W,F547),"")</f>
        <v/>
      </c>
      <c r="H547" s="126" t="str">
        <f>IF(E547&lt;&gt;"",SUMIFS(JPK_KR!AM:AM,JPK_KR!W:W,F547),"")</f>
        <v/>
      </c>
      <c r="K547" s="24" t="str">
        <f>IF(I547&lt;&gt;"",SUMIFS(JPK_KR!AL:AL,JPK_KR!W:W,J547),"")</f>
        <v/>
      </c>
      <c r="L547" s="126" t="str">
        <f>IF(I547&lt;&gt;"",SUMIFS(JPK_KR!AM:AM,JPK_KR!W:W,J547),"")</f>
        <v/>
      </c>
      <c r="P547" s="24" t="str">
        <f>IF(M547&lt;&gt;"",IF(O547="",SUMIFS(JPK_KR!AL:AL,JPK_KR!W:W,N547),SUMIFS(JPK_KR!BF:BF,JPK_KR!BE:BE,N547,JPK_KR!BG:BG,O547)),"")</f>
        <v/>
      </c>
      <c r="Q547" s="126" t="str">
        <f>IF(M547&lt;&gt;"",IF(O547="",SUMIFS(JPK_KR!AM:AM,JPK_KR!W:W,N547),SUMIFS(JPK_KR!BI:BI,JPK_KR!BH:BH,N547,JPK_KR!BJ:BJ,O547)),"")</f>
        <v/>
      </c>
      <c r="U547" s="24" t="str">
        <f>IF(R547&lt;&gt;"",SUMIFS(JPK_KR!AL:AL,JPK_KR!W:W,S547),"")</f>
        <v/>
      </c>
      <c r="V547" s="126" t="str">
        <f>IF(R547&lt;&gt;"",SUMIFS(JPK_KR!AM:AM,JPK_KR!W:W,S547),"")</f>
        <v/>
      </c>
    </row>
    <row r="548" spans="3:22" x14ac:dyDescent="0.3">
      <c r="C548" s="24" t="str">
        <f>IF(A548&lt;&gt;"",SUMIFS(JPK_KR!AL:AL,JPK_KR!W:W,B548),"")</f>
        <v/>
      </c>
      <c r="D548" s="126" t="str">
        <f>IF(A548&lt;&gt;"",SUMIFS(JPK_KR!AM:AM,JPK_KR!W:W,B548),"")</f>
        <v/>
      </c>
      <c r="G548" s="24" t="str">
        <f>IF(E548&lt;&gt;"",SUMIFS(JPK_KR!AL:AL,JPK_KR!W:W,F548),"")</f>
        <v/>
      </c>
      <c r="H548" s="126" t="str">
        <f>IF(E548&lt;&gt;"",SUMIFS(JPK_KR!AM:AM,JPK_KR!W:W,F548),"")</f>
        <v/>
      </c>
      <c r="K548" s="24" t="str">
        <f>IF(I548&lt;&gt;"",SUMIFS(JPK_KR!AL:AL,JPK_KR!W:W,J548),"")</f>
        <v/>
      </c>
      <c r="L548" s="126" t="str">
        <f>IF(I548&lt;&gt;"",SUMIFS(JPK_KR!AM:AM,JPK_KR!W:W,J548),"")</f>
        <v/>
      </c>
      <c r="P548" s="24" t="str">
        <f>IF(M548&lt;&gt;"",IF(O548="",SUMIFS(JPK_KR!AL:AL,JPK_KR!W:W,N548),SUMIFS(JPK_KR!BF:BF,JPK_KR!BE:BE,N548,JPK_KR!BG:BG,O548)),"")</f>
        <v/>
      </c>
      <c r="Q548" s="126" t="str">
        <f>IF(M548&lt;&gt;"",IF(O548="",SUMIFS(JPK_KR!AM:AM,JPK_KR!W:W,N548),SUMIFS(JPK_KR!BI:BI,JPK_KR!BH:BH,N548,JPK_KR!BJ:BJ,O548)),"")</f>
        <v/>
      </c>
      <c r="U548" s="24" t="str">
        <f>IF(R548&lt;&gt;"",SUMIFS(JPK_KR!AL:AL,JPK_KR!W:W,S548),"")</f>
        <v/>
      </c>
      <c r="V548" s="126" t="str">
        <f>IF(R548&lt;&gt;"",SUMIFS(JPK_KR!AM:AM,JPK_KR!W:W,S548),"")</f>
        <v/>
      </c>
    </row>
    <row r="549" spans="3:22" x14ac:dyDescent="0.3">
      <c r="C549" s="24" t="str">
        <f>IF(A549&lt;&gt;"",SUMIFS(JPK_KR!AL:AL,JPK_KR!W:W,B549),"")</f>
        <v/>
      </c>
      <c r="D549" s="126" t="str">
        <f>IF(A549&lt;&gt;"",SUMIFS(JPK_KR!AM:AM,JPK_KR!W:W,B549),"")</f>
        <v/>
      </c>
      <c r="G549" s="24" t="str">
        <f>IF(E549&lt;&gt;"",SUMIFS(JPK_KR!AL:AL,JPK_KR!W:W,F549),"")</f>
        <v/>
      </c>
      <c r="H549" s="126" t="str">
        <f>IF(E549&lt;&gt;"",SUMIFS(JPK_KR!AM:AM,JPK_KR!W:W,F549),"")</f>
        <v/>
      </c>
      <c r="K549" s="24" t="str">
        <f>IF(I549&lt;&gt;"",SUMIFS(JPK_KR!AL:AL,JPK_KR!W:W,J549),"")</f>
        <v/>
      </c>
      <c r="L549" s="126" t="str">
        <f>IF(I549&lt;&gt;"",SUMIFS(JPK_KR!AM:AM,JPK_KR!W:W,J549),"")</f>
        <v/>
      </c>
      <c r="P549" s="24" t="str">
        <f>IF(M549&lt;&gt;"",IF(O549="",SUMIFS(JPK_KR!AL:AL,JPK_KR!W:W,N549),SUMIFS(JPK_KR!BF:BF,JPK_KR!BE:BE,N549,JPK_KR!BG:BG,O549)),"")</f>
        <v/>
      </c>
      <c r="Q549" s="126" t="str">
        <f>IF(M549&lt;&gt;"",IF(O549="",SUMIFS(JPK_KR!AM:AM,JPK_KR!W:W,N549),SUMIFS(JPK_KR!BI:BI,JPK_KR!BH:BH,N549,JPK_KR!BJ:BJ,O549)),"")</f>
        <v/>
      </c>
      <c r="U549" s="24" t="str">
        <f>IF(R549&lt;&gt;"",SUMIFS(JPK_KR!AL:AL,JPK_KR!W:W,S549),"")</f>
        <v/>
      </c>
      <c r="V549" s="126" t="str">
        <f>IF(R549&lt;&gt;"",SUMIFS(JPK_KR!AM:AM,JPK_KR!W:W,S549),"")</f>
        <v/>
      </c>
    </row>
    <row r="550" spans="3:22" x14ac:dyDescent="0.3">
      <c r="C550" s="24" t="str">
        <f>IF(A550&lt;&gt;"",SUMIFS(JPK_KR!AL:AL,JPK_KR!W:W,B550),"")</f>
        <v/>
      </c>
      <c r="D550" s="126" t="str">
        <f>IF(A550&lt;&gt;"",SUMIFS(JPK_KR!AM:AM,JPK_KR!W:W,B550),"")</f>
        <v/>
      </c>
      <c r="G550" s="24" t="str">
        <f>IF(E550&lt;&gt;"",SUMIFS(JPK_KR!AL:AL,JPK_KR!W:W,F550),"")</f>
        <v/>
      </c>
      <c r="H550" s="126" t="str">
        <f>IF(E550&lt;&gt;"",SUMIFS(JPK_KR!AM:AM,JPK_KR!W:W,F550),"")</f>
        <v/>
      </c>
      <c r="K550" s="24" t="str">
        <f>IF(I550&lt;&gt;"",SUMIFS(JPK_KR!AL:AL,JPK_KR!W:W,J550),"")</f>
        <v/>
      </c>
      <c r="L550" s="126" t="str">
        <f>IF(I550&lt;&gt;"",SUMIFS(JPK_KR!AM:AM,JPK_KR!W:W,J550),"")</f>
        <v/>
      </c>
      <c r="P550" s="24" t="str">
        <f>IF(M550&lt;&gt;"",IF(O550="",SUMIFS(JPK_KR!AL:AL,JPK_KR!W:W,N550),SUMIFS(JPK_KR!BF:BF,JPK_KR!BE:BE,N550,JPK_KR!BG:BG,O550)),"")</f>
        <v/>
      </c>
      <c r="Q550" s="126" t="str">
        <f>IF(M550&lt;&gt;"",IF(O550="",SUMIFS(JPK_KR!AM:AM,JPK_KR!W:W,N550),SUMIFS(JPK_KR!BI:BI,JPK_KR!BH:BH,N550,JPK_KR!BJ:BJ,O550)),"")</f>
        <v/>
      </c>
      <c r="U550" s="24" t="str">
        <f>IF(R550&lt;&gt;"",SUMIFS(JPK_KR!AL:AL,JPK_KR!W:W,S550),"")</f>
        <v/>
      </c>
      <c r="V550" s="126" t="str">
        <f>IF(R550&lt;&gt;"",SUMIFS(JPK_KR!AM:AM,JPK_KR!W:W,S550),"")</f>
        <v/>
      </c>
    </row>
    <row r="551" spans="3:22" x14ac:dyDescent="0.3">
      <c r="C551" s="24" t="str">
        <f>IF(A551&lt;&gt;"",SUMIFS(JPK_KR!AL:AL,JPK_KR!W:W,B551),"")</f>
        <v/>
      </c>
      <c r="D551" s="126" t="str">
        <f>IF(A551&lt;&gt;"",SUMIFS(JPK_KR!AM:AM,JPK_KR!W:W,B551),"")</f>
        <v/>
      </c>
      <c r="G551" s="24" t="str">
        <f>IF(E551&lt;&gt;"",SUMIFS(JPK_KR!AL:AL,JPK_KR!W:W,F551),"")</f>
        <v/>
      </c>
      <c r="H551" s="126" t="str">
        <f>IF(E551&lt;&gt;"",SUMIFS(JPK_KR!AM:AM,JPK_KR!W:W,F551),"")</f>
        <v/>
      </c>
      <c r="K551" s="24" t="str">
        <f>IF(I551&lt;&gt;"",SUMIFS(JPK_KR!AL:AL,JPK_KR!W:W,J551),"")</f>
        <v/>
      </c>
      <c r="L551" s="126" t="str">
        <f>IF(I551&lt;&gt;"",SUMIFS(JPK_KR!AM:AM,JPK_KR!W:W,J551),"")</f>
        <v/>
      </c>
      <c r="P551" s="24" t="str">
        <f>IF(M551&lt;&gt;"",IF(O551="",SUMIFS(JPK_KR!AL:AL,JPK_KR!W:W,N551),SUMIFS(JPK_KR!BF:BF,JPK_KR!BE:BE,N551,JPK_KR!BG:BG,O551)),"")</f>
        <v/>
      </c>
      <c r="Q551" s="126" t="str">
        <f>IF(M551&lt;&gt;"",IF(O551="",SUMIFS(JPK_KR!AM:AM,JPK_KR!W:W,N551),SUMIFS(JPK_KR!BI:BI,JPK_KR!BH:BH,N551,JPK_KR!BJ:BJ,O551)),"")</f>
        <v/>
      </c>
      <c r="U551" s="24" t="str">
        <f>IF(R551&lt;&gt;"",SUMIFS(JPK_KR!AL:AL,JPK_KR!W:W,S551),"")</f>
        <v/>
      </c>
      <c r="V551" s="126" t="str">
        <f>IF(R551&lt;&gt;"",SUMIFS(JPK_KR!AM:AM,JPK_KR!W:W,S551),"")</f>
        <v/>
      </c>
    </row>
    <row r="552" spans="3:22" x14ac:dyDescent="0.3">
      <c r="C552" s="24" t="str">
        <f>IF(A552&lt;&gt;"",SUMIFS(JPK_KR!AL:AL,JPK_KR!W:W,B552),"")</f>
        <v/>
      </c>
      <c r="D552" s="126" t="str">
        <f>IF(A552&lt;&gt;"",SUMIFS(JPK_KR!AM:AM,JPK_KR!W:W,B552),"")</f>
        <v/>
      </c>
      <c r="G552" s="24" t="str">
        <f>IF(E552&lt;&gt;"",SUMIFS(JPK_KR!AL:AL,JPK_KR!W:W,F552),"")</f>
        <v/>
      </c>
      <c r="H552" s="126" t="str">
        <f>IF(E552&lt;&gt;"",SUMIFS(JPK_KR!AM:AM,JPK_KR!W:W,F552),"")</f>
        <v/>
      </c>
      <c r="K552" s="24" t="str">
        <f>IF(I552&lt;&gt;"",SUMIFS(JPK_KR!AL:AL,JPK_KR!W:W,J552),"")</f>
        <v/>
      </c>
      <c r="L552" s="126" t="str">
        <f>IF(I552&lt;&gt;"",SUMIFS(JPK_KR!AM:AM,JPK_KR!W:W,J552),"")</f>
        <v/>
      </c>
      <c r="P552" s="24" t="str">
        <f>IF(M552&lt;&gt;"",IF(O552="",SUMIFS(JPK_KR!AL:AL,JPK_KR!W:W,N552),SUMIFS(JPK_KR!BF:BF,JPK_KR!BE:BE,N552,JPK_KR!BG:BG,O552)),"")</f>
        <v/>
      </c>
      <c r="Q552" s="126" t="str">
        <f>IF(M552&lt;&gt;"",IF(O552="",SUMIFS(JPK_KR!AM:AM,JPK_KR!W:W,N552),SUMIFS(JPK_KR!BI:BI,JPK_KR!BH:BH,N552,JPK_KR!BJ:BJ,O552)),"")</f>
        <v/>
      </c>
      <c r="U552" s="24" t="str">
        <f>IF(R552&lt;&gt;"",SUMIFS(JPK_KR!AL:AL,JPK_KR!W:W,S552),"")</f>
        <v/>
      </c>
      <c r="V552" s="126" t="str">
        <f>IF(R552&lt;&gt;"",SUMIFS(JPK_KR!AM:AM,JPK_KR!W:W,S552),"")</f>
        <v/>
      </c>
    </row>
    <row r="553" spans="3:22" x14ac:dyDescent="0.3">
      <c r="C553" s="24" t="str">
        <f>IF(A553&lt;&gt;"",SUMIFS(JPK_KR!AL:AL,JPK_KR!W:W,B553),"")</f>
        <v/>
      </c>
      <c r="D553" s="126" t="str">
        <f>IF(A553&lt;&gt;"",SUMIFS(JPK_KR!AM:AM,JPK_KR!W:W,B553),"")</f>
        <v/>
      </c>
      <c r="G553" s="24" t="str">
        <f>IF(E553&lt;&gt;"",SUMIFS(JPK_KR!AL:AL,JPK_KR!W:W,F553),"")</f>
        <v/>
      </c>
      <c r="H553" s="126" t="str">
        <f>IF(E553&lt;&gt;"",SUMIFS(JPK_KR!AM:AM,JPK_KR!W:W,F553),"")</f>
        <v/>
      </c>
      <c r="K553" s="24" t="str">
        <f>IF(I553&lt;&gt;"",SUMIFS(JPK_KR!AL:AL,JPK_KR!W:W,J553),"")</f>
        <v/>
      </c>
      <c r="L553" s="126" t="str">
        <f>IF(I553&lt;&gt;"",SUMIFS(JPK_KR!AM:AM,JPK_KR!W:W,J553),"")</f>
        <v/>
      </c>
      <c r="P553" s="24" t="str">
        <f>IF(M553&lt;&gt;"",IF(O553="",SUMIFS(JPK_KR!AL:AL,JPK_KR!W:W,N553),SUMIFS(JPK_KR!BF:BF,JPK_KR!BE:BE,N553,JPK_KR!BG:BG,O553)),"")</f>
        <v/>
      </c>
      <c r="Q553" s="126" t="str">
        <f>IF(M553&lt;&gt;"",IF(O553="",SUMIFS(JPK_KR!AM:AM,JPK_KR!W:W,N553),SUMIFS(JPK_KR!BI:BI,JPK_KR!BH:BH,N553,JPK_KR!BJ:BJ,O553)),"")</f>
        <v/>
      </c>
      <c r="U553" s="24" t="str">
        <f>IF(R553&lt;&gt;"",SUMIFS(JPK_KR!AL:AL,JPK_KR!W:W,S553),"")</f>
        <v/>
      </c>
      <c r="V553" s="126" t="str">
        <f>IF(R553&lt;&gt;"",SUMIFS(JPK_KR!AM:AM,JPK_KR!W:W,S553),"")</f>
        <v/>
      </c>
    </row>
    <row r="554" spans="3:22" x14ac:dyDescent="0.3">
      <c r="C554" s="24" t="str">
        <f>IF(A554&lt;&gt;"",SUMIFS(JPK_KR!AL:AL,JPK_KR!W:W,B554),"")</f>
        <v/>
      </c>
      <c r="D554" s="126" t="str">
        <f>IF(A554&lt;&gt;"",SUMIFS(JPK_KR!AM:AM,JPK_KR!W:W,B554),"")</f>
        <v/>
      </c>
      <c r="G554" s="24" t="str">
        <f>IF(E554&lt;&gt;"",SUMIFS(JPK_KR!AL:AL,JPK_KR!W:W,F554),"")</f>
        <v/>
      </c>
      <c r="H554" s="126" t="str">
        <f>IF(E554&lt;&gt;"",SUMIFS(JPK_KR!AM:AM,JPK_KR!W:W,F554),"")</f>
        <v/>
      </c>
      <c r="K554" s="24" t="str">
        <f>IF(I554&lt;&gt;"",SUMIFS(JPK_KR!AL:AL,JPK_KR!W:W,J554),"")</f>
        <v/>
      </c>
      <c r="L554" s="126" t="str">
        <f>IF(I554&lt;&gt;"",SUMIFS(JPK_KR!AM:AM,JPK_KR!W:W,J554),"")</f>
        <v/>
      </c>
      <c r="P554" s="24" t="str">
        <f>IF(M554&lt;&gt;"",IF(O554="",SUMIFS(JPK_KR!AL:AL,JPK_KR!W:W,N554),SUMIFS(JPK_KR!BF:BF,JPK_KR!BE:BE,N554,JPK_KR!BG:BG,O554)),"")</f>
        <v/>
      </c>
      <c r="Q554" s="126" t="str">
        <f>IF(M554&lt;&gt;"",IF(O554="",SUMIFS(JPK_KR!AM:AM,JPK_KR!W:W,N554),SUMIFS(JPK_KR!BI:BI,JPK_KR!BH:BH,N554,JPK_KR!BJ:BJ,O554)),"")</f>
        <v/>
      </c>
      <c r="U554" s="24" t="str">
        <f>IF(R554&lt;&gt;"",SUMIFS(JPK_KR!AL:AL,JPK_KR!W:W,S554),"")</f>
        <v/>
      </c>
      <c r="V554" s="126" t="str">
        <f>IF(R554&lt;&gt;"",SUMIFS(JPK_KR!AM:AM,JPK_KR!W:W,S554),"")</f>
        <v/>
      </c>
    </row>
    <row r="555" spans="3:22" x14ac:dyDescent="0.3">
      <c r="C555" s="24" t="str">
        <f>IF(A555&lt;&gt;"",SUMIFS(JPK_KR!AL:AL,JPK_KR!W:W,B555),"")</f>
        <v/>
      </c>
      <c r="D555" s="126" t="str">
        <f>IF(A555&lt;&gt;"",SUMIFS(JPK_KR!AM:AM,JPK_KR!W:W,B555),"")</f>
        <v/>
      </c>
      <c r="G555" s="24" t="str">
        <f>IF(E555&lt;&gt;"",SUMIFS(JPK_KR!AL:AL,JPK_KR!W:W,F555),"")</f>
        <v/>
      </c>
      <c r="H555" s="126" t="str">
        <f>IF(E555&lt;&gt;"",SUMIFS(JPK_KR!AM:AM,JPK_KR!W:W,F555),"")</f>
        <v/>
      </c>
      <c r="K555" s="24" t="str">
        <f>IF(I555&lt;&gt;"",SUMIFS(JPK_KR!AL:AL,JPK_KR!W:W,J555),"")</f>
        <v/>
      </c>
      <c r="L555" s="126" t="str">
        <f>IF(I555&lt;&gt;"",SUMIFS(JPK_KR!AM:AM,JPK_KR!W:W,J555),"")</f>
        <v/>
      </c>
      <c r="P555" s="24" t="str">
        <f>IF(M555&lt;&gt;"",IF(O555="",SUMIFS(JPK_KR!AL:AL,JPK_KR!W:W,N555),SUMIFS(JPK_KR!BF:BF,JPK_KR!BE:BE,N555,JPK_KR!BG:BG,O555)),"")</f>
        <v/>
      </c>
      <c r="Q555" s="126" t="str">
        <f>IF(M555&lt;&gt;"",IF(O555="",SUMIFS(JPK_KR!AM:AM,JPK_KR!W:W,N555),SUMIFS(JPK_KR!BI:BI,JPK_KR!BH:BH,N555,JPK_KR!BJ:BJ,O555)),"")</f>
        <v/>
      </c>
      <c r="U555" s="24" t="str">
        <f>IF(R555&lt;&gt;"",SUMIFS(JPK_KR!AL:AL,JPK_KR!W:W,S555),"")</f>
        <v/>
      </c>
      <c r="V555" s="126" t="str">
        <f>IF(R555&lt;&gt;"",SUMIFS(JPK_KR!AM:AM,JPK_KR!W:W,S555),"")</f>
        <v/>
      </c>
    </row>
    <row r="556" spans="3:22" x14ac:dyDescent="0.3">
      <c r="C556" s="24" t="str">
        <f>IF(A556&lt;&gt;"",SUMIFS(JPK_KR!AL:AL,JPK_KR!W:W,B556),"")</f>
        <v/>
      </c>
      <c r="D556" s="126" t="str">
        <f>IF(A556&lt;&gt;"",SUMIFS(JPK_KR!AM:AM,JPK_KR!W:W,B556),"")</f>
        <v/>
      </c>
      <c r="G556" s="24" t="str">
        <f>IF(E556&lt;&gt;"",SUMIFS(JPK_KR!AL:AL,JPK_KR!W:W,F556),"")</f>
        <v/>
      </c>
      <c r="H556" s="126" t="str">
        <f>IF(E556&lt;&gt;"",SUMIFS(JPK_KR!AM:AM,JPK_KR!W:W,F556),"")</f>
        <v/>
      </c>
      <c r="K556" s="24" t="str">
        <f>IF(I556&lt;&gt;"",SUMIFS(JPK_KR!AL:AL,JPK_KR!W:W,J556),"")</f>
        <v/>
      </c>
      <c r="L556" s="126" t="str">
        <f>IF(I556&lt;&gt;"",SUMIFS(JPK_KR!AM:AM,JPK_KR!W:W,J556),"")</f>
        <v/>
      </c>
      <c r="P556" s="24" t="str">
        <f>IF(M556&lt;&gt;"",IF(O556="",SUMIFS(JPK_KR!AL:AL,JPK_KR!W:W,N556),SUMIFS(JPK_KR!BF:BF,JPK_KR!BE:BE,N556,JPK_KR!BG:BG,O556)),"")</f>
        <v/>
      </c>
      <c r="Q556" s="126" t="str">
        <f>IF(M556&lt;&gt;"",IF(O556="",SUMIFS(JPK_KR!AM:AM,JPK_KR!W:W,N556),SUMIFS(JPK_KR!BI:BI,JPK_KR!BH:BH,N556,JPK_KR!BJ:BJ,O556)),"")</f>
        <v/>
      </c>
      <c r="U556" s="24" t="str">
        <f>IF(R556&lt;&gt;"",SUMIFS(JPK_KR!AL:AL,JPK_KR!W:W,S556),"")</f>
        <v/>
      </c>
      <c r="V556" s="126" t="str">
        <f>IF(R556&lt;&gt;"",SUMIFS(JPK_KR!AM:AM,JPK_KR!W:W,S556),"")</f>
        <v/>
      </c>
    </row>
    <row r="557" spans="3:22" x14ac:dyDescent="0.3">
      <c r="C557" s="24" t="str">
        <f>IF(A557&lt;&gt;"",SUMIFS(JPK_KR!AL:AL,JPK_KR!W:W,B557),"")</f>
        <v/>
      </c>
      <c r="D557" s="126" t="str">
        <f>IF(A557&lt;&gt;"",SUMIFS(JPK_KR!AM:AM,JPK_KR!W:W,B557),"")</f>
        <v/>
      </c>
      <c r="G557" s="24" t="str">
        <f>IF(E557&lt;&gt;"",SUMIFS(JPK_KR!AL:AL,JPK_KR!W:W,F557),"")</f>
        <v/>
      </c>
      <c r="H557" s="126" t="str">
        <f>IF(E557&lt;&gt;"",SUMIFS(JPK_KR!AM:AM,JPK_KR!W:W,F557),"")</f>
        <v/>
      </c>
      <c r="K557" s="24" t="str">
        <f>IF(I557&lt;&gt;"",SUMIFS(JPK_KR!AL:AL,JPK_KR!W:W,J557),"")</f>
        <v/>
      </c>
      <c r="L557" s="126" t="str">
        <f>IF(I557&lt;&gt;"",SUMIFS(JPK_KR!AM:AM,JPK_KR!W:W,J557),"")</f>
        <v/>
      </c>
      <c r="P557" s="24" t="str">
        <f>IF(M557&lt;&gt;"",IF(O557="",SUMIFS(JPK_KR!AL:AL,JPK_KR!W:W,N557),SUMIFS(JPK_KR!BF:BF,JPK_KR!BE:BE,N557,JPK_KR!BG:BG,O557)),"")</f>
        <v/>
      </c>
      <c r="Q557" s="126" t="str">
        <f>IF(M557&lt;&gt;"",IF(O557="",SUMIFS(JPK_KR!AM:AM,JPK_KR!W:W,N557),SUMIFS(JPK_KR!BI:BI,JPK_KR!BH:BH,N557,JPK_KR!BJ:BJ,O557)),"")</f>
        <v/>
      </c>
      <c r="U557" s="24" t="str">
        <f>IF(R557&lt;&gt;"",SUMIFS(JPK_KR!AL:AL,JPK_KR!W:W,S557),"")</f>
        <v/>
      </c>
      <c r="V557" s="126" t="str">
        <f>IF(R557&lt;&gt;"",SUMIFS(JPK_KR!AM:AM,JPK_KR!W:W,S557),"")</f>
        <v/>
      </c>
    </row>
    <row r="558" spans="3:22" x14ac:dyDescent="0.3">
      <c r="C558" s="24" t="str">
        <f>IF(A558&lt;&gt;"",SUMIFS(JPK_KR!AL:AL,JPK_KR!W:W,B558),"")</f>
        <v/>
      </c>
      <c r="D558" s="126" t="str">
        <f>IF(A558&lt;&gt;"",SUMIFS(JPK_KR!AM:AM,JPK_KR!W:W,B558),"")</f>
        <v/>
      </c>
      <c r="G558" s="24" t="str">
        <f>IF(E558&lt;&gt;"",SUMIFS(JPK_KR!AL:AL,JPK_KR!W:W,F558),"")</f>
        <v/>
      </c>
      <c r="H558" s="126" t="str">
        <f>IF(E558&lt;&gt;"",SUMIFS(JPK_KR!AM:AM,JPK_KR!W:W,F558),"")</f>
        <v/>
      </c>
      <c r="K558" s="24" t="str">
        <f>IF(I558&lt;&gt;"",SUMIFS(JPK_KR!AL:AL,JPK_KR!W:W,J558),"")</f>
        <v/>
      </c>
      <c r="L558" s="126" t="str">
        <f>IF(I558&lt;&gt;"",SUMIFS(JPK_KR!AM:AM,JPK_KR!W:W,J558),"")</f>
        <v/>
      </c>
      <c r="P558" s="24" t="str">
        <f>IF(M558&lt;&gt;"",IF(O558="",SUMIFS(JPK_KR!AL:AL,JPK_KR!W:W,N558),SUMIFS(JPK_KR!BF:BF,JPK_KR!BE:BE,N558,JPK_KR!BG:BG,O558)),"")</f>
        <v/>
      </c>
      <c r="Q558" s="126" t="str">
        <f>IF(M558&lt;&gt;"",IF(O558="",SUMIFS(JPK_KR!AM:AM,JPK_KR!W:W,N558),SUMIFS(JPK_KR!BI:BI,JPK_KR!BH:BH,N558,JPK_KR!BJ:BJ,O558)),"")</f>
        <v/>
      </c>
      <c r="U558" s="24" t="str">
        <f>IF(R558&lt;&gt;"",SUMIFS(JPK_KR!AL:AL,JPK_KR!W:W,S558),"")</f>
        <v/>
      </c>
      <c r="V558" s="126" t="str">
        <f>IF(R558&lt;&gt;"",SUMIFS(JPK_KR!AM:AM,JPK_KR!W:W,S558),"")</f>
        <v/>
      </c>
    </row>
    <row r="559" spans="3:22" x14ac:dyDescent="0.3">
      <c r="C559" s="24" t="str">
        <f>IF(A559&lt;&gt;"",SUMIFS(JPK_KR!AL:AL,JPK_KR!W:W,B559),"")</f>
        <v/>
      </c>
      <c r="D559" s="126" t="str">
        <f>IF(A559&lt;&gt;"",SUMIFS(JPK_KR!AM:AM,JPK_KR!W:W,B559),"")</f>
        <v/>
      </c>
      <c r="G559" s="24" t="str">
        <f>IF(E559&lt;&gt;"",SUMIFS(JPK_KR!AL:AL,JPK_KR!W:W,F559),"")</f>
        <v/>
      </c>
      <c r="H559" s="126" t="str">
        <f>IF(E559&lt;&gt;"",SUMIFS(JPK_KR!AM:AM,JPK_KR!W:W,F559),"")</f>
        <v/>
      </c>
      <c r="K559" s="24" t="str">
        <f>IF(I559&lt;&gt;"",SUMIFS(JPK_KR!AL:AL,JPK_KR!W:W,J559),"")</f>
        <v/>
      </c>
      <c r="L559" s="126" t="str">
        <f>IF(I559&lt;&gt;"",SUMIFS(JPK_KR!AM:AM,JPK_KR!W:W,J559),"")</f>
        <v/>
      </c>
      <c r="P559" s="24" t="str">
        <f>IF(M559&lt;&gt;"",IF(O559="",SUMIFS(JPK_KR!AL:AL,JPK_KR!W:W,N559),SUMIFS(JPK_KR!BF:BF,JPK_KR!BE:BE,N559,JPK_KR!BG:BG,O559)),"")</f>
        <v/>
      </c>
      <c r="Q559" s="126" t="str">
        <f>IF(M559&lt;&gt;"",IF(O559="",SUMIFS(JPK_KR!AM:AM,JPK_KR!W:W,N559),SUMIFS(JPK_KR!BI:BI,JPK_KR!BH:BH,N559,JPK_KR!BJ:BJ,O559)),"")</f>
        <v/>
      </c>
      <c r="U559" s="24" t="str">
        <f>IF(R559&lt;&gt;"",SUMIFS(JPK_KR!AL:AL,JPK_KR!W:W,S559),"")</f>
        <v/>
      </c>
      <c r="V559" s="126" t="str">
        <f>IF(R559&lt;&gt;"",SUMIFS(JPK_KR!AM:AM,JPK_KR!W:W,S559),"")</f>
        <v/>
      </c>
    </row>
    <row r="560" spans="3:22" x14ac:dyDescent="0.3">
      <c r="C560" s="24" t="str">
        <f>IF(A560&lt;&gt;"",SUMIFS(JPK_KR!AL:AL,JPK_KR!W:W,B560),"")</f>
        <v/>
      </c>
      <c r="D560" s="126" t="str">
        <f>IF(A560&lt;&gt;"",SUMIFS(JPK_KR!AM:AM,JPK_KR!W:W,B560),"")</f>
        <v/>
      </c>
      <c r="G560" s="24" t="str">
        <f>IF(E560&lt;&gt;"",SUMIFS(JPK_KR!AL:AL,JPK_KR!W:W,F560),"")</f>
        <v/>
      </c>
      <c r="H560" s="126" t="str">
        <f>IF(E560&lt;&gt;"",SUMIFS(JPK_KR!AM:AM,JPK_KR!W:W,F560),"")</f>
        <v/>
      </c>
      <c r="K560" s="24" t="str">
        <f>IF(I560&lt;&gt;"",SUMIFS(JPK_KR!AL:AL,JPK_KR!W:W,J560),"")</f>
        <v/>
      </c>
      <c r="L560" s="126" t="str">
        <f>IF(I560&lt;&gt;"",SUMIFS(JPK_KR!AM:AM,JPK_KR!W:W,J560),"")</f>
        <v/>
      </c>
      <c r="P560" s="24" t="str">
        <f>IF(M560&lt;&gt;"",IF(O560="",SUMIFS(JPK_KR!AL:AL,JPK_KR!W:W,N560),SUMIFS(JPK_KR!BF:BF,JPK_KR!BE:BE,N560,JPK_KR!BG:BG,O560)),"")</f>
        <v/>
      </c>
      <c r="Q560" s="126" t="str">
        <f>IF(M560&lt;&gt;"",IF(O560="",SUMIFS(JPK_KR!AM:AM,JPK_KR!W:W,N560),SUMIFS(JPK_KR!BI:BI,JPK_KR!BH:BH,N560,JPK_KR!BJ:BJ,O560)),"")</f>
        <v/>
      </c>
      <c r="U560" s="24" t="str">
        <f>IF(R560&lt;&gt;"",SUMIFS(JPK_KR!AL:AL,JPK_KR!W:W,S560),"")</f>
        <v/>
      </c>
      <c r="V560" s="126" t="str">
        <f>IF(R560&lt;&gt;"",SUMIFS(JPK_KR!AM:AM,JPK_KR!W:W,S560),"")</f>
        <v/>
      </c>
    </row>
    <row r="561" spans="3:22" x14ac:dyDescent="0.3">
      <c r="C561" s="24" t="str">
        <f>IF(A561&lt;&gt;"",SUMIFS(JPK_KR!AL:AL,JPK_KR!W:W,B561),"")</f>
        <v/>
      </c>
      <c r="D561" s="126" t="str">
        <f>IF(A561&lt;&gt;"",SUMIFS(JPK_KR!AM:AM,JPK_KR!W:W,B561),"")</f>
        <v/>
      </c>
      <c r="G561" s="24" t="str">
        <f>IF(E561&lt;&gt;"",SUMIFS(JPK_KR!AL:AL,JPK_KR!W:W,F561),"")</f>
        <v/>
      </c>
      <c r="H561" s="126" t="str">
        <f>IF(E561&lt;&gt;"",SUMIFS(JPK_KR!AM:AM,JPK_KR!W:W,F561),"")</f>
        <v/>
      </c>
      <c r="K561" s="24" t="str">
        <f>IF(I561&lt;&gt;"",SUMIFS(JPK_KR!AL:AL,JPK_KR!W:W,J561),"")</f>
        <v/>
      </c>
      <c r="L561" s="126" t="str">
        <f>IF(I561&lt;&gt;"",SUMIFS(JPK_KR!AM:AM,JPK_KR!W:W,J561),"")</f>
        <v/>
      </c>
      <c r="P561" s="24" t="str">
        <f>IF(M561&lt;&gt;"",IF(O561="",SUMIFS(JPK_KR!AL:AL,JPK_KR!W:W,N561),SUMIFS(JPK_KR!BF:BF,JPK_KR!BE:BE,N561,JPK_KR!BG:BG,O561)),"")</f>
        <v/>
      </c>
      <c r="Q561" s="126" t="str">
        <f>IF(M561&lt;&gt;"",IF(O561="",SUMIFS(JPK_KR!AM:AM,JPK_KR!W:W,N561),SUMIFS(JPK_KR!BI:BI,JPK_KR!BH:BH,N561,JPK_KR!BJ:BJ,O561)),"")</f>
        <v/>
      </c>
      <c r="U561" s="24" t="str">
        <f>IF(R561&lt;&gt;"",SUMIFS(JPK_KR!AL:AL,JPK_KR!W:W,S561),"")</f>
        <v/>
      </c>
      <c r="V561" s="126" t="str">
        <f>IF(R561&lt;&gt;"",SUMIFS(JPK_KR!AM:AM,JPK_KR!W:W,S561),"")</f>
        <v/>
      </c>
    </row>
    <row r="562" spans="3:22" x14ac:dyDescent="0.3">
      <c r="C562" s="24" t="str">
        <f>IF(A562&lt;&gt;"",SUMIFS(JPK_KR!AL:AL,JPK_KR!W:W,B562),"")</f>
        <v/>
      </c>
      <c r="D562" s="126" t="str">
        <f>IF(A562&lt;&gt;"",SUMIFS(JPK_KR!AM:AM,JPK_KR!W:W,B562),"")</f>
        <v/>
      </c>
      <c r="G562" s="24" t="str">
        <f>IF(E562&lt;&gt;"",SUMIFS(JPK_KR!AL:AL,JPK_KR!W:W,F562),"")</f>
        <v/>
      </c>
      <c r="H562" s="126" t="str">
        <f>IF(E562&lt;&gt;"",SUMIFS(JPK_KR!AM:AM,JPK_KR!W:W,F562),"")</f>
        <v/>
      </c>
      <c r="K562" s="24" t="str">
        <f>IF(I562&lt;&gt;"",SUMIFS(JPK_KR!AL:AL,JPK_KR!W:W,J562),"")</f>
        <v/>
      </c>
      <c r="L562" s="126" t="str">
        <f>IF(I562&lt;&gt;"",SUMIFS(JPK_KR!AM:AM,JPK_KR!W:W,J562),"")</f>
        <v/>
      </c>
      <c r="P562" s="24" t="str">
        <f>IF(M562&lt;&gt;"",IF(O562="",SUMIFS(JPK_KR!AL:AL,JPK_KR!W:W,N562),SUMIFS(JPK_KR!BF:BF,JPK_KR!BE:BE,N562,JPK_KR!BG:BG,O562)),"")</f>
        <v/>
      </c>
      <c r="Q562" s="126" t="str">
        <f>IF(M562&lt;&gt;"",IF(O562="",SUMIFS(JPK_KR!AM:AM,JPK_KR!W:W,N562),SUMIFS(JPK_KR!BI:BI,JPK_KR!BH:BH,N562,JPK_KR!BJ:BJ,O562)),"")</f>
        <v/>
      </c>
      <c r="U562" s="24" t="str">
        <f>IF(R562&lt;&gt;"",SUMIFS(JPK_KR!AL:AL,JPK_KR!W:W,S562),"")</f>
        <v/>
      </c>
      <c r="V562" s="126" t="str">
        <f>IF(R562&lt;&gt;"",SUMIFS(JPK_KR!AM:AM,JPK_KR!W:W,S562),"")</f>
        <v/>
      </c>
    </row>
    <row r="563" spans="3:22" x14ac:dyDescent="0.3">
      <c r="C563" s="24" t="str">
        <f>IF(A563&lt;&gt;"",SUMIFS(JPK_KR!AL:AL,JPK_KR!W:W,B563),"")</f>
        <v/>
      </c>
      <c r="D563" s="126" t="str">
        <f>IF(A563&lt;&gt;"",SUMIFS(JPK_KR!AM:AM,JPK_KR!W:W,B563),"")</f>
        <v/>
      </c>
      <c r="G563" s="24" t="str">
        <f>IF(E563&lt;&gt;"",SUMIFS(JPK_KR!AL:AL,JPK_KR!W:W,F563),"")</f>
        <v/>
      </c>
      <c r="H563" s="126" t="str">
        <f>IF(E563&lt;&gt;"",SUMIFS(JPK_KR!AM:AM,JPK_KR!W:W,F563),"")</f>
        <v/>
      </c>
      <c r="K563" s="24" t="str">
        <f>IF(I563&lt;&gt;"",SUMIFS(JPK_KR!AL:AL,JPK_KR!W:W,J563),"")</f>
        <v/>
      </c>
      <c r="L563" s="126" t="str">
        <f>IF(I563&lt;&gt;"",SUMIFS(JPK_KR!AM:AM,JPK_KR!W:W,J563),"")</f>
        <v/>
      </c>
      <c r="P563" s="24" t="str">
        <f>IF(M563&lt;&gt;"",IF(O563="",SUMIFS(JPK_KR!AL:AL,JPK_KR!W:W,N563),SUMIFS(JPK_KR!BF:BF,JPK_KR!BE:BE,N563,JPK_KR!BG:BG,O563)),"")</f>
        <v/>
      </c>
      <c r="Q563" s="126" t="str">
        <f>IF(M563&lt;&gt;"",IF(O563="",SUMIFS(JPK_KR!AM:AM,JPK_KR!W:W,N563),SUMIFS(JPK_KR!BI:BI,JPK_KR!BH:BH,N563,JPK_KR!BJ:BJ,O563)),"")</f>
        <v/>
      </c>
      <c r="U563" s="24" t="str">
        <f>IF(R563&lt;&gt;"",SUMIFS(JPK_KR!AL:AL,JPK_KR!W:W,S563),"")</f>
        <v/>
      </c>
      <c r="V563" s="126" t="str">
        <f>IF(R563&lt;&gt;"",SUMIFS(JPK_KR!AM:AM,JPK_KR!W:W,S563),"")</f>
        <v/>
      </c>
    </row>
    <row r="564" spans="3:22" x14ac:dyDescent="0.3">
      <c r="C564" s="24" t="str">
        <f>IF(A564&lt;&gt;"",SUMIFS(JPK_KR!AL:AL,JPK_KR!W:W,B564),"")</f>
        <v/>
      </c>
      <c r="D564" s="126" t="str">
        <f>IF(A564&lt;&gt;"",SUMIFS(JPK_KR!AM:AM,JPK_KR!W:W,B564),"")</f>
        <v/>
      </c>
      <c r="G564" s="24" t="str">
        <f>IF(E564&lt;&gt;"",SUMIFS(JPK_KR!AL:AL,JPK_KR!W:W,F564),"")</f>
        <v/>
      </c>
      <c r="H564" s="126" t="str">
        <f>IF(E564&lt;&gt;"",SUMIFS(JPK_KR!AM:AM,JPK_KR!W:W,F564),"")</f>
        <v/>
      </c>
      <c r="K564" s="24" t="str">
        <f>IF(I564&lt;&gt;"",SUMIFS(JPK_KR!AL:AL,JPK_KR!W:W,J564),"")</f>
        <v/>
      </c>
      <c r="L564" s="126" t="str">
        <f>IF(I564&lt;&gt;"",SUMIFS(JPK_KR!AM:AM,JPK_KR!W:W,J564),"")</f>
        <v/>
      </c>
      <c r="P564" s="24" t="str">
        <f>IF(M564&lt;&gt;"",IF(O564="",SUMIFS(JPK_KR!AL:AL,JPK_KR!W:W,N564),SUMIFS(JPK_KR!BF:BF,JPK_KR!BE:BE,N564,JPK_KR!BG:BG,O564)),"")</f>
        <v/>
      </c>
      <c r="Q564" s="126" t="str">
        <f>IF(M564&lt;&gt;"",IF(O564="",SUMIFS(JPK_KR!AM:AM,JPK_KR!W:W,N564),SUMIFS(JPK_KR!BI:BI,JPK_KR!BH:BH,N564,JPK_KR!BJ:BJ,O564)),"")</f>
        <v/>
      </c>
      <c r="U564" s="24" t="str">
        <f>IF(R564&lt;&gt;"",SUMIFS(JPK_KR!AL:AL,JPK_KR!W:W,S564),"")</f>
        <v/>
      </c>
      <c r="V564" s="126" t="str">
        <f>IF(R564&lt;&gt;"",SUMIFS(JPK_KR!AM:AM,JPK_KR!W:W,S564),"")</f>
        <v/>
      </c>
    </row>
    <row r="565" spans="3:22" x14ac:dyDescent="0.3">
      <c r="C565" s="24" t="str">
        <f>IF(A565&lt;&gt;"",SUMIFS(JPK_KR!AL:AL,JPK_KR!W:W,B565),"")</f>
        <v/>
      </c>
      <c r="D565" s="126" t="str">
        <f>IF(A565&lt;&gt;"",SUMIFS(JPK_KR!AM:AM,JPK_KR!W:W,B565),"")</f>
        <v/>
      </c>
      <c r="G565" s="24" t="str">
        <f>IF(E565&lt;&gt;"",SUMIFS(JPK_KR!AL:AL,JPK_KR!W:W,F565),"")</f>
        <v/>
      </c>
      <c r="H565" s="126" t="str">
        <f>IF(E565&lt;&gt;"",SUMIFS(JPK_KR!AM:AM,JPK_KR!W:W,F565),"")</f>
        <v/>
      </c>
      <c r="K565" s="24" t="str">
        <f>IF(I565&lt;&gt;"",SUMIFS(JPK_KR!AL:AL,JPK_KR!W:W,J565),"")</f>
        <v/>
      </c>
      <c r="L565" s="126" t="str">
        <f>IF(I565&lt;&gt;"",SUMIFS(JPK_KR!AM:AM,JPK_KR!W:W,J565),"")</f>
        <v/>
      </c>
      <c r="P565" s="24" t="str">
        <f>IF(M565&lt;&gt;"",IF(O565="",SUMIFS(JPK_KR!AL:AL,JPK_KR!W:W,N565),SUMIFS(JPK_KR!BF:BF,JPK_KR!BE:BE,N565,JPK_KR!BG:BG,O565)),"")</f>
        <v/>
      </c>
      <c r="Q565" s="126" t="str">
        <f>IF(M565&lt;&gt;"",IF(O565="",SUMIFS(JPK_KR!AM:AM,JPK_KR!W:W,N565),SUMIFS(JPK_KR!BI:BI,JPK_KR!BH:BH,N565,JPK_KR!BJ:BJ,O565)),"")</f>
        <v/>
      </c>
      <c r="U565" s="24" t="str">
        <f>IF(R565&lt;&gt;"",SUMIFS(JPK_KR!AL:AL,JPK_KR!W:W,S565),"")</f>
        <v/>
      </c>
      <c r="V565" s="126" t="str">
        <f>IF(R565&lt;&gt;"",SUMIFS(JPK_KR!AM:AM,JPK_KR!W:W,S565),"")</f>
        <v/>
      </c>
    </row>
    <row r="566" spans="3:22" x14ac:dyDescent="0.3">
      <c r="C566" s="24" t="str">
        <f>IF(A566&lt;&gt;"",SUMIFS(JPK_KR!AL:AL,JPK_KR!W:W,B566),"")</f>
        <v/>
      </c>
      <c r="D566" s="126" t="str">
        <f>IF(A566&lt;&gt;"",SUMIFS(JPK_KR!AM:AM,JPK_KR!W:W,B566),"")</f>
        <v/>
      </c>
      <c r="G566" s="24" t="str">
        <f>IF(E566&lt;&gt;"",SUMIFS(JPK_KR!AL:AL,JPK_KR!W:W,F566),"")</f>
        <v/>
      </c>
      <c r="H566" s="126" t="str">
        <f>IF(E566&lt;&gt;"",SUMIFS(JPK_KR!AM:AM,JPK_KR!W:W,F566),"")</f>
        <v/>
      </c>
      <c r="K566" s="24" t="str">
        <f>IF(I566&lt;&gt;"",SUMIFS(JPK_KR!AL:AL,JPK_KR!W:W,J566),"")</f>
        <v/>
      </c>
      <c r="L566" s="126" t="str">
        <f>IF(I566&lt;&gt;"",SUMIFS(JPK_KR!AM:AM,JPK_KR!W:W,J566),"")</f>
        <v/>
      </c>
      <c r="P566" s="24" t="str">
        <f>IF(M566&lt;&gt;"",IF(O566="",SUMIFS(JPK_KR!AL:AL,JPK_KR!W:W,N566),SUMIFS(JPK_KR!BF:BF,JPK_KR!BE:BE,N566,JPK_KR!BG:BG,O566)),"")</f>
        <v/>
      </c>
      <c r="Q566" s="126" t="str">
        <f>IF(M566&lt;&gt;"",IF(O566="",SUMIFS(JPK_KR!AM:AM,JPK_KR!W:W,N566),SUMIFS(JPK_KR!BI:BI,JPK_KR!BH:BH,N566,JPK_KR!BJ:BJ,O566)),"")</f>
        <v/>
      </c>
      <c r="U566" s="24" t="str">
        <f>IF(R566&lt;&gt;"",SUMIFS(JPK_KR!AL:AL,JPK_KR!W:W,S566),"")</f>
        <v/>
      </c>
      <c r="V566" s="126" t="str">
        <f>IF(R566&lt;&gt;"",SUMIFS(JPK_KR!AM:AM,JPK_KR!W:W,S566),"")</f>
        <v/>
      </c>
    </row>
    <row r="567" spans="3:22" x14ac:dyDescent="0.3">
      <c r="C567" s="24" t="str">
        <f>IF(A567&lt;&gt;"",SUMIFS(JPK_KR!AL:AL,JPK_KR!W:W,B567),"")</f>
        <v/>
      </c>
      <c r="D567" s="126" t="str">
        <f>IF(A567&lt;&gt;"",SUMIFS(JPK_KR!AM:AM,JPK_KR!W:W,B567),"")</f>
        <v/>
      </c>
      <c r="G567" s="24" t="str">
        <f>IF(E567&lt;&gt;"",SUMIFS(JPK_KR!AL:AL,JPK_KR!W:W,F567),"")</f>
        <v/>
      </c>
      <c r="H567" s="126" t="str">
        <f>IF(E567&lt;&gt;"",SUMIFS(JPK_KR!AM:AM,JPK_KR!W:W,F567),"")</f>
        <v/>
      </c>
      <c r="K567" s="24" t="str">
        <f>IF(I567&lt;&gt;"",SUMIFS(JPK_KR!AL:AL,JPK_KR!W:W,J567),"")</f>
        <v/>
      </c>
      <c r="L567" s="126" t="str">
        <f>IF(I567&lt;&gt;"",SUMIFS(JPK_KR!AM:AM,JPK_KR!W:W,J567),"")</f>
        <v/>
      </c>
      <c r="P567" s="24" t="str">
        <f>IF(M567&lt;&gt;"",IF(O567="",SUMIFS(JPK_KR!AL:AL,JPK_KR!W:W,N567),SUMIFS(JPK_KR!BF:BF,JPK_KR!BE:BE,N567,JPK_KR!BG:BG,O567)),"")</f>
        <v/>
      </c>
      <c r="Q567" s="126" t="str">
        <f>IF(M567&lt;&gt;"",IF(O567="",SUMIFS(JPK_KR!AM:AM,JPK_KR!W:W,N567),SUMIFS(JPK_KR!BI:BI,JPK_KR!BH:BH,N567,JPK_KR!BJ:BJ,O567)),"")</f>
        <v/>
      </c>
      <c r="U567" s="24" t="str">
        <f>IF(R567&lt;&gt;"",SUMIFS(JPK_KR!AL:AL,JPK_KR!W:W,S567),"")</f>
        <v/>
      </c>
      <c r="V567" s="126" t="str">
        <f>IF(R567&lt;&gt;"",SUMIFS(JPK_KR!AM:AM,JPK_KR!W:W,S567),"")</f>
        <v/>
      </c>
    </row>
    <row r="568" spans="3:22" x14ac:dyDescent="0.3">
      <c r="C568" s="24" t="str">
        <f>IF(A568&lt;&gt;"",SUMIFS(JPK_KR!AL:AL,JPK_KR!W:W,B568),"")</f>
        <v/>
      </c>
      <c r="D568" s="126" t="str">
        <f>IF(A568&lt;&gt;"",SUMIFS(JPK_KR!AM:AM,JPK_KR!W:W,B568),"")</f>
        <v/>
      </c>
      <c r="G568" s="24" t="str">
        <f>IF(E568&lt;&gt;"",SUMIFS(JPK_KR!AL:AL,JPK_KR!W:W,F568),"")</f>
        <v/>
      </c>
      <c r="H568" s="126" t="str">
        <f>IF(E568&lt;&gt;"",SUMIFS(JPK_KR!AM:AM,JPK_KR!W:W,F568),"")</f>
        <v/>
      </c>
      <c r="K568" s="24" t="str">
        <f>IF(I568&lt;&gt;"",SUMIFS(JPK_KR!AL:AL,JPK_KR!W:W,J568),"")</f>
        <v/>
      </c>
      <c r="L568" s="126" t="str">
        <f>IF(I568&lt;&gt;"",SUMIFS(JPK_KR!AM:AM,JPK_KR!W:W,J568),"")</f>
        <v/>
      </c>
      <c r="P568" s="24" t="str">
        <f>IF(M568&lt;&gt;"",IF(O568="",SUMIFS(JPK_KR!AL:AL,JPK_KR!W:W,N568),SUMIFS(JPK_KR!BF:BF,JPK_KR!BE:BE,N568,JPK_KR!BG:BG,O568)),"")</f>
        <v/>
      </c>
      <c r="Q568" s="126" t="str">
        <f>IF(M568&lt;&gt;"",IF(O568="",SUMIFS(JPK_KR!AM:AM,JPK_KR!W:W,N568),SUMIFS(JPK_KR!BI:BI,JPK_KR!BH:BH,N568,JPK_KR!BJ:BJ,O568)),"")</f>
        <v/>
      </c>
      <c r="U568" s="24" t="str">
        <f>IF(R568&lt;&gt;"",SUMIFS(JPK_KR!AL:AL,JPK_KR!W:W,S568),"")</f>
        <v/>
      </c>
      <c r="V568" s="126" t="str">
        <f>IF(R568&lt;&gt;"",SUMIFS(JPK_KR!AM:AM,JPK_KR!W:W,S568),"")</f>
        <v/>
      </c>
    </row>
    <row r="569" spans="3:22" x14ac:dyDescent="0.3">
      <c r="C569" s="24" t="str">
        <f>IF(A569&lt;&gt;"",SUMIFS(JPK_KR!AL:AL,JPK_KR!W:W,B569),"")</f>
        <v/>
      </c>
      <c r="D569" s="126" t="str">
        <f>IF(A569&lt;&gt;"",SUMIFS(JPK_KR!AM:AM,JPK_KR!W:W,B569),"")</f>
        <v/>
      </c>
      <c r="G569" s="24" t="str">
        <f>IF(E569&lt;&gt;"",SUMIFS(JPK_KR!AL:AL,JPK_KR!W:W,F569),"")</f>
        <v/>
      </c>
      <c r="H569" s="126" t="str">
        <f>IF(E569&lt;&gt;"",SUMIFS(JPK_KR!AM:AM,JPK_KR!W:W,F569),"")</f>
        <v/>
      </c>
      <c r="K569" s="24" t="str">
        <f>IF(I569&lt;&gt;"",SUMIFS(JPK_KR!AL:AL,JPK_KR!W:W,J569),"")</f>
        <v/>
      </c>
      <c r="L569" s="126" t="str">
        <f>IF(I569&lt;&gt;"",SUMIFS(JPK_KR!AM:AM,JPK_KR!W:W,J569),"")</f>
        <v/>
      </c>
      <c r="P569" s="24" t="str">
        <f>IF(M569&lt;&gt;"",IF(O569="",SUMIFS(JPK_KR!AL:AL,JPK_KR!W:W,N569),SUMIFS(JPK_KR!BF:BF,JPK_KR!BE:BE,N569,JPK_KR!BG:BG,O569)),"")</f>
        <v/>
      </c>
      <c r="Q569" s="126" t="str">
        <f>IF(M569&lt;&gt;"",IF(O569="",SUMIFS(JPK_KR!AM:AM,JPK_KR!W:W,N569),SUMIFS(JPK_KR!BI:BI,JPK_KR!BH:BH,N569,JPK_KR!BJ:BJ,O569)),"")</f>
        <v/>
      </c>
      <c r="U569" s="24" t="str">
        <f>IF(R569&lt;&gt;"",SUMIFS(JPK_KR!AL:AL,JPK_KR!W:W,S569),"")</f>
        <v/>
      </c>
      <c r="V569" s="126" t="str">
        <f>IF(R569&lt;&gt;"",SUMIFS(JPK_KR!AM:AM,JPK_KR!W:W,S569),"")</f>
        <v/>
      </c>
    </row>
    <row r="570" spans="3:22" x14ac:dyDescent="0.3">
      <c r="C570" s="24" t="str">
        <f>IF(A570&lt;&gt;"",SUMIFS(JPK_KR!AL:AL,JPK_KR!W:W,B570),"")</f>
        <v/>
      </c>
      <c r="D570" s="126" t="str">
        <f>IF(A570&lt;&gt;"",SUMIFS(JPK_KR!AM:AM,JPK_KR!W:W,B570),"")</f>
        <v/>
      </c>
      <c r="G570" s="24" t="str">
        <f>IF(E570&lt;&gt;"",SUMIFS(JPK_KR!AL:AL,JPK_KR!W:W,F570),"")</f>
        <v/>
      </c>
      <c r="H570" s="126" t="str">
        <f>IF(E570&lt;&gt;"",SUMIFS(JPK_KR!AM:AM,JPK_KR!W:W,F570),"")</f>
        <v/>
      </c>
      <c r="K570" s="24" t="str">
        <f>IF(I570&lt;&gt;"",SUMIFS(JPK_KR!AL:AL,JPK_KR!W:W,J570),"")</f>
        <v/>
      </c>
      <c r="L570" s="126" t="str">
        <f>IF(I570&lt;&gt;"",SUMIFS(JPK_KR!AM:AM,JPK_KR!W:W,J570),"")</f>
        <v/>
      </c>
      <c r="P570" s="24" t="str">
        <f>IF(M570&lt;&gt;"",IF(O570="",SUMIFS(JPK_KR!AL:AL,JPK_KR!W:W,N570),SUMIFS(JPK_KR!BF:BF,JPK_KR!BE:BE,N570,JPK_KR!BG:BG,O570)),"")</f>
        <v/>
      </c>
      <c r="Q570" s="126" t="str">
        <f>IF(M570&lt;&gt;"",IF(O570="",SUMIFS(JPK_KR!AM:AM,JPK_KR!W:W,N570),SUMIFS(JPK_KR!BI:BI,JPK_KR!BH:BH,N570,JPK_KR!BJ:BJ,O570)),"")</f>
        <v/>
      </c>
      <c r="U570" s="24" t="str">
        <f>IF(R570&lt;&gt;"",SUMIFS(JPK_KR!AL:AL,JPK_KR!W:W,S570),"")</f>
        <v/>
      </c>
      <c r="V570" s="126" t="str">
        <f>IF(R570&lt;&gt;"",SUMIFS(JPK_KR!AM:AM,JPK_KR!W:W,S570),"")</f>
        <v/>
      </c>
    </row>
    <row r="571" spans="3:22" x14ac:dyDescent="0.3">
      <c r="C571" s="24" t="str">
        <f>IF(A571&lt;&gt;"",SUMIFS(JPK_KR!AL:AL,JPK_KR!W:W,B571),"")</f>
        <v/>
      </c>
      <c r="D571" s="126" t="str">
        <f>IF(A571&lt;&gt;"",SUMIFS(JPK_KR!AM:AM,JPK_KR!W:W,B571),"")</f>
        <v/>
      </c>
      <c r="G571" s="24" t="str">
        <f>IF(E571&lt;&gt;"",SUMIFS(JPK_KR!AL:AL,JPK_KR!W:W,F571),"")</f>
        <v/>
      </c>
      <c r="H571" s="126" t="str">
        <f>IF(E571&lt;&gt;"",SUMIFS(JPK_KR!AM:AM,JPK_KR!W:W,F571),"")</f>
        <v/>
      </c>
      <c r="K571" s="24" t="str">
        <f>IF(I571&lt;&gt;"",SUMIFS(JPK_KR!AL:AL,JPK_KR!W:W,J571),"")</f>
        <v/>
      </c>
      <c r="L571" s="126" t="str">
        <f>IF(I571&lt;&gt;"",SUMIFS(JPK_KR!AM:AM,JPK_KR!W:W,J571),"")</f>
        <v/>
      </c>
      <c r="P571" s="24" t="str">
        <f>IF(M571&lt;&gt;"",IF(O571="",SUMIFS(JPK_KR!AL:AL,JPK_KR!W:W,N571),SUMIFS(JPK_KR!BF:BF,JPK_KR!BE:BE,N571,JPK_KR!BG:BG,O571)),"")</f>
        <v/>
      </c>
      <c r="Q571" s="126" t="str">
        <f>IF(M571&lt;&gt;"",IF(O571="",SUMIFS(JPK_KR!AM:AM,JPK_KR!W:W,N571),SUMIFS(JPK_KR!BI:BI,JPK_KR!BH:BH,N571,JPK_KR!BJ:BJ,O571)),"")</f>
        <v/>
      </c>
      <c r="U571" s="24" t="str">
        <f>IF(R571&lt;&gt;"",SUMIFS(JPK_KR!AL:AL,JPK_KR!W:W,S571),"")</f>
        <v/>
      </c>
      <c r="V571" s="126" t="str">
        <f>IF(R571&lt;&gt;"",SUMIFS(JPK_KR!AM:AM,JPK_KR!W:W,S571),"")</f>
        <v/>
      </c>
    </row>
    <row r="572" spans="3:22" x14ac:dyDescent="0.3">
      <c r="C572" s="24" t="str">
        <f>IF(A572&lt;&gt;"",SUMIFS(JPK_KR!AL:AL,JPK_KR!W:W,B572),"")</f>
        <v/>
      </c>
      <c r="D572" s="126" t="str">
        <f>IF(A572&lt;&gt;"",SUMIFS(JPK_KR!AM:AM,JPK_KR!W:W,B572),"")</f>
        <v/>
      </c>
      <c r="G572" s="24" t="str">
        <f>IF(E572&lt;&gt;"",SUMIFS(JPK_KR!AL:AL,JPK_KR!W:W,F572),"")</f>
        <v/>
      </c>
      <c r="H572" s="126" t="str">
        <f>IF(E572&lt;&gt;"",SUMIFS(JPK_KR!AM:AM,JPK_KR!W:W,F572),"")</f>
        <v/>
      </c>
      <c r="K572" s="24" t="str">
        <f>IF(I572&lt;&gt;"",SUMIFS(JPK_KR!AL:AL,JPK_KR!W:W,J572),"")</f>
        <v/>
      </c>
      <c r="L572" s="126" t="str">
        <f>IF(I572&lt;&gt;"",SUMIFS(JPK_KR!AM:AM,JPK_KR!W:W,J572),"")</f>
        <v/>
      </c>
      <c r="P572" s="24" t="str">
        <f>IF(M572&lt;&gt;"",IF(O572="",SUMIFS(JPK_KR!AL:AL,JPK_KR!W:W,N572),SUMIFS(JPK_KR!BF:BF,JPK_KR!BE:BE,N572,JPK_KR!BG:BG,O572)),"")</f>
        <v/>
      </c>
      <c r="Q572" s="126" t="str">
        <f>IF(M572&lt;&gt;"",IF(O572="",SUMIFS(JPK_KR!AM:AM,JPK_KR!W:W,N572),SUMIFS(JPK_KR!BI:BI,JPK_KR!BH:BH,N572,JPK_KR!BJ:BJ,O572)),"")</f>
        <v/>
      </c>
      <c r="U572" s="24" t="str">
        <f>IF(R572&lt;&gt;"",SUMIFS(JPK_KR!AL:AL,JPK_KR!W:W,S572),"")</f>
        <v/>
      </c>
      <c r="V572" s="126" t="str">
        <f>IF(R572&lt;&gt;"",SUMIFS(JPK_KR!AM:AM,JPK_KR!W:W,S572),"")</f>
        <v/>
      </c>
    </row>
    <row r="573" spans="3:22" x14ac:dyDescent="0.3">
      <c r="C573" s="24" t="str">
        <f>IF(A573&lt;&gt;"",SUMIFS(JPK_KR!AL:AL,JPK_KR!W:W,B573),"")</f>
        <v/>
      </c>
      <c r="D573" s="126" t="str">
        <f>IF(A573&lt;&gt;"",SUMIFS(JPK_KR!AM:AM,JPK_KR!W:W,B573),"")</f>
        <v/>
      </c>
      <c r="G573" s="24" t="str">
        <f>IF(E573&lt;&gt;"",SUMIFS(JPK_KR!AL:AL,JPK_KR!W:W,F573),"")</f>
        <v/>
      </c>
      <c r="H573" s="126" t="str">
        <f>IF(E573&lt;&gt;"",SUMIFS(JPK_KR!AM:AM,JPK_KR!W:W,F573),"")</f>
        <v/>
      </c>
      <c r="K573" s="24" t="str">
        <f>IF(I573&lt;&gt;"",SUMIFS(JPK_KR!AL:AL,JPK_KR!W:W,J573),"")</f>
        <v/>
      </c>
      <c r="L573" s="126" t="str">
        <f>IF(I573&lt;&gt;"",SUMIFS(JPK_KR!AM:AM,JPK_KR!W:W,J573),"")</f>
        <v/>
      </c>
      <c r="P573" s="24" t="str">
        <f>IF(M573&lt;&gt;"",IF(O573="",SUMIFS(JPK_KR!AL:AL,JPK_KR!W:W,N573),SUMIFS(JPK_KR!BF:BF,JPK_KR!BE:BE,N573,JPK_KR!BG:BG,O573)),"")</f>
        <v/>
      </c>
      <c r="Q573" s="126" t="str">
        <f>IF(M573&lt;&gt;"",IF(O573="",SUMIFS(JPK_KR!AM:AM,JPK_KR!W:W,N573),SUMIFS(JPK_KR!BI:BI,JPK_KR!BH:BH,N573,JPK_KR!BJ:BJ,O573)),"")</f>
        <v/>
      </c>
      <c r="U573" s="24" t="str">
        <f>IF(R573&lt;&gt;"",SUMIFS(JPK_KR!AL:AL,JPK_KR!W:W,S573),"")</f>
        <v/>
      </c>
      <c r="V573" s="126" t="str">
        <f>IF(R573&lt;&gt;"",SUMIFS(JPK_KR!AM:AM,JPK_KR!W:W,S573),"")</f>
        <v/>
      </c>
    </row>
    <row r="574" spans="3:22" x14ac:dyDescent="0.3">
      <c r="C574" s="24" t="str">
        <f>IF(A574&lt;&gt;"",SUMIFS(JPK_KR!AL:AL,JPK_KR!W:W,B574),"")</f>
        <v/>
      </c>
      <c r="D574" s="126" t="str">
        <f>IF(A574&lt;&gt;"",SUMIFS(JPK_KR!AM:AM,JPK_KR!W:W,B574),"")</f>
        <v/>
      </c>
      <c r="G574" s="24" t="str">
        <f>IF(E574&lt;&gt;"",SUMIFS(JPK_KR!AL:AL,JPK_KR!W:W,F574),"")</f>
        <v/>
      </c>
      <c r="H574" s="126" t="str">
        <f>IF(E574&lt;&gt;"",SUMIFS(JPK_KR!AM:AM,JPK_KR!W:W,F574),"")</f>
        <v/>
      </c>
      <c r="K574" s="24" t="str">
        <f>IF(I574&lt;&gt;"",SUMIFS(JPK_KR!AL:AL,JPK_KR!W:W,J574),"")</f>
        <v/>
      </c>
      <c r="L574" s="126" t="str">
        <f>IF(I574&lt;&gt;"",SUMIFS(JPK_KR!AM:AM,JPK_KR!W:W,J574),"")</f>
        <v/>
      </c>
      <c r="P574" s="24" t="str">
        <f>IF(M574&lt;&gt;"",IF(O574="",SUMIFS(JPK_KR!AL:AL,JPK_KR!W:W,N574),SUMIFS(JPK_KR!BF:BF,JPK_KR!BE:BE,N574,JPK_KR!BG:BG,O574)),"")</f>
        <v/>
      </c>
      <c r="Q574" s="126" t="str">
        <f>IF(M574&lt;&gt;"",IF(O574="",SUMIFS(JPK_KR!AM:AM,JPK_KR!W:W,N574),SUMIFS(JPK_KR!BI:BI,JPK_KR!BH:BH,N574,JPK_KR!BJ:BJ,O574)),"")</f>
        <v/>
      </c>
      <c r="U574" s="24" t="str">
        <f>IF(R574&lt;&gt;"",SUMIFS(JPK_KR!AL:AL,JPK_KR!W:W,S574),"")</f>
        <v/>
      </c>
      <c r="V574" s="126" t="str">
        <f>IF(R574&lt;&gt;"",SUMIFS(JPK_KR!AM:AM,JPK_KR!W:W,S574),"")</f>
        <v/>
      </c>
    </row>
    <row r="575" spans="3:22" x14ac:dyDescent="0.3">
      <c r="C575" s="24" t="str">
        <f>IF(A575&lt;&gt;"",SUMIFS(JPK_KR!AL:AL,JPK_KR!W:W,B575),"")</f>
        <v/>
      </c>
      <c r="D575" s="126" t="str">
        <f>IF(A575&lt;&gt;"",SUMIFS(JPK_KR!AM:AM,JPK_KR!W:W,B575),"")</f>
        <v/>
      </c>
      <c r="G575" s="24" t="str">
        <f>IF(E575&lt;&gt;"",SUMIFS(JPK_KR!AL:AL,JPK_KR!W:W,F575),"")</f>
        <v/>
      </c>
      <c r="H575" s="126" t="str">
        <f>IF(E575&lt;&gt;"",SUMIFS(JPK_KR!AM:AM,JPK_KR!W:W,F575),"")</f>
        <v/>
      </c>
      <c r="K575" s="24" t="str">
        <f>IF(I575&lt;&gt;"",SUMIFS(JPK_KR!AL:AL,JPK_KR!W:W,J575),"")</f>
        <v/>
      </c>
      <c r="L575" s="126" t="str">
        <f>IF(I575&lt;&gt;"",SUMIFS(JPK_KR!AM:AM,JPK_KR!W:W,J575),"")</f>
        <v/>
      </c>
      <c r="P575" s="24" t="str">
        <f>IF(M575&lt;&gt;"",IF(O575="",SUMIFS(JPK_KR!AL:AL,JPK_KR!W:W,N575),SUMIFS(JPK_KR!BF:BF,JPK_KR!BE:BE,N575,JPK_KR!BG:BG,O575)),"")</f>
        <v/>
      </c>
      <c r="Q575" s="126" t="str">
        <f>IF(M575&lt;&gt;"",IF(O575="",SUMIFS(JPK_KR!AM:AM,JPK_KR!W:W,N575),SUMIFS(JPK_KR!BI:BI,JPK_KR!BH:BH,N575,JPK_KR!BJ:BJ,O575)),"")</f>
        <v/>
      </c>
      <c r="U575" s="24" t="str">
        <f>IF(R575&lt;&gt;"",SUMIFS(JPK_KR!AL:AL,JPK_KR!W:W,S575),"")</f>
        <v/>
      </c>
      <c r="V575" s="126" t="str">
        <f>IF(R575&lt;&gt;"",SUMIFS(JPK_KR!AM:AM,JPK_KR!W:W,S575),"")</f>
        <v/>
      </c>
    </row>
    <row r="576" spans="3:22" x14ac:dyDescent="0.3">
      <c r="C576" s="24" t="str">
        <f>IF(A576&lt;&gt;"",SUMIFS(JPK_KR!AL:AL,JPK_KR!W:W,B576),"")</f>
        <v/>
      </c>
      <c r="D576" s="126" t="str">
        <f>IF(A576&lt;&gt;"",SUMIFS(JPK_KR!AM:AM,JPK_KR!W:W,B576),"")</f>
        <v/>
      </c>
      <c r="G576" s="24" t="str">
        <f>IF(E576&lt;&gt;"",SUMIFS(JPK_KR!AL:AL,JPK_KR!W:W,F576),"")</f>
        <v/>
      </c>
      <c r="H576" s="126" t="str">
        <f>IF(E576&lt;&gt;"",SUMIFS(JPK_KR!AM:AM,JPK_KR!W:W,F576),"")</f>
        <v/>
      </c>
      <c r="K576" s="24" t="str">
        <f>IF(I576&lt;&gt;"",SUMIFS(JPK_KR!AL:AL,JPK_KR!W:W,J576),"")</f>
        <v/>
      </c>
      <c r="L576" s="126" t="str">
        <f>IF(I576&lt;&gt;"",SUMIFS(JPK_KR!AM:AM,JPK_KR!W:W,J576),"")</f>
        <v/>
      </c>
      <c r="P576" s="24" t="str">
        <f>IF(M576&lt;&gt;"",IF(O576="",SUMIFS(JPK_KR!AL:AL,JPK_KR!W:W,N576),SUMIFS(JPK_KR!BF:BF,JPK_KR!BE:BE,N576,JPK_KR!BG:BG,O576)),"")</f>
        <v/>
      </c>
      <c r="Q576" s="126" t="str">
        <f>IF(M576&lt;&gt;"",IF(O576="",SUMIFS(JPK_KR!AM:AM,JPK_KR!W:W,N576),SUMIFS(JPK_KR!BI:BI,JPK_KR!BH:BH,N576,JPK_KR!BJ:BJ,O576)),"")</f>
        <v/>
      </c>
      <c r="U576" s="24" t="str">
        <f>IF(R576&lt;&gt;"",SUMIFS(JPK_KR!AL:AL,JPK_KR!W:W,S576),"")</f>
        <v/>
      </c>
      <c r="V576" s="126" t="str">
        <f>IF(R576&lt;&gt;"",SUMIFS(JPK_KR!AM:AM,JPK_KR!W:W,S576),"")</f>
        <v/>
      </c>
    </row>
    <row r="577" spans="3:22" x14ac:dyDescent="0.3">
      <c r="C577" s="24" t="str">
        <f>IF(A577&lt;&gt;"",SUMIFS(JPK_KR!AL:AL,JPK_KR!W:W,B577),"")</f>
        <v/>
      </c>
      <c r="D577" s="126" t="str">
        <f>IF(A577&lt;&gt;"",SUMIFS(JPK_KR!AM:AM,JPK_KR!W:W,B577),"")</f>
        <v/>
      </c>
      <c r="G577" s="24" t="str">
        <f>IF(E577&lt;&gt;"",SUMIFS(JPK_KR!AL:AL,JPK_KR!W:W,F577),"")</f>
        <v/>
      </c>
      <c r="H577" s="126" t="str">
        <f>IF(E577&lt;&gt;"",SUMIFS(JPK_KR!AM:AM,JPK_KR!W:W,F577),"")</f>
        <v/>
      </c>
      <c r="K577" s="24" t="str">
        <f>IF(I577&lt;&gt;"",SUMIFS(JPK_KR!AL:AL,JPK_KR!W:W,J577),"")</f>
        <v/>
      </c>
      <c r="L577" s="126" t="str">
        <f>IF(I577&lt;&gt;"",SUMIFS(JPK_KR!AM:AM,JPK_KR!W:W,J577),"")</f>
        <v/>
      </c>
      <c r="P577" s="24" t="str">
        <f>IF(M577&lt;&gt;"",IF(O577="",SUMIFS(JPK_KR!AL:AL,JPK_KR!W:W,N577),SUMIFS(JPK_KR!BF:BF,JPK_KR!BE:BE,N577,JPK_KR!BG:BG,O577)),"")</f>
        <v/>
      </c>
      <c r="Q577" s="126" t="str">
        <f>IF(M577&lt;&gt;"",IF(O577="",SUMIFS(JPK_KR!AM:AM,JPK_KR!W:W,N577),SUMIFS(JPK_KR!BI:BI,JPK_KR!BH:BH,N577,JPK_KR!BJ:BJ,O577)),"")</f>
        <v/>
      </c>
      <c r="U577" s="24" t="str">
        <f>IF(R577&lt;&gt;"",SUMIFS(JPK_KR!AL:AL,JPK_KR!W:W,S577),"")</f>
        <v/>
      </c>
      <c r="V577" s="126" t="str">
        <f>IF(R577&lt;&gt;"",SUMIFS(JPK_KR!AM:AM,JPK_KR!W:W,S577),"")</f>
        <v/>
      </c>
    </row>
    <row r="578" spans="3:22" x14ac:dyDescent="0.3">
      <c r="C578" s="24" t="str">
        <f>IF(A578&lt;&gt;"",SUMIFS(JPK_KR!AL:AL,JPK_KR!W:W,B578),"")</f>
        <v/>
      </c>
      <c r="D578" s="126" t="str">
        <f>IF(A578&lt;&gt;"",SUMIFS(JPK_KR!AM:AM,JPK_KR!W:W,B578),"")</f>
        <v/>
      </c>
      <c r="G578" s="24" t="str">
        <f>IF(E578&lt;&gt;"",SUMIFS(JPK_KR!AL:AL,JPK_KR!W:W,F578),"")</f>
        <v/>
      </c>
      <c r="H578" s="126" t="str">
        <f>IF(E578&lt;&gt;"",SUMIFS(JPK_KR!AM:AM,JPK_KR!W:W,F578),"")</f>
        <v/>
      </c>
      <c r="K578" s="24" t="str">
        <f>IF(I578&lt;&gt;"",SUMIFS(JPK_KR!AL:AL,JPK_KR!W:W,J578),"")</f>
        <v/>
      </c>
      <c r="L578" s="126" t="str">
        <f>IF(I578&lt;&gt;"",SUMIFS(JPK_KR!AM:AM,JPK_KR!W:W,J578),"")</f>
        <v/>
      </c>
      <c r="P578" s="24" t="str">
        <f>IF(M578&lt;&gt;"",IF(O578="",SUMIFS(JPK_KR!AL:AL,JPK_KR!W:W,N578),SUMIFS(JPK_KR!BF:BF,JPK_KR!BE:BE,N578,JPK_KR!BG:BG,O578)),"")</f>
        <v/>
      </c>
      <c r="Q578" s="126" t="str">
        <f>IF(M578&lt;&gt;"",IF(O578="",SUMIFS(JPK_KR!AM:AM,JPK_KR!W:W,N578),SUMIFS(JPK_KR!BI:BI,JPK_KR!BH:BH,N578,JPK_KR!BJ:BJ,O578)),"")</f>
        <v/>
      </c>
      <c r="U578" s="24" t="str">
        <f>IF(R578&lt;&gt;"",SUMIFS(JPK_KR!AL:AL,JPK_KR!W:W,S578),"")</f>
        <v/>
      </c>
      <c r="V578" s="126" t="str">
        <f>IF(R578&lt;&gt;"",SUMIFS(JPK_KR!AM:AM,JPK_KR!W:W,S578),"")</f>
        <v/>
      </c>
    </row>
    <row r="579" spans="3:22" x14ac:dyDescent="0.3">
      <c r="C579" s="24" t="str">
        <f>IF(A579&lt;&gt;"",SUMIFS(JPK_KR!AL:AL,JPK_KR!W:W,B579),"")</f>
        <v/>
      </c>
      <c r="D579" s="126" t="str">
        <f>IF(A579&lt;&gt;"",SUMIFS(JPK_KR!AM:AM,JPK_KR!W:W,B579),"")</f>
        <v/>
      </c>
      <c r="G579" s="24" t="str">
        <f>IF(E579&lt;&gt;"",SUMIFS(JPK_KR!AL:AL,JPK_KR!W:W,F579),"")</f>
        <v/>
      </c>
      <c r="H579" s="126" t="str">
        <f>IF(E579&lt;&gt;"",SUMIFS(JPK_KR!AM:AM,JPK_KR!W:W,F579),"")</f>
        <v/>
      </c>
      <c r="K579" s="24" t="str">
        <f>IF(I579&lt;&gt;"",SUMIFS(JPK_KR!AL:AL,JPK_KR!W:W,J579),"")</f>
        <v/>
      </c>
      <c r="L579" s="126" t="str">
        <f>IF(I579&lt;&gt;"",SUMIFS(JPK_KR!AM:AM,JPK_KR!W:W,J579),"")</f>
        <v/>
      </c>
      <c r="P579" s="24" t="str">
        <f>IF(M579&lt;&gt;"",IF(O579="",SUMIFS(JPK_KR!AL:AL,JPK_KR!W:W,N579),SUMIFS(JPK_KR!BF:BF,JPK_KR!BE:BE,N579,JPK_KR!BG:BG,O579)),"")</f>
        <v/>
      </c>
      <c r="Q579" s="126" t="str">
        <f>IF(M579&lt;&gt;"",IF(O579="",SUMIFS(JPK_KR!AM:AM,JPK_KR!W:W,N579),SUMIFS(JPK_KR!BI:BI,JPK_KR!BH:BH,N579,JPK_KR!BJ:BJ,O579)),"")</f>
        <v/>
      </c>
      <c r="U579" s="24" t="str">
        <f>IF(R579&lt;&gt;"",SUMIFS(JPK_KR!AL:AL,JPK_KR!W:W,S579),"")</f>
        <v/>
      </c>
      <c r="V579" s="126" t="str">
        <f>IF(R579&lt;&gt;"",SUMIFS(JPK_KR!AM:AM,JPK_KR!W:W,S579),"")</f>
        <v/>
      </c>
    </row>
    <row r="580" spans="3:22" x14ac:dyDescent="0.3">
      <c r="C580" s="24" t="str">
        <f>IF(A580&lt;&gt;"",SUMIFS(JPK_KR!AL:AL,JPK_KR!W:W,B580),"")</f>
        <v/>
      </c>
      <c r="D580" s="126" t="str">
        <f>IF(A580&lt;&gt;"",SUMIFS(JPK_KR!AM:AM,JPK_KR!W:W,B580),"")</f>
        <v/>
      </c>
      <c r="G580" s="24" t="str">
        <f>IF(E580&lt;&gt;"",SUMIFS(JPK_KR!AL:AL,JPK_KR!W:W,F580),"")</f>
        <v/>
      </c>
      <c r="H580" s="126" t="str">
        <f>IF(E580&lt;&gt;"",SUMIFS(JPK_KR!AM:AM,JPK_KR!W:W,F580),"")</f>
        <v/>
      </c>
      <c r="K580" s="24" t="str">
        <f>IF(I580&lt;&gt;"",SUMIFS(JPK_KR!AL:AL,JPK_KR!W:W,J580),"")</f>
        <v/>
      </c>
      <c r="L580" s="126" t="str">
        <f>IF(I580&lt;&gt;"",SUMIFS(JPK_KR!AM:AM,JPK_KR!W:W,J580),"")</f>
        <v/>
      </c>
      <c r="P580" s="24" t="str">
        <f>IF(M580&lt;&gt;"",IF(O580="",SUMIFS(JPK_KR!AL:AL,JPK_KR!W:W,N580),SUMIFS(JPK_KR!BF:BF,JPK_KR!BE:BE,N580,JPK_KR!BG:BG,O580)),"")</f>
        <v/>
      </c>
      <c r="Q580" s="126" t="str">
        <f>IF(M580&lt;&gt;"",IF(O580="",SUMIFS(JPK_KR!AM:AM,JPK_KR!W:W,N580),SUMIFS(JPK_KR!BI:BI,JPK_KR!BH:BH,N580,JPK_KR!BJ:BJ,O580)),"")</f>
        <v/>
      </c>
      <c r="U580" s="24" t="str">
        <f>IF(R580&lt;&gt;"",SUMIFS(JPK_KR!AL:AL,JPK_KR!W:W,S580),"")</f>
        <v/>
      </c>
      <c r="V580" s="126" t="str">
        <f>IF(R580&lt;&gt;"",SUMIFS(JPK_KR!AM:AM,JPK_KR!W:W,S580),"")</f>
        <v/>
      </c>
    </row>
    <row r="581" spans="3:22" x14ac:dyDescent="0.3">
      <c r="C581" s="24" t="str">
        <f>IF(A581&lt;&gt;"",SUMIFS(JPK_KR!AL:AL,JPK_KR!W:W,B581),"")</f>
        <v/>
      </c>
      <c r="D581" s="126" t="str">
        <f>IF(A581&lt;&gt;"",SUMIFS(JPK_KR!AM:AM,JPK_KR!W:W,B581),"")</f>
        <v/>
      </c>
      <c r="G581" s="24" t="str">
        <f>IF(E581&lt;&gt;"",SUMIFS(JPK_KR!AL:AL,JPK_KR!W:W,F581),"")</f>
        <v/>
      </c>
      <c r="H581" s="126" t="str">
        <f>IF(E581&lt;&gt;"",SUMIFS(JPK_KR!AM:AM,JPK_KR!W:W,F581),"")</f>
        <v/>
      </c>
      <c r="K581" s="24" t="str">
        <f>IF(I581&lt;&gt;"",SUMIFS(JPK_KR!AL:AL,JPK_KR!W:W,J581),"")</f>
        <v/>
      </c>
      <c r="L581" s="126" t="str">
        <f>IF(I581&lt;&gt;"",SUMIFS(JPK_KR!AM:AM,JPK_KR!W:W,J581),"")</f>
        <v/>
      </c>
      <c r="P581" s="24" t="str">
        <f>IF(M581&lt;&gt;"",IF(O581="",SUMIFS(JPK_KR!AL:AL,JPK_KR!W:W,N581),SUMIFS(JPK_KR!BF:BF,JPK_KR!BE:BE,N581,JPK_KR!BG:BG,O581)),"")</f>
        <v/>
      </c>
      <c r="Q581" s="126" t="str">
        <f>IF(M581&lt;&gt;"",IF(O581="",SUMIFS(JPK_KR!AM:AM,JPK_KR!W:W,N581),SUMIFS(JPK_KR!BI:BI,JPK_KR!BH:BH,N581,JPK_KR!BJ:BJ,O581)),"")</f>
        <v/>
      </c>
      <c r="U581" s="24" t="str">
        <f>IF(R581&lt;&gt;"",SUMIFS(JPK_KR!AL:AL,JPK_KR!W:W,S581),"")</f>
        <v/>
      </c>
      <c r="V581" s="126" t="str">
        <f>IF(R581&lt;&gt;"",SUMIFS(JPK_KR!AM:AM,JPK_KR!W:W,S581),"")</f>
        <v/>
      </c>
    </row>
    <row r="582" spans="3:22" x14ac:dyDescent="0.3">
      <c r="C582" s="24" t="str">
        <f>IF(A582&lt;&gt;"",SUMIFS(JPK_KR!AL:AL,JPK_KR!W:W,B582),"")</f>
        <v/>
      </c>
      <c r="D582" s="126" t="str">
        <f>IF(A582&lt;&gt;"",SUMIFS(JPK_KR!AM:AM,JPK_KR!W:W,B582),"")</f>
        <v/>
      </c>
      <c r="G582" s="24" t="str">
        <f>IF(E582&lt;&gt;"",SUMIFS(JPK_KR!AL:AL,JPK_KR!W:W,F582),"")</f>
        <v/>
      </c>
      <c r="H582" s="126" t="str">
        <f>IF(E582&lt;&gt;"",SUMIFS(JPK_KR!AM:AM,JPK_KR!W:W,F582),"")</f>
        <v/>
      </c>
      <c r="K582" s="24" t="str">
        <f>IF(I582&lt;&gt;"",SUMIFS(JPK_KR!AL:AL,JPK_KR!W:W,J582),"")</f>
        <v/>
      </c>
      <c r="L582" s="126" t="str">
        <f>IF(I582&lt;&gt;"",SUMIFS(JPK_KR!AM:AM,JPK_KR!W:W,J582),"")</f>
        <v/>
      </c>
      <c r="P582" s="24" t="str">
        <f>IF(M582&lt;&gt;"",IF(O582="",SUMIFS(JPK_KR!AL:AL,JPK_KR!W:W,N582),SUMIFS(JPK_KR!BF:BF,JPK_KR!BE:BE,N582,JPK_KR!BG:BG,O582)),"")</f>
        <v/>
      </c>
      <c r="Q582" s="126" t="str">
        <f>IF(M582&lt;&gt;"",IF(O582="",SUMIFS(JPK_KR!AM:AM,JPK_KR!W:W,N582),SUMIFS(JPK_KR!BI:BI,JPK_KR!BH:BH,N582,JPK_KR!BJ:BJ,O582)),"")</f>
        <v/>
      </c>
      <c r="U582" s="24" t="str">
        <f>IF(R582&lt;&gt;"",SUMIFS(JPK_KR!AL:AL,JPK_KR!W:W,S582),"")</f>
        <v/>
      </c>
      <c r="V582" s="126" t="str">
        <f>IF(R582&lt;&gt;"",SUMIFS(JPK_KR!AM:AM,JPK_KR!W:W,S582),"")</f>
        <v/>
      </c>
    </row>
    <row r="583" spans="3:22" x14ac:dyDescent="0.3">
      <c r="C583" s="24" t="str">
        <f>IF(A583&lt;&gt;"",SUMIFS(JPK_KR!AL:AL,JPK_KR!W:W,B583),"")</f>
        <v/>
      </c>
      <c r="D583" s="126" t="str">
        <f>IF(A583&lt;&gt;"",SUMIFS(JPK_KR!AM:AM,JPK_KR!W:W,B583),"")</f>
        <v/>
      </c>
      <c r="G583" s="24" t="str">
        <f>IF(E583&lt;&gt;"",SUMIFS(JPK_KR!AL:AL,JPK_KR!W:W,F583),"")</f>
        <v/>
      </c>
      <c r="H583" s="126" t="str">
        <f>IF(E583&lt;&gt;"",SUMIFS(JPK_KR!AM:AM,JPK_KR!W:W,F583),"")</f>
        <v/>
      </c>
      <c r="K583" s="24" t="str">
        <f>IF(I583&lt;&gt;"",SUMIFS(JPK_KR!AL:AL,JPK_KR!W:W,J583),"")</f>
        <v/>
      </c>
      <c r="L583" s="126" t="str">
        <f>IF(I583&lt;&gt;"",SUMIFS(JPK_KR!AM:AM,JPK_KR!W:W,J583),"")</f>
        <v/>
      </c>
      <c r="P583" s="24" t="str">
        <f>IF(M583&lt;&gt;"",IF(O583="",SUMIFS(JPK_KR!AL:AL,JPK_KR!W:W,N583),SUMIFS(JPK_KR!BF:BF,JPK_KR!BE:BE,N583,JPK_KR!BG:BG,O583)),"")</f>
        <v/>
      </c>
      <c r="Q583" s="126" t="str">
        <f>IF(M583&lt;&gt;"",IF(O583="",SUMIFS(JPK_KR!AM:AM,JPK_KR!W:W,N583),SUMIFS(JPK_KR!BI:BI,JPK_KR!BH:BH,N583,JPK_KR!BJ:BJ,O583)),"")</f>
        <v/>
      </c>
      <c r="U583" s="24" t="str">
        <f>IF(R583&lt;&gt;"",SUMIFS(JPK_KR!AL:AL,JPK_KR!W:W,S583),"")</f>
        <v/>
      </c>
      <c r="V583" s="126" t="str">
        <f>IF(R583&lt;&gt;"",SUMIFS(JPK_KR!AM:AM,JPK_KR!W:W,S583),"")</f>
        <v/>
      </c>
    </row>
    <row r="584" spans="3:22" x14ac:dyDescent="0.3">
      <c r="C584" s="24" t="str">
        <f>IF(A584&lt;&gt;"",SUMIFS(JPK_KR!AL:AL,JPK_KR!W:W,B584),"")</f>
        <v/>
      </c>
      <c r="D584" s="126" t="str">
        <f>IF(A584&lt;&gt;"",SUMIFS(JPK_KR!AM:AM,JPK_KR!W:W,B584),"")</f>
        <v/>
      </c>
      <c r="G584" s="24" t="str">
        <f>IF(E584&lt;&gt;"",SUMIFS(JPK_KR!AL:AL,JPK_KR!W:W,F584),"")</f>
        <v/>
      </c>
      <c r="H584" s="126" t="str">
        <f>IF(E584&lt;&gt;"",SUMIFS(JPK_KR!AM:AM,JPK_KR!W:W,F584),"")</f>
        <v/>
      </c>
      <c r="K584" s="24" t="str">
        <f>IF(I584&lt;&gt;"",SUMIFS(JPK_KR!AL:AL,JPK_KR!W:W,J584),"")</f>
        <v/>
      </c>
      <c r="L584" s="126" t="str">
        <f>IF(I584&lt;&gt;"",SUMIFS(JPK_KR!AM:AM,JPK_KR!W:W,J584),"")</f>
        <v/>
      </c>
      <c r="P584" s="24" t="str">
        <f>IF(M584&lt;&gt;"",IF(O584="",SUMIFS(JPK_KR!AL:AL,JPK_KR!W:W,N584),SUMIFS(JPK_KR!BF:BF,JPK_KR!BE:BE,N584,JPK_KR!BG:BG,O584)),"")</f>
        <v/>
      </c>
      <c r="Q584" s="126" t="str">
        <f>IF(M584&lt;&gt;"",IF(O584="",SUMIFS(JPK_KR!AM:AM,JPK_KR!W:W,N584),SUMIFS(JPK_KR!BI:BI,JPK_KR!BH:BH,N584,JPK_KR!BJ:BJ,O584)),"")</f>
        <v/>
      </c>
      <c r="U584" s="24" t="str">
        <f>IF(R584&lt;&gt;"",SUMIFS(JPK_KR!AL:AL,JPK_KR!W:W,S584),"")</f>
        <v/>
      </c>
      <c r="V584" s="126" t="str">
        <f>IF(R584&lt;&gt;"",SUMIFS(JPK_KR!AM:AM,JPK_KR!W:W,S584),"")</f>
        <v/>
      </c>
    </row>
    <row r="585" spans="3:22" x14ac:dyDescent="0.3">
      <c r="C585" s="24" t="str">
        <f>IF(A585&lt;&gt;"",SUMIFS(JPK_KR!AL:AL,JPK_KR!W:W,B585),"")</f>
        <v/>
      </c>
      <c r="D585" s="126" t="str">
        <f>IF(A585&lt;&gt;"",SUMIFS(JPK_KR!AM:AM,JPK_KR!W:W,B585),"")</f>
        <v/>
      </c>
      <c r="G585" s="24" t="str">
        <f>IF(E585&lt;&gt;"",SUMIFS(JPK_KR!AL:AL,JPK_KR!W:W,F585),"")</f>
        <v/>
      </c>
      <c r="H585" s="126" t="str">
        <f>IF(E585&lt;&gt;"",SUMIFS(JPK_KR!AM:AM,JPK_KR!W:W,F585),"")</f>
        <v/>
      </c>
      <c r="K585" s="24" t="str">
        <f>IF(I585&lt;&gt;"",SUMIFS(JPK_KR!AL:AL,JPK_KR!W:W,J585),"")</f>
        <v/>
      </c>
      <c r="L585" s="126" t="str">
        <f>IF(I585&lt;&gt;"",SUMIFS(JPK_KR!AM:AM,JPK_KR!W:W,J585),"")</f>
        <v/>
      </c>
      <c r="P585" s="24" t="str">
        <f>IF(M585&lt;&gt;"",IF(O585="",SUMIFS(JPK_KR!AL:AL,JPK_KR!W:W,N585),SUMIFS(JPK_KR!BF:BF,JPK_KR!BE:BE,N585,JPK_KR!BG:BG,O585)),"")</f>
        <v/>
      </c>
      <c r="Q585" s="126" t="str">
        <f>IF(M585&lt;&gt;"",IF(O585="",SUMIFS(JPK_KR!AM:AM,JPK_KR!W:W,N585),SUMIFS(JPK_KR!BI:BI,JPK_KR!BH:BH,N585,JPK_KR!BJ:BJ,O585)),"")</f>
        <v/>
      </c>
      <c r="U585" s="24" t="str">
        <f>IF(R585&lt;&gt;"",SUMIFS(JPK_KR!AL:AL,JPK_KR!W:W,S585),"")</f>
        <v/>
      </c>
      <c r="V585" s="126" t="str">
        <f>IF(R585&lt;&gt;"",SUMIFS(JPK_KR!AM:AM,JPK_KR!W:W,S585),"")</f>
        <v/>
      </c>
    </row>
    <row r="586" spans="3:22" x14ac:dyDescent="0.3">
      <c r="C586" s="24" t="str">
        <f>IF(A586&lt;&gt;"",SUMIFS(JPK_KR!AL:AL,JPK_KR!W:W,B586),"")</f>
        <v/>
      </c>
      <c r="D586" s="126" t="str">
        <f>IF(A586&lt;&gt;"",SUMIFS(JPK_KR!AM:AM,JPK_KR!W:W,B586),"")</f>
        <v/>
      </c>
      <c r="G586" s="24" t="str">
        <f>IF(E586&lt;&gt;"",SUMIFS(JPK_KR!AL:AL,JPK_KR!W:W,F586),"")</f>
        <v/>
      </c>
      <c r="H586" s="126" t="str">
        <f>IF(E586&lt;&gt;"",SUMIFS(JPK_KR!AM:AM,JPK_KR!W:W,F586),"")</f>
        <v/>
      </c>
      <c r="K586" s="24" t="str">
        <f>IF(I586&lt;&gt;"",SUMIFS(JPK_KR!AL:AL,JPK_KR!W:W,J586),"")</f>
        <v/>
      </c>
      <c r="L586" s="126" t="str">
        <f>IF(I586&lt;&gt;"",SUMIFS(JPK_KR!AM:AM,JPK_KR!W:W,J586),"")</f>
        <v/>
      </c>
      <c r="P586" s="24" t="str">
        <f>IF(M586&lt;&gt;"",IF(O586="",SUMIFS(JPK_KR!AL:AL,JPK_KR!W:W,N586),SUMIFS(JPK_KR!BF:BF,JPK_KR!BE:BE,N586,JPK_KR!BG:BG,O586)),"")</f>
        <v/>
      </c>
      <c r="Q586" s="126" t="str">
        <f>IF(M586&lt;&gt;"",IF(O586="",SUMIFS(JPK_KR!AM:AM,JPK_KR!W:W,N586),SUMIFS(JPK_KR!BI:BI,JPK_KR!BH:BH,N586,JPK_KR!BJ:BJ,O586)),"")</f>
        <v/>
      </c>
      <c r="U586" s="24" t="str">
        <f>IF(R586&lt;&gt;"",SUMIFS(JPK_KR!AL:AL,JPK_KR!W:W,S586),"")</f>
        <v/>
      </c>
      <c r="V586" s="126" t="str">
        <f>IF(R586&lt;&gt;"",SUMIFS(JPK_KR!AM:AM,JPK_KR!W:W,S586),"")</f>
        <v/>
      </c>
    </row>
    <row r="587" spans="3:22" x14ac:dyDescent="0.3">
      <c r="C587" s="24" t="str">
        <f>IF(A587&lt;&gt;"",SUMIFS(JPK_KR!AL:AL,JPK_KR!W:W,B587),"")</f>
        <v/>
      </c>
      <c r="D587" s="126" t="str">
        <f>IF(A587&lt;&gt;"",SUMIFS(JPK_KR!AM:AM,JPK_KR!W:W,B587),"")</f>
        <v/>
      </c>
      <c r="G587" s="24" t="str">
        <f>IF(E587&lt;&gt;"",SUMIFS(JPK_KR!AL:AL,JPK_KR!W:W,F587),"")</f>
        <v/>
      </c>
      <c r="H587" s="126" t="str">
        <f>IF(E587&lt;&gt;"",SUMIFS(JPK_KR!AM:AM,JPK_KR!W:W,F587),"")</f>
        <v/>
      </c>
      <c r="K587" s="24" t="str">
        <f>IF(I587&lt;&gt;"",SUMIFS(JPK_KR!AL:AL,JPK_KR!W:W,J587),"")</f>
        <v/>
      </c>
      <c r="L587" s="126" t="str">
        <f>IF(I587&lt;&gt;"",SUMIFS(JPK_KR!AM:AM,JPK_KR!W:W,J587),"")</f>
        <v/>
      </c>
      <c r="P587" s="24" t="str">
        <f>IF(M587&lt;&gt;"",IF(O587="",SUMIFS(JPK_KR!AL:AL,JPK_KR!W:W,N587),SUMIFS(JPK_KR!BF:BF,JPK_KR!BE:BE,N587,JPK_KR!BG:BG,O587)),"")</f>
        <v/>
      </c>
      <c r="Q587" s="126" t="str">
        <f>IF(M587&lt;&gt;"",IF(O587="",SUMIFS(JPK_KR!AM:AM,JPK_KR!W:W,N587),SUMIFS(JPK_KR!BI:BI,JPK_KR!BH:BH,N587,JPK_KR!BJ:BJ,O587)),"")</f>
        <v/>
      </c>
      <c r="U587" s="24" t="str">
        <f>IF(R587&lt;&gt;"",SUMIFS(JPK_KR!AL:AL,JPK_KR!W:W,S587),"")</f>
        <v/>
      </c>
      <c r="V587" s="126" t="str">
        <f>IF(R587&lt;&gt;"",SUMIFS(JPK_KR!AM:AM,JPK_KR!W:W,S587),"")</f>
        <v/>
      </c>
    </row>
    <row r="588" spans="3:22" x14ac:dyDescent="0.3">
      <c r="C588" s="24" t="str">
        <f>IF(A588&lt;&gt;"",SUMIFS(JPK_KR!AL:AL,JPK_KR!W:W,B588),"")</f>
        <v/>
      </c>
      <c r="D588" s="126" t="str">
        <f>IF(A588&lt;&gt;"",SUMIFS(JPK_KR!AM:AM,JPK_KR!W:W,B588),"")</f>
        <v/>
      </c>
      <c r="G588" s="24" t="str">
        <f>IF(E588&lt;&gt;"",SUMIFS(JPK_KR!AL:AL,JPK_KR!W:W,F588),"")</f>
        <v/>
      </c>
      <c r="H588" s="126" t="str">
        <f>IF(E588&lt;&gt;"",SUMIFS(JPK_KR!AM:AM,JPK_KR!W:W,F588),"")</f>
        <v/>
      </c>
      <c r="K588" s="24" t="str">
        <f>IF(I588&lt;&gt;"",SUMIFS(JPK_KR!AL:AL,JPK_KR!W:W,J588),"")</f>
        <v/>
      </c>
      <c r="L588" s="126" t="str">
        <f>IF(I588&lt;&gt;"",SUMIFS(JPK_KR!AM:AM,JPK_KR!W:W,J588),"")</f>
        <v/>
      </c>
      <c r="P588" s="24" t="str">
        <f>IF(M588&lt;&gt;"",IF(O588="",SUMIFS(JPK_KR!AL:AL,JPK_KR!W:W,N588),SUMIFS(JPK_KR!BF:BF,JPK_KR!BE:BE,N588,JPK_KR!BG:BG,O588)),"")</f>
        <v/>
      </c>
      <c r="Q588" s="126" t="str">
        <f>IF(M588&lt;&gt;"",IF(O588="",SUMIFS(JPK_KR!AM:AM,JPK_KR!W:W,N588),SUMIFS(JPK_KR!BI:BI,JPK_KR!BH:BH,N588,JPK_KR!BJ:BJ,O588)),"")</f>
        <v/>
      </c>
      <c r="U588" s="24" t="str">
        <f>IF(R588&lt;&gt;"",SUMIFS(JPK_KR!AL:AL,JPK_KR!W:W,S588),"")</f>
        <v/>
      </c>
      <c r="V588" s="126" t="str">
        <f>IF(R588&lt;&gt;"",SUMIFS(JPK_KR!AM:AM,JPK_KR!W:W,S588),"")</f>
        <v/>
      </c>
    </row>
    <row r="589" spans="3:22" x14ac:dyDescent="0.3">
      <c r="C589" s="24" t="str">
        <f>IF(A589&lt;&gt;"",SUMIFS(JPK_KR!AL:AL,JPK_KR!W:W,B589),"")</f>
        <v/>
      </c>
      <c r="D589" s="126" t="str">
        <f>IF(A589&lt;&gt;"",SUMIFS(JPK_KR!AM:AM,JPK_KR!W:W,B589),"")</f>
        <v/>
      </c>
      <c r="G589" s="24" t="str">
        <f>IF(E589&lt;&gt;"",SUMIFS(JPK_KR!AL:AL,JPK_KR!W:W,F589),"")</f>
        <v/>
      </c>
      <c r="H589" s="126" t="str">
        <f>IF(E589&lt;&gt;"",SUMIFS(JPK_KR!AM:AM,JPK_KR!W:W,F589),"")</f>
        <v/>
      </c>
      <c r="K589" s="24" t="str">
        <f>IF(I589&lt;&gt;"",SUMIFS(JPK_KR!AL:AL,JPK_KR!W:W,J589),"")</f>
        <v/>
      </c>
      <c r="L589" s="126" t="str">
        <f>IF(I589&lt;&gt;"",SUMIFS(JPK_KR!AM:AM,JPK_KR!W:W,J589),"")</f>
        <v/>
      </c>
      <c r="P589" s="24" t="str">
        <f>IF(M589&lt;&gt;"",IF(O589="",SUMIFS(JPK_KR!AL:AL,JPK_KR!W:W,N589),SUMIFS(JPK_KR!BF:BF,JPK_KR!BE:BE,N589,JPK_KR!BG:BG,O589)),"")</f>
        <v/>
      </c>
      <c r="Q589" s="126" t="str">
        <f>IF(M589&lt;&gt;"",IF(O589="",SUMIFS(JPK_KR!AM:AM,JPK_KR!W:W,N589),SUMIFS(JPK_KR!BI:BI,JPK_KR!BH:BH,N589,JPK_KR!BJ:BJ,O589)),"")</f>
        <v/>
      </c>
      <c r="U589" s="24" t="str">
        <f>IF(R589&lt;&gt;"",SUMIFS(JPK_KR!AL:AL,JPK_KR!W:W,S589),"")</f>
        <v/>
      </c>
      <c r="V589" s="126" t="str">
        <f>IF(R589&lt;&gt;"",SUMIFS(JPK_KR!AM:AM,JPK_KR!W:W,S589),"")</f>
        <v/>
      </c>
    </row>
    <row r="590" spans="3:22" x14ac:dyDescent="0.3">
      <c r="C590" s="24" t="str">
        <f>IF(A590&lt;&gt;"",SUMIFS(JPK_KR!AL:AL,JPK_KR!W:W,B590),"")</f>
        <v/>
      </c>
      <c r="D590" s="126" t="str">
        <f>IF(A590&lt;&gt;"",SUMIFS(JPK_KR!AM:AM,JPK_KR!W:W,B590),"")</f>
        <v/>
      </c>
      <c r="G590" s="24" t="str">
        <f>IF(E590&lt;&gt;"",SUMIFS(JPK_KR!AL:AL,JPK_KR!W:W,F590),"")</f>
        <v/>
      </c>
      <c r="H590" s="126" t="str">
        <f>IF(E590&lt;&gt;"",SUMIFS(JPK_KR!AM:AM,JPK_KR!W:W,F590),"")</f>
        <v/>
      </c>
      <c r="K590" s="24" t="str">
        <f>IF(I590&lt;&gt;"",SUMIFS(JPK_KR!AL:AL,JPK_KR!W:W,J590),"")</f>
        <v/>
      </c>
      <c r="L590" s="126" t="str">
        <f>IF(I590&lt;&gt;"",SUMIFS(JPK_KR!AM:AM,JPK_KR!W:W,J590),"")</f>
        <v/>
      </c>
      <c r="P590" s="24" t="str">
        <f>IF(M590&lt;&gt;"",IF(O590="",SUMIFS(JPK_KR!AL:AL,JPK_KR!W:W,N590),SUMIFS(JPK_KR!BF:BF,JPK_KR!BE:BE,N590,JPK_KR!BG:BG,O590)),"")</f>
        <v/>
      </c>
      <c r="Q590" s="126" t="str">
        <f>IF(M590&lt;&gt;"",IF(O590="",SUMIFS(JPK_KR!AM:AM,JPK_KR!W:W,N590),SUMIFS(JPK_KR!BI:BI,JPK_KR!BH:BH,N590,JPK_KR!BJ:BJ,O590)),"")</f>
        <v/>
      </c>
      <c r="U590" s="24" t="str">
        <f>IF(R590&lt;&gt;"",SUMIFS(JPK_KR!AL:AL,JPK_KR!W:W,S590),"")</f>
        <v/>
      </c>
      <c r="V590" s="126" t="str">
        <f>IF(R590&lt;&gt;"",SUMIFS(JPK_KR!AM:AM,JPK_KR!W:W,S590),"")</f>
        <v/>
      </c>
    </row>
    <row r="591" spans="3:22" x14ac:dyDescent="0.3">
      <c r="C591" s="24" t="str">
        <f>IF(A591&lt;&gt;"",SUMIFS(JPK_KR!AL:AL,JPK_KR!W:W,B591),"")</f>
        <v/>
      </c>
      <c r="D591" s="126" t="str">
        <f>IF(A591&lt;&gt;"",SUMIFS(JPK_KR!AM:AM,JPK_KR!W:W,B591),"")</f>
        <v/>
      </c>
      <c r="G591" s="24" t="str">
        <f>IF(E591&lt;&gt;"",SUMIFS(JPK_KR!AL:AL,JPK_KR!W:W,F591),"")</f>
        <v/>
      </c>
      <c r="H591" s="126" t="str">
        <f>IF(E591&lt;&gt;"",SUMIFS(JPK_KR!AM:AM,JPK_KR!W:W,F591),"")</f>
        <v/>
      </c>
      <c r="K591" s="24" t="str">
        <f>IF(I591&lt;&gt;"",SUMIFS(JPK_KR!AL:AL,JPK_KR!W:W,J591),"")</f>
        <v/>
      </c>
      <c r="L591" s="126" t="str">
        <f>IF(I591&lt;&gt;"",SUMIFS(JPK_KR!AM:AM,JPK_KR!W:W,J591),"")</f>
        <v/>
      </c>
      <c r="P591" s="24" t="str">
        <f>IF(M591&lt;&gt;"",IF(O591="",SUMIFS(JPK_KR!AL:AL,JPK_KR!W:W,N591),SUMIFS(JPK_KR!BF:BF,JPK_KR!BE:BE,N591,JPK_KR!BG:BG,O591)),"")</f>
        <v/>
      </c>
      <c r="Q591" s="126" t="str">
        <f>IF(M591&lt;&gt;"",IF(O591="",SUMIFS(JPK_KR!AM:AM,JPK_KR!W:W,N591),SUMIFS(JPK_KR!BI:BI,JPK_KR!BH:BH,N591,JPK_KR!BJ:BJ,O591)),"")</f>
        <v/>
      </c>
      <c r="U591" s="24" t="str">
        <f>IF(R591&lt;&gt;"",SUMIFS(JPK_KR!AL:AL,JPK_KR!W:W,S591),"")</f>
        <v/>
      </c>
      <c r="V591" s="126" t="str">
        <f>IF(R591&lt;&gt;"",SUMIFS(JPK_KR!AM:AM,JPK_KR!W:W,S591),"")</f>
        <v/>
      </c>
    </row>
    <row r="592" spans="3:22" x14ac:dyDescent="0.3">
      <c r="C592" s="24" t="str">
        <f>IF(A592&lt;&gt;"",SUMIFS(JPK_KR!AL:AL,JPK_KR!W:W,B592),"")</f>
        <v/>
      </c>
      <c r="D592" s="126" t="str">
        <f>IF(A592&lt;&gt;"",SUMIFS(JPK_KR!AM:AM,JPK_KR!W:W,B592),"")</f>
        <v/>
      </c>
      <c r="G592" s="24" t="str">
        <f>IF(E592&lt;&gt;"",SUMIFS(JPK_KR!AL:AL,JPK_KR!W:W,F592),"")</f>
        <v/>
      </c>
      <c r="H592" s="126" t="str">
        <f>IF(E592&lt;&gt;"",SUMIFS(JPK_KR!AM:AM,JPK_KR!W:W,F592),"")</f>
        <v/>
      </c>
      <c r="K592" s="24" t="str">
        <f>IF(I592&lt;&gt;"",SUMIFS(JPK_KR!AL:AL,JPK_KR!W:W,J592),"")</f>
        <v/>
      </c>
      <c r="L592" s="126" t="str">
        <f>IF(I592&lt;&gt;"",SUMIFS(JPK_KR!AM:AM,JPK_KR!W:W,J592),"")</f>
        <v/>
      </c>
      <c r="P592" s="24" t="str">
        <f>IF(M592&lt;&gt;"",IF(O592="",SUMIFS(JPK_KR!AL:AL,JPK_KR!W:W,N592),SUMIFS(JPK_KR!BF:BF,JPK_KR!BE:BE,N592,JPK_KR!BG:BG,O592)),"")</f>
        <v/>
      </c>
      <c r="Q592" s="126" t="str">
        <f>IF(M592&lt;&gt;"",IF(O592="",SUMIFS(JPK_KR!AM:AM,JPK_KR!W:W,N592),SUMIFS(JPK_KR!BI:BI,JPK_KR!BH:BH,N592,JPK_KR!BJ:BJ,O592)),"")</f>
        <v/>
      </c>
      <c r="U592" s="24" t="str">
        <f>IF(R592&lt;&gt;"",SUMIFS(JPK_KR!AL:AL,JPK_KR!W:W,S592),"")</f>
        <v/>
      </c>
      <c r="V592" s="126" t="str">
        <f>IF(R592&lt;&gt;"",SUMIFS(JPK_KR!AM:AM,JPK_KR!W:W,S592),"")</f>
        <v/>
      </c>
    </row>
    <row r="593" spans="3:22" x14ac:dyDescent="0.3">
      <c r="C593" s="24" t="str">
        <f>IF(A593&lt;&gt;"",SUMIFS(JPK_KR!AL:AL,JPK_KR!W:W,B593),"")</f>
        <v/>
      </c>
      <c r="D593" s="126" t="str">
        <f>IF(A593&lt;&gt;"",SUMIFS(JPK_KR!AM:AM,JPK_KR!W:W,B593),"")</f>
        <v/>
      </c>
      <c r="G593" s="24" t="str">
        <f>IF(E593&lt;&gt;"",SUMIFS(JPK_KR!AL:AL,JPK_KR!W:W,F593),"")</f>
        <v/>
      </c>
      <c r="H593" s="126" t="str">
        <f>IF(E593&lt;&gt;"",SUMIFS(JPK_KR!AM:AM,JPK_KR!W:W,F593),"")</f>
        <v/>
      </c>
      <c r="K593" s="24" t="str">
        <f>IF(I593&lt;&gt;"",SUMIFS(JPK_KR!AL:AL,JPK_KR!W:W,J593),"")</f>
        <v/>
      </c>
      <c r="L593" s="126" t="str">
        <f>IF(I593&lt;&gt;"",SUMIFS(JPK_KR!AM:AM,JPK_KR!W:W,J593),"")</f>
        <v/>
      </c>
      <c r="P593" s="24" t="str">
        <f>IF(M593&lt;&gt;"",IF(O593="",SUMIFS(JPK_KR!AL:AL,JPK_KR!W:W,N593),SUMIFS(JPK_KR!BF:BF,JPK_KR!BE:BE,N593,JPK_KR!BG:BG,O593)),"")</f>
        <v/>
      </c>
      <c r="Q593" s="126" t="str">
        <f>IF(M593&lt;&gt;"",IF(O593="",SUMIFS(JPK_KR!AM:AM,JPK_KR!W:W,N593),SUMIFS(JPK_KR!BI:BI,JPK_KR!BH:BH,N593,JPK_KR!BJ:BJ,O593)),"")</f>
        <v/>
      </c>
      <c r="U593" s="24" t="str">
        <f>IF(R593&lt;&gt;"",SUMIFS(JPK_KR!AL:AL,JPK_KR!W:W,S593),"")</f>
        <v/>
      </c>
      <c r="V593" s="126" t="str">
        <f>IF(R593&lt;&gt;"",SUMIFS(JPK_KR!AM:AM,JPK_KR!W:W,S593),"")</f>
        <v/>
      </c>
    </row>
    <row r="594" spans="3:22" x14ac:dyDescent="0.3">
      <c r="C594" s="24" t="str">
        <f>IF(A594&lt;&gt;"",SUMIFS(JPK_KR!AL:AL,JPK_KR!W:W,B594),"")</f>
        <v/>
      </c>
      <c r="D594" s="126" t="str">
        <f>IF(A594&lt;&gt;"",SUMIFS(JPK_KR!AM:AM,JPK_KR!W:W,B594),"")</f>
        <v/>
      </c>
      <c r="G594" s="24" t="str">
        <f>IF(E594&lt;&gt;"",SUMIFS(JPK_KR!AL:AL,JPK_KR!W:W,F594),"")</f>
        <v/>
      </c>
      <c r="H594" s="126" t="str">
        <f>IF(E594&lt;&gt;"",SUMIFS(JPK_KR!AM:AM,JPK_KR!W:W,F594),"")</f>
        <v/>
      </c>
      <c r="K594" s="24" t="str">
        <f>IF(I594&lt;&gt;"",SUMIFS(JPK_KR!AL:AL,JPK_KR!W:W,J594),"")</f>
        <v/>
      </c>
      <c r="L594" s="126" t="str">
        <f>IF(I594&lt;&gt;"",SUMIFS(JPK_KR!AM:AM,JPK_KR!W:W,J594),"")</f>
        <v/>
      </c>
      <c r="P594" s="24" t="str">
        <f>IF(M594&lt;&gt;"",IF(O594="",SUMIFS(JPK_KR!AL:AL,JPK_KR!W:W,N594),SUMIFS(JPK_KR!BF:BF,JPK_KR!BE:BE,N594,JPK_KR!BG:BG,O594)),"")</f>
        <v/>
      </c>
      <c r="Q594" s="126" t="str">
        <f>IF(M594&lt;&gt;"",IF(O594="",SUMIFS(JPK_KR!AM:AM,JPK_KR!W:W,N594),SUMIFS(JPK_KR!BI:BI,JPK_KR!BH:BH,N594,JPK_KR!BJ:BJ,O594)),"")</f>
        <v/>
      </c>
      <c r="U594" s="24" t="str">
        <f>IF(R594&lt;&gt;"",SUMIFS(JPK_KR!AL:AL,JPK_KR!W:W,S594),"")</f>
        <v/>
      </c>
      <c r="V594" s="126" t="str">
        <f>IF(R594&lt;&gt;"",SUMIFS(JPK_KR!AM:AM,JPK_KR!W:W,S594),"")</f>
        <v/>
      </c>
    </row>
    <row r="595" spans="3:22" x14ac:dyDescent="0.3">
      <c r="C595" s="24" t="str">
        <f>IF(A595&lt;&gt;"",SUMIFS(JPK_KR!AL:AL,JPK_KR!W:W,B595),"")</f>
        <v/>
      </c>
      <c r="D595" s="126" t="str">
        <f>IF(A595&lt;&gt;"",SUMIFS(JPK_KR!AM:AM,JPK_KR!W:W,B595),"")</f>
        <v/>
      </c>
      <c r="G595" s="24" t="str">
        <f>IF(E595&lt;&gt;"",SUMIFS(JPK_KR!AL:AL,JPK_KR!W:W,F595),"")</f>
        <v/>
      </c>
      <c r="H595" s="126" t="str">
        <f>IF(E595&lt;&gt;"",SUMIFS(JPK_KR!AM:AM,JPK_KR!W:W,F595),"")</f>
        <v/>
      </c>
      <c r="K595" s="24" t="str">
        <f>IF(I595&lt;&gt;"",SUMIFS(JPK_KR!AL:AL,JPK_KR!W:W,J595),"")</f>
        <v/>
      </c>
      <c r="L595" s="126" t="str">
        <f>IF(I595&lt;&gt;"",SUMIFS(JPK_KR!AM:AM,JPK_KR!W:W,J595),"")</f>
        <v/>
      </c>
      <c r="P595" s="24" t="str">
        <f>IF(M595&lt;&gt;"",IF(O595="",SUMIFS(JPK_KR!AL:AL,JPK_KR!W:W,N595),SUMIFS(JPK_KR!BF:BF,JPK_KR!BE:BE,N595,JPK_KR!BG:BG,O595)),"")</f>
        <v/>
      </c>
      <c r="Q595" s="126" t="str">
        <f>IF(M595&lt;&gt;"",IF(O595="",SUMIFS(JPK_KR!AM:AM,JPK_KR!W:W,N595),SUMIFS(JPK_KR!BI:BI,JPK_KR!BH:BH,N595,JPK_KR!BJ:BJ,O595)),"")</f>
        <v/>
      </c>
      <c r="U595" s="24" t="str">
        <f>IF(R595&lt;&gt;"",SUMIFS(JPK_KR!AL:AL,JPK_KR!W:W,S595),"")</f>
        <v/>
      </c>
      <c r="V595" s="126" t="str">
        <f>IF(R595&lt;&gt;"",SUMIFS(JPK_KR!AM:AM,JPK_KR!W:W,S595),"")</f>
        <v/>
      </c>
    </row>
    <row r="596" spans="3:22" x14ac:dyDescent="0.3">
      <c r="C596" s="24" t="str">
        <f>IF(A596&lt;&gt;"",SUMIFS(JPK_KR!AL:AL,JPK_KR!W:W,B596),"")</f>
        <v/>
      </c>
      <c r="D596" s="126" t="str">
        <f>IF(A596&lt;&gt;"",SUMIFS(JPK_KR!AM:AM,JPK_KR!W:W,B596),"")</f>
        <v/>
      </c>
      <c r="G596" s="24" t="str">
        <f>IF(E596&lt;&gt;"",SUMIFS(JPK_KR!AL:AL,JPK_KR!W:W,F596),"")</f>
        <v/>
      </c>
      <c r="H596" s="126" t="str">
        <f>IF(E596&lt;&gt;"",SUMIFS(JPK_KR!AM:AM,JPK_KR!W:W,F596),"")</f>
        <v/>
      </c>
      <c r="K596" s="24" t="str">
        <f>IF(I596&lt;&gt;"",SUMIFS(JPK_KR!AL:AL,JPK_KR!W:W,J596),"")</f>
        <v/>
      </c>
      <c r="L596" s="126" t="str">
        <f>IF(I596&lt;&gt;"",SUMIFS(JPK_KR!AM:AM,JPK_KR!W:W,J596),"")</f>
        <v/>
      </c>
      <c r="P596" s="24" t="str">
        <f>IF(M596&lt;&gt;"",IF(O596="",SUMIFS(JPK_KR!AL:AL,JPK_KR!W:W,N596),SUMIFS(JPK_KR!BF:BF,JPK_KR!BE:BE,N596,JPK_KR!BG:BG,O596)),"")</f>
        <v/>
      </c>
      <c r="Q596" s="126" t="str">
        <f>IF(M596&lt;&gt;"",IF(O596="",SUMIFS(JPK_KR!AM:AM,JPK_KR!W:W,N596),SUMIFS(JPK_KR!BI:BI,JPK_KR!BH:BH,N596,JPK_KR!BJ:BJ,O596)),"")</f>
        <v/>
      </c>
      <c r="U596" s="24" t="str">
        <f>IF(R596&lt;&gt;"",SUMIFS(JPK_KR!AL:AL,JPK_KR!W:W,S596),"")</f>
        <v/>
      </c>
      <c r="V596" s="126" t="str">
        <f>IF(R596&lt;&gt;"",SUMIFS(JPK_KR!AM:AM,JPK_KR!W:W,S596),"")</f>
        <v/>
      </c>
    </row>
    <row r="597" spans="3:22" x14ac:dyDescent="0.3">
      <c r="C597" s="24" t="str">
        <f>IF(A597&lt;&gt;"",SUMIFS(JPK_KR!AL:AL,JPK_KR!W:W,B597),"")</f>
        <v/>
      </c>
      <c r="D597" s="126" t="str">
        <f>IF(A597&lt;&gt;"",SUMIFS(JPK_KR!AM:AM,JPK_KR!W:W,B597),"")</f>
        <v/>
      </c>
      <c r="G597" s="24" t="str">
        <f>IF(E597&lt;&gt;"",SUMIFS(JPK_KR!AL:AL,JPK_KR!W:W,F597),"")</f>
        <v/>
      </c>
      <c r="H597" s="126" t="str">
        <f>IF(E597&lt;&gt;"",SUMIFS(JPK_KR!AM:AM,JPK_KR!W:W,F597),"")</f>
        <v/>
      </c>
      <c r="K597" s="24" t="str">
        <f>IF(I597&lt;&gt;"",SUMIFS(JPK_KR!AL:AL,JPK_KR!W:W,J597),"")</f>
        <v/>
      </c>
      <c r="L597" s="126" t="str">
        <f>IF(I597&lt;&gt;"",SUMIFS(JPK_KR!AM:AM,JPK_KR!W:W,J597),"")</f>
        <v/>
      </c>
      <c r="P597" s="24" t="str">
        <f>IF(M597&lt;&gt;"",IF(O597="",SUMIFS(JPK_KR!AL:AL,JPK_KR!W:W,N597),SUMIFS(JPK_KR!BF:BF,JPK_KR!BE:BE,N597,JPK_KR!BG:BG,O597)),"")</f>
        <v/>
      </c>
      <c r="Q597" s="126" t="str">
        <f>IF(M597&lt;&gt;"",IF(O597="",SUMIFS(JPK_KR!AM:AM,JPK_KR!W:W,N597),SUMIFS(JPK_KR!BI:BI,JPK_KR!BH:BH,N597,JPK_KR!BJ:BJ,O597)),"")</f>
        <v/>
      </c>
      <c r="U597" s="24" t="str">
        <f>IF(R597&lt;&gt;"",SUMIFS(JPK_KR!AL:AL,JPK_KR!W:W,S597),"")</f>
        <v/>
      </c>
      <c r="V597" s="126" t="str">
        <f>IF(R597&lt;&gt;"",SUMIFS(JPK_KR!AM:AM,JPK_KR!W:W,S597),"")</f>
        <v/>
      </c>
    </row>
    <row r="598" spans="3:22" x14ac:dyDescent="0.3">
      <c r="C598" s="24" t="str">
        <f>IF(A598&lt;&gt;"",SUMIFS(JPK_KR!AL:AL,JPK_KR!W:W,B598),"")</f>
        <v/>
      </c>
      <c r="D598" s="126" t="str">
        <f>IF(A598&lt;&gt;"",SUMIFS(JPK_KR!AM:AM,JPK_KR!W:W,B598),"")</f>
        <v/>
      </c>
      <c r="G598" s="24" t="str">
        <f>IF(E598&lt;&gt;"",SUMIFS(JPK_KR!AL:AL,JPK_KR!W:W,F598),"")</f>
        <v/>
      </c>
      <c r="H598" s="126" t="str">
        <f>IF(E598&lt;&gt;"",SUMIFS(JPK_KR!AM:AM,JPK_KR!W:W,F598),"")</f>
        <v/>
      </c>
      <c r="K598" s="24" t="str">
        <f>IF(I598&lt;&gt;"",SUMIFS(JPK_KR!AL:AL,JPK_KR!W:W,J598),"")</f>
        <v/>
      </c>
      <c r="L598" s="126" t="str">
        <f>IF(I598&lt;&gt;"",SUMIFS(JPK_KR!AM:AM,JPK_KR!W:W,J598),"")</f>
        <v/>
      </c>
      <c r="P598" s="24" t="str">
        <f>IF(M598&lt;&gt;"",IF(O598="",SUMIFS(JPK_KR!AL:AL,JPK_KR!W:W,N598),SUMIFS(JPK_KR!BF:BF,JPK_KR!BE:BE,N598,JPK_KR!BG:BG,O598)),"")</f>
        <v/>
      </c>
      <c r="Q598" s="126" t="str">
        <f>IF(M598&lt;&gt;"",IF(O598="",SUMIFS(JPK_KR!AM:AM,JPK_KR!W:W,N598),SUMIFS(JPK_KR!BI:BI,JPK_KR!BH:BH,N598,JPK_KR!BJ:BJ,O598)),"")</f>
        <v/>
      </c>
      <c r="U598" s="24" t="str">
        <f>IF(R598&lt;&gt;"",SUMIFS(JPK_KR!AL:AL,JPK_KR!W:W,S598),"")</f>
        <v/>
      </c>
      <c r="V598" s="126" t="str">
        <f>IF(R598&lt;&gt;"",SUMIFS(JPK_KR!AM:AM,JPK_KR!W:W,S598),"")</f>
        <v/>
      </c>
    </row>
    <row r="599" spans="3:22" x14ac:dyDescent="0.3">
      <c r="C599" s="24" t="str">
        <f>IF(A599&lt;&gt;"",SUMIFS(JPK_KR!AL:AL,JPK_KR!W:W,B599),"")</f>
        <v/>
      </c>
      <c r="D599" s="126" t="str">
        <f>IF(A599&lt;&gt;"",SUMIFS(JPK_KR!AM:AM,JPK_KR!W:W,B599),"")</f>
        <v/>
      </c>
      <c r="G599" s="24" t="str">
        <f>IF(E599&lt;&gt;"",SUMIFS(JPK_KR!AL:AL,JPK_KR!W:W,F599),"")</f>
        <v/>
      </c>
      <c r="H599" s="126" t="str">
        <f>IF(E599&lt;&gt;"",SUMIFS(JPK_KR!AM:AM,JPK_KR!W:W,F599),"")</f>
        <v/>
      </c>
      <c r="K599" s="24" t="str">
        <f>IF(I599&lt;&gt;"",SUMIFS(JPK_KR!AL:AL,JPK_KR!W:W,J599),"")</f>
        <v/>
      </c>
      <c r="L599" s="126" t="str">
        <f>IF(I599&lt;&gt;"",SUMIFS(JPK_KR!AM:AM,JPK_KR!W:W,J599),"")</f>
        <v/>
      </c>
      <c r="P599" s="24" t="str">
        <f>IF(M599&lt;&gt;"",IF(O599="",SUMIFS(JPK_KR!AL:AL,JPK_KR!W:W,N599),SUMIFS(JPK_KR!BF:BF,JPK_KR!BE:BE,N599,JPK_KR!BG:BG,O599)),"")</f>
        <v/>
      </c>
      <c r="Q599" s="126" t="str">
        <f>IF(M599&lt;&gt;"",IF(O599="",SUMIFS(JPK_KR!AM:AM,JPK_KR!W:W,N599),SUMIFS(JPK_KR!BI:BI,JPK_KR!BH:BH,N599,JPK_KR!BJ:BJ,O599)),"")</f>
        <v/>
      </c>
      <c r="U599" s="24" t="str">
        <f>IF(R599&lt;&gt;"",SUMIFS(JPK_KR!AL:AL,JPK_KR!W:W,S599),"")</f>
        <v/>
      </c>
      <c r="V599" s="126" t="str">
        <f>IF(R599&lt;&gt;"",SUMIFS(JPK_KR!AM:AM,JPK_KR!W:W,S599),"")</f>
        <v/>
      </c>
    </row>
    <row r="600" spans="3:22" x14ac:dyDescent="0.3">
      <c r="C600" s="24" t="str">
        <f>IF(A600&lt;&gt;"",SUMIFS(JPK_KR!AL:AL,JPK_KR!W:W,B600),"")</f>
        <v/>
      </c>
      <c r="D600" s="126" t="str">
        <f>IF(A600&lt;&gt;"",SUMIFS(JPK_KR!AM:AM,JPK_KR!W:W,B600),"")</f>
        <v/>
      </c>
      <c r="G600" s="24" t="str">
        <f>IF(E600&lt;&gt;"",SUMIFS(JPK_KR!AL:AL,JPK_KR!W:W,F600),"")</f>
        <v/>
      </c>
      <c r="H600" s="126" t="str">
        <f>IF(E600&lt;&gt;"",SUMIFS(JPK_KR!AM:AM,JPK_KR!W:W,F600),"")</f>
        <v/>
      </c>
      <c r="K600" s="24" t="str">
        <f>IF(I600&lt;&gt;"",SUMIFS(JPK_KR!AL:AL,JPK_KR!W:W,J600),"")</f>
        <v/>
      </c>
      <c r="L600" s="126" t="str">
        <f>IF(I600&lt;&gt;"",SUMIFS(JPK_KR!AM:AM,JPK_KR!W:W,J600),"")</f>
        <v/>
      </c>
      <c r="P600" s="24" t="str">
        <f>IF(M600&lt;&gt;"",IF(O600="",SUMIFS(JPK_KR!AL:AL,JPK_KR!W:W,N600),SUMIFS(JPK_KR!BF:BF,JPK_KR!BE:BE,N600,JPK_KR!BG:BG,O600)),"")</f>
        <v/>
      </c>
      <c r="Q600" s="126" t="str">
        <f>IF(M600&lt;&gt;"",IF(O600="",SUMIFS(JPK_KR!AM:AM,JPK_KR!W:W,N600),SUMIFS(JPK_KR!BI:BI,JPK_KR!BH:BH,N600,JPK_KR!BJ:BJ,O600)),"")</f>
        <v/>
      </c>
      <c r="U600" s="24" t="str">
        <f>IF(R600&lt;&gt;"",SUMIFS(JPK_KR!AL:AL,JPK_KR!W:W,S600),"")</f>
        <v/>
      </c>
      <c r="V600" s="126" t="str">
        <f>IF(R600&lt;&gt;"",SUMIFS(JPK_KR!AM:AM,JPK_KR!W:W,S600),"")</f>
        <v/>
      </c>
    </row>
    <row r="601" spans="3:22" x14ac:dyDescent="0.3">
      <c r="C601" s="24" t="str">
        <f>IF(A601&lt;&gt;"",SUMIFS(JPK_KR!AL:AL,JPK_KR!W:W,B601),"")</f>
        <v/>
      </c>
      <c r="D601" s="126" t="str">
        <f>IF(A601&lt;&gt;"",SUMIFS(JPK_KR!AM:AM,JPK_KR!W:W,B601),"")</f>
        <v/>
      </c>
      <c r="G601" s="24" t="str">
        <f>IF(E601&lt;&gt;"",SUMIFS(JPK_KR!AL:AL,JPK_KR!W:W,F601),"")</f>
        <v/>
      </c>
      <c r="H601" s="126" t="str">
        <f>IF(E601&lt;&gt;"",SUMIFS(JPK_KR!AM:AM,JPK_KR!W:W,F601),"")</f>
        <v/>
      </c>
      <c r="K601" s="24" t="str">
        <f>IF(I601&lt;&gt;"",SUMIFS(JPK_KR!AL:AL,JPK_KR!W:W,J601),"")</f>
        <v/>
      </c>
      <c r="L601" s="126" t="str">
        <f>IF(I601&lt;&gt;"",SUMIFS(JPK_KR!AM:AM,JPK_KR!W:W,J601),"")</f>
        <v/>
      </c>
      <c r="P601" s="24" t="str">
        <f>IF(M601&lt;&gt;"",IF(O601="",SUMIFS(JPK_KR!AL:AL,JPK_KR!W:W,N601),SUMIFS(JPK_KR!BF:BF,JPK_KR!BE:BE,N601,JPK_KR!BG:BG,O601)),"")</f>
        <v/>
      </c>
      <c r="Q601" s="126" t="str">
        <f>IF(M601&lt;&gt;"",IF(O601="",SUMIFS(JPK_KR!AM:AM,JPK_KR!W:W,N601),SUMIFS(JPK_KR!BI:BI,JPK_KR!BH:BH,N601,JPK_KR!BJ:BJ,O601)),"")</f>
        <v/>
      </c>
      <c r="U601" s="24" t="str">
        <f>IF(R601&lt;&gt;"",SUMIFS(JPK_KR!AL:AL,JPK_KR!W:W,S601),"")</f>
        <v/>
      </c>
      <c r="V601" s="126" t="str">
        <f>IF(R601&lt;&gt;"",SUMIFS(JPK_KR!AM:AM,JPK_KR!W:W,S601),"")</f>
        <v/>
      </c>
    </row>
    <row r="602" spans="3:22" x14ac:dyDescent="0.3">
      <c r="C602" s="24" t="str">
        <f>IF(A602&lt;&gt;"",SUMIFS(JPK_KR!AL:AL,JPK_KR!W:W,B602),"")</f>
        <v/>
      </c>
      <c r="D602" s="126" t="str">
        <f>IF(A602&lt;&gt;"",SUMIFS(JPK_KR!AM:AM,JPK_KR!W:W,B602),"")</f>
        <v/>
      </c>
      <c r="G602" s="24" t="str">
        <f>IF(E602&lt;&gt;"",SUMIFS(JPK_KR!AL:AL,JPK_KR!W:W,F602),"")</f>
        <v/>
      </c>
      <c r="H602" s="126" t="str">
        <f>IF(E602&lt;&gt;"",SUMIFS(JPK_KR!AM:AM,JPK_KR!W:W,F602),"")</f>
        <v/>
      </c>
      <c r="K602" s="24" t="str">
        <f>IF(I602&lt;&gt;"",SUMIFS(JPK_KR!AL:AL,JPK_KR!W:W,J602),"")</f>
        <v/>
      </c>
      <c r="L602" s="126" t="str">
        <f>IF(I602&lt;&gt;"",SUMIFS(JPK_KR!AM:AM,JPK_KR!W:W,J602),"")</f>
        <v/>
      </c>
      <c r="P602" s="24" t="str">
        <f>IF(M602&lt;&gt;"",IF(O602="",SUMIFS(JPK_KR!AL:AL,JPK_KR!W:W,N602),SUMIFS(JPK_KR!BF:BF,JPK_KR!BE:BE,N602,JPK_KR!BG:BG,O602)),"")</f>
        <v/>
      </c>
      <c r="Q602" s="126" t="str">
        <f>IF(M602&lt;&gt;"",IF(O602="",SUMIFS(JPK_KR!AM:AM,JPK_KR!W:W,N602),SUMIFS(JPK_KR!BI:BI,JPK_KR!BH:BH,N602,JPK_KR!BJ:BJ,O602)),"")</f>
        <v/>
      </c>
      <c r="U602" s="24" t="str">
        <f>IF(R602&lt;&gt;"",SUMIFS(JPK_KR!AL:AL,JPK_KR!W:W,S602),"")</f>
        <v/>
      </c>
      <c r="V602" s="126" t="str">
        <f>IF(R602&lt;&gt;"",SUMIFS(JPK_KR!AM:AM,JPK_KR!W:W,S602),"")</f>
        <v/>
      </c>
    </row>
    <row r="603" spans="3:22" x14ac:dyDescent="0.3">
      <c r="C603" s="24" t="str">
        <f>IF(A603&lt;&gt;"",SUMIFS(JPK_KR!AL:AL,JPK_KR!W:W,B603),"")</f>
        <v/>
      </c>
      <c r="D603" s="126" t="str">
        <f>IF(A603&lt;&gt;"",SUMIFS(JPK_KR!AM:AM,JPK_KR!W:W,B603),"")</f>
        <v/>
      </c>
      <c r="G603" s="24" t="str">
        <f>IF(E603&lt;&gt;"",SUMIFS(JPK_KR!AL:AL,JPK_KR!W:W,F603),"")</f>
        <v/>
      </c>
      <c r="H603" s="126" t="str">
        <f>IF(E603&lt;&gt;"",SUMIFS(JPK_KR!AM:AM,JPK_KR!W:W,F603),"")</f>
        <v/>
      </c>
      <c r="K603" s="24" t="str">
        <f>IF(I603&lt;&gt;"",SUMIFS(JPK_KR!AL:AL,JPK_KR!W:W,J603),"")</f>
        <v/>
      </c>
      <c r="L603" s="126" t="str">
        <f>IF(I603&lt;&gt;"",SUMIFS(JPK_KR!AM:AM,JPK_KR!W:W,J603),"")</f>
        <v/>
      </c>
      <c r="P603" s="24" t="str">
        <f>IF(M603&lt;&gt;"",IF(O603="",SUMIFS(JPK_KR!AL:AL,JPK_KR!W:W,N603),SUMIFS(JPK_KR!BF:BF,JPK_KR!BE:BE,N603,JPK_KR!BG:BG,O603)),"")</f>
        <v/>
      </c>
      <c r="Q603" s="126" t="str">
        <f>IF(M603&lt;&gt;"",IF(O603="",SUMIFS(JPK_KR!AM:AM,JPK_KR!W:W,N603),SUMIFS(JPK_KR!BI:BI,JPK_KR!BH:BH,N603,JPK_KR!BJ:BJ,O603)),"")</f>
        <v/>
      </c>
      <c r="U603" s="24" t="str">
        <f>IF(R603&lt;&gt;"",SUMIFS(JPK_KR!AL:AL,JPK_KR!W:W,S603),"")</f>
        <v/>
      </c>
      <c r="V603" s="126" t="str">
        <f>IF(R603&lt;&gt;"",SUMIFS(JPK_KR!AM:AM,JPK_KR!W:W,S603),"")</f>
        <v/>
      </c>
    </row>
    <row r="604" spans="3:22" x14ac:dyDescent="0.3">
      <c r="C604" s="24" t="str">
        <f>IF(A604&lt;&gt;"",SUMIFS(JPK_KR!AL:AL,JPK_KR!W:W,B604),"")</f>
        <v/>
      </c>
      <c r="D604" s="126" t="str">
        <f>IF(A604&lt;&gt;"",SUMIFS(JPK_KR!AM:AM,JPK_KR!W:W,B604),"")</f>
        <v/>
      </c>
      <c r="G604" s="24" t="str">
        <f>IF(E604&lt;&gt;"",SUMIFS(JPK_KR!AL:AL,JPK_KR!W:W,F604),"")</f>
        <v/>
      </c>
      <c r="H604" s="126" t="str">
        <f>IF(E604&lt;&gt;"",SUMIFS(JPK_KR!AM:AM,JPK_KR!W:W,F604),"")</f>
        <v/>
      </c>
      <c r="K604" s="24" t="str">
        <f>IF(I604&lt;&gt;"",SUMIFS(JPK_KR!AL:AL,JPK_KR!W:W,J604),"")</f>
        <v/>
      </c>
      <c r="L604" s="126" t="str">
        <f>IF(I604&lt;&gt;"",SUMIFS(JPK_KR!AM:AM,JPK_KR!W:W,J604),"")</f>
        <v/>
      </c>
      <c r="P604" s="24" t="str">
        <f>IF(M604&lt;&gt;"",IF(O604="",SUMIFS(JPK_KR!AL:AL,JPK_KR!W:W,N604),SUMIFS(JPK_KR!BF:BF,JPK_KR!BE:BE,N604,JPK_KR!BG:BG,O604)),"")</f>
        <v/>
      </c>
      <c r="Q604" s="126" t="str">
        <f>IF(M604&lt;&gt;"",IF(O604="",SUMIFS(JPK_KR!AM:AM,JPK_KR!W:W,N604),SUMIFS(JPK_KR!BI:BI,JPK_KR!BH:BH,N604,JPK_KR!BJ:BJ,O604)),"")</f>
        <v/>
      </c>
      <c r="U604" s="24" t="str">
        <f>IF(R604&lt;&gt;"",SUMIFS(JPK_KR!AL:AL,JPK_KR!W:W,S604),"")</f>
        <v/>
      </c>
      <c r="V604" s="126" t="str">
        <f>IF(R604&lt;&gt;"",SUMIFS(JPK_KR!AM:AM,JPK_KR!W:W,S604),"")</f>
        <v/>
      </c>
    </row>
    <row r="605" spans="3:22" x14ac:dyDescent="0.3">
      <c r="C605" s="24" t="str">
        <f>IF(A605&lt;&gt;"",SUMIFS(JPK_KR!AL:AL,JPK_KR!W:W,B605),"")</f>
        <v/>
      </c>
      <c r="D605" s="126" t="str">
        <f>IF(A605&lt;&gt;"",SUMIFS(JPK_KR!AM:AM,JPK_KR!W:W,B605),"")</f>
        <v/>
      </c>
      <c r="G605" s="24" t="str">
        <f>IF(E605&lt;&gt;"",SUMIFS(JPK_KR!AL:AL,JPK_KR!W:W,F605),"")</f>
        <v/>
      </c>
      <c r="H605" s="126" t="str">
        <f>IF(E605&lt;&gt;"",SUMIFS(JPK_KR!AM:AM,JPK_KR!W:W,F605),"")</f>
        <v/>
      </c>
      <c r="K605" s="24" t="str">
        <f>IF(I605&lt;&gt;"",SUMIFS(JPK_KR!AL:AL,JPK_KR!W:W,J605),"")</f>
        <v/>
      </c>
      <c r="L605" s="126" t="str">
        <f>IF(I605&lt;&gt;"",SUMIFS(JPK_KR!AM:AM,JPK_KR!W:W,J605),"")</f>
        <v/>
      </c>
      <c r="P605" s="24" t="str">
        <f>IF(M605&lt;&gt;"",IF(O605="",SUMIFS(JPK_KR!AL:AL,JPK_KR!W:W,N605),SUMIFS(JPK_KR!BF:BF,JPK_KR!BE:BE,N605,JPK_KR!BG:BG,O605)),"")</f>
        <v/>
      </c>
      <c r="Q605" s="126" t="str">
        <f>IF(M605&lt;&gt;"",IF(O605="",SUMIFS(JPK_KR!AM:AM,JPK_KR!W:W,N605),SUMIFS(JPK_KR!BI:BI,JPK_KR!BH:BH,N605,JPK_KR!BJ:BJ,O605)),"")</f>
        <v/>
      </c>
      <c r="U605" s="24" t="str">
        <f>IF(R605&lt;&gt;"",SUMIFS(JPK_KR!AL:AL,JPK_KR!W:W,S605),"")</f>
        <v/>
      </c>
      <c r="V605" s="126" t="str">
        <f>IF(R605&lt;&gt;"",SUMIFS(JPK_KR!AM:AM,JPK_KR!W:W,S605),"")</f>
        <v/>
      </c>
    </row>
    <row r="606" spans="3:22" x14ac:dyDescent="0.3">
      <c r="C606" s="24" t="str">
        <f>IF(A606&lt;&gt;"",SUMIFS(JPK_KR!AL:AL,JPK_KR!W:W,B606),"")</f>
        <v/>
      </c>
      <c r="D606" s="126" t="str">
        <f>IF(A606&lt;&gt;"",SUMIFS(JPK_KR!AM:AM,JPK_KR!W:W,B606),"")</f>
        <v/>
      </c>
      <c r="G606" s="24" t="str">
        <f>IF(E606&lt;&gt;"",SUMIFS(JPK_KR!AL:AL,JPK_KR!W:W,F606),"")</f>
        <v/>
      </c>
      <c r="H606" s="126" t="str">
        <f>IF(E606&lt;&gt;"",SUMIFS(JPK_KR!AM:AM,JPK_KR!W:W,F606),"")</f>
        <v/>
      </c>
      <c r="K606" s="24" t="str">
        <f>IF(I606&lt;&gt;"",SUMIFS(JPK_KR!AL:AL,JPK_KR!W:W,J606),"")</f>
        <v/>
      </c>
      <c r="L606" s="126" t="str">
        <f>IF(I606&lt;&gt;"",SUMIFS(JPK_KR!AM:AM,JPK_KR!W:W,J606),"")</f>
        <v/>
      </c>
      <c r="P606" s="24" t="str">
        <f>IF(M606&lt;&gt;"",IF(O606="",SUMIFS(JPK_KR!AL:AL,JPK_KR!W:W,N606),SUMIFS(JPK_KR!BF:BF,JPK_KR!BE:BE,N606,JPK_KR!BG:BG,O606)),"")</f>
        <v/>
      </c>
      <c r="Q606" s="126" t="str">
        <f>IF(M606&lt;&gt;"",IF(O606="",SUMIFS(JPK_KR!AM:AM,JPK_KR!W:W,N606),SUMIFS(JPK_KR!BI:BI,JPK_KR!BH:BH,N606,JPK_KR!BJ:BJ,O606)),"")</f>
        <v/>
      </c>
      <c r="U606" s="24" t="str">
        <f>IF(R606&lt;&gt;"",SUMIFS(JPK_KR!AL:AL,JPK_KR!W:W,S606),"")</f>
        <v/>
      </c>
      <c r="V606" s="126" t="str">
        <f>IF(R606&lt;&gt;"",SUMIFS(JPK_KR!AM:AM,JPK_KR!W:W,S606),"")</f>
        <v/>
      </c>
    </row>
    <row r="607" spans="3:22" x14ac:dyDescent="0.3">
      <c r="C607" s="24" t="str">
        <f>IF(A607&lt;&gt;"",SUMIFS(JPK_KR!AL:AL,JPK_KR!W:W,B607),"")</f>
        <v/>
      </c>
      <c r="D607" s="126" t="str">
        <f>IF(A607&lt;&gt;"",SUMIFS(JPK_KR!AM:AM,JPK_KR!W:W,B607),"")</f>
        <v/>
      </c>
      <c r="G607" s="24" t="str">
        <f>IF(E607&lt;&gt;"",SUMIFS(JPK_KR!AL:AL,JPK_KR!W:W,F607),"")</f>
        <v/>
      </c>
      <c r="H607" s="126" t="str">
        <f>IF(E607&lt;&gt;"",SUMIFS(JPK_KR!AM:AM,JPK_KR!W:W,F607),"")</f>
        <v/>
      </c>
      <c r="K607" s="24" t="str">
        <f>IF(I607&lt;&gt;"",SUMIFS(JPK_KR!AL:AL,JPK_KR!W:W,J607),"")</f>
        <v/>
      </c>
      <c r="L607" s="126" t="str">
        <f>IF(I607&lt;&gt;"",SUMIFS(JPK_KR!AM:AM,JPK_KR!W:W,J607),"")</f>
        <v/>
      </c>
      <c r="P607" s="24" t="str">
        <f>IF(M607&lt;&gt;"",IF(O607="",SUMIFS(JPK_KR!AL:AL,JPK_KR!W:W,N607),SUMIFS(JPK_KR!BF:BF,JPK_KR!BE:BE,N607,JPK_KR!BG:BG,O607)),"")</f>
        <v/>
      </c>
      <c r="Q607" s="126" t="str">
        <f>IF(M607&lt;&gt;"",IF(O607="",SUMIFS(JPK_KR!AM:AM,JPK_KR!W:W,N607),SUMIFS(JPK_KR!BI:BI,JPK_KR!BH:BH,N607,JPK_KR!BJ:BJ,O607)),"")</f>
        <v/>
      </c>
      <c r="U607" s="24" t="str">
        <f>IF(R607&lt;&gt;"",SUMIFS(JPK_KR!AL:AL,JPK_KR!W:W,S607),"")</f>
        <v/>
      </c>
      <c r="V607" s="126" t="str">
        <f>IF(R607&lt;&gt;"",SUMIFS(JPK_KR!AM:AM,JPK_KR!W:W,S607),"")</f>
        <v/>
      </c>
    </row>
    <row r="608" spans="3:22" x14ac:dyDescent="0.3">
      <c r="C608" s="24" t="str">
        <f>IF(A608&lt;&gt;"",SUMIFS(JPK_KR!AL:AL,JPK_KR!W:W,B608),"")</f>
        <v/>
      </c>
      <c r="D608" s="126" t="str">
        <f>IF(A608&lt;&gt;"",SUMIFS(JPK_KR!AM:AM,JPK_KR!W:W,B608),"")</f>
        <v/>
      </c>
      <c r="G608" s="24" t="str">
        <f>IF(E608&lt;&gt;"",SUMIFS(JPK_KR!AL:AL,JPK_KR!W:W,F608),"")</f>
        <v/>
      </c>
      <c r="H608" s="126" t="str">
        <f>IF(E608&lt;&gt;"",SUMIFS(JPK_KR!AM:AM,JPK_KR!W:W,F608),"")</f>
        <v/>
      </c>
      <c r="K608" s="24" t="str">
        <f>IF(I608&lt;&gt;"",SUMIFS(JPK_KR!AL:AL,JPK_KR!W:W,J608),"")</f>
        <v/>
      </c>
      <c r="L608" s="126" t="str">
        <f>IF(I608&lt;&gt;"",SUMIFS(JPK_KR!AM:AM,JPK_KR!W:W,J608),"")</f>
        <v/>
      </c>
      <c r="P608" s="24" t="str">
        <f>IF(M608&lt;&gt;"",IF(O608="",SUMIFS(JPK_KR!AL:AL,JPK_KR!W:W,N608),SUMIFS(JPK_KR!BF:BF,JPK_KR!BE:BE,N608,JPK_KR!BG:BG,O608)),"")</f>
        <v/>
      </c>
      <c r="Q608" s="126" t="str">
        <f>IF(M608&lt;&gt;"",IF(O608="",SUMIFS(JPK_KR!AM:AM,JPK_KR!W:W,N608),SUMIFS(JPK_KR!BI:BI,JPK_KR!BH:BH,N608,JPK_KR!BJ:BJ,O608)),"")</f>
        <v/>
      </c>
      <c r="U608" s="24" t="str">
        <f>IF(R608&lt;&gt;"",SUMIFS(JPK_KR!AL:AL,JPK_KR!W:W,S608),"")</f>
        <v/>
      </c>
      <c r="V608" s="126" t="str">
        <f>IF(R608&lt;&gt;"",SUMIFS(JPK_KR!AM:AM,JPK_KR!W:W,S608),"")</f>
        <v/>
      </c>
    </row>
    <row r="609" spans="3:22" x14ac:dyDescent="0.3">
      <c r="C609" s="24" t="str">
        <f>IF(A609&lt;&gt;"",SUMIFS(JPK_KR!AL:AL,JPK_KR!W:W,B609),"")</f>
        <v/>
      </c>
      <c r="D609" s="126" t="str">
        <f>IF(A609&lt;&gt;"",SUMIFS(JPK_KR!AM:AM,JPK_KR!W:W,B609),"")</f>
        <v/>
      </c>
      <c r="G609" s="24" t="str">
        <f>IF(E609&lt;&gt;"",SUMIFS(JPK_KR!AL:AL,JPK_KR!W:W,F609),"")</f>
        <v/>
      </c>
      <c r="H609" s="126" t="str">
        <f>IF(E609&lt;&gt;"",SUMIFS(JPK_KR!AM:AM,JPK_KR!W:W,F609),"")</f>
        <v/>
      </c>
      <c r="K609" s="24" t="str">
        <f>IF(I609&lt;&gt;"",SUMIFS(JPK_KR!AL:AL,JPK_KR!W:W,J609),"")</f>
        <v/>
      </c>
      <c r="L609" s="126" t="str">
        <f>IF(I609&lt;&gt;"",SUMIFS(JPK_KR!AM:AM,JPK_KR!W:W,J609),"")</f>
        <v/>
      </c>
      <c r="P609" s="24" t="str">
        <f>IF(M609&lt;&gt;"",IF(O609="",SUMIFS(JPK_KR!AL:AL,JPK_KR!W:W,N609),SUMIFS(JPK_KR!BF:BF,JPK_KR!BE:BE,N609,JPK_KR!BG:BG,O609)),"")</f>
        <v/>
      </c>
      <c r="Q609" s="126" t="str">
        <f>IF(M609&lt;&gt;"",IF(O609="",SUMIFS(JPK_KR!AM:AM,JPK_KR!W:W,N609),SUMIFS(JPK_KR!BI:BI,JPK_KR!BH:BH,N609,JPK_KR!BJ:BJ,O609)),"")</f>
        <v/>
      </c>
      <c r="U609" s="24" t="str">
        <f>IF(R609&lt;&gt;"",SUMIFS(JPK_KR!AL:AL,JPK_KR!W:W,S609),"")</f>
        <v/>
      </c>
      <c r="V609" s="126" t="str">
        <f>IF(R609&lt;&gt;"",SUMIFS(JPK_KR!AM:AM,JPK_KR!W:W,S609),"")</f>
        <v/>
      </c>
    </row>
    <row r="610" spans="3:22" x14ac:dyDescent="0.3">
      <c r="C610" s="24" t="str">
        <f>IF(A610&lt;&gt;"",SUMIFS(JPK_KR!AL:AL,JPK_KR!W:W,B610),"")</f>
        <v/>
      </c>
      <c r="D610" s="126" t="str">
        <f>IF(A610&lt;&gt;"",SUMIFS(JPK_KR!AM:AM,JPK_KR!W:W,B610),"")</f>
        <v/>
      </c>
      <c r="G610" s="24" t="str">
        <f>IF(E610&lt;&gt;"",SUMIFS(JPK_KR!AL:AL,JPK_KR!W:W,F610),"")</f>
        <v/>
      </c>
      <c r="H610" s="126" t="str">
        <f>IF(E610&lt;&gt;"",SUMIFS(JPK_KR!AM:AM,JPK_KR!W:W,F610),"")</f>
        <v/>
      </c>
      <c r="K610" s="24" t="str">
        <f>IF(I610&lt;&gt;"",SUMIFS(JPK_KR!AL:AL,JPK_KR!W:W,J610),"")</f>
        <v/>
      </c>
      <c r="L610" s="126" t="str">
        <f>IF(I610&lt;&gt;"",SUMIFS(JPK_KR!AM:AM,JPK_KR!W:W,J610),"")</f>
        <v/>
      </c>
      <c r="P610" s="24" t="str">
        <f>IF(M610&lt;&gt;"",IF(O610="",SUMIFS(JPK_KR!AL:AL,JPK_KR!W:W,N610),SUMIFS(JPK_KR!BF:BF,JPK_KR!BE:BE,N610,JPK_KR!BG:BG,O610)),"")</f>
        <v/>
      </c>
      <c r="Q610" s="126" t="str">
        <f>IF(M610&lt;&gt;"",IF(O610="",SUMIFS(JPK_KR!AM:AM,JPK_KR!W:W,N610),SUMIFS(JPK_KR!BI:BI,JPK_KR!BH:BH,N610,JPK_KR!BJ:BJ,O610)),"")</f>
        <v/>
      </c>
      <c r="U610" s="24" t="str">
        <f>IF(R610&lt;&gt;"",SUMIFS(JPK_KR!AL:AL,JPK_KR!W:W,S610),"")</f>
        <v/>
      </c>
      <c r="V610" s="126" t="str">
        <f>IF(R610&lt;&gt;"",SUMIFS(JPK_KR!AM:AM,JPK_KR!W:W,S610),"")</f>
        <v/>
      </c>
    </row>
    <row r="611" spans="3:22" x14ac:dyDescent="0.3">
      <c r="C611" s="24" t="str">
        <f>IF(A611&lt;&gt;"",SUMIFS(JPK_KR!AL:AL,JPK_KR!W:W,B611),"")</f>
        <v/>
      </c>
      <c r="D611" s="126" t="str">
        <f>IF(A611&lt;&gt;"",SUMIFS(JPK_KR!AM:AM,JPK_KR!W:W,B611),"")</f>
        <v/>
      </c>
      <c r="G611" s="24" t="str">
        <f>IF(E611&lt;&gt;"",SUMIFS(JPK_KR!AL:AL,JPK_KR!W:W,F611),"")</f>
        <v/>
      </c>
      <c r="H611" s="126" t="str">
        <f>IF(E611&lt;&gt;"",SUMIFS(JPK_KR!AM:AM,JPK_KR!W:W,F611),"")</f>
        <v/>
      </c>
      <c r="K611" s="24" t="str">
        <f>IF(I611&lt;&gt;"",SUMIFS(JPK_KR!AL:AL,JPK_KR!W:W,J611),"")</f>
        <v/>
      </c>
      <c r="L611" s="126" t="str">
        <f>IF(I611&lt;&gt;"",SUMIFS(JPK_KR!AM:AM,JPK_KR!W:W,J611),"")</f>
        <v/>
      </c>
      <c r="P611" s="24" t="str">
        <f>IF(M611&lt;&gt;"",IF(O611="",SUMIFS(JPK_KR!AL:AL,JPK_KR!W:W,N611),SUMIFS(JPK_KR!BF:BF,JPK_KR!BE:BE,N611,JPK_KR!BG:BG,O611)),"")</f>
        <v/>
      </c>
      <c r="Q611" s="126" t="str">
        <f>IF(M611&lt;&gt;"",IF(O611="",SUMIFS(JPK_KR!AM:AM,JPK_KR!W:W,N611),SUMIFS(JPK_KR!BI:BI,JPK_KR!BH:BH,N611,JPK_KR!BJ:BJ,O611)),"")</f>
        <v/>
      </c>
      <c r="U611" s="24" t="str">
        <f>IF(R611&lt;&gt;"",SUMIFS(JPK_KR!AL:AL,JPK_KR!W:W,S611),"")</f>
        <v/>
      </c>
      <c r="V611" s="126" t="str">
        <f>IF(R611&lt;&gt;"",SUMIFS(JPK_KR!AM:AM,JPK_KR!W:W,S611),"")</f>
        <v/>
      </c>
    </row>
    <row r="612" spans="3:22" x14ac:dyDescent="0.3">
      <c r="C612" s="24" t="str">
        <f>IF(A612&lt;&gt;"",SUMIFS(JPK_KR!AL:AL,JPK_KR!W:W,B612),"")</f>
        <v/>
      </c>
      <c r="D612" s="126" t="str">
        <f>IF(A612&lt;&gt;"",SUMIFS(JPK_KR!AM:AM,JPK_KR!W:W,B612),"")</f>
        <v/>
      </c>
      <c r="G612" s="24" t="str">
        <f>IF(E612&lt;&gt;"",SUMIFS(JPK_KR!AL:AL,JPK_KR!W:W,F612),"")</f>
        <v/>
      </c>
      <c r="H612" s="126" t="str">
        <f>IF(E612&lt;&gt;"",SUMIFS(JPK_KR!AM:AM,JPK_KR!W:W,F612),"")</f>
        <v/>
      </c>
      <c r="K612" s="24" t="str">
        <f>IF(I612&lt;&gt;"",SUMIFS(JPK_KR!AL:AL,JPK_KR!W:W,J612),"")</f>
        <v/>
      </c>
      <c r="L612" s="126" t="str">
        <f>IF(I612&lt;&gt;"",SUMIFS(JPK_KR!AM:AM,JPK_KR!W:W,J612),"")</f>
        <v/>
      </c>
      <c r="P612" s="24" t="str">
        <f>IF(M612&lt;&gt;"",IF(O612="",SUMIFS(JPK_KR!AL:AL,JPK_KR!W:W,N612),SUMIFS(JPK_KR!BF:BF,JPK_KR!BE:BE,N612,JPK_KR!BG:BG,O612)),"")</f>
        <v/>
      </c>
      <c r="Q612" s="126" t="str">
        <f>IF(M612&lt;&gt;"",IF(O612="",SUMIFS(JPK_KR!AM:AM,JPK_KR!W:W,N612),SUMIFS(JPK_KR!BI:BI,JPK_KR!BH:BH,N612,JPK_KR!BJ:BJ,O612)),"")</f>
        <v/>
      </c>
      <c r="U612" s="24" t="str">
        <f>IF(R612&lt;&gt;"",SUMIFS(JPK_KR!AL:AL,JPK_KR!W:W,S612),"")</f>
        <v/>
      </c>
      <c r="V612" s="126" t="str">
        <f>IF(R612&lt;&gt;"",SUMIFS(JPK_KR!AM:AM,JPK_KR!W:W,S612),"")</f>
        <v/>
      </c>
    </row>
    <row r="613" spans="3:22" x14ac:dyDescent="0.3">
      <c r="C613" s="24" t="str">
        <f>IF(A613&lt;&gt;"",SUMIFS(JPK_KR!AL:AL,JPK_KR!W:W,B613),"")</f>
        <v/>
      </c>
      <c r="D613" s="126" t="str">
        <f>IF(A613&lt;&gt;"",SUMIFS(JPK_KR!AM:AM,JPK_KR!W:W,B613),"")</f>
        <v/>
      </c>
      <c r="G613" s="24" t="str">
        <f>IF(E613&lt;&gt;"",SUMIFS(JPK_KR!AL:AL,JPK_KR!W:W,F613),"")</f>
        <v/>
      </c>
      <c r="H613" s="126" t="str">
        <f>IF(E613&lt;&gt;"",SUMIFS(JPK_KR!AM:AM,JPK_KR!W:W,F613),"")</f>
        <v/>
      </c>
      <c r="K613" s="24" t="str">
        <f>IF(I613&lt;&gt;"",SUMIFS(JPK_KR!AL:AL,JPK_KR!W:W,J613),"")</f>
        <v/>
      </c>
      <c r="L613" s="126" t="str">
        <f>IF(I613&lt;&gt;"",SUMIFS(JPK_KR!AM:AM,JPK_KR!W:W,J613),"")</f>
        <v/>
      </c>
      <c r="P613" s="24" t="str">
        <f>IF(M613&lt;&gt;"",IF(O613="",SUMIFS(JPK_KR!AL:AL,JPK_KR!W:W,N613),SUMIFS(JPK_KR!BF:BF,JPK_KR!BE:BE,N613,JPK_KR!BG:BG,O613)),"")</f>
        <v/>
      </c>
      <c r="Q613" s="126" t="str">
        <f>IF(M613&lt;&gt;"",IF(O613="",SUMIFS(JPK_KR!AM:AM,JPK_KR!W:W,N613),SUMIFS(JPK_KR!BI:BI,JPK_KR!BH:BH,N613,JPK_KR!BJ:BJ,O613)),"")</f>
        <v/>
      </c>
      <c r="U613" s="24" t="str">
        <f>IF(R613&lt;&gt;"",SUMIFS(JPK_KR!AL:AL,JPK_KR!W:W,S613),"")</f>
        <v/>
      </c>
      <c r="V613" s="126" t="str">
        <f>IF(R613&lt;&gt;"",SUMIFS(JPK_KR!AM:AM,JPK_KR!W:W,S613),"")</f>
        <v/>
      </c>
    </row>
    <row r="614" spans="3:22" x14ac:dyDescent="0.3">
      <c r="C614" s="24" t="str">
        <f>IF(A614&lt;&gt;"",SUMIFS(JPK_KR!AL:AL,JPK_KR!W:W,B614),"")</f>
        <v/>
      </c>
      <c r="D614" s="126" t="str">
        <f>IF(A614&lt;&gt;"",SUMIFS(JPK_KR!AM:AM,JPK_KR!W:W,B614),"")</f>
        <v/>
      </c>
      <c r="G614" s="24" t="str">
        <f>IF(E614&lt;&gt;"",SUMIFS(JPK_KR!AL:AL,JPK_KR!W:W,F614),"")</f>
        <v/>
      </c>
      <c r="H614" s="126" t="str">
        <f>IF(E614&lt;&gt;"",SUMIFS(JPK_KR!AM:AM,JPK_KR!W:W,F614),"")</f>
        <v/>
      </c>
      <c r="K614" s="24" t="str">
        <f>IF(I614&lt;&gt;"",SUMIFS(JPK_KR!AL:AL,JPK_KR!W:W,J614),"")</f>
        <v/>
      </c>
      <c r="L614" s="126" t="str">
        <f>IF(I614&lt;&gt;"",SUMIFS(JPK_KR!AM:AM,JPK_KR!W:W,J614),"")</f>
        <v/>
      </c>
      <c r="P614" s="24" t="str">
        <f>IF(M614&lt;&gt;"",IF(O614="",SUMIFS(JPK_KR!AL:AL,JPK_KR!W:W,N614),SUMIFS(JPK_KR!BF:BF,JPK_KR!BE:BE,N614,JPK_KR!BG:BG,O614)),"")</f>
        <v/>
      </c>
      <c r="Q614" s="126" t="str">
        <f>IF(M614&lt;&gt;"",IF(O614="",SUMIFS(JPK_KR!AM:AM,JPK_KR!W:W,N614),SUMIFS(JPK_KR!BI:BI,JPK_KR!BH:BH,N614,JPK_KR!BJ:BJ,O614)),"")</f>
        <v/>
      </c>
      <c r="U614" s="24" t="str">
        <f>IF(R614&lt;&gt;"",SUMIFS(JPK_KR!AL:AL,JPK_KR!W:W,S614),"")</f>
        <v/>
      </c>
      <c r="V614" s="126" t="str">
        <f>IF(R614&lt;&gt;"",SUMIFS(JPK_KR!AM:AM,JPK_KR!W:W,S614),"")</f>
        <v/>
      </c>
    </row>
    <row r="615" spans="3:22" x14ac:dyDescent="0.3">
      <c r="C615" s="24" t="str">
        <f>IF(A615&lt;&gt;"",SUMIFS(JPK_KR!AL:AL,JPK_KR!W:W,B615),"")</f>
        <v/>
      </c>
      <c r="D615" s="126" t="str">
        <f>IF(A615&lt;&gt;"",SUMIFS(JPK_KR!AM:AM,JPK_KR!W:W,B615),"")</f>
        <v/>
      </c>
      <c r="G615" s="24" t="str">
        <f>IF(E615&lt;&gt;"",SUMIFS(JPK_KR!AL:AL,JPK_KR!W:W,F615),"")</f>
        <v/>
      </c>
      <c r="H615" s="126" t="str">
        <f>IF(E615&lt;&gt;"",SUMIFS(JPK_KR!AM:AM,JPK_KR!W:W,F615),"")</f>
        <v/>
      </c>
      <c r="K615" s="24" t="str">
        <f>IF(I615&lt;&gt;"",SUMIFS(JPK_KR!AL:AL,JPK_KR!W:W,J615),"")</f>
        <v/>
      </c>
      <c r="L615" s="126" t="str">
        <f>IF(I615&lt;&gt;"",SUMIFS(JPK_KR!AM:AM,JPK_KR!W:W,J615),"")</f>
        <v/>
      </c>
      <c r="P615" s="24" t="str">
        <f>IF(M615&lt;&gt;"",IF(O615="",SUMIFS(JPK_KR!AL:AL,JPK_KR!W:W,N615),SUMIFS(JPK_KR!BF:BF,JPK_KR!BE:BE,N615,JPK_KR!BG:BG,O615)),"")</f>
        <v/>
      </c>
      <c r="Q615" s="126" t="str">
        <f>IF(M615&lt;&gt;"",IF(O615="",SUMIFS(JPK_KR!AM:AM,JPK_KR!W:W,N615),SUMIFS(JPK_KR!BI:BI,JPK_KR!BH:BH,N615,JPK_KR!BJ:BJ,O615)),"")</f>
        <v/>
      </c>
      <c r="U615" s="24" t="str">
        <f>IF(R615&lt;&gt;"",SUMIFS(JPK_KR!AL:AL,JPK_KR!W:W,S615),"")</f>
        <v/>
      </c>
      <c r="V615" s="126" t="str">
        <f>IF(R615&lt;&gt;"",SUMIFS(JPK_KR!AM:AM,JPK_KR!W:W,S615),"")</f>
        <v/>
      </c>
    </row>
    <row r="616" spans="3:22" x14ac:dyDescent="0.3">
      <c r="C616" s="24" t="str">
        <f>IF(A616&lt;&gt;"",SUMIFS(JPK_KR!AL:AL,JPK_KR!W:W,B616),"")</f>
        <v/>
      </c>
      <c r="D616" s="126" t="str">
        <f>IF(A616&lt;&gt;"",SUMIFS(JPK_KR!AM:AM,JPK_KR!W:W,B616),"")</f>
        <v/>
      </c>
      <c r="G616" s="24" t="str">
        <f>IF(E616&lt;&gt;"",SUMIFS(JPK_KR!AL:AL,JPK_KR!W:W,F616),"")</f>
        <v/>
      </c>
      <c r="H616" s="126" t="str">
        <f>IF(E616&lt;&gt;"",SUMIFS(JPK_KR!AM:AM,JPK_KR!W:W,F616),"")</f>
        <v/>
      </c>
      <c r="K616" s="24" t="str">
        <f>IF(I616&lt;&gt;"",SUMIFS(JPK_KR!AL:AL,JPK_KR!W:W,J616),"")</f>
        <v/>
      </c>
      <c r="L616" s="126" t="str">
        <f>IF(I616&lt;&gt;"",SUMIFS(JPK_KR!AM:AM,JPK_KR!W:W,J616),"")</f>
        <v/>
      </c>
      <c r="P616" s="24" t="str">
        <f>IF(M616&lt;&gt;"",IF(O616="",SUMIFS(JPK_KR!AL:AL,JPK_KR!W:W,N616),SUMIFS(JPK_KR!BF:BF,JPK_KR!BE:BE,N616,JPK_KR!BG:BG,O616)),"")</f>
        <v/>
      </c>
      <c r="Q616" s="126" t="str">
        <f>IF(M616&lt;&gt;"",IF(O616="",SUMIFS(JPK_KR!AM:AM,JPK_KR!W:W,N616),SUMIFS(JPK_KR!BI:BI,JPK_KR!BH:BH,N616,JPK_KR!BJ:BJ,O616)),"")</f>
        <v/>
      </c>
      <c r="U616" s="24" t="str">
        <f>IF(R616&lt;&gt;"",SUMIFS(JPK_KR!AL:AL,JPK_KR!W:W,S616),"")</f>
        <v/>
      </c>
      <c r="V616" s="126" t="str">
        <f>IF(R616&lt;&gt;"",SUMIFS(JPK_KR!AM:AM,JPK_KR!W:W,S616),"")</f>
        <v/>
      </c>
    </row>
    <row r="617" spans="3:22" x14ac:dyDescent="0.3">
      <c r="C617" s="24" t="str">
        <f>IF(A617&lt;&gt;"",SUMIFS(JPK_KR!AL:AL,JPK_KR!W:W,B617),"")</f>
        <v/>
      </c>
      <c r="D617" s="126" t="str">
        <f>IF(A617&lt;&gt;"",SUMIFS(JPK_KR!AM:AM,JPK_KR!W:W,B617),"")</f>
        <v/>
      </c>
      <c r="G617" s="24" t="str">
        <f>IF(E617&lt;&gt;"",SUMIFS(JPK_KR!AL:AL,JPK_KR!W:W,F617),"")</f>
        <v/>
      </c>
      <c r="H617" s="126" t="str">
        <f>IF(E617&lt;&gt;"",SUMIFS(JPK_KR!AM:AM,JPK_KR!W:W,F617),"")</f>
        <v/>
      </c>
      <c r="K617" s="24" t="str">
        <f>IF(I617&lt;&gt;"",SUMIFS(JPK_KR!AL:AL,JPK_KR!W:W,J617),"")</f>
        <v/>
      </c>
      <c r="L617" s="126" t="str">
        <f>IF(I617&lt;&gt;"",SUMIFS(JPK_KR!AM:AM,JPK_KR!W:W,J617),"")</f>
        <v/>
      </c>
      <c r="P617" s="24" t="str">
        <f>IF(M617&lt;&gt;"",IF(O617="",SUMIFS(JPK_KR!AL:AL,JPK_KR!W:W,N617),SUMIFS(JPK_KR!BF:BF,JPK_KR!BE:BE,N617,JPK_KR!BG:BG,O617)),"")</f>
        <v/>
      </c>
      <c r="Q617" s="126" t="str">
        <f>IF(M617&lt;&gt;"",IF(O617="",SUMIFS(JPK_KR!AM:AM,JPK_KR!W:W,N617),SUMIFS(JPK_KR!BI:BI,JPK_KR!BH:BH,N617,JPK_KR!BJ:BJ,O617)),"")</f>
        <v/>
      </c>
      <c r="U617" s="24" t="str">
        <f>IF(R617&lt;&gt;"",SUMIFS(JPK_KR!AL:AL,JPK_KR!W:W,S617),"")</f>
        <v/>
      </c>
      <c r="V617" s="126" t="str">
        <f>IF(R617&lt;&gt;"",SUMIFS(JPK_KR!AM:AM,JPK_KR!W:W,S617),"")</f>
        <v/>
      </c>
    </row>
    <row r="618" spans="3:22" x14ac:dyDescent="0.3">
      <c r="C618" s="24" t="str">
        <f>IF(A618&lt;&gt;"",SUMIFS(JPK_KR!AL:AL,JPK_KR!W:W,B618),"")</f>
        <v/>
      </c>
      <c r="D618" s="126" t="str">
        <f>IF(A618&lt;&gt;"",SUMIFS(JPK_KR!AM:AM,JPK_KR!W:W,B618),"")</f>
        <v/>
      </c>
      <c r="G618" s="24" t="str">
        <f>IF(E618&lt;&gt;"",SUMIFS(JPK_KR!AL:AL,JPK_KR!W:W,F618),"")</f>
        <v/>
      </c>
      <c r="H618" s="126" t="str">
        <f>IF(E618&lt;&gt;"",SUMIFS(JPK_KR!AM:AM,JPK_KR!W:W,F618),"")</f>
        <v/>
      </c>
      <c r="K618" s="24" t="str">
        <f>IF(I618&lt;&gt;"",SUMIFS(JPK_KR!AL:AL,JPK_KR!W:W,J618),"")</f>
        <v/>
      </c>
      <c r="L618" s="126" t="str">
        <f>IF(I618&lt;&gt;"",SUMIFS(JPK_KR!AM:AM,JPK_KR!W:W,J618),"")</f>
        <v/>
      </c>
      <c r="P618" s="24" t="str">
        <f>IF(M618&lt;&gt;"",IF(O618="",SUMIFS(JPK_KR!AL:AL,JPK_KR!W:W,N618),SUMIFS(JPK_KR!BF:BF,JPK_KR!BE:BE,N618,JPK_KR!BG:BG,O618)),"")</f>
        <v/>
      </c>
      <c r="Q618" s="126" t="str">
        <f>IF(M618&lt;&gt;"",IF(O618="",SUMIFS(JPK_KR!AM:AM,JPK_KR!W:W,N618),SUMIFS(JPK_KR!BI:BI,JPK_KR!BH:BH,N618,JPK_KR!BJ:BJ,O618)),"")</f>
        <v/>
      </c>
      <c r="U618" s="24" t="str">
        <f>IF(R618&lt;&gt;"",SUMIFS(JPK_KR!AL:AL,JPK_KR!W:W,S618),"")</f>
        <v/>
      </c>
      <c r="V618" s="126" t="str">
        <f>IF(R618&lt;&gt;"",SUMIFS(JPK_KR!AM:AM,JPK_KR!W:W,S618),"")</f>
        <v/>
      </c>
    </row>
    <row r="619" spans="3:22" x14ac:dyDescent="0.3">
      <c r="C619" s="24" t="str">
        <f>IF(A619&lt;&gt;"",SUMIFS(JPK_KR!AL:AL,JPK_KR!W:W,B619),"")</f>
        <v/>
      </c>
      <c r="D619" s="126" t="str">
        <f>IF(A619&lt;&gt;"",SUMIFS(JPK_KR!AM:AM,JPK_KR!W:W,B619),"")</f>
        <v/>
      </c>
      <c r="G619" s="24" t="str">
        <f>IF(E619&lt;&gt;"",SUMIFS(JPK_KR!AL:AL,JPK_KR!W:W,F619),"")</f>
        <v/>
      </c>
      <c r="H619" s="126" t="str">
        <f>IF(E619&lt;&gt;"",SUMIFS(JPK_KR!AM:AM,JPK_KR!W:W,F619),"")</f>
        <v/>
      </c>
      <c r="K619" s="24" t="str">
        <f>IF(I619&lt;&gt;"",SUMIFS(JPK_KR!AL:AL,JPK_KR!W:W,J619),"")</f>
        <v/>
      </c>
      <c r="L619" s="126" t="str">
        <f>IF(I619&lt;&gt;"",SUMIFS(JPK_KR!AM:AM,JPK_KR!W:W,J619),"")</f>
        <v/>
      </c>
      <c r="P619" s="24" t="str">
        <f>IF(M619&lt;&gt;"",IF(O619="",SUMIFS(JPK_KR!AL:AL,JPK_KR!W:W,N619),SUMIFS(JPK_KR!BF:BF,JPK_KR!BE:BE,N619,JPK_KR!BG:BG,O619)),"")</f>
        <v/>
      </c>
      <c r="Q619" s="126" t="str">
        <f>IF(M619&lt;&gt;"",IF(O619="",SUMIFS(JPK_KR!AM:AM,JPK_KR!W:W,N619),SUMIFS(JPK_KR!BI:BI,JPK_KR!BH:BH,N619,JPK_KR!BJ:BJ,O619)),"")</f>
        <v/>
      </c>
      <c r="U619" s="24" t="str">
        <f>IF(R619&lt;&gt;"",SUMIFS(JPK_KR!AL:AL,JPK_KR!W:W,S619),"")</f>
        <v/>
      </c>
      <c r="V619" s="126" t="str">
        <f>IF(R619&lt;&gt;"",SUMIFS(JPK_KR!AM:AM,JPK_KR!W:W,S619),"")</f>
        <v/>
      </c>
    </row>
    <row r="620" spans="3:22" x14ac:dyDescent="0.3">
      <c r="C620" s="24" t="str">
        <f>IF(A620&lt;&gt;"",SUMIFS(JPK_KR!AL:AL,JPK_KR!W:W,B620),"")</f>
        <v/>
      </c>
      <c r="D620" s="126" t="str">
        <f>IF(A620&lt;&gt;"",SUMIFS(JPK_KR!AM:AM,JPK_KR!W:W,B620),"")</f>
        <v/>
      </c>
      <c r="G620" s="24" t="str">
        <f>IF(E620&lt;&gt;"",SUMIFS(JPK_KR!AL:AL,JPK_KR!W:W,F620),"")</f>
        <v/>
      </c>
      <c r="H620" s="126" t="str">
        <f>IF(E620&lt;&gt;"",SUMIFS(JPK_KR!AM:AM,JPK_KR!W:W,F620),"")</f>
        <v/>
      </c>
      <c r="K620" s="24" t="str">
        <f>IF(I620&lt;&gt;"",SUMIFS(JPK_KR!AL:AL,JPK_KR!W:W,J620),"")</f>
        <v/>
      </c>
      <c r="L620" s="126" t="str">
        <f>IF(I620&lt;&gt;"",SUMIFS(JPK_KR!AM:AM,JPK_KR!W:W,J620),"")</f>
        <v/>
      </c>
      <c r="P620" s="24" t="str">
        <f>IF(M620&lt;&gt;"",IF(O620="",SUMIFS(JPK_KR!AL:AL,JPK_KR!W:W,N620),SUMIFS(JPK_KR!BF:BF,JPK_KR!BE:BE,N620,JPK_KR!BG:BG,O620)),"")</f>
        <v/>
      </c>
      <c r="Q620" s="126" t="str">
        <f>IF(M620&lt;&gt;"",IF(O620="",SUMIFS(JPK_KR!AM:AM,JPK_KR!W:W,N620),SUMIFS(JPK_KR!BI:BI,JPK_KR!BH:BH,N620,JPK_KR!BJ:BJ,O620)),"")</f>
        <v/>
      </c>
      <c r="U620" s="24" t="str">
        <f>IF(R620&lt;&gt;"",SUMIFS(JPK_KR!AL:AL,JPK_KR!W:W,S620),"")</f>
        <v/>
      </c>
      <c r="V620" s="126" t="str">
        <f>IF(R620&lt;&gt;"",SUMIFS(JPK_KR!AM:AM,JPK_KR!W:W,S620),"")</f>
        <v/>
      </c>
    </row>
    <row r="621" spans="3:22" x14ac:dyDescent="0.3">
      <c r="C621" s="24" t="str">
        <f>IF(A621&lt;&gt;"",SUMIFS(JPK_KR!AL:AL,JPK_KR!W:W,B621),"")</f>
        <v/>
      </c>
      <c r="D621" s="126" t="str">
        <f>IF(A621&lt;&gt;"",SUMIFS(JPK_KR!AM:AM,JPK_KR!W:W,B621),"")</f>
        <v/>
      </c>
      <c r="G621" s="24" t="str">
        <f>IF(E621&lt;&gt;"",SUMIFS(JPK_KR!AL:AL,JPK_KR!W:W,F621),"")</f>
        <v/>
      </c>
      <c r="H621" s="126" t="str">
        <f>IF(E621&lt;&gt;"",SUMIFS(JPK_KR!AM:AM,JPK_KR!W:W,F621),"")</f>
        <v/>
      </c>
      <c r="K621" s="24" t="str">
        <f>IF(I621&lt;&gt;"",SUMIFS(JPK_KR!AL:AL,JPK_KR!W:W,J621),"")</f>
        <v/>
      </c>
      <c r="L621" s="126" t="str">
        <f>IF(I621&lt;&gt;"",SUMIFS(JPK_KR!AM:AM,JPK_KR!W:W,J621),"")</f>
        <v/>
      </c>
      <c r="P621" s="24" t="str">
        <f>IF(M621&lt;&gt;"",IF(O621="",SUMIFS(JPK_KR!AL:AL,JPK_KR!W:W,N621),SUMIFS(JPK_KR!BF:BF,JPK_KR!BE:BE,N621,JPK_KR!BG:BG,O621)),"")</f>
        <v/>
      </c>
      <c r="Q621" s="126" t="str">
        <f>IF(M621&lt;&gt;"",IF(O621="",SUMIFS(JPK_KR!AM:AM,JPK_KR!W:W,N621),SUMIFS(JPK_KR!BI:BI,JPK_KR!BH:BH,N621,JPK_KR!BJ:BJ,O621)),"")</f>
        <v/>
      </c>
      <c r="U621" s="24" t="str">
        <f>IF(R621&lt;&gt;"",SUMIFS(JPK_KR!AL:AL,JPK_KR!W:W,S621),"")</f>
        <v/>
      </c>
      <c r="V621" s="126" t="str">
        <f>IF(R621&lt;&gt;"",SUMIFS(JPK_KR!AM:AM,JPK_KR!W:W,S621),"")</f>
        <v/>
      </c>
    </row>
    <row r="622" spans="3:22" x14ac:dyDescent="0.3">
      <c r="C622" s="24" t="str">
        <f>IF(A622&lt;&gt;"",SUMIFS(JPK_KR!AL:AL,JPK_KR!W:W,B622),"")</f>
        <v/>
      </c>
      <c r="D622" s="126" t="str">
        <f>IF(A622&lt;&gt;"",SUMIFS(JPK_KR!AM:AM,JPK_KR!W:W,B622),"")</f>
        <v/>
      </c>
      <c r="G622" s="24" t="str">
        <f>IF(E622&lt;&gt;"",SUMIFS(JPK_KR!AL:AL,JPK_KR!W:W,F622),"")</f>
        <v/>
      </c>
      <c r="H622" s="126" t="str">
        <f>IF(E622&lt;&gt;"",SUMIFS(JPK_KR!AM:AM,JPK_KR!W:W,F622),"")</f>
        <v/>
      </c>
      <c r="K622" s="24" t="str">
        <f>IF(I622&lt;&gt;"",SUMIFS(JPK_KR!AL:AL,JPK_KR!W:W,J622),"")</f>
        <v/>
      </c>
      <c r="L622" s="126" t="str">
        <f>IF(I622&lt;&gt;"",SUMIFS(JPK_KR!AM:AM,JPK_KR!W:W,J622),"")</f>
        <v/>
      </c>
      <c r="P622" s="24" t="str">
        <f>IF(M622&lt;&gt;"",IF(O622="",SUMIFS(JPK_KR!AL:AL,JPK_KR!W:W,N622),SUMIFS(JPK_KR!BF:BF,JPK_KR!BE:BE,N622,JPK_KR!BG:BG,O622)),"")</f>
        <v/>
      </c>
      <c r="Q622" s="126" t="str">
        <f>IF(M622&lt;&gt;"",IF(O622="",SUMIFS(JPK_KR!AM:AM,JPK_KR!W:W,N622),SUMIFS(JPK_KR!BI:BI,JPK_KR!BH:BH,N622,JPK_KR!BJ:BJ,O622)),"")</f>
        <v/>
      </c>
      <c r="U622" s="24" t="str">
        <f>IF(R622&lt;&gt;"",SUMIFS(JPK_KR!AL:AL,JPK_KR!W:W,S622),"")</f>
        <v/>
      </c>
      <c r="V622" s="126" t="str">
        <f>IF(R622&lt;&gt;"",SUMIFS(JPK_KR!AM:AM,JPK_KR!W:W,S622),"")</f>
        <v/>
      </c>
    </row>
    <row r="623" spans="3:22" x14ac:dyDescent="0.3">
      <c r="C623" s="24" t="str">
        <f>IF(A623&lt;&gt;"",SUMIFS(JPK_KR!AL:AL,JPK_KR!W:W,B623),"")</f>
        <v/>
      </c>
      <c r="D623" s="126" t="str">
        <f>IF(A623&lt;&gt;"",SUMIFS(JPK_KR!AM:AM,JPK_KR!W:W,B623),"")</f>
        <v/>
      </c>
      <c r="G623" s="24" t="str">
        <f>IF(E623&lt;&gt;"",SUMIFS(JPK_KR!AL:AL,JPK_KR!W:W,F623),"")</f>
        <v/>
      </c>
      <c r="H623" s="126" t="str">
        <f>IF(E623&lt;&gt;"",SUMIFS(JPK_KR!AM:AM,JPK_KR!W:W,F623),"")</f>
        <v/>
      </c>
      <c r="K623" s="24" t="str">
        <f>IF(I623&lt;&gt;"",SUMIFS(JPK_KR!AL:AL,JPK_KR!W:W,J623),"")</f>
        <v/>
      </c>
      <c r="L623" s="126" t="str">
        <f>IF(I623&lt;&gt;"",SUMIFS(JPK_KR!AM:AM,JPK_KR!W:W,J623),"")</f>
        <v/>
      </c>
      <c r="P623" s="24" t="str">
        <f>IF(M623&lt;&gt;"",IF(O623="",SUMIFS(JPK_KR!AL:AL,JPK_KR!W:W,N623),SUMIFS(JPK_KR!BF:BF,JPK_KR!BE:BE,N623,JPK_KR!BG:BG,O623)),"")</f>
        <v/>
      </c>
      <c r="Q623" s="126" t="str">
        <f>IF(M623&lt;&gt;"",IF(O623="",SUMIFS(JPK_KR!AM:AM,JPK_KR!W:W,N623),SUMIFS(JPK_KR!BI:BI,JPK_KR!BH:BH,N623,JPK_KR!BJ:BJ,O623)),"")</f>
        <v/>
      </c>
      <c r="U623" s="24" t="str">
        <f>IF(R623&lt;&gt;"",SUMIFS(JPK_KR!AL:AL,JPK_KR!W:W,S623),"")</f>
        <v/>
      </c>
      <c r="V623" s="126" t="str">
        <f>IF(R623&lt;&gt;"",SUMIFS(JPK_KR!AM:AM,JPK_KR!W:W,S623),"")</f>
        <v/>
      </c>
    </row>
    <row r="624" spans="3:22" x14ac:dyDescent="0.3">
      <c r="C624" s="24" t="str">
        <f>IF(A624&lt;&gt;"",SUMIFS(JPK_KR!AL:AL,JPK_KR!W:W,B624),"")</f>
        <v/>
      </c>
      <c r="D624" s="126" t="str">
        <f>IF(A624&lt;&gt;"",SUMIFS(JPK_KR!AM:AM,JPK_KR!W:W,B624),"")</f>
        <v/>
      </c>
      <c r="G624" s="24" t="str">
        <f>IF(E624&lt;&gt;"",SUMIFS(JPK_KR!AL:AL,JPK_KR!W:W,F624),"")</f>
        <v/>
      </c>
      <c r="H624" s="126" t="str">
        <f>IF(E624&lt;&gt;"",SUMIFS(JPK_KR!AM:AM,JPK_KR!W:W,F624),"")</f>
        <v/>
      </c>
      <c r="K624" s="24" t="str">
        <f>IF(I624&lt;&gt;"",SUMIFS(JPK_KR!AL:AL,JPK_KR!W:W,J624),"")</f>
        <v/>
      </c>
      <c r="L624" s="126" t="str">
        <f>IF(I624&lt;&gt;"",SUMIFS(JPK_KR!AM:AM,JPK_KR!W:W,J624),"")</f>
        <v/>
      </c>
      <c r="P624" s="24" t="str">
        <f>IF(M624&lt;&gt;"",IF(O624="",SUMIFS(JPK_KR!AL:AL,JPK_KR!W:W,N624),SUMIFS(JPK_KR!BF:BF,JPK_KR!BE:BE,N624,JPK_KR!BG:BG,O624)),"")</f>
        <v/>
      </c>
      <c r="Q624" s="126" t="str">
        <f>IF(M624&lt;&gt;"",IF(O624="",SUMIFS(JPK_KR!AM:AM,JPK_KR!W:W,N624),SUMIFS(JPK_KR!BI:BI,JPK_KR!BH:BH,N624,JPK_KR!BJ:BJ,O624)),"")</f>
        <v/>
      </c>
      <c r="U624" s="24" t="str">
        <f>IF(R624&lt;&gt;"",SUMIFS(JPK_KR!AL:AL,JPK_KR!W:W,S624),"")</f>
        <v/>
      </c>
      <c r="V624" s="126" t="str">
        <f>IF(R624&lt;&gt;"",SUMIFS(JPK_KR!AM:AM,JPK_KR!W:W,S624),"")</f>
        <v/>
      </c>
    </row>
    <row r="625" spans="3:22" x14ac:dyDescent="0.3">
      <c r="C625" s="24" t="str">
        <f>IF(A625&lt;&gt;"",SUMIFS(JPK_KR!AL:AL,JPK_KR!W:W,B625),"")</f>
        <v/>
      </c>
      <c r="D625" s="126" t="str">
        <f>IF(A625&lt;&gt;"",SUMIFS(JPK_KR!AM:AM,JPK_KR!W:W,B625),"")</f>
        <v/>
      </c>
      <c r="G625" s="24" t="str">
        <f>IF(E625&lt;&gt;"",SUMIFS(JPK_KR!AL:AL,JPK_KR!W:W,F625),"")</f>
        <v/>
      </c>
      <c r="H625" s="126" t="str">
        <f>IF(E625&lt;&gt;"",SUMIFS(JPK_KR!AM:AM,JPK_KR!W:W,F625),"")</f>
        <v/>
      </c>
      <c r="K625" s="24" t="str">
        <f>IF(I625&lt;&gt;"",SUMIFS(JPK_KR!AL:AL,JPK_KR!W:W,J625),"")</f>
        <v/>
      </c>
      <c r="L625" s="126" t="str">
        <f>IF(I625&lt;&gt;"",SUMIFS(JPK_KR!AM:AM,JPK_KR!W:W,J625),"")</f>
        <v/>
      </c>
      <c r="P625" s="24" t="str">
        <f>IF(M625&lt;&gt;"",IF(O625="",SUMIFS(JPK_KR!AL:AL,JPK_KR!W:W,N625),SUMIFS(JPK_KR!BF:BF,JPK_KR!BE:BE,N625,JPK_KR!BG:BG,O625)),"")</f>
        <v/>
      </c>
      <c r="Q625" s="126" t="str">
        <f>IF(M625&lt;&gt;"",IF(O625="",SUMIFS(JPK_KR!AM:AM,JPK_KR!W:W,N625),SUMIFS(JPK_KR!BI:BI,JPK_KR!BH:BH,N625,JPK_KR!BJ:BJ,O625)),"")</f>
        <v/>
      </c>
      <c r="U625" s="24" t="str">
        <f>IF(R625&lt;&gt;"",SUMIFS(JPK_KR!AL:AL,JPK_KR!W:W,S625),"")</f>
        <v/>
      </c>
      <c r="V625" s="126" t="str">
        <f>IF(R625&lt;&gt;"",SUMIFS(JPK_KR!AM:AM,JPK_KR!W:W,S625),"")</f>
        <v/>
      </c>
    </row>
    <row r="626" spans="3:22" x14ac:dyDescent="0.3">
      <c r="C626" s="24" t="str">
        <f>IF(A626&lt;&gt;"",SUMIFS(JPK_KR!AL:AL,JPK_KR!W:W,B626),"")</f>
        <v/>
      </c>
      <c r="D626" s="126" t="str">
        <f>IF(A626&lt;&gt;"",SUMIFS(JPK_KR!AM:AM,JPK_KR!W:W,B626),"")</f>
        <v/>
      </c>
      <c r="G626" s="24" t="str">
        <f>IF(E626&lt;&gt;"",SUMIFS(JPK_KR!AL:AL,JPK_KR!W:W,F626),"")</f>
        <v/>
      </c>
      <c r="H626" s="126" t="str">
        <f>IF(E626&lt;&gt;"",SUMIFS(JPK_KR!AM:AM,JPK_KR!W:W,F626),"")</f>
        <v/>
      </c>
      <c r="K626" s="24" t="str">
        <f>IF(I626&lt;&gt;"",SUMIFS(JPK_KR!AL:AL,JPK_KR!W:W,J626),"")</f>
        <v/>
      </c>
      <c r="L626" s="126" t="str">
        <f>IF(I626&lt;&gt;"",SUMIFS(JPK_KR!AM:AM,JPK_KR!W:W,J626),"")</f>
        <v/>
      </c>
      <c r="P626" s="24" t="str">
        <f>IF(M626&lt;&gt;"",IF(O626="",SUMIFS(JPK_KR!AL:AL,JPK_KR!W:W,N626),SUMIFS(JPK_KR!BF:BF,JPK_KR!BE:BE,N626,JPK_KR!BG:BG,O626)),"")</f>
        <v/>
      </c>
      <c r="Q626" s="126" t="str">
        <f>IF(M626&lt;&gt;"",IF(O626="",SUMIFS(JPK_KR!AM:AM,JPK_KR!W:W,N626),SUMIFS(JPK_KR!BI:BI,JPK_KR!BH:BH,N626,JPK_KR!BJ:BJ,O626)),"")</f>
        <v/>
      </c>
      <c r="U626" s="24" t="str">
        <f>IF(R626&lt;&gt;"",SUMIFS(JPK_KR!AL:AL,JPK_KR!W:W,S626),"")</f>
        <v/>
      </c>
      <c r="V626" s="126" t="str">
        <f>IF(R626&lt;&gt;"",SUMIFS(JPK_KR!AM:AM,JPK_KR!W:W,S626),"")</f>
        <v/>
      </c>
    </row>
    <row r="627" spans="3:22" x14ac:dyDescent="0.3">
      <c r="C627" s="24" t="str">
        <f>IF(A627&lt;&gt;"",SUMIFS(JPK_KR!AL:AL,JPK_KR!W:W,B627),"")</f>
        <v/>
      </c>
      <c r="D627" s="126" t="str">
        <f>IF(A627&lt;&gt;"",SUMIFS(JPK_KR!AM:AM,JPK_KR!W:W,B627),"")</f>
        <v/>
      </c>
      <c r="G627" s="24" t="str">
        <f>IF(E627&lt;&gt;"",SUMIFS(JPK_KR!AL:AL,JPK_KR!W:W,F627),"")</f>
        <v/>
      </c>
      <c r="H627" s="126" t="str">
        <f>IF(E627&lt;&gt;"",SUMIFS(JPK_KR!AM:AM,JPK_KR!W:W,F627),"")</f>
        <v/>
      </c>
      <c r="K627" s="24" t="str">
        <f>IF(I627&lt;&gt;"",SUMIFS(JPK_KR!AL:AL,JPK_KR!W:W,J627),"")</f>
        <v/>
      </c>
      <c r="L627" s="126" t="str">
        <f>IF(I627&lt;&gt;"",SUMIFS(JPK_KR!AM:AM,JPK_KR!W:W,J627),"")</f>
        <v/>
      </c>
      <c r="P627" s="24" t="str">
        <f>IF(M627&lt;&gt;"",IF(O627="",SUMIFS(JPK_KR!AL:AL,JPK_KR!W:W,N627),SUMIFS(JPK_KR!BF:BF,JPK_KR!BE:BE,N627,JPK_KR!BG:BG,O627)),"")</f>
        <v/>
      </c>
      <c r="Q627" s="126" t="str">
        <f>IF(M627&lt;&gt;"",IF(O627="",SUMIFS(JPK_KR!AM:AM,JPK_KR!W:W,N627),SUMIFS(JPK_KR!BI:BI,JPK_KR!BH:BH,N627,JPK_KR!BJ:BJ,O627)),"")</f>
        <v/>
      </c>
      <c r="U627" s="24" t="str">
        <f>IF(R627&lt;&gt;"",SUMIFS(JPK_KR!AL:AL,JPK_KR!W:W,S627),"")</f>
        <v/>
      </c>
      <c r="V627" s="126" t="str">
        <f>IF(R627&lt;&gt;"",SUMIFS(JPK_KR!AM:AM,JPK_KR!W:W,S627),"")</f>
        <v/>
      </c>
    </row>
    <row r="628" spans="3:22" x14ac:dyDescent="0.3">
      <c r="C628" s="24" t="str">
        <f>IF(A628&lt;&gt;"",SUMIFS(JPK_KR!AL:AL,JPK_KR!W:W,B628),"")</f>
        <v/>
      </c>
      <c r="D628" s="126" t="str">
        <f>IF(A628&lt;&gt;"",SUMIFS(JPK_KR!AM:AM,JPK_KR!W:W,B628),"")</f>
        <v/>
      </c>
      <c r="G628" s="24" t="str">
        <f>IF(E628&lt;&gt;"",SUMIFS(JPK_KR!AL:AL,JPK_KR!W:W,F628),"")</f>
        <v/>
      </c>
      <c r="H628" s="126" t="str">
        <f>IF(E628&lt;&gt;"",SUMIFS(JPK_KR!AM:AM,JPK_KR!W:W,F628),"")</f>
        <v/>
      </c>
      <c r="K628" s="24" t="str">
        <f>IF(I628&lt;&gt;"",SUMIFS(JPK_KR!AL:AL,JPK_KR!W:W,J628),"")</f>
        <v/>
      </c>
      <c r="L628" s="126" t="str">
        <f>IF(I628&lt;&gt;"",SUMIFS(JPK_KR!AM:AM,JPK_KR!W:W,J628),"")</f>
        <v/>
      </c>
      <c r="P628" s="24" t="str">
        <f>IF(M628&lt;&gt;"",IF(O628="",SUMIFS(JPK_KR!AL:AL,JPK_KR!W:W,N628),SUMIFS(JPK_KR!BF:BF,JPK_KR!BE:BE,N628,JPK_KR!BG:BG,O628)),"")</f>
        <v/>
      </c>
      <c r="Q628" s="126" t="str">
        <f>IF(M628&lt;&gt;"",IF(O628="",SUMIFS(JPK_KR!AM:AM,JPK_KR!W:W,N628),SUMIFS(JPK_KR!BI:BI,JPK_KR!BH:BH,N628,JPK_KR!BJ:BJ,O628)),"")</f>
        <v/>
      </c>
      <c r="U628" s="24" t="str">
        <f>IF(R628&lt;&gt;"",SUMIFS(JPK_KR!AL:AL,JPK_KR!W:W,S628),"")</f>
        <v/>
      </c>
      <c r="V628" s="126" t="str">
        <f>IF(R628&lt;&gt;"",SUMIFS(JPK_KR!AM:AM,JPK_KR!W:W,S628),"")</f>
        <v/>
      </c>
    </row>
    <row r="629" spans="3:22" x14ac:dyDescent="0.3">
      <c r="C629" s="24" t="str">
        <f>IF(A629&lt;&gt;"",SUMIFS(JPK_KR!AL:AL,JPK_KR!W:W,B629),"")</f>
        <v/>
      </c>
      <c r="D629" s="126" t="str">
        <f>IF(A629&lt;&gt;"",SUMIFS(JPK_KR!AM:AM,JPK_KR!W:W,B629),"")</f>
        <v/>
      </c>
      <c r="G629" s="24" t="str">
        <f>IF(E629&lt;&gt;"",SUMIFS(JPK_KR!AL:AL,JPK_KR!W:W,F629),"")</f>
        <v/>
      </c>
      <c r="H629" s="126" t="str">
        <f>IF(E629&lt;&gt;"",SUMIFS(JPK_KR!AM:AM,JPK_KR!W:W,F629),"")</f>
        <v/>
      </c>
      <c r="K629" s="24" t="str">
        <f>IF(I629&lt;&gt;"",SUMIFS(JPK_KR!AL:AL,JPK_KR!W:W,J629),"")</f>
        <v/>
      </c>
      <c r="L629" s="126" t="str">
        <f>IF(I629&lt;&gt;"",SUMIFS(JPK_KR!AM:AM,JPK_KR!W:W,J629),"")</f>
        <v/>
      </c>
      <c r="P629" s="24" t="str">
        <f>IF(M629&lt;&gt;"",IF(O629="",SUMIFS(JPK_KR!AL:AL,JPK_KR!W:W,N629),SUMIFS(JPK_KR!BF:BF,JPK_KR!BE:BE,N629,JPK_KR!BG:BG,O629)),"")</f>
        <v/>
      </c>
      <c r="Q629" s="126" t="str">
        <f>IF(M629&lt;&gt;"",IF(O629="",SUMIFS(JPK_KR!AM:AM,JPK_KR!W:W,N629),SUMIFS(JPK_KR!BI:BI,JPK_KR!BH:BH,N629,JPK_KR!BJ:BJ,O629)),"")</f>
        <v/>
      </c>
      <c r="U629" s="24" t="str">
        <f>IF(R629&lt;&gt;"",SUMIFS(JPK_KR!AL:AL,JPK_KR!W:W,S629),"")</f>
        <v/>
      </c>
      <c r="V629" s="126" t="str">
        <f>IF(R629&lt;&gt;"",SUMIFS(JPK_KR!AM:AM,JPK_KR!W:W,S629),"")</f>
        <v/>
      </c>
    </row>
    <row r="630" spans="3:22" x14ac:dyDescent="0.3">
      <c r="C630" s="24" t="str">
        <f>IF(A630&lt;&gt;"",SUMIFS(JPK_KR!AL:AL,JPK_KR!W:W,B630),"")</f>
        <v/>
      </c>
      <c r="D630" s="126" t="str">
        <f>IF(A630&lt;&gt;"",SUMIFS(JPK_KR!AM:AM,JPK_KR!W:W,B630),"")</f>
        <v/>
      </c>
      <c r="G630" s="24" t="str">
        <f>IF(E630&lt;&gt;"",SUMIFS(JPK_KR!AL:AL,JPK_KR!W:W,F630),"")</f>
        <v/>
      </c>
      <c r="H630" s="126" t="str">
        <f>IF(E630&lt;&gt;"",SUMIFS(JPK_KR!AM:AM,JPK_KR!W:W,F630),"")</f>
        <v/>
      </c>
      <c r="K630" s="24" t="str">
        <f>IF(I630&lt;&gt;"",SUMIFS(JPK_KR!AL:AL,JPK_KR!W:W,J630),"")</f>
        <v/>
      </c>
      <c r="L630" s="126" t="str">
        <f>IF(I630&lt;&gt;"",SUMIFS(JPK_KR!AM:AM,JPK_KR!W:W,J630),"")</f>
        <v/>
      </c>
      <c r="P630" s="24" t="str">
        <f>IF(M630&lt;&gt;"",IF(O630="",SUMIFS(JPK_KR!AL:AL,JPK_KR!W:W,N630),SUMIFS(JPK_KR!BF:BF,JPK_KR!BE:BE,N630,JPK_KR!BG:BG,O630)),"")</f>
        <v/>
      </c>
      <c r="Q630" s="126" t="str">
        <f>IF(M630&lt;&gt;"",IF(O630="",SUMIFS(JPK_KR!AM:AM,JPK_KR!W:W,N630),SUMIFS(JPK_KR!BI:BI,JPK_KR!BH:BH,N630,JPK_KR!BJ:BJ,O630)),"")</f>
        <v/>
      </c>
      <c r="U630" s="24" t="str">
        <f>IF(R630&lt;&gt;"",SUMIFS(JPK_KR!AL:AL,JPK_KR!W:W,S630),"")</f>
        <v/>
      </c>
      <c r="V630" s="126" t="str">
        <f>IF(R630&lt;&gt;"",SUMIFS(JPK_KR!AM:AM,JPK_KR!W:W,S630),"")</f>
        <v/>
      </c>
    </row>
    <row r="631" spans="3:22" x14ac:dyDescent="0.3">
      <c r="C631" s="24" t="str">
        <f>IF(A631&lt;&gt;"",SUMIFS(JPK_KR!AL:AL,JPK_KR!W:W,B631),"")</f>
        <v/>
      </c>
      <c r="D631" s="126" t="str">
        <f>IF(A631&lt;&gt;"",SUMIFS(JPK_KR!AM:AM,JPK_KR!W:W,B631),"")</f>
        <v/>
      </c>
      <c r="G631" s="24" t="str">
        <f>IF(E631&lt;&gt;"",SUMIFS(JPK_KR!AL:AL,JPK_KR!W:W,F631),"")</f>
        <v/>
      </c>
      <c r="H631" s="126" t="str">
        <f>IF(E631&lt;&gt;"",SUMIFS(JPK_KR!AM:AM,JPK_KR!W:W,F631),"")</f>
        <v/>
      </c>
      <c r="K631" s="24" t="str">
        <f>IF(I631&lt;&gt;"",SUMIFS(JPK_KR!AL:AL,JPK_KR!W:W,J631),"")</f>
        <v/>
      </c>
      <c r="L631" s="126" t="str">
        <f>IF(I631&lt;&gt;"",SUMIFS(JPK_KR!AM:AM,JPK_KR!W:W,J631),"")</f>
        <v/>
      </c>
      <c r="P631" s="24" t="str">
        <f>IF(M631&lt;&gt;"",IF(O631="",SUMIFS(JPK_KR!AL:AL,JPK_KR!W:W,N631),SUMIFS(JPK_KR!BF:BF,JPK_KR!BE:BE,N631,JPK_KR!BG:BG,O631)),"")</f>
        <v/>
      </c>
      <c r="Q631" s="126" t="str">
        <f>IF(M631&lt;&gt;"",IF(O631="",SUMIFS(JPK_KR!AM:AM,JPK_KR!W:W,N631),SUMIFS(JPK_KR!BI:BI,JPK_KR!BH:BH,N631,JPK_KR!BJ:BJ,O631)),"")</f>
        <v/>
      </c>
      <c r="U631" s="24" t="str">
        <f>IF(R631&lt;&gt;"",SUMIFS(JPK_KR!AL:AL,JPK_KR!W:W,S631),"")</f>
        <v/>
      </c>
      <c r="V631" s="126" t="str">
        <f>IF(R631&lt;&gt;"",SUMIFS(JPK_KR!AM:AM,JPK_KR!W:W,S631),"")</f>
        <v/>
      </c>
    </row>
    <row r="632" spans="3:22" x14ac:dyDescent="0.3">
      <c r="C632" s="24" t="str">
        <f>IF(A632&lt;&gt;"",SUMIFS(JPK_KR!AL:AL,JPK_KR!W:W,B632),"")</f>
        <v/>
      </c>
      <c r="D632" s="126" t="str">
        <f>IF(A632&lt;&gt;"",SUMIFS(JPK_KR!AM:AM,JPK_KR!W:W,B632),"")</f>
        <v/>
      </c>
      <c r="G632" s="24" t="str">
        <f>IF(E632&lt;&gt;"",SUMIFS(JPK_KR!AL:AL,JPK_KR!W:W,F632),"")</f>
        <v/>
      </c>
      <c r="H632" s="126" t="str">
        <f>IF(E632&lt;&gt;"",SUMIFS(JPK_KR!AM:AM,JPK_KR!W:W,F632),"")</f>
        <v/>
      </c>
      <c r="K632" s="24" t="str">
        <f>IF(I632&lt;&gt;"",SUMIFS(JPK_KR!AL:AL,JPK_KR!W:W,J632),"")</f>
        <v/>
      </c>
      <c r="L632" s="126" t="str">
        <f>IF(I632&lt;&gt;"",SUMIFS(JPK_KR!AM:AM,JPK_KR!W:W,J632),"")</f>
        <v/>
      </c>
      <c r="P632" s="24" t="str">
        <f>IF(M632&lt;&gt;"",IF(O632="",SUMIFS(JPK_KR!AL:AL,JPK_KR!W:W,N632),SUMIFS(JPK_KR!BF:BF,JPK_KR!BE:BE,N632,JPK_KR!BG:BG,O632)),"")</f>
        <v/>
      </c>
      <c r="Q632" s="126" t="str">
        <f>IF(M632&lt;&gt;"",IF(O632="",SUMIFS(JPK_KR!AM:AM,JPK_KR!W:W,N632),SUMIFS(JPK_KR!BI:BI,JPK_KR!BH:BH,N632,JPK_KR!BJ:BJ,O632)),"")</f>
        <v/>
      </c>
      <c r="U632" s="24" t="str">
        <f>IF(R632&lt;&gt;"",SUMIFS(JPK_KR!AL:AL,JPK_KR!W:W,S632),"")</f>
        <v/>
      </c>
      <c r="V632" s="126" t="str">
        <f>IF(R632&lt;&gt;"",SUMIFS(JPK_KR!AM:AM,JPK_KR!W:W,S632),"")</f>
        <v/>
      </c>
    </row>
    <row r="633" spans="3:22" x14ac:dyDescent="0.3">
      <c r="C633" s="24" t="str">
        <f>IF(A633&lt;&gt;"",SUMIFS(JPK_KR!AL:AL,JPK_KR!W:W,B633),"")</f>
        <v/>
      </c>
      <c r="D633" s="126" t="str">
        <f>IF(A633&lt;&gt;"",SUMIFS(JPK_KR!AM:AM,JPK_KR!W:W,B633),"")</f>
        <v/>
      </c>
      <c r="G633" s="24" t="str">
        <f>IF(E633&lt;&gt;"",SUMIFS(JPK_KR!AL:AL,JPK_KR!W:W,F633),"")</f>
        <v/>
      </c>
      <c r="H633" s="126" t="str">
        <f>IF(E633&lt;&gt;"",SUMIFS(JPK_KR!AM:AM,JPK_KR!W:W,F633),"")</f>
        <v/>
      </c>
      <c r="K633" s="24" t="str">
        <f>IF(I633&lt;&gt;"",SUMIFS(JPK_KR!AL:AL,JPK_KR!W:W,J633),"")</f>
        <v/>
      </c>
      <c r="L633" s="126" t="str">
        <f>IF(I633&lt;&gt;"",SUMIFS(JPK_KR!AM:AM,JPK_KR!W:W,J633),"")</f>
        <v/>
      </c>
      <c r="P633" s="24" t="str">
        <f>IF(M633&lt;&gt;"",IF(O633="",SUMIFS(JPK_KR!AL:AL,JPK_KR!W:W,N633),SUMIFS(JPK_KR!BF:BF,JPK_KR!BE:BE,N633,JPK_KR!BG:BG,O633)),"")</f>
        <v/>
      </c>
      <c r="Q633" s="126" t="str">
        <f>IF(M633&lt;&gt;"",IF(O633="",SUMIFS(JPK_KR!AM:AM,JPK_KR!W:W,N633),SUMIFS(JPK_KR!BI:BI,JPK_KR!BH:BH,N633,JPK_KR!BJ:BJ,O633)),"")</f>
        <v/>
      </c>
      <c r="U633" s="24" t="str">
        <f>IF(R633&lt;&gt;"",SUMIFS(JPK_KR!AL:AL,JPK_KR!W:W,S633),"")</f>
        <v/>
      </c>
      <c r="V633" s="126" t="str">
        <f>IF(R633&lt;&gt;"",SUMIFS(JPK_KR!AM:AM,JPK_KR!W:W,S633),"")</f>
        <v/>
      </c>
    </row>
    <row r="634" spans="3:22" x14ac:dyDescent="0.3">
      <c r="C634" s="24" t="str">
        <f>IF(A634&lt;&gt;"",SUMIFS(JPK_KR!AL:AL,JPK_KR!W:W,B634),"")</f>
        <v/>
      </c>
      <c r="D634" s="126" t="str">
        <f>IF(A634&lt;&gt;"",SUMIFS(JPK_KR!AM:AM,JPK_KR!W:W,B634),"")</f>
        <v/>
      </c>
      <c r="G634" s="24" t="str">
        <f>IF(E634&lt;&gt;"",SUMIFS(JPK_KR!AL:AL,JPK_KR!W:W,F634),"")</f>
        <v/>
      </c>
      <c r="H634" s="126" t="str">
        <f>IF(E634&lt;&gt;"",SUMIFS(JPK_KR!AM:AM,JPK_KR!W:W,F634),"")</f>
        <v/>
      </c>
      <c r="K634" s="24" t="str">
        <f>IF(I634&lt;&gt;"",SUMIFS(JPK_KR!AL:AL,JPK_KR!W:W,J634),"")</f>
        <v/>
      </c>
      <c r="L634" s="126" t="str">
        <f>IF(I634&lt;&gt;"",SUMIFS(JPK_KR!AM:AM,JPK_KR!W:W,J634),"")</f>
        <v/>
      </c>
      <c r="P634" s="24" t="str">
        <f>IF(M634&lt;&gt;"",IF(O634="",SUMIFS(JPK_KR!AL:AL,JPK_KR!W:W,N634),SUMIFS(JPK_KR!BF:BF,JPK_KR!BE:BE,N634,JPK_KR!BG:BG,O634)),"")</f>
        <v/>
      </c>
      <c r="Q634" s="126" t="str">
        <f>IF(M634&lt;&gt;"",IF(O634="",SUMIFS(JPK_KR!AM:AM,JPK_KR!W:W,N634),SUMIFS(JPK_KR!BI:BI,JPK_KR!BH:BH,N634,JPK_KR!BJ:BJ,O634)),"")</f>
        <v/>
      </c>
      <c r="U634" s="24" t="str">
        <f>IF(R634&lt;&gt;"",SUMIFS(JPK_KR!AL:AL,JPK_KR!W:W,S634),"")</f>
        <v/>
      </c>
      <c r="V634" s="126" t="str">
        <f>IF(R634&lt;&gt;"",SUMIFS(JPK_KR!AM:AM,JPK_KR!W:W,S634),"")</f>
        <v/>
      </c>
    </row>
    <row r="635" spans="3:22" x14ac:dyDescent="0.3">
      <c r="C635" s="24" t="str">
        <f>IF(A635&lt;&gt;"",SUMIFS(JPK_KR!AL:AL,JPK_KR!W:W,B635),"")</f>
        <v/>
      </c>
      <c r="D635" s="126" t="str">
        <f>IF(A635&lt;&gt;"",SUMIFS(JPK_KR!AM:AM,JPK_KR!W:W,B635),"")</f>
        <v/>
      </c>
      <c r="G635" s="24" t="str">
        <f>IF(E635&lt;&gt;"",SUMIFS(JPK_KR!AL:AL,JPK_KR!W:W,F635),"")</f>
        <v/>
      </c>
      <c r="H635" s="126" t="str">
        <f>IF(E635&lt;&gt;"",SUMIFS(JPK_KR!AM:AM,JPK_KR!W:W,F635),"")</f>
        <v/>
      </c>
      <c r="K635" s="24" t="str">
        <f>IF(I635&lt;&gt;"",SUMIFS(JPK_KR!AL:AL,JPK_KR!W:W,J635),"")</f>
        <v/>
      </c>
      <c r="L635" s="126" t="str">
        <f>IF(I635&lt;&gt;"",SUMIFS(JPK_KR!AM:AM,JPK_KR!W:W,J635),"")</f>
        <v/>
      </c>
      <c r="P635" s="24" t="str">
        <f>IF(M635&lt;&gt;"",IF(O635="",SUMIFS(JPK_KR!AL:AL,JPK_KR!W:W,N635),SUMIFS(JPK_KR!BF:BF,JPK_KR!BE:BE,N635,JPK_KR!BG:BG,O635)),"")</f>
        <v/>
      </c>
      <c r="Q635" s="126" t="str">
        <f>IF(M635&lt;&gt;"",IF(O635="",SUMIFS(JPK_KR!AM:AM,JPK_KR!W:W,N635),SUMIFS(JPK_KR!BI:BI,JPK_KR!BH:BH,N635,JPK_KR!BJ:BJ,O635)),"")</f>
        <v/>
      </c>
      <c r="U635" s="24" t="str">
        <f>IF(R635&lt;&gt;"",SUMIFS(JPK_KR!AL:AL,JPK_KR!W:W,S635),"")</f>
        <v/>
      </c>
      <c r="V635" s="126" t="str">
        <f>IF(R635&lt;&gt;"",SUMIFS(JPK_KR!AM:AM,JPK_KR!W:W,S635),"")</f>
        <v/>
      </c>
    </row>
    <row r="636" spans="3:22" x14ac:dyDescent="0.3">
      <c r="C636" s="24" t="str">
        <f>IF(A636&lt;&gt;"",SUMIFS(JPK_KR!AL:AL,JPK_KR!W:W,B636),"")</f>
        <v/>
      </c>
      <c r="D636" s="126" t="str">
        <f>IF(A636&lt;&gt;"",SUMIFS(JPK_KR!AM:AM,JPK_KR!W:W,B636),"")</f>
        <v/>
      </c>
      <c r="G636" s="24" t="str">
        <f>IF(E636&lt;&gt;"",SUMIFS(JPK_KR!AL:AL,JPK_KR!W:W,F636),"")</f>
        <v/>
      </c>
      <c r="H636" s="126" t="str">
        <f>IF(E636&lt;&gt;"",SUMIFS(JPK_KR!AM:AM,JPK_KR!W:W,F636),"")</f>
        <v/>
      </c>
      <c r="K636" s="24" t="str">
        <f>IF(I636&lt;&gt;"",SUMIFS(JPK_KR!AL:AL,JPK_KR!W:W,J636),"")</f>
        <v/>
      </c>
      <c r="L636" s="126" t="str">
        <f>IF(I636&lt;&gt;"",SUMIFS(JPK_KR!AM:AM,JPK_KR!W:W,J636),"")</f>
        <v/>
      </c>
      <c r="P636" s="24" t="str">
        <f>IF(M636&lt;&gt;"",IF(O636="",SUMIFS(JPK_KR!AL:AL,JPK_KR!W:W,N636),SUMIFS(JPK_KR!BF:BF,JPK_KR!BE:BE,N636,JPK_KR!BG:BG,O636)),"")</f>
        <v/>
      </c>
      <c r="Q636" s="126" t="str">
        <f>IF(M636&lt;&gt;"",IF(O636="",SUMIFS(JPK_KR!AM:AM,JPK_KR!W:W,N636),SUMIFS(JPK_KR!BI:BI,JPK_KR!BH:BH,N636,JPK_KR!BJ:BJ,O636)),"")</f>
        <v/>
      </c>
      <c r="U636" s="24" t="str">
        <f>IF(R636&lt;&gt;"",SUMIFS(JPK_KR!AL:AL,JPK_KR!W:W,S636),"")</f>
        <v/>
      </c>
      <c r="V636" s="126" t="str">
        <f>IF(R636&lt;&gt;"",SUMIFS(JPK_KR!AM:AM,JPK_KR!W:W,S636),"")</f>
        <v/>
      </c>
    </row>
    <row r="637" spans="3:22" x14ac:dyDescent="0.3">
      <c r="C637" s="24" t="str">
        <f>IF(A637&lt;&gt;"",SUMIFS(JPK_KR!AL:AL,JPK_KR!W:W,B637),"")</f>
        <v/>
      </c>
      <c r="D637" s="126" t="str">
        <f>IF(A637&lt;&gt;"",SUMIFS(JPK_KR!AM:AM,JPK_KR!W:W,B637),"")</f>
        <v/>
      </c>
      <c r="G637" s="24" t="str">
        <f>IF(E637&lt;&gt;"",SUMIFS(JPK_KR!AL:AL,JPK_KR!W:W,F637),"")</f>
        <v/>
      </c>
      <c r="H637" s="126" t="str">
        <f>IF(E637&lt;&gt;"",SUMIFS(JPK_KR!AM:AM,JPK_KR!W:W,F637),"")</f>
        <v/>
      </c>
      <c r="K637" s="24" t="str">
        <f>IF(I637&lt;&gt;"",SUMIFS(JPK_KR!AL:AL,JPK_KR!W:W,J637),"")</f>
        <v/>
      </c>
      <c r="L637" s="126" t="str">
        <f>IF(I637&lt;&gt;"",SUMIFS(JPK_KR!AM:AM,JPK_KR!W:W,J637),"")</f>
        <v/>
      </c>
      <c r="P637" s="24" t="str">
        <f>IF(M637&lt;&gt;"",IF(O637="",SUMIFS(JPK_KR!AL:AL,JPK_KR!W:W,N637),SUMIFS(JPK_KR!BF:BF,JPK_KR!BE:BE,N637,JPK_KR!BG:BG,O637)),"")</f>
        <v/>
      </c>
      <c r="Q637" s="126" t="str">
        <f>IF(M637&lt;&gt;"",IF(O637="",SUMIFS(JPK_KR!AM:AM,JPK_KR!W:W,N637),SUMIFS(JPK_KR!BI:BI,JPK_KR!BH:BH,N637,JPK_KR!BJ:BJ,O637)),"")</f>
        <v/>
      </c>
      <c r="U637" s="24" t="str">
        <f>IF(R637&lt;&gt;"",SUMIFS(JPK_KR!AL:AL,JPK_KR!W:W,S637),"")</f>
        <v/>
      </c>
      <c r="V637" s="126" t="str">
        <f>IF(R637&lt;&gt;"",SUMIFS(JPK_KR!AM:AM,JPK_KR!W:W,S637),"")</f>
        <v/>
      </c>
    </row>
    <row r="638" spans="3:22" x14ac:dyDescent="0.3">
      <c r="C638" s="24" t="str">
        <f>IF(A638&lt;&gt;"",SUMIFS(JPK_KR!AL:AL,JPK_KR!W:W,B638),"")</f>
        <v/>
      </c>
      <c r="D638" s="126" t="str">
        <f>IF(A638&lt;&gt;"",SUMIFS(JPK_KR!AM:AM,JPK_KR!W:W,B638),"")</f>
        <v/>
      </c>
      <c r="G638" s="24" t="str">
        <f>IF(E638&lt;&gt;"",SUMIFS(JPK_KR!AL:AL,JPK_KR!W:W,F638),"")</f>
        <v/>
      </c>
      <c r="H638" s="126" t="str">
        <f>IF(E638&lt;&gt;"",SUMIFS(JPK_KR!AM:AM,JPK_KR!W:W,F638),"")</f>
        <v/>
      </c>
      <c r="K638" s="24" t="str">
        <f>IF(I638&lt;&gt;"",SUMIFS(JPK_KR!AL:AL,JPK_KR!W:W,J638),"")</f>
        <v/>
      </c>
      <c r="L638" s="126" t="str">
        <f>IF(I638&lt;&gt;"",SUMIFS(JPK_KR!AM:AM,JPK_KR!W:W,J638),"")</f>
        <v/>
      </c>
      <c r="P638" s="24" t="str">
        <f>IF(M638&lt;&gt;"",IF(O638="",SUMIFS(JPK_KR!AL:AL,JPK_KR!W:W,N638),SUMIFS(JPK_KR!BF:BF,JPK_KR!BE:BE,N638,JPK_KR!BG:BG,O638)),"")</f>
        <v/>
      </c>
      <c r="Q638" s="126" t="str">
        <f>IF(M638&lt;&gt;"",IF(O638="",SUMIFS(JPK_KR!AM:AM,JPK_KR!W:W,N638),SUMIFS(JPK_KR!BI:BI,JPK_KR!BH:BH,N638,JPK_KR!BJ:BJ,O638)),"")</f>
        <v/>
      </c>
      <c r="U638" s="24" t="str">
        <f>IF(R638&lt;&gt;"",SUMIFS(JPK_KR!AL:AL,JPK_KR!W:W,S638),"")</f>
        <v/>
      </c>
      <c r="V638" s="126" t="str">
        <f>IF(R638&lt;&gt;"",SUMIFS(JPK_KR!AM:AM,JPK_KR!W:W,S638),"")</f>
        <v/>
      </c>
    </row>
    <row r="639" spans="3:22" x14ac:dyDescent="0.3">
      <c r="C639" s="24" t="str">
        <f>IF(A639&lt;&gt;"",SUMIFS(JPK_KR!AL:AL,JPK_KR!W:W,B639),"")</f>
        <v/>
      </c>
      <c r="D639" s="126" t="str">
        <f>IF(A639&lt;&gt;"",SUMIFS(JPK_KR!AM:AM,JPK_KR!W:W,B639),"")</f>
        <v/>
      </c>
      <c r="G639" s="24" t="str">
        <f>IF(E639&lt;&gt;"",SUMIFS(JPK_KR!AL:AL,JPK_KR!W:W,F639),"")</f>
        <v/>
      </c>
      <c r="H639" s="126" t="str">
        <f>IF(E639&lt;&gt;"",SUMIFS(JPK_KR!AM:AM,JPK_KR!W:W,F639),"")</f>
        <v/>
      </c>
      <c r="K639" s="24" t="str">
        <f>IF(I639&lt;&gt;"",SUMIFS(JPK_KR!AL:AL,JPK_KR!W:W,J639),"")</f>
        <v/>
      </c>
      <c r="L639" s="126" t="str">
        <f>IF(I639&lt;&gt;"",SUMIFS(JPK_KR!AM:AM,JPK_KR!W:W,J639),"")</f>
        <v/>
      </c>
      <c r="P639" s="24" t="str">
        <f>IF(M639&lt;&gt;"",IF(O639="",SUMIFS(JPK_KR!AL:AL,JPK_KR!W:W,N639),SUMIFS(JPK_KR!BF:BF,JPK_KR!BE:BE,N639,JPK_KR!BG:BG,O639)),"")</f>
        <v/>
      </c>
      <c r="Q639" s="126" t="str">
        <f>IF(M639&lt;&gt;"",IF(O639="",SUMIFS(JPK_KR!AM:AM,JPK_KR!W:W,N639),SUMIFS(JPK_KR!BI:BI,JPK_KR!BH:BH,N639,JPK_KR!BJ:BJ,O639)),"")</f>
        <v/>
      </c>
      <c r="U639" s="24" t="str">
        <f>IF(R639&lt;&gt;"",SUMIFS(JPK_KR!AL:AL,JPK_KR!W:W,S639),"")</f>
        <v/>
      </c>
      <c r="V639" s="126" t="str">
        <f>IF(R639&lt;&gt;"",SUMIFS(JPK_KR!AM:AM,JPK_KR!W:W,S639),"")</f>
        <v/>
      </c>
    </row>
    <row r="640" spans="3:22" x14ac:dyDescent="0.3">
      <c r="C640" s="24" t="str">
        <f>IF(A640&lt;&gt;"",SUMIFS(JPK_KR!AL:AL,JPK_KR!W:W,B640),"")</f>
        <v/>
      </c>
      <c r="D640" s="126" t="str">
        <f>IF(A640&lt;&gt;"",SUMIFS(JPK_KR!AM:AM,JPK_KR!W:W,B640),"")</f>
        <v/>
      </c>
      <c r="G640" s="24" t="str">
        <f>IF(E640&lt;&gt;"",SUMIFS(JPK_KR!AL:AL,JPK_KR!W:W,F640),"")</f>
        <v/>
      </c>
      <c r="H640" s="126" t="str">
        <f>IF(E640&lt;&gt;"",SUMIFS(JPK_KR!AM:AM,JPK_KR!W:W,F640),"")</f>
        <v/>
      </c>
      <c r="K640" s="24" t="str">
        <f>IF(I640&lt;&gt;"",SUMIFS(JPK_KR!AL:AL,JPK_KR!W:W,J640),"")</f>
        <v/>
      </c>
      <c r="L640" s="126" t="str">
        <f>IF(I640&lt;&gt;"",SUMIFS(JPK_KR!AM:AM,JPK_KR!W:W,J640),"")</f>
        <v/>
      </c>
      <c r="P640" s="24" t="str">
        <f>IF(M640&lt;&gt;"",IF(O640="",SUMIFS(JPK_KR!AL:AL,JPK_KR!W:W,N640),SUMIFS(JPK_KR!BF:BF,JPK_KR!BE:BE,N640,JPK_KR!BG:BG,O640)),"")</f>
        <v/>
      </c>
      <c r="Q640" s="126" t="str">
        <f>IF(M640&lt;&gt;"",IF(O640="",SUMIFS(JPK_KR!AM:AM,JPK_KR!W:W,N640),SUMIFS(JPK_KR!BI:BI,JPK_KR!BH:BH,N640,JPK_KR!BJ:BJ,O640)),"")</f>
        <v/>
      </c>
      <c r="U640" s="24" t="str">
        <f>IF(R640&lt;&gt;"",SUMIFS(JPK_KR!AL:AL,JPK_KR!W:W,S640),"")</f>
        <v/>
      </c>
      <c r="V640" s="126" t="str">
        <f>IF(R640&lt;&gt;"",SUMIFS(JPK_KR!AM:AM,JPK_KR!W:W,S640),"")</f>
        <v/>
      </c>
    </row>
    <row r="641" spans="3:22" x14ac:dyDescent="0.3">
      <c r="C641" s="24" t="str">
        <f>IF(A641&lt;&gt;"",SUMIFS(JPK_KR!AL:AL,JPK_KR!W:W,B641),"")</f>
        <v/>
      </c>
      <c r="D641" s="126" t="str">
        <f>IF(A641&lt;&gt;"",SUMIFS(JPK_KR!AM:AM,JPK_KR!W:W,B641),"")</f>
        <v/>
      </c>
      <c r="G641" s="24" t="str">
        <f>IF(E641&lt;&gt;"",SUMIFS(JPK_KR!AL:AL,JPK_KR!W:W,F641),"")</f>
        <v/>
      </c>
      <c r="H641" s="126" t="str">
        <f>IF(E641&lt;&gt;"",SUMIFS(JPK_KR!AM:AM,JPK_KR!W:W,F641),"")</f>
        <v/>
      </c>
      <c r="K641" s="24" t="str">
        <f>IF(I641&lt;&gt;"",SUMIFS(JPK_KR!AL:AL,JPK_KR!W:W,J641),"")</f>
        <v/>
      </c>
      <c r="L641" s="126" t="str">
        <f>IF(I641&lt;&gt;"",SUMIFS(JPK_KR!AM:AM,JPK_KR!W:W,J641),"")</f>
        <v/>
      </c>
      <c r="P641" s="24" t="str">
        <f>IF(M641&lt;&gt;"",IF(O641="",SUMIFS(JPK_KR!AL:AL,JPK_KR!W:W,N641),SUMIFS(JPK_KR!BF:BF,JPK_KR!BE:BE,N641,JPK_KR!BG:BG,O641)),"")</f>
        <v/>
      </c>
      <c r="Q641" s="126" t="str">
        <f>IF(M641&lt;&gt;"",IF(O641="",SUMIFS(JPK_KR!AM:AM,JPK_KR!W:W,N641),SUMIFS(JPK_KR!BI:BI,JPK_KR!BH:BH,N641,JPK_KR!BJ:BJ,O641)),"")</f>
        <v/>
      </c>
      <c r="U641" s="24" t="str">
        <f>IF(R641&lt;&gt;"",SUMIFS(JPK_KR!AL:AL,JPK_KR!W:W,S641),"")</f>
        <v/>
      </c>
      <c r="V641" s="126" t="str">
        <f>IF(R641&lt;&gt;"",SUMIFS(JPK_KR!AM:AM,JPK_KR!W:W,S641),"")</f>
        <v/>
      </c>
    </row>
    <row r="642" spans="3:22" x14ac:dyDescent="0.3">
      <c r="C642" s="24" t="str">
        <f>IF(A642&lt;&gt;"",SUMIFS(JPK_KR!AL:AL,JPK_KR!W:W,B642),"")</f>
        <v/>
      </c>
      <c r="D642" s="126" t="str">
        <f>IF(A642&lt;&gt;"",SUMIFS(JPK_KR!AM:AM,JPK_KR!W:W,B642),"")</f>
        <v/>
      </c>
      <c r="G642" s="24" t="str">
        <f>IF(E642&lt;&gt;"",SUMIFS(JPK_KR!AL:AL,JPK_KR!W:W,F642),"")</f>
        <v/>
      </c>
      <c r="H642" s="126" t="str">
        <f>IF(E642&lt;&gt;"",SUMIFS(JPK_KR!AM:AM,JPK_KR!W:W,F642),"")</f>
        <v/>
      </c>
      <c r="K642" s="24" t="str">
        <f>IF(I642&lt;&gt;"",SUMIFS(JPK_KR!AL:AL,JPK_KR!W:W,J642),"")</f>
        <v/>
      </c>
      <c r="L642" s="126" t="str">
        <f>IF(I642&lt;&gt;"",SUMIFS(JPK_KR!AM:AM,JPK_KR!W:W,J642),"")</f>
        <v/>
      </c>
      <c r="P642" s="24" t="str">
        <f>IF(M642&lt;&gt;"",IF(O642="",SUMIFS(JPK_KR!AL:AL,JPK_KR!W:W,N642),SUMIFS(JPK_KR!BF:BF,JPK_KR!BE:BE,N642,JPK_KR!BG:BG,O642)),"")</f>
        <v/>
      </c>
      <c r="Q642" s="126" t="str">
        <f>IF(M642&lt;&gt;"",IF(O642="",SUMIFS(JPK_KR!AM:AM,JPK_KR!W:W,N642),SUMIFS(JPK_KR!BI:BI,JPK_KR!BH:BH,N642,JPK_KR!BJ:BJ,O642)),"")</f>
        <v/>
      </c>
      <c r="U642" s="24" t="str">
        <f>IF(R642&lt;&gt;"",SUMIFS(JPK_KR!AL:AL,JPK_KR!W:W,S642),"")</f>
        <v/>
      </c>
      <c r="V642" s="126" t="str">
        <f>IF(R642&lt;&gt;"",SUMIFS(JPK_KR!AM:AM,JPK_KR!W:W,S642),"")</f>
        <v/>
      </c>
    </row>
    <row r="643" spans="3:22" x14ac:dyDescent="0.3">
      <c r="C643" s="24" t="str">
        <f>IF(A643&lt;&gt;"",SUMIFS(JPK_KR!AL:AL,JPK_KR!W:W,B643),"")</f>
        <v/>
      </c>
      <c r="D643" s="126" t="str">
        <f>IF(A643&lt;&gt;"",SUMIFS(JPK_KR!AM:AM,JPK_KR!W:W,B643),"")</f>
        <v/>
      </c>
      <c r="G643" s="24" t="str">
        <f>IF(E643&lt;&gt;"",SUMIFS(JPK_KR!AL:AL,JPK_KR!W:W,F643),"")</f>
        <v/>
      </c>
      <c r="H643" s="126" t="str">
        <f>IF(E643&lt;&gt;"",SUMIFS(JPK_KR!AM:AM,JPK_KR!W:W,F643),"")</f>
        <v/>
      </c>
      <c r="K643" s="24" t="str">
        <f>IF(I643&lt;&gt;"",SUMIFS(JPK_KR!AL:AL,JPK_KR!W:W,J643),"")</f>
        <v/>
      </c>
      <c r="L643" s="126" t="str">
        <f>IF(I643&lt;&gt;"",SUMIFS(JPK_KR!AM:AM,JPK_KR!W:W,J643),"")</f>
        <v/>
      </c>
      <c r="P643" s="24" t="str">
        <f>IF(M643&lt;&gt;"",IF(O643="",SUMIFS(JPK_KR!AL:AL,JPK_KR!W:W,N643),SUMIFS(JPK_KR!BF:BF,JPK_KR!BE:BE,N643,JPK_KR!BG:BG,O643)),"")</f>
        <v/>
      </c>
      <c r="Q643" s="126" t="str">
        <f>IF(M643&lt;&gt;"",IF(O643="",SUMIFS(JPK_KR!AM:AM,JPK_KR!W:W,N643),SUMIFS(JPK_KR!BI:BI,JPK_KR!BH:BH,N643,JPK_KR!BJ:BJ,O643)),"")</f>
        <v/>
      </c>
      <c r="U643" s="24" t="str">
        <f>IF(R643&lt;&gt;"",SUMIFS(JPK_KR!AL:AL,JPK_KR!W:W,S643),"")</f>
        <v/>
      </c>
      <c r="V643" s="126" t="str">
        <f>IF(R643&lt;&gt;"",SUMIFS(JPK_KR!AM:AM,JPK_KR!W:W,S643),"")</f>
        <v/>
      </c>
    </row>
    <row r="644" spans="3:22" x14ac:dyDescent="0.3">
      <c r="C644" s="24" t="str">
        <f>IF(A644&lt;&gt;"",SUMIFS(JPK_KR!AL:AL,JPK_KR!W:W,B644),"")</f>
        <v/>
      </c>
      <c r="D644" s="126" t="str">
        <f>IF(A644&lt;&gt;"",SUMIFS(JPK_KR!AM:AM,JPK_KR!W:W,B644),"")</f>
        <v/>
      </c>
      <c r="G644" s="24" t="str">
        <f>IF(E644&lt;&gt;"",SUMIFS(JPK_KR!AL:AL,JPK_KR!W:W,F644),"")</f>
        <v/>
      </c>
      <c r="H644" s="126" t="str">
        <f>IF(E644&lt;&gt;"",SUMIFS(JPK_KR!AM:AM,JPK_KR!W:W,F644),"")</f>
        <v/>
      </c>
      <c r="K644" s="24" t="str">
        <f>IF(I644&lt;&gt;"",SUMIFS(JPK_KR!AL:AL,JPK_KR!W:W,J644),"")</f>
        <v/>
      </c>
      <c r="L644" s="126" t="str">
        <f>IF(I644&lt;&gt;"",SUMIFS(JPK_KR!AM:AM,JPK_KR!W:W,J644),"")</f>
        <v/>
      </c>
      <c r="P644" s="24" t="str">
        <f>IF(M644&lt;&gt;"",IF(O644="",SUMIFS(JPK_KR!AL:AL,JPK_KR!W:W,N644),SUMIFS(JPK_KR!BF:BF,JPK_KR!BE:BE,N644,JPK_KR!BG:BG,O644)),"")</f>
        <v/>
      </c>
      <c r="Q644" s="126" t="str">
        <f>IF(M644&lt;&gt;"",IF(O644="",SUMIFS(JPK_KR!AM:AM,JPK_KR!W:W,N644),SUMIFS(JPK_KR!BI:BI,JPK_KR!BH:BH,N644,JPK_KR!BJ:BJ,O644)),"")</f>
        <v/>
      </c>
      <c r="U644" s="24" t="str">
        <f>IF(R644&lt;&gt;"",SUMIFS(JPK_KR!AL:AL,JPK_KR!W:W,S644),"")</f>
        <v/>
      </c>
      <c r="V644" s="126" t="str">
        <f>IF(R644&lt;&gt;"",SUMIFS(JPK_KR!AM:AM,JPK_KR!W:W,S644),"")</f>
        <v/>
      </c>
    </row>
    <row r="645" spans="3:22" x14ac:dyDescent="0.3">
      <c r="C645" s="24" t="str">
        <f>IF(A645&lt;&gt;"",SUMIFS(JPK_KR!AL:AL,JPK_KR!W:W,B645),"")</f>
        <v/>
      </c>
      <c r="D645" s="126" t="str">
        <f>IF(A645&lt;&gt;"",SUMIFS(JPK_KR!AM:AM,JPK_KR!W:W,B645),"")</f>
        <v/>
      </c>
      <c r="G645" s="24" t="str">
        <f>IF(E645&lt;&gt;"",SUMIFS(JPK_KR!AL:AL,JPK_KR!W:W,F645),"")</f>
        <v/>
      </c>
      <c r="H645" s="126" t="str">
        <f>IF(E645&lt;&gt;"",SUMIFS(JPK_KR!AM:AM,JPK_KR!W:W,F645),"")</f>
        <v/>
      </c>
      <c r="K645" s="24" t="str">
        <f>IF(I645&lt;&gt;"",SUMIFS(JPK_KR!AL:AL,JPK_KR!W:W,J645),"")</f>
        <v/>
      </c>
      <c r="L645" s="126" t="str">
        <f>IF(I645&lt;&gt;"",SUMIFS(JPK_KR!AM:AM,JPK_KR!W:W,J645),"")</f>
        <v/>
      </c>
      <c r="P645" s="24" t="str">
        <f>IF(M645&lt;&gt;"",IF(O645="",SUMIFS(JPK_KR!AL:AL,JPK_KR!W:W,N645),SUMIFS(JPK_KR!BF:BF,JPK_KR!BE:BE,N645,JPK_KR!BG:BG,O645)),"")</f>
        <v/>
      </c>
      <c r="Q645" s="126" t="str">
        <f>IF(M645&lt;&gt;"",IF(O645="",SUMIFS(JPK_KR!AM:AM,JPK_KR!W:W,N645),SUMIFS(JPK_KR!BI:BI,JPK_KR!BH:BH,N645,JPK_KR!BJ:BJ,O645)),"")</f>
        <v/>
      </c>
      <c r="U645" s="24" t="str">
        <f>IF(R645&lt;&gt;"",SUMIFS(JPK_KR!AL:AL,JPK_KR!W:W,S645),"")</f>
        <v/>
      </c>
      <c r="V645" s="126" t="str">
        <f>IF(R645&lt;&gt;"",SUMIFS(JPK_KR!AM:AM,JPK_KR!W:W,S645),"")</f>
        <v/>
      </c>
    </row>
    <row r="646" spans="3:22" x14ac:dyDescent="0.3">
      <c r="C646" s="24" t="str">
        <f>IF(A646&lt;&gt;"",SUMIFS(JPK_KR!AL:AL,JPK_KR!W:W,B646),"")</f>
        <v/>
      </c>
      <c r="D646" s="126" t="str">
        <f>IF(A646&lt;&gt;"",SUMIFS(JPK_KR!AM:AM,JPK_KR!W:W,B646),"")</f>
        <v/>
      </c>
      <c r="G646" s="24" t="str">
        <f>IF(E646&lt;&gt;"",SUMIFS(JPK_KR!AL:AL,JPK_KR!W:W,F646),"")</f>
        <v/>
      </c>
      <c r="H646" s="126" t="str">
        <f>IF(E646&lt;&gt;"",SUMIFS(JPK_KR!AM:AM,JPK_KR!W:W,F646),"")</f>
        <v/>
      </c>
      <c r="K646" s="24" t="str">
        <f>IF(I646&lt;&gt;"",SUMIFS(JPK_KR!AL:AL,JPK_KR!W:W,J646),"")</f>
        <v/>
      </c>
      <c r="L646" s="126" t="str">
        <f>IF(I646&lt;&gt;"",SUMIFS(JPK_KR!AM:AM,JPK_KR!W:W,J646),"")</f>
        <v/>
      </c>
      <c r="P646" s="24" t="str">
        <f>IF(M646&lt;&gt;"",IF(O646="",SUMIFS(JPK_KR!AL:AL,JPK_KR!W:W,N646),SUMIFS(JPK_KR!BF:BF,JPK_KR!BE:BE,N646,JPK_KR!BG:BG,O646)),"")</f>
        <v/>
      </c>
      <c r="Q646" s="126" t="str">
        <f>IF(M646&lt;&gt;"",IF(O646="",SUMIFS(JPK_KR!AM:AM,JPK_KR!W:W,N646),SUMIFS(JPK_KR!BI:BI,JPK_KR!BH:BH,N646,JPK_KR!BJ:BJ,O646)),"")</f>
        <v/>
      </c>
      <c r="U646" s="24" t="str">
        <f>IF(R646&lt;&gt;"",SUMIFS(JPK_KR!AL:AL,JPK_KR!W:W,S646),"")</f>
        <v/>
      </c>
      <c r="V646" s="126" t="str">
        <f>IF(R646&lt;&gt;"",SUMIFS(JPK_KR!AM:AM,JPK_KR!W:W,S646),"")</f>
        <v/>
      </c>
    </row>
    <row r="647" spans="3:22" x14ac:dyDescent="0.3">
      <c r="C647" s="24" t="str">
        <f>IF(A647&lt;&gt;"",SUMIFS(JPK_KR!AL:AL,JPK_KR!W:W,B647),"")</f>
        <v/>
      </c>
      <c r="D647" s="126" t="str">
        <f>IF(A647&lt;&gt;"",SUMIFS(JPK_KR!AM:AM,JPK_KR!W:W,B647),"")</f>
        <v/>
      </c>
      <c r="G647" s="24" t="str">
        <f>IF(E647&lt;&gt;"",SUMIFS(JPK_KR!AL:AL,JPK_KR!W:W,F647),"")</f>
        <v/>
      </c>
      <c r="H647" s="126" t="str">
        <f>IF(E647&lt;&gt;"",SUMIFS(JPK_KR!AM:AM,JPK_KR!W:W,F647),"")</f>
        <v/>
      </c>
      <c r="K647" s="24" t="str">
        <f>IF(I647&lt;&gt;"",SUMIFS(JPK_KR!AL:AL,JPK_KR!W:W,J647),"")</f>
        <v/>
      </c>
      <c r="L647" s="126" t="str">
        <f>IF(I647&lt;&gt;"",SUMIFS(JPK_KR!AM:AM,JPK_KR!W:W,J647),"")</f>
        <v/>
      </c>
      <c r="P647" s="24" t="str">
        <f>IF(M647&lt;&gt;"",IF(O647="",SUMIFS(JPK_KR!AL:AL,JPK_KR!W:W,N647),SUMIFS(JPK_KR!BF:BF,JPK_KR!BE:BE,N647,JPK_KR!BG:BG,O647)),"")</f>
        <v/>
      </c>
      <c r="Q647" s="126" t="str">
        <f>IF(M647&lt;&gt;"",IF(O647="",SUMIFS(JPK_KR!AM:AM,JPK_KR!W:W,N647),SUMIFS(JPK_KR!BI:BI,JPK_KR!BH:BH,N647,JPK_KR!BJ:BJ,O647)),"")</f>
        <v/>
      </c>
      <c r="U647" s="24" t="str">
        <f>IF(R647&lt;&gt;"",SUMIFS(JPK_KR!AL:AL,JPK_KR!W:W,S647),"")</f>
        <v/>
      </c>
      <c r="V647" s="126" t="str">
        <f>IF(R647&lt;&gt;"",SUMIFS(JPK_KR!AM:AM,JPK_KR!W:W,S647),"")</f>
        <v/>
      </c>
    </row>
    <row r="648" spans="3:22" x14ac:dyDescent="0.3">
      <c r="C648" s="24" t="str">
        <f>IF(A648&lt;&gt;"",SUMIFS(JPK_KR!AL:AL,JPK_KR!W:W,B648),"")</f>
        <v/>
      </c>
      <c r="D648" s="126" t="str">
        <f>IF(A648&lt;&gt;"",SUMIFS(JPK_KR!AM:AM,JPK_KR!W:W,B648),"")</f>
        <v/>
      </c>
      <c r="G648" s="24" t="str">
        <f>IF(E648&lt;&gt;"",SUMIFS(JPK_KR!AL:AL,JPK_KR!W:W,F648),"")</f>
        <v/>
      </c>
      <c r="H648" s="126" t="str">
        <f>IF(E648&lt;&gt;"",SUMIFS(JPK_KR!AM:AM,JPK_KR!W:W,F648),"")</f>
        <v/>
      </c>
      <c r="K648" s="24" t="str">
        <f>IF(I648&lt;&gt;"",SUMIFS(JPK_KR!AL:AL,JPK_KR!W:W,J648),"")</f>
        <v/>
      </c>
      <c r="L648" s="126" t="str">
        <f>IF(I648&lt;&gt;"",SUMIFS(JPK_KR!AM:AM,JPK_KR!W:W,J648),"")</f>
        <v/>
      </c>
      <c r="P648" s="24" t="str">
        <f>IF(M648&lt;&gt;"",IF(O648="",SUMIFS(JPK_KR!AL:AL,JPK_KR!W:W,N648),SUMIFS(JPK_KR!BF:BF,JPK_KR!BE:BE,N648,JPK_KR!BG:BG,O648)),"")</f>
        <v/>
      </c>
      <c r="Q648" s="126" t="str">
        <f>IF(M648&lt;&gt;"",IF(O648="",SUMIFS(JPK_KR!AM:AM,JPK_KR!W:W,N648),SUMIFS(JPK_KR!BI:BI,JPK_KR!BH:BH,N648,JPK_KR!BJ:BJ,O648)),"")</f>
        <v/>
      </c>
      <c r="U648" s="24" t="str">
        <f>IF(R648&lt;&gt;"",SUMIFS(JPK_KR!AL:AL,JPK_KR!W:W,S648),"")</f>
        <v/>
      </c>
      <c r="V648" s="126" t="str">
        <f>IF(R648&lt;&gt;"",SUMIFS(JPK_KR!AM:AM,JPK_KR!W:W,S648),"")</f>
        <v/>
      </c>
    </row>
    <row r="649" spans="3:22" x14ac:dyDescent="0.3">
      <c r="C649" s="24" t="str">
        <f>IF(A649&lt;&gt;"",SUMIFS(JPK_KR!AL:AL,JPK_KR!W:W,B649),"")</f>
        <v/>
      </c>
      <c r="D649" s="126" t="str">
        <f>IF(A649&lt;&gt;"",SUMIFS(JPK_KR!AM:AM,JPK_KR!W:W,B649),"")</f>
        <v/>
      </c>
      <c r="G649" s="24" t="str">
        <f>IF(E649&lt;&gt;"",SUMIFS(JPK_KR!AL:AL,JPK_KR!W:W,F649),"")</f>
        <v/>
      </c>
      <c r="H649" s="126" t="str">
        <f>IF(E649&lt;&gt;"",SUMIFS(JPK_KR!AM:AM,JPK_KR!W:W,F649),"")</f>
        <v/>
      </c>
      <c r="K649" s="24" t="str">
        <f>IF(I649&lt;&gt;"",SUMIFS(JPK_KR!AL:AL,JPK_KR!W:W,J649),"")</f>
        <v/>
      </c>
      <c r="L649" s="126" t="str">
        <f>IF(I649&lt;&gt;"",SUMIFS(JPK_KR!AM:AM,JPK_KR!W:W,J649),"")</f>
        <v/>
      </c>
      <c r="P649" s="24" t="str">
        <f>IF(M649&lt;&gt;"",IF(O649="",SUMIFS(JPK_KR!AL:AL,JPK_KR!W:W,N649),SUMIFS(JPK_KR!BF:BF,JPK_KR!BE:BE,N649,JPK_KR!BG:BG,O649)),"")</f>
        <v/>
      </c>
      <c r="Q649" s="126" t="str">
        <f>IF(M649&lt;&gt;"",IF(O649="",SUMIFS(JPK_KR!AM:AM,JPK_KR!W:W,N649),SUMIFS(JPK_KR!BI:BI,JPK_KR!BH:BH,N649,JPK_KR!BJ:BJ,O649)),"")</f>
        <v/>
      </c>
      <c r="U649" s="24" t="str">
        <f>IF(R649&lt;&gt;"",SUMIFS(JPK_KR!AL:AL,JPK_KR!W:W,S649),"")</f>
        <v/>
      </c>
      <c r="V649" s="126" t="str">
        <f>IF(R649&lt;&gt;"",SUMIFS(JPK_KR!AM:AM,JPK_KR!W:W,S649),"")</f>
        <v/>
      </c>
    </row>
    <row r="650" spans="3:22" x14ac:dyDescent="0.3">
      <c r="C650" s="24" t="str">
        <f>IF(A650&lt;&gt;"",SUMIFS(JPK_KR!AL:AL,JPK_KR!W:W,B650),"")</f>
        <v/>
      </c>
      <c r="D650" s="126" t="str">
        <f>IF(A650&lt;&gt;"",SUMIFS(JPK_KR!AM:AM,JPK_KR!W:W,B650),"")</f>
        <v/>
      </c>
      <c r="G650" s="24" t="str">
        <f>IF(E650&lt;&gt;"",SUMIFS(JPK_KR!AL:AL,JPK_KR!W:W,F650),"")</f>
        <v/>
      </c>
      <c r="H650" s="126" t="str">
        <f>IF(E650&lt;&gt;"",SUMIFS(JPK_KR!AM:AM,JPK_KR!W:W,F650),"")</f>
        <v/>
      </c>
      <c r="K650" s="24" t="str">
        <f>IF(I650&lt;&gt;"",SUMIFS(JPK_KR!AL:AL,JPK_KR!W:W,J650),"")</f>
        <v/>
      </c>
      <c r="L650" s="126" t="str">
        <f>IF(I650&lt;&gt;"",SUMIFS(JPK_KR!AM:AM,JPK_KR!W:W,J650),"")</f>
        <v/>
      </c>
      <c r="P650" s="24" t="str">
        <f>IF(M650&lt;&gt;"",IF(O650="",SUMIFS(JPK_KR!AL:AL,JPK_KR!W:W,N650),SUMIFS(JPK_KR!BF:BF,JPK_KR!BE:BE,N650,JPK_KR!BG:BG,O650)),"")</f>
        <v/>
      </c>
      <c r="Q650" s="126" t="str">
        <f>IF(M650&lt;&gt;"",IF(O650="",SUMIFS(JPK_KR!AM:AM,JPK_KR!W:W,N650),SUMIFS(JPK_KR!BI:BI,JPK_KR!BH:BH,N650,JPK_KR!BJ:BJ,O650)),"")</f>
        <v/>
      </c>
      <c r="U650" s="24" t="str">
        <f>IF(R650&lt;&gt;"",SUMIFS(JPK_KR!AL:AL,JPK_KR!W:W,S650),"")</f>
        <v/>
      </c>
      <c r="V650" s="126" t="str">
        <f>IF(R650&lt;&gt;"",SUMIFS(JPK_KR!AM:AM,JPK_KR!W:W,S650),"")</f>
        <v/>
      </c>
    </row>
    <row r="651" spans="3:22" x14ac:dyDescent="0.3">
      <c r="C651" s="24" t="str">
        <f>IF(A651&lt;&gt;"",SUMIFS(JPK_KR!AL:AL,JPK_KR!W:W,B651),"")</f>
        <v/>
      </c>
      <c r="D651" s="126" t="str">
        <f>IF(A651&lt;&gt;"",SUMIFS(JPK_KR!AM:AM,JPK_KR!W:W,B651),"")</f>
        <v/>
      </c>
      <c r="G651" s="24" t="str">
        <f>IF(E651&lt;&gt;"",SUMIFS(JPK_KR!AL:AL,JPK_KR!W:W,F651),"")</f>
        <v/>
      </c>
      <c r="H651" s="126" t="str">
        <f>IF(E651&lt;&gt;"",SUMIFS(JPK_KR!AM:AM,JPK_KR!W:W,F651),"")</f>
        <v/>
      </c>
      <c r="K651" s="24" t="str">
        <f>IF(I651&lt;&gt;"",SUMIFS(JPK_KR!AL:AL,JPK_KR!W:W,J651),"")</f>
        <v/>
      </c>
      <c r="L651" s="126" t="str">
        <f>IF(I651&lt;&gt;"",SUMIFS(JPK_KR!AM:AM,JPK_KR!W:W,J651),"")</f>
        <v/>
      </c>
      <c r="P651" s="24" t="str">
        <f>IF(M651&lt;&gt;"",IF(O651="",SUMIFS(JPK_KR!AL:AL,JPK_KR!W:W,N651),SUMIFS(JPK_KR!BF:BF,JPK_KR!BE:BE,N651,JPK_KR!BG:BG,O651)),"")</f>
        <v/>
      </c>
      <c r="Q651" s="126" t="str">
        <f>IF(M651&lt;&gt;"",IF(O651="",SUMIFS(JPK_KR!AM:AM,JPK_KR!W:W,N651),SUMIFS(JPK_KR!BI:BI,JPK_KR!BH:BH,N651,JPK_KR!BJ:BJ,O651)),"")</f>
        <v/>
      </c>
      <c r="U651" s="24" t="str">
        <f>IF(R651&lt;&gt;"",SUMIFS(JPK_KR!AL:AL,JPK_KR!W:W,S651),"")</f>
        <v/>
      </c>
      <c r="V651" s="126" t="str">
        <f>IF(R651&lt;&gt;"",SUMIFS(JPK_KR!AM:AM,JPK_KR!W:W,S651),"")</f>
        <v/>
      </c>
    </row>
    <row r="652" spans="3:22" x14ac:dyDescent="0.3">
      <c r="C652" s="24" t="str">
        <f>IF(A652&lt;&gt;"",SUMIFS(JPK_KR!AL:AL,JPK_KR!W:W,B652),"")</f>
        <v/>
      </c>
      <c r="D652" s="126" t="str">
        <f>IF(A652&lt;&gt;"",SUMIFS(JPK_KR!AM:AM,JPK_KR!W:W,B652),"")</f>
        <v/>
      </c>
      <c r="G652" s="24" t="str">
        <f>IF(E652&lt;&gt;"",SUMIFS(JPK_KR!AL:AL,JPK_KR!W:W,F652),"")</f>
        <v/>
      </c>
      <c r="H652" s="126" t="str">
        <f>IF(E652&lt;&gt;"",SUMIFS(JPK_KR!AM:AM,JPK_KR!W:W,F652),"")</f>
        <v/>
      </c>
      <c r="K652" s="24" t="str">
        <f>IF(I652&lt;&gt;"",SUMIFS(JPK_KR!AL:AL,JPK_KR!W:W,J652),"")</f>
        <v/>
      </c>
      <c r="L652" s="126" t="str">
        <f>IF(I652&lt;&gt;"",SUMIFS(JPK_KR!AM:AM,JPK_KR!W:W,J652),"")</f>
        <v/>
      </c>
      <c r="P652" s="24" t="str">
        <f>IF(M652&lt;&gt;"",IF(O652="",SUMIFS(JPK_KR!AL:AL,JPK_KR!W:W,N652),SUMIFS(JPK_KR!BF:BF,JPK_KR!BE:BE,N652,JPK_KR!BG:BG,O652)),"")</f>
        <v/>
      </c>
      <c r="Q652" s="126" t="str">
        <f>IF(M652&lt;&gt;"",IF(O652="",SUMIFS(JPK_KR!AM:AM,JPK_KR!W:W,N652),SUMIFS(JPK_KR!BI:BI,JPK_KR!BH:BH,N652,JPK_KR!BJ:BJ,O652)),"")</f>
        <v/>
      </c>
      <c r="U652" s="24" t="str">
        <f>IF(R652&lt;&gt;"",SUMIFS(JPK_KR!AL:AL,JPK_KR!W:W,S652),"")</f>
        <v/>
      </c>
      <c r="V652" s="126" t="str">
        <f>IF(R652&lt;&gt;"",SUMIFS(JPK_KR!AM:AM,JPK_KR!W:W,S652),"")</f>
        <v/>
      </c>
    </row>
    <row r="653" spans="3:22" x14ac:dyDescent="0.3">
      <c r="C653" s="24" t="str">
        <f>IF(A653&lt;&gt;"",SUMIFS(JPK_KR!AL:AL,JPK_KR!W:W,B653),"")</f>
        <v/>
      </c>
      <c r="D653" s="126" t="str">
        <f>IF(A653&lt;&gt;"",SUMIFS(JPK_KR!AM:AM,JPK_KR!W:W,B653),"")</f>
        <v/>
      </c>
      <c r="G653" s="24" t="str">
        <f>IF(E653&lt;&gt;"",SUMIFS(JPK_KR!AL:AL,JPK_KR!W:W,F653),"")</f>
        <v/>
      </c>
      <c r="H653" s="126" t="str">
        <f>IF(E653&lt;&gt;"",SUMIFS(JPK_KR!AM:AM,JPK_KR!W:W,F653),"")</f>
        <v/>
      </c>
      <c r="K653" s="24" t="str">
        <f>IF(I653&lt;&gt;"",SUMIFS(JPK_KR!AL:AL,JPK_KR!W:W,J653),"")</f>
        <v/>
      </c>
      <c r="L653" s="126" t="str">
        <f>IF(I653&lt;&gt;"",SUMIFS(JPK_KR!AM:AM,JPK_KR!W:W,J653),"")</f>
        <v/>
      </c>
      <c r="P653" s="24" t="str">
        <f>IF(M653&lt;&gt;"",IF(O653="",SUMIFS(JPK_KR!AL:AL,JPK_KR!W:W,N653),SUMIFS(JPK_KR!BF:BF,JPK_KR!BE:BE,N653,JPK_KR!BG:BG,O653)),"")</f>
        <v/>
      </c>
      <c r="Q653" s="126" t="str">
        <f>IF(M653&lt;&gt;"",IF(O653="",SUMIFS(JPK_KR!AM:AM,JPK_KR!W:W,N653),SUMIFS(JPK_KR!BI:BI,JPK_KR!BH:BH,N653,JPK_KR!BJ:BJ,O653)),"")</f>
        <v/>
      </c>
      <c r="U653" s="24" t="str">
        <f>IF(R653&lt;&gt;"",SUMIFS(JPK_KR!AL:AL,JPK_KR!W:W,S653),"")</f>
        <v/>
      </c>
      <c r="V653" s="126" t="str">
        <f>IF(R653&lt;&gt;"",SUMIFS(JPK_KR!AM:AM,JPK_KR!W:W,S653),"")</f>
        <v/>
      </c>
    </row>
    <row r="654" spans="3:22" x14ac:dyDescent="0.3">
      <c r="C654" s="24" t="str">
        <f>IF(A654&lt;&gt;"",SUMIFS(JPK_KR!AL:AL,JPK_KR!W:W,B654),"")</f>
        <v/>
      </c>
      <c r="D654" s="126" t="str">
        <f>IF(A654&lt;&gt;"",SUMIFS(JPK_KR!AM:AM,JPK_KR!W:W,B654),"")</f>
        <v/>
      </c>
      <c r="G654" s="24" t="str">
        <f>IF(E654&lt;&gt;"",SUMIFS(JPK_KR!AL:AL,JPK_KR!W:W,F654),"")</f>
        <v/>
      </c>
      <c r="H654" s="126" t="str">
        <f>IF(E654&lt;&gt;"",SUMIFS(JPK_KR!AM:AM,JPK_KR!W:W,F654),"")</f>
        <v/>
      </c>
      <c r="K654" s="24" t="str">
        <f>IF(I654&lt;&gt;"",SUMIFS(JPK_KR!AL:AL,JPK_KR!W:W,J654),"")</f>
        <v/>
      </c>
      <c r="L654" s="126" t="str">
        <f>IF(I654&lt;&gt;"",SUMIFS(JPK_KR!AM:AM,JPK_KR!W:W,J654),"")</f>
        <v/>
      </c>
      <c r="P654" s="24" t="str">
        <f>IF(M654&lt;&gt;"",IF(O654="",SUMIFS(JPK_KR!AL:AL,JPK_KR!W:W,N654),SUMIFS(JPK_KR!BF:BF,JPK_KR!BE:BE,N654,JPK_KR!BG:BG,O654)),"")</f>
        <v/>
      </c>
      <c r="Q654" s="126" t="str">
        <f>IF(M654&lt;&gt;"",IF(O654="",SUMIFS(JPK_KR!AM:AM,JPK_KR!W:W,N654),SUMIFS(JPK_KR!BI:BI,JPK_KR!BH:BH,N654,JPK_KR!BJ:BJ,O654)),"")</f>
        <v/>
      </c>
      <c r="U654" s="24" t="str">
        <f>IF(R654&lt;&gt;"",SUMIFS(JPK_KR!AL:AL,JPK_KR!W:W,S654),"")</f>
        <v/>
      </c>
      <c r="V654" s="126" t="str">
        <f>IF(R654&lt;&gt;"",SUMIFS(JPK_KR!AM:AM,JPK_KR!W:W,S654),"")</f>
        <v/>
      </c>
    </row>
    <row r="655" spans="3:22" x14ac:dyDescent="0.3">
      <c r="C655" s="24" t="str">
        <f>IF(A655&lt;&gt;"",SUMIFS(JPK_KR!AL:AL,JPK_KR!W:W,B655),"")</f>
        <v/>
      </c>
      <c r="D655" s="126" t="str">
        <f>IF(A655&lt;&gt;"",SUMIFS(JPK_KR!AM:AM,JPK_KR!W:W,B655),"")</f>
        <v/>
      </c>
      <c r="G655" s="24" t="str">
        <f>IF(E655&lt;&gt;"",SUMIFS(JPK_KR!AL:AL,JPK_KR!W:W,F655),"")</f>
        <v/>
      </c>
      <c r="H655" s="126" t="str">
        <f>IF(E655&lt;&gt;"",SUMIFS(JPK_KR!AM:AM,JPK_KR!W:W,F655),"")</f>
        <v/>
      </c>
      <c r="K655" s="24" t="str">
        <f>IF(I655&lt;&gt;"",SUMIFS(JPK_KR!AL:AL,JPK_KR!W:W,J655),"")</f>
        <v/>
      </c>
      <c r="L655" s="126" t="str">
        <f>IF(I655&lt;&gt;"",SUMIFS(JPK_KR!AM:AM,JPK_KR!W:W,J655),"")</f>
        <v/>
      </c>
      <c r="P655" s="24" t="str">
        <f>IF(M655&lt;&gt;"",IF(O655="",SUMIFS(JPK_KR!AL:AL,JPK_KR!W:W,N655),SUMIFS(JPK_KR!BF:BF,JPK_KR!BE:BE,N655,JPK_KR!BG:BG,O655)),"")</f>
        <v/>
      </c>
      <c r="Q655" s="126" t="str">
        <f>IF(M655&lt;&gt;"",IF(O655="",SUMIFS(JPK_KR!AM:AM,JPK_KR!W:W,N655),SUMIFS(JPK_KR!BI:BI,JPK_KR!BH:BH,N655,JPK_KR!BJ:BJ,O655)),"")</f>
        <v/>
      </c>
      <c r="U655" s="24" t="str">
        <f>IF(R655&lt;&gt;"",SUMIFS(JPK_KR!AL:AL,JPK_KR!W:W,S655),"")</f>
        <v/>
      </c>
      <c r="V655" s="126" t="str">
        <f>IF(R655&lt;&gt;"",SUMIFS(JPK_KR!AM:AM,JPK_KR!W:W,S655),"")</f>
        <v/>
      </c>
    </row>
    <row r="656" spans="3:22" x14ac:dyDescent="0.3">
      <c r="C656" s="24" t="str">
        <f>IF(A656&lt;&gt;"",SUMIFS(JPK_KR!AL:AL,JPK_KR!W:W,B656),"")</f>
        <v/>
      </c>
      <c r="D656" s="126" t="str">
        <f>IF(A656&lt;&gt;"",SUMIFS(JPK_KR!AM:AM,JPK_KR!W:W,B656),"")</f>
        <v/>
      </c>
      <c r="G656" s="24" t="str">
        <f>IF(E656&lt;&gt;"",SUMIFS(JPK_KR!AL:AL,JPK_KR!W:W,F656),"")</f>
        <v/>
      </c>
      <c r="H656" s="126" t="str">
        <f>IF(E656&lt;&gt;"",SUMIFS(JPK_KR!AM:AM,JPK_KR!W:W,F656),"")</f>
        <v/>
      </c>
      <c r="K656" s="24" t="str">
        <f>IF(I656&lt;&gt;"",SUMIFS(JPK_KR!AL:AL,JPK_KR!W:W,J656),"")</f>
        <v/>
      </c>
      <c r="L656" s="126" t="str">
        <f>IF(I656&lt;&gt;"",SUMIFS(JPK_KR!AM:AM,JPK_KR!W:W,J656),"")</f>
        <v/>
      </c>
      <c r="P656" s="24" t="str">
        <f>IF(M656&lt;&gt;"",IF(O656="",SUMIFS(JPK_KR!AL:AL,JPK_KR!W:W,N656),SUMIFS(JPK_KR!BF:BF,JPK_KR!BE:BE,N656,JPK_KR!BG:BG,O656)),"")</f>
        <v/>
      </c>
      <c r="Q656" s="126" t="str">
        <f>IF(M656&lt;&gt;"",IF(O656="",SUMIFS(JPK_KR!AM:AM,JPK_KR!W:W,N656),SUMIFS(JPK_KR!BI:BI,JPK_KR!BH:BH,N656,JPK_KR!BJ:BJ,O656)),"")</f>
        <v/>
      </c>
      <c r="U656" s="24" t="str">
        <f>IF(R656&lt;&gt;"",SUMIFS(JPK_KR!AL:AL,JPK_KR!W:W,S656),"")</f>
        <v/>
      </c>
      <c r="V656" s="126" t="str">
        <f>IF(R656&lt;&gt;"",SUMIFS(JPK_KR!AM:AM,JPK_KR!W:W,S656),"")</f>
        <v/>
      </c>
    </row>
    <row r="657" spans="3:22" x14ac:dyDescent="0.3">
      <c r="C657" s="24" t="str">
        <f>IF(A657&lt;&gt;"",SUMIFS(JPK_KR!AL:AL,JPK_KR!W:W,B657),"")</f>
        <v/>
      </c>
      <c r="D657" s="126" t="str">
        <f>IF(A657&lt;&gt;"",SUMIFS(JPK_KR!AM:AM,JPK_KR!W:W,B657),"")</f>
        <v/>
      </c>
      <c r="G657" s="24" t="str">
        <f>IF(E657&lt;&gt;"",SUMIFS(JPK_KR!AL:AL,JPK_KR!W:W,F657),"")</f>
        <v/>
      </c>
      <c r="H657" s="126" t="str">
        <f>IF(E657&lt;&gt;"",SUMIFS(JPK_KR!AM:AM,JPK_KR!W:W,F657),"")</f>
        <v/>
      </c>
      <c r="K657" s="24" t="str">
        <f>IF(I657&lt;&gt;"",SUMIFS(JPK_KR!AL:AL,JPK_KR!W:W,J657),"")</f>
        <v/>
      </c>
      <c r="L657" s="126" t="str">
        <f>IF(I657&lt;&gt;"",SUMIFS(JPK_KR!AM:AM,JPK_KR!W:W,J657),"")</f>
        <v/>
      </c>
      <c r="P657" s="24" t="str">
        <f>IF(M657&lt;&gt;"",IF(O657="",SUMIFS(JPK_KR!AL:AL,JPK_KR!W:W,N657),SUMIFS(JPK_KR!BF:BF,JPK_KR!BE:BE,N657,JPK_KR!BG:BG,O657)),"")</f>
        <v/>
      </c>
      <c r="Q657" s="126" t="str">
        <f>IF(M657&lt;&gt;"",IF(O657="",SUMIFS(JPK_KR!AM:AM,JPK_KR!W:W,N657),SUMIFS(JPK_KR!BI:BI,JPK_KR!BH:BH,N657,JPK_KR!BJ:BJ,O657)),"")</f>
        <v/>
      </c>
      <c r="U657" s="24" t="str">
        <f>IF(R657&lt;&gt;"",SUMIFS(JPK_KR!AL:AL,JPK_KR!W:W,S657),"")</f>
        <v/>
      </c>
      <c r="V657" s="126" t="str">
        <f>IF(R657&lt;&gt;"",SUMIFS(JPK_KR!AM:AM,JPK_KR!W:W,S657),"")</f>
        <v/>
      </c>
    </row>
    <row r="658" spans="3:22" x14ac:dyDescent="0.3">
      <c r="C658" s="24" t="str">
        <f>IF(A658&lt;&gt;"",SUMIFS(JPK_KR!AL:AL,JPK_KR!W:W,B658),"")</f>
        <v/>
      </c>
      <c r="D658" s="126" t="str">
        <f>IF(A658&lt;&gt;"",SUMIFS(JPK_KR!AM:AM,JPK_KR!W:W,B658),"")</f>
        <v/>
      </c>
      <c r="G658" s="24" t="str">
        <f>IF(E658&lt;&gt;"",SUMIFS(JPK_KR!AL:AL,JPK_KR!W:W,F658),"")</f>
        <v/>
      </c>
      <c r="H658" s="126" t="str">
        <f>IF(E658&lt;&gt;"",SUMIFS(JPK_KR!AM:AM,JPK_KR!W:W,F658),"")</f>
        <v/>
      </c>
      <c r="K658" s="24" t="str">
        <f>IF(I658&lt;&gt;"",SUMIFS(JPK_KR!AL:AL,JPK_KR!W:W,J658),"")</f>
        <v/>
      </c>
      <c r="L658" s="126" t="str">
        <f>IF(I658&lt;&gt;"",SUMIFS(JPK_KR!AM:AM,JPK_KR!W:W,J658),"")</f>
        <v/>
      </c>
      <c r="P658" s="24" t="str">
        <f>IF(M658&lt;&gt;"",IF(O658="",SUMIFS(JPK_KR!AL:AL,JPK_KR!W:W,N658),SUMIFS(JPK_KR!BF:BF,JPK_KR!BE:BE,N658,JPK_KR!BG:BG,O658)),"")</f>
        <v/>
      </c>
      <c r="Q658" s="126" t="str">
        <f>IF(M658&lt;&gt;"",IF(O658="",SUMIFS(JPK_KR!AM:AM,JPK_KR!W:W,N658),SUMIFS(JPK_KR!BI:BI,JPK_KR!BH:BH,N658,JPK_KR!BJ:BJ,O658)),"")</f>
        <v/>
      </c>
      <c r="U658" s="24" t="str">
        <f>IF(R658&lt;&gt;"",SUMIFS(JPK_KR!AL:AL,JPK_KR!W:W,S658),"")</f>
        <v/>
      </c>
      <c r="V658" s="126" t="str">
        <f>IF(R658&lt;&gt;"",SUMIFS(JPK_KR!AM:AM,JPK_KR!W:W,S658),"")</f>
        <v/>
      </c>
    </row>
    <row r="659" spans="3:22" x14ac:dyDescent="0.3">
      <c r="C659" s="24" t="str">
        <f>IF(A659&lt;&gt;"",SUMIFS(JPK_KR!AL:AL,JPK_KR!W:W,B659),"")</f>
        <v/>
      </c>
      <c r="D659" s="126" t="str">
        <f>IF(A659&lt;&gt;"",SUMIFS(JPK_KR!AM:AM,JPK_KR!W:W,B659),"")</f>
        <v/>
      </c>
      <c r="G659" s="24" t="str">
        <f>IF(E659&lt;&gt;"",SUMIFS(JPK_KR!AL:AL,JPK_KR!W:W,F659),"")</f>
        <v/>
      </c>
      <c r="H659" s="126" t="str">
        <f>IF(E659&lt;&gt;"",SUMIFS(JPK_KR!AM:AM,JPK_KR!W:W,F659),"")</f>
        <v/>
      </c>
      <c r="K659" s="24" t="str">
        <f>IF(I659&lt;&gt;"",SUMIFS(JPK_KR!AL:AL,JPK_KR!W:W,J659),"")</f>
        <v/>
      </c>
      <c r="L659" s="126" t="str">
        <f>IF(I659&lt;&gt;"",SUMIFS(JPK_KR!AM:AM,JPK_KR!W:W,J659),"")</f>
        <v/>
      </c>
      <c r="P659" s="24" t="str">
        <f>IF(M659&lt;&gt;"",IF(O659="",SUMIFS(JPK_KR!AL:AL,JPK_KR!W:W,N659),SUMIFS(JPK_KR!BF:BF,JPK_KR!BE:BE,N659,JPK_KR!BG:BG,O659)),"")</f>
        <v/>
      </c>
      <c r="Q659" s="126" t="str">
        <f>IF(M659&lt;&gt;"",IF(O659="",SUMIFS(JPK_KR!AM:AM,JPK_KR!W:W,N659),SUMIFS(JPK_KR!BI:BI,JPK_KR!BH:BH,N659,JPK_KR!BJ:BJ,O659)),"")</f>
        <v/>
      </c>
      <c r="U659" s="24" t="str">
        <f>IF(R659&lt;&gt;"",SUMIFS(JPK_KR!AL:AL,JPK_KR!W:W,S659),"")</f>
        <v/>
      </c>
      <c r="V659" s="126" t="str">
        <f>IF(R659&lt;&gt;"",SUMIFS(JPK_KR!AM:AM,JPK_KR!W:W,S659),"")</f>
        <v/>
      </c>
    </row>
    <row r="660" spans="3:22" x14ac:dyDescent="0.3">
      <c r="C660" s="24" t="str">
        <f>IF(A660&lt;&gt;"",SUMIFS(JPK_KR!AL:AL,JPK_KR!W:W,B660),"")</f>
        <v/>
      </c>
      <c r="D660" s="126" t="str">
        <f>IF(A660&lt;&gt;"",SUMIFS(JPK_KR!AM:AM,JPK_KR!W:W,B660),"")</f>
        <v/>
      </c>
      <c r="G660" s="24" t="str">
        <f>IF(E660&lt;&gt;"",SUMIFS(JPK_KR!AL:AL,JPK_KR!W:W,F660),"")</f>
        <v/>
      </c>
      <c r="H660" s="126" t="str">
        <f>IF(E660&lt;&gt;"",SUMIFS(JPK_KR!AM:AM,JPK_KR!W:W,F660),"")</f>
        <v/>
      </c>
      <c r="K660" s="24" t="str">
        <f>IF(I660&lt;&gt;"",SUMIFS(JPK_KR!AL:AL,JPK_KR!W:W,J660),"")</f>
        <v/>
      </c>
      <c r="L660" s="126" t="str">
        <f>IF(I660&lt;&gt;"",SUMIFS(JPK_KR!AM:AM,JPK_KR!W:W,J660),"")</f>
        <v/>
      </c>
      <c r="P660" s="24" t="str">
        <f>IF(M660&lt;&gt;"",IF(O660="",SUMIFS(JPK_KR!AL:AL,JPK_KR!W:W,N660),SUMIFS(JPK_KR!BF:BF,JPK_KR!BE:BE,N660,JPK_KR!BG:BG,O660)),"")</f>
        <v/>
      </c>
      <c r="Q660" s="126" t="str">
        <f>IF(M660&lt;&gt;"",IF(O660="",SUMIFS(JPK_KR!AM:AM,JPK_KR!W:W,N660),SUMIFS(JPK_KR!BI:BI,JPK_KR!BH:BH,N660,JPK_KR!BJ:BJ,O660)),"")</f>
        <v/>
      </c>
      <c r="U660" s="24" t="str">
        <f>IF(R660&lt;&gt;"",SUMIFS(JPK_KR!AL:AL,JPK_KR!W:W,S660),"")</f>
        <v/>
      </c>
      <c r="V660" s="126" t="str">
        <f>IF(R660&lt;&gt;"",SUMIFS(JPK_KR!AM:AM,JPK_KR!W:W,S660),"")</f>
        <v/>
      </c>
    </row>
    <row r="661" spans="3:22" x14ac:dyDescent="0.3">
      <c r="C661" s="24" t="str">
        <f>IF(A661&lt;&gt;"",SUMIFS(JPK_KR!AL:AL,JPK_KR!W:W,B661),"")</f>
        <v/>
      </c>
      <c r="D661" s="126" t="str">
        <f>IF(A661&lt;&gt;"",SUMIFS(JPK_KR!AM:AM,JPK_KR!W:W,B661),"")</f>
        <v/>
      </c>
      <c r="G661" s="24" t="str">
        <f>IF(E661&lt;&gt;"",SUMIFS(JPK_KR!AL:AL,JPK_KR!W:W,F661),"")</f>
        <v/>
      </c>
      <c r="H661" s="126" t="str">
        <f>IF(E661&lt;&gt;"",SUMIFS(JPK_KR!AM:AM,JPK_KR!W:W,F661),"")</f>
        <v/>
      </c>
      <c r="K661" s="24" t="str">
        <f>IF(I661&lt;&gt;"",SUMIFS(JPK_KR!AL:AL,JPK_KR!W:W,J661),"")</f>
        <v/>
      </c>
      <c r="L661" s="126" t="str">
        <f>IF(I661&lt;&gt;"",SUMIFS(JPK_KR!AM:AM,JPK_KR!W:W,J661),"")</f>
        <v/>
      </c>
      <c r="P661" s="24" t="str">
        <f>IF(M661&lt;&gt;"",IF(O661="",SUMIFS(JPK_KR!AL:AL,JPK_KR!W:W,N661),SUMIFS(JPK_KR!BF:BF,JPK_KR!BE:BE,N661,JPK_KR!BG:BG,O661)),"")</f>
        <v/>
      </c>
      <c r="Q661" s="126" t="str">
        <f>IF(M661&lt;&gt;"",IF(O661="",SUMIFS(JPK_KR!AM:AM,JPK_KR!W:W,N661),SUMIFS(JPK_KR!BI:BI,JPK_KR!BH:BH,N661,JPK_KR!BJ:BJ,O661)),"")</f>
        <v/>
      </c>
      <c r="U661" s="24" t="str">
        <f>IF(R661&lt;&gt;"",SUMIFS(JPK_KR!AL:AL,JPK_KR!W:W,S661),"")</f>
        <v/>
      </c>
      <c r="V661" s="126" t="str">
        <f>IF(R661&lt;&gt;"",SUMIFS(JPK_KR!AM:AM,JPK_KR!W:W,S661),"")</f>
        <v/>
      </c>
    </row>
    <row r="662" spans="3:22" x14ac:dyDescent="0.3">
      <c r="C662" s="24" t="str">
        <f>IF(A662&lt;&gt;"",SUMIFS(JPK_KR!AL:AL,JPK_KR!W:W,B662),"")</f>
        <v/>
      </c>
      <c r="D662" s="126" t="str">
        <f>IF(A662&lt;&gt;"",SUMIFS(JPK_KR!AM:AM,JPK_KR!W:W,B662),"")</f>
        <v/>
      </c>
      <c r="G662" s="24" t="str">
        <f>IF(E662&lt;&gt;"",SUMIFS(JPK_KR!AL:AL,JPK_KR!W:W,F662),"")</f>
        <v/>
      </c>
      <c r="H662" s="126" t="str">
        <f>IF(E662&lt;&gt;"",SUMIFS(JPK_KR!AM:AM,JPK_KR!W:W,F662),"")</f>
        <v/>
      </c>
      <c r="K662" s="24" t="str">
        <f>IF(I662&lt;&gt;"",SUMIFS(JPK_KR!AL:AL,JPK_KR!W:W,J662),"")</f>
        <v/>
      </c>
      <c r="L662" s="126" t="str">
        <f>IF(I662&lt;&gt;"",SUMIFS(JPK_KR!AM:AM,JPK_KR!W:W,J662),"")</f>
        <v/>
      </c>
      <c r="P662" s="24" t="str">
        <f>IF(M662&lt;&gt;"",IF(O662="",SUMIFS(JPK_KR!AL:AL,JPK_KR!W:W,N662),SUMIFS(JPK_KR!BF:BF,JPK_KR!BE:BE,N662,JPK_KR!BG:BG,O662)),"")</f>
        <v/>
      </c>
      <c r="Q662" s="126" t="str">
        <f>IF(M662&lt;&gt;"",IF(O662="",SUMIFS(JPK_KR!AM:AM,JPK_KR!W:W,N662),SUMIFS(JPK_KR!BI:BI,JPK_KR!BH:BH,N662,JPK_KR!BJ:BJ,O662)),"")</f>
        <v/>
      </c>
      <c r="U662" s="24" t="str">
        <f>IF(R662&lt;&gt;"",SUMIFS(JPK_KR!AL:AL,JPK_KR!W:W,S662),"")</f>
        <v/>
      </c>
      <c r="V662" s="126" t="str">
        <f>IF(R662&lt;&gt;"",SUMIFS(JPK_KR!AM:AM,JPK_KR!W:W,S662),"")</f>
        <v/>
      </c>
    </row>
    <row r="663" spans="3:22" x14ac:dyDescent="0.3">
      <c r="C663" s="24" t="str">
        <f>IF(A663&lt;&gt;"",SUMIFS(JPK_KR!AL:AL,JPK_KR!W:W,B663),"")</f>
        <v/>
      </c>
      <c r="D663" s="126" t="str">
        <f>IF(A663&lt;&gt;"",SUMIFS(JPK_KR!AM:AM,JPK_KR!W:W,B663),"")</f>
        <v/>
      </c>
      <c r="G663" s="24" t="str">
        <f>IF(E663&lt;&gt;"",SUMIFS(JPK_KR!AL:AL,JPK_KR!W:W,F663),"")</f>
        <v/>
      </c>
      <c r="H663" s="126" t="str">
        <f>IF(E663&lt;&gt;"",SUMIFS(JPK_KR!AM:AM,JPK_KR!W:W,F663),"")</f>
        <v/>
      </c>
      <c r="K663" s="24" t="str">
        <f>IF(I663&lt;&gt;"",SUMIFS(JPK_KR!AL:AL,JPK_KR!W:W,J663),"")</f>
        <v/>
      </c>
      <c r="L663" s="126" t="str">
        <f>IF(I663&lt;&gt;"",SUMIFS(JPK_KR!AM:AM,JPK_KR!W:W,J663),"")</f>
        <v/>
      </c>
      <c r="P663" s="24" t="str">
        <f>IF(M663&lt;&gt;"",IF(O663="",SUMIFS(JPK_KR!AL:AL,JPK_KR!W:W,N663),SUMIFS(JPK_KR!BF:BF,JPK_KR!BE:BE,N663,JPK_KR!BG:BG,O663)),"")</f>
        <v/>
      </c>
      <c r="Q663" s="126" t="str">
        <f>IF(M663&lt;&gt;"",IF(O663="",SUMIFS(JPK_KR!AM:AM,JPK_KR!W:W,N663),SUMIFS(JPK_KR!BI:BI,JPK_KR!BH:BH,N663,JPK_KR!BJ:BJ,O663)),"")</f>
        <v/>
      </c>
      <c r="U663" s="24" t="str">
        <f>IF(R663&lt;&gt;"",SUMIFS(JPK_KR!AL:AL,JPK_KR!W:W,S663),"")</f>
        <v/>
      </c>
      <c r="V663" s="126" t="str">
        <f>IF(R663&lt;&gt;"",SUMIFS(JPK_KR!AM:AM,JPK_KR!W:W,S663),"")</f>
        <v/>
      </c>
    </row>
    <row r="664" spans="3:22" x14ac:dyDescent="0.3">
      <c r="C664" s="24" t="str">
        <f>IF(A664&lt;&gt;"",SUMIFS(JPK_KR!AL:AL,JPK_KR!W:W,B664),"")</f>
        <v/>
      </c>
      <c r="D664" s="126" t="str">
        <f>IF(A664&lt;&gt;"",SUMIFS(JPK_KR!AM:AM,JPK_KR!W:W,B664),"")</f>
        <v/>
      </c>
      <c r="G664" s="24" t="str">
        <f>IF(E664&lt;&gt;"",SUMIFS(JPK_KR!AL:AL,JPK_KR!W:W,F664),"")</f>
        <v/>
      </c>
      <c r="H664" s="126" t="str">
        <f>IF(E664&lt;&gt;"",SUMIFS(JPK_KR!AM:AM,JPK_KR!W:W,F664),"")</f>
        <v/>
      </c>
      <c r="K664" s="24" t="str">
        <f>IF(I664&lt;&gt;"",SUMIFS(JPK_KR!AL:AL,JPK_KR!W:W,J664),"")</f>
        <v/>
      </c>
      <c r="L664" s="126" t="str">
        <f>IF(I664&lt;&gt;"",SUMIFS(JPK_KR!AM:AM,JPK_KR!W:W,J664),"")</f>
        <v/>
      </c>
      <c r="P664" s="24" t="str">
        <f>IF(M664&lt;&gt;"",IF(O664="",SUMIFS(JPK_KR!AL:AL,JPK_KR!W:W,N664),SUMIFS(JPK_KR!BF:BF,JPK_KR!BE:BE,N664,JPK_KR!BG:BG,O664)),"")</f>
        <v/>
      </c>
      <c r="Q664" s="126" t="str">
        <f>IF(M664&lt;&gt;"",IF(O664="",SUMIFS(JPK_KR!AM:AM,JPK_KR!W:W,N664),SUMIFS(JPK_KR!BI:BI,JPK_KR!BH:BH,N664,JPK_KR!BJ:BJ,O664)),"")</f>
        <v/>
      </c>
      <c r="U664" s="24" t="str">
        <f>IF(R664&lt;&gt;"",SUMIFS(JPK_KR!AL:AL,JPK_KR!W:W,S664),"")</f>
        <v/>
      </c>
      <c r="V664" s="126" t="str">
        <f>IF(R664&lt;&gt;"",SUMIFS(JPK_KR!AM:AM,JPK_KR!W:W,S664),"")</f>
        <v/>
      </c>
    </row>
    <row r="665" spans="3:22" x14ac:dyDescent="0.3">
      <c r="C665" s="24" t="str">
        <f>IF(A665&lt;&gt;"",SUMIFS(JPK_KR!AL:AL,JPK_KR!W:W,B665),"")</f>
        <v/>
      </c>
      <c r="D665" s="126" t="str">
        <f>IF(A665&lt;&gt;"",SUMIFS(JPK_KR!AM:AM,JPK_KR!W:W,B665),"")</f>
        <v/>
      </c>
      <c r="G665" s="24" t="str">
        <f>IF(E665&lt;&gt;"",SUMIFS(JPK_KR!AL:AL,JPK_KR!W:W,F665),"")</f>
        <v/>
      </c>
      <c r="H665" s="126" t="str">
        <f>IF(E665&lt;&gt;"",SUMIFS(JPK_KR!AM:AM,JPK_KR!W:W,F665),"")</f>
        <v/>
      </c>
      <c r="K665" s="24" t="str">
        <f>IF(I665&lt;&gt;"",SUMIFS(JPK_KR!AL:AL,JPK_KR!W:W,J665),"")</f>
        <v/>
      </c>
      <c r="L665" s="126" t="str">
        <f>IF(I665&lt;&gt;"",SUMIFS(JPK_KR!AM:AM,JPK_KR!W:W,J665),"")</f>
        <v/>
      </c>
      <c r="P665" s="24" t="str">
        <f>IF(M665&lt;&gt;"",IF(O665="",SUMIFS(JPK_KR!AL:AL,JPK_KR!W:W,N665),SUMIFS(JPK_KR!BF:BF,JPK_KR!BE:BE,N665,JPK_KR!BG:BG,O665)),"")</f>
        <v/>
      </c>
      <c r="Q665" s="126" t="str">
        <f>IF(M665&lt;&gt;"",IF(O665="",SUMIFS(JPK_KR!AM:AM,JPK_KR!W:W,N665),SUMIFS(JPK_KR!BI:BI,JPK_KR!BH:BH,N665,JPK_KR!BJ:BJ,O665)),"")</f>
        <v/>
      </c>
      <c r="U665" s="24" t="str">
        <f>IF(R665&lt;&gt;"",SUMIFS(JPK_KR!AL:AL,JPK_KR!W:W,S665),"")</f>
        <v/>
      </c>
      <c r="V665" s="126" t="str">
        <f>IF(R665&lt;&gt;"",SUMIFS(JPK_KR!AM:AM,JPK_KR!W:W,S665),"")</f>
        <v/>
      </c>
    </row>
    <row r="666" spans="3:22" x14ac:dyDescent="0.3">
      <c r="C666" s="24" t="str">
        <f>IF(A666&lt;&gt;"",SUMIFS(JPK_KR!AL:AL,JPK_KR!W:W,B666),"")</f>
        <v/>
      </c>
      <c r="D666" s="126" t="str">
        <f>IF(A666&lt;&gt;"",SUMIFS(JPK_KR!AM:AM,JPK_KR!W:W,B666),"")</f>
        <v/>
      </c>
      <c r="G666" s="24" t="str">
        <f>IF(E666&lt;&gt;"",SUMIFS(JPK_KR!AL:AL,JPK_KR!W:W,F666),"")</f>
        <v/>
      </c>
      <c r="H666" s="126" t="str">
        <f>IF(E666&lt;&gt;"",SUMIFS(JPK_KR!AM:AM,JPK_KR!W:W,F666),"")</f>
        <v/>
      </c>
      <c r="K666" s="24" t="str">
        <f>IF(I666&lt;&gt;"",SUMIFS(JPK_KR!AL:AL,JPK_KR!W:W,J666),"")</f>
        <v/>
      </c>
      <c r="L666" s="126" t="str">
        <f>IF(I666&lt;&gt;"",SUMIFS(JPK_KR!AM:AM,JPK_KR!W:W,J666),"")</f>
        <v/>
      </c>
      <c r="P666" s="24" t="str">
        <f>IF(M666&lt;&gt;"",IF(O666="",SUMIFS(JPK_KR!AL:AL,JPK_KR!W:W,N666),SUMIFS(JPK_KR!BF:BF,JPK_KR!BE:BE,N666,JPK_KR!BG:BG,O666)),"")</f>
        <v/>
      </c>
      <c r="Q666" s="126" t="str">
        <f>IF(M666&lt;&gt;"",IF(O666="",SUMIFS(JPK_KR!AM:AM,JPK_KR!W:W,N666),SUMIFS(JPK_KR!BI:BI,JPK_KR!BH:BH,N666,JPK_KR!BJ:BJ,O666)),"")</f>
        <v/>
      </c>
      <c r="U666" s="24" t="str">
        <f>IF(R666&lt;&gt;"",SUMIFS(JPK_KR!AL:AL,JPK_KR!W:W,S666),"")</f>
        <v/>
      </c>
      <c r="V666" s="126" t="str">
        <f>IF(R666&lt;&gt;"",SUMIFS(JPK_KR!AM:AM,JPK_KR!W:W,S666),"")</f>
        <v/>
      </c>
    </row>
    <row r="667" spans="3:22" x14ac:dyDescent="0.3">
      <c r="C667" s="24" t="str">
        <f>IF(A667&lt;&gt;"",SUMIFS(JPK_KR!AL:AL,JPK_KR!W:W,B667),"")</f>
        <v/>
      </c>
      <c r="D667" s="126" t="str">
        <f>IF(A667&lt;&gt;"",SUMIFS(JPK_KR!AM:AM,JPK_KR!W:W,B667),"")</f>
        <v/>
      </c>
      <c r="G667" s="24" t="str">
        <f>IF(E667&lt;&gt;"",SUMIFS(JPK_KR!AL:AL,JPK_KR!W:W,F667),"")</f>
        <v/>
      </c>
      <c r="H667" s="126" t="str">
        <f>IF(E667&lt;&gt;"",SUMIFS(JPK_KR!AM:AM,JPK_KR!W:W,F667),"")</f>
        <v/>
      </c>
      <c r="K667" s="24" t="str">
        <f>IF(I667&lt;&gt;"",SUMIFS(JPK_KR!AL:AL,JPK_KR!W:W,J667),"")</f>
        <v/>
      </c>
      <c r="L667" s="126" t="str">
        <f>IF(I667&lt;&gt;"",SUMIFS(JPK_KR!AM:AM,JPK_KR!W:W,J667),"")</f>
        <v/>
      </c>
      <c r="P667" s="24" t="str">
        <f>IF(M667&lt;&gt;"",IF(O667="",SUMIFS(JPK_KR!AL:AL,JPK_KR!W:W,N667),SUMIFS(JPK_KR!BF:BF,JPK_KR!BE:BE,N667,JPK_KR!BG:BG,O667)),"")</f>
        <v/>
      </c>
      <c r="Q667" s="126" t="str">
        <f>IF(M667&lt;&gt;"",IF(O667="",SUMIFS(JPK_KR!AM:AM,JPK_KR!W:W,N667),SUMIFS(JPK_KR!BI:BI,JPK_KR!BH:BH,N667,JPK_KR!BJ:BJ,O667)),"")</f>
        <v/>
      </c>
      <c r="U667" s="24" t="str">
        <f>IF(R667&lt;&gt;"",SUMIFS(JPK_KR!AL:AL,JPK_KR!W:W,S667),"")</f>
        <v/>
      </c>
      <c r="V667" s="126" t="str">
        <f>IF(R667&lt;&gt;"",SUMIFS(JPK_KR!AM:AM,JPK_KR!W:W,S667),"")</f>
        <v/>
      </c>
    </row>
    <row r="668" spans="3:22" x14ac:dyDescent="0.3">
      <c r="C668" s="24" t="str">
        <f>IF(A668&lt;&gt;"",SUMIFS(JPK_KR!AL:AL,JPK_KR!W:W,B668),"")</f>
        <v/>
      </c>
      <c r="D668" s="126" t="str">
        <f>IF(A668&lt;&gt;"",SUMIFS(JPK_KR!AM:AM,JPK_KR!W:W,B668),"")</f>
        <v/>
      </c>
      <c r="G668" s="24" t="str">
        <f>IF(E668&lt;&gt;"",SUMIFS(JPK_KR!AL:AL,JPK_KR!W:W,F668),"")</f>
        <v/>
      </c>
      <c r="H668" s="126" t="str">
        <f>IF(E668&lt;&gt;"",SUMIFS(JPK_KR!AM:AM,JPK_KR!W:W,F668),"")</f>
        <v/>
      </c>
      <c r="K668" s="24" t="str">
        <f>IF(I668&lt;&gt;"",SUMIFS(JPK_KR!AL:AL,JPK_KR!W:W,J668),"")</f>
        <v/>
      </c>
      <c r="L668" s="126" t="str">
        <f>IF(I668&lt;&gt;"",SUMIFS(JPK_KR!AM:AM,JPK_KR!W:W,J668),"")</f>
        <v/>
      </c>
      <c r="P668" s="24" t="str">
        <f>IF(M668&lt;&gt;"",IF(O668="",SUMIFS(JPK_KR!AL:AL,JPK_KR!W:W,N668),SUMIFS(JPK_KR!BF:BF,JPK_KR!BE:BE,N668,JPK_KR!BG:BG,O668)),"")</f>
        <v/>
      </c>
      <c r="Q668" s="126" t="str">
        <f>IF(M668&lt;&gt;"",IF(O668="",SUMIFS(JPK_KR!AM:AM,JPK_KR!W:W,N668),SUMIFS(JPK_KR!BI:BI,JPK_KR!BH:BH,N668,JPK_KR!BJ:BJ,O668)),"")</f>
        <v/>
      </c>
      <c r="U668" s="24" t="str">
        <f>IF(R668&lt;&gt;"",SUMIFS(JPK_KR!AL:AL,JPK_KR!W:W,S668),"")</f>
        <v/>
      </c>
      <c r="V668" s="126" t="str">
        <f>IF(R668&lt;&gt;"",SUMIFS(JPK_KR!AM:AM,JPK_KR!W:W,S668),"")</f>
        <v/>
      </c>
    </row>
    <row r="669" spans="3:22" x14ac:dyDescent="0.3">
      <c r="C669" s="24" t="str">
        <f>IF(A669&lt;&gt;"",SUMIFS(JPK_KR!AL:AL,JPK_KR!W:W,B669),"")</f>
        <v/>
      </c>
      <c r="D669" s="126" t="str">
        <f>IF(A669&lt;&gt;"",SUMIFS(JPK_KR!AM:AM,JPK_KR!W:W,B669),"")</f>
        <v/>
      </c>
      <c r="G669" s="24" t="str">
        <f>IF(E669&lt;&gt;"",SUMIFS(JPK_KR!AL:AL,JPK_KR!W:W,F669),"")</f>
        <v/>
      </c>
      <c r="H669" s="126" t="str">
        <f>IF(E669&lt;&gt;"",SUMIFS(JPK_KR!AM:AM,JPK_KR!W:W,F669),"")</f>
        <v/>
      </c>
      <c r="K669" s="24" t="str">
        <f>IF(I669&lt;&gt;"",SUMIFS(JPK_KR!AL:AL,JPK_KR!W:W,J669),"")</f>
        <v/>
      </c>
      <c r="L669" s="126" t="str">
        <f>IF(I669&lt;&gt;"",SUMIFS(JPK_KR!AM:AM,JPK_KR!W:W,J669),"")</f>
        <v/>
      </c>
      <c r="P669" s="24" t="str">
        <f>IF(M669&lt;&gt;"",IF(O669="",SUMIFS(JPK_KR!AL:AL,JPK_KR!W:W,N669),SUMIFS(JPK_KR!BF:BF,JPK_KR!BE:BE,N669,JPK_KR!BG:BG,O669)),"")</f>
        <v/>
      </c>
      <c r="Q669" s="126" t="str">
        <f>IF(M669&lt;&gt;"",IF(O669="",SUMIFS(JPK_KR!AM:AM,JPK_KR!W:W,N669),SUMIFS(JPK_KR!BI:BI,JPK_KR!BH:BH,N669,JPK_KR!BJ:BJ,O669)),"")</f>
        <v/>
      </c>
      <c r="U669" s="24" t="str">
        <f>IF(R669&lt;&gt;"",SUMIFS(JPK_KR!AL:AL,JPK_KR!W:W,S669),"")</f>
        <v/>
      </c>
      <c r="V669" s="126" t="str">
        <f>IF(R669&lt;&gt;"",SUMIFS(JPK_KR!AM:AM,JPK_KR!W:W,S669),"")</f>
        <v/>
      </c>
    </row>
    <row r="670" spans="3:22" x14ac:dyDescent="0.3">
      <c r="C670" s="24" t="str">
        <f>IF(A670&lt;&gt;"",SUMIFS(JPK_KR!AL:AL,JPK_KR!W:W,B670),"")</f>
        <v/>
      </c>
      <c r="D670" s="126" t="str">
        <f>IF(A670&lt;&gt;"",SUMIFS(JPK_KR!AM:AM,JPK_KR!W:W,B670),"")</f>
        <v/>
      </c>
      <c r="G670" s="24" t="str">
        <f>IF(E670&lt;&gt;"",SUMIFS(JPK_KR!AL:AL,JPK_KR!W:W,F670),"")</f>
        <v/>
      </c>
      <c r="H670" s="126" t="str">
        <f>IF(E670&lt;&gt;"",SUMIFS(JPK_KR!AM:AM,JPK_KR!W:W,F670),"")</f>
        <v/>
      </c>
      <c r="K670" s="24" t="str">
        <f>IF(I670&lt;&gt;"",SUMIFS(JPK_KR!AL:AL,JPK_KR!W:W,J670),"")</f>
        <v/>
      </c>
      <c r="L670" s="126" t="str">
        <f>IF(I670&lt;&gt;"",SUMIFS(JPK_KR!AM:AM,JPK_KR!W:W,J670),"")</f>
        <v/>
      </c>
      <c r="P670" s="24" t="str">
        <f>IF(M670&lt;&gt;"",IF(O670="",SUMIFS(JPK_KR!AL:AL,JPK_KR!W:W,N670),SUMIFS(JPK_KR!BF:BF,JPK_KR!BE:BE,N670,JPK_KR!BG:BG,O670)),"")</f>
        <v/>
      </c>
      <c r="Q670" s="126" t="str">
        <f>IF(M670&lt;&gt;"",IF(O670="",SUMIFS(JPK_KR!AM:AM,JPK_KR!W:W,N670),SUMIFS(JPK_KR!BI:BI,JPK_KR!BH:BH,N670,JPK_KR!BJ:BJ,O670)),"")</f>
        <v/>
      </c>
      <c r="U670" s="24" t="str">
        <f>IF(R670&lt;&gt;"",SUMIFS(JPK_KR!AL:AL,JPK_KR!W:W,S670),"")</f>
        <v/>
      </c>
      <c r="V670" s="126" t="str">
        <f>IF(R670&lt;&gt;"",SUMIFS(JPK_KR!AM:AM,JPK_KR!W:W,S670),"")</f>
        <v/>
      </c>
    </row>
    <row r="671" spans="3:22" x14ac:dyDescent="0.3">
      <c r="C671" s="24" t="str">
        <f>IF(A671&lt;&gt;"",SUMIFS(JPK_KR!AL:AL,JPK_KR!W:W,B671),"")</f>
        <v/>
      </c>
      <c r="D671" s="126" t="str">
        <f>IF(A671&lt;&gt;"",SUMIFS(JPK_KR!AM:AM,JPK_KR!W:W,B671),"")</f>
        <v/>
      </c>
      <c r="G671" s="24" t="str">
        <f>IF(E671&lt;&gt;"",SUMIFS(JPK_KR!AL:AL,JPK_KR!W:W,F671),"")</f>
        <v/>
      </c>
      <c r="H671" s="126" t="str">
        <f>IF(E671&lt;&gt;"",SUMIFS(JPK_KR!AM:AM,JPK_KR!W:W,F671),"")</f>
        <v/>
      </c>
      <c r="K671" s="24" t="str">
        <f>IF(I671&lt;&gt;"",SUMIFS(JPK_KR!AL:AL,JPK_KR!W:W,J671),"")</f>
        <v/>
      </c>
      <c r="L671" s="126" t="str">
        <f>IF(I671&lt;&gt;"",SUMIFS(JPK_KR!AM:AM,JPK_KR!W:W,J671),"")</f>
        <v/>
      </c>
      <c r="P671" s="24" t="str">
        <f>IF(M671&lt;&gt;"",IF(O671="",SUMIFS(JPK_KR!AL:AL,JPK_KR!W:W,N671),SUMIFS(JPK_KR!BF:BF,JPK_KR!BE:BE,N671,JPK_KR!BG:BG,O671)),"")</f>
        <v/>
      </c>
      <c r="Q671" s="126" t="str">
        <f>IF(M671&lt;&gt;"",IF(O671="",SUMIFS(JPK_KR!AM:AM,JPK_KR!W:W,N671),SUMIFS(JPK_KR!BI:BI,JPK_KR!BH:BH,N671,JPK_KR!BJ:BJ,O671)),"")</f>
        <v/>
      </c>
      <c r="U671" s="24" t="str">
        <f>IF(R671&lt;&gt;"",SUMIFS(JPK_KR!AL:AL,JPK_KR!W:W,S671),"")</f>
        <v/>
      </c>
      <c r="V671" s="126" t="str">
        <f>IF(R671&lt;&gt;"",SUMIFS(JPK_KR!AM:AM,JPK_KR!W:W,S671),"")</f>
        <v/>
      </c>
    </row>
    <row r="672" spans="3:22" x14ac:dyDescent="0.3">
      <c r="C672" s="24" t="str">
        <f>IF(A672&lt;&gt;"",SUMIFS(JPK_KR!AL:AL,JPK_KR!W:W,B672),"")</f>
        <v/>
      </c>
      <c r="D672" s="126" t="str">
        <f>IF(A672&lt;&gt;"",SUMIFS(JPK_KR!AM:AM,JPK_KR!W:W,B672),"")</f>
        <v/>
      </c>
      <c r="G672" s="24" t="str">
        <f>IF(E672&lt;&gt;"",SUMIFS(JPK_KR!AL:AL,JPK_KR!W:W,F672),"")</f>
        <v/>
      </c>
      <c r="H672" s="126" t="str">
        <f>IF(E672&lt;&gt;"",SUMIFS(JPK_KR!AM:AM,JPK_KR!W:W,F672),"")</f>
        <v/>
      </c>
      <c r="K672" s="24" t="str">
        <f>IF(I672&lt;&gt;"",SUMIFS(JPK_KR!AL:AL,JPK_KR!W:W,J672),"")</f>
        <v/>
      </c>
      <c r="L672" s="126" t="str">
        <f>IF(I672&lt;&gt;"",SUMIFS(JPK_KR!AM:AM,JPK_KR!W:W,J672),"")</f>
        <v/>
      </c>
      <c r="P672" s="24" t="str">
        <f>IF(M672&lt;&gt;"",IF(O672="",SUMIFS(JPK_KR!AL:AL,JPK_KR!W:W,N672),SUMIFS(JPK_KR!BF:BF,JPK_KR!BE:BE,N672,JPK_KR!BG:BG,O672)),"")</f>
        <v/>
      </c>
      <c r="Q672" s="126" t="str">
        <f>IF(M672&lt;&gt;"",IF(O672="",SUMIFS(JPK_KR!AM:AM,JPK_KR!W:W,N672),SUMIFS(JPK_KR!BI:BI,JPK_KR!BH:BH,N672,JPK_KR!BJ:BJ,O672)),"")</f>
        <v/>
      </c>
      <c r="U672" s="24" t="str">
        <f>IF(R672&lt;&gt;"",SUMIFS(JPK_KR!AL:AL,JPK_KR!W:W,S672),"")</f>
        <v/>
      </c>
      <c r="V672" s="126" t="str">
        <f>IF(R672&lt;&gt;"",SUMIFS(JPK_KR!AM:AM,JPK_KR!W:W,S672),"")</f>
        <v/>
      </c>
    </row>
    <row r="673" spans="3:22" x14ac:dyDescent="0.3">
      <c r="C673" s="24" t="str">
        <f>IF(A673&lt;&gt;"",SUMIFS(JPK_KR!AL:AL,JPK_KR!W:W,B673),"")</f>
        <v/>
      </c>
      <c r="D673" s="126" t="str">
        <f>IF(A673&lt;&gt;"",SUMIFS(JPK_KR!AM:AM,JPK_KR!W:W,B673),"")</f>
        <v/>
      </c>
      <c r="G673" s="24" t="str">
        <f>IF(E673&lt;&gt;"",SUMIFS(JPK_KR!AL:AL,JPK_KR!W:W,F673),"")</f>
        <v/>
      </c>
      <c r="H673" s="126" t="str">
        <f>IF(E673&lt;&gt;"",SUMIFS(JPK_KR!AM:AM,JPK_KR!W:W,F673),"")</f>
        <v/>
      </c>
      <c r="K673" s="24" t="str">
        <f>IF(I673&lt;&gt;"",SUMIFS(JPK_KR!AL:AL,JPK_KR!W:W,J673),"")</f>
        <v/>
      </c>
      <c r="L673" s="126" t="str">
        <f>IF(I673&lt;&gt;"",SUMIFS(JPK_KR!AM:AM,JPK_KR!W:W,J673),"")</f>
        <v/>
      </c>
      <c r="P673" s="24" t="str">
        <f>IF(M673&lt;&gt;"",IF(O673="",SUMIFS(JPK_KR!AL:AL,JPK_KR!W:W,N673),SUMIFS(JPK_KR!BF:BF,JPK_KR!BE:BE,N673,JPK_KR!BG:BG,O673)),"")</f>
        <v/>
      </c>
      <c r="Q673" s="126" t="str">
        <f>IF(M673&lt;&gt;"",IF(O673="",SUMIFS(JPK_KR!AM:AM,JPK_KR!W:W,N673),SUMIFS(JPK_KR!BI:BI,JPK_KR!BH:BH,N673,JPK_KR!BJ:BJ,O673)),"")</f>
        <v/>
      </c>
      <c r="U673" s="24" t="str">
        <f>IF(R673&lt;&gt;"",SUMIFS(JPK_KR!AL:AL,JPK_KR!W:W,S673),"")</f>
        <v/>
      </c>
      <c r="V673" s="126" t="str">
        <f>IF(R673&lt;&gt;"",SUMIFS(JPK_KR!AM:AM,JPK_KR!W:W,S673),"")</f>
        <v/>
      </c>
    </row>
    <row r="674" spans="3:22" x14ac:dyDescent="0.3">
      <c r="C674" s="24" t="str">
        <f>IF(A674&lt;&gt;"",SUMIFS(JPK_KR!AL:AL,JPK_KR!W:W,B674),"")</f>
        <v/>
      </c>
      <c r="D674" s="126" t="str">
        <f>IF(A674&lt;&gt;"",SUMIFS(JPK_KR!AM:AM,JPK_KR!W:W,B674),"")</f>
        <v/>
      </c>
      <c r="G674" s="24" t="str">
        <f>IF(E674&lt;&gt;"",SUMIFS(JPK_KR!AL:AL,JPK_KR!W:W,F674),"")</f>
        <v/>
      </c>
      <c r="H674" s="126" t="str">
        <f>IF(E674&lt;&gt;"",SUMIFS(JPK_KR!AM:AM,JPK_KR!W:W,F674),"")</f>
        <v/>
      </c>
      <c r="K674" s="24" t="str">
        <f>IF(I674&lt;&gt;"",SUMIFS(JPK_KR!AL:AL,JPK_KR!W:W,J674),"")</f>
        <v/>
      </c>
      <c r="L674" s="126" t="str">
        <f>IF(I674&lt;&gt;"",SUMIFS(JPK_KR!AM:AM,JPK_KR!W:W,J674),"")</f>
        <v/>
      </c>
      <c r="P674" s="24" t="str">
        <f>IF(M674&lt;&gt;"",IF(O674="",SUMIFS(JPK_KR!AL:AL,JPK_KR!W:W,N674),SUMIFS(JPK_KR!BF:BF,JPK_KR!BE:BE,N674,JPK_KR!BG:BG,O674)),"")</f>
        <v/>
      </c>
      <c r="Q674" s="126" t="str">
        <f>IF(M674&lt;&gt;"",IF(O674="",SUMIFS(JPK_KR!AM:AM,JPK_KR!W:W,N674),SUMIFS(JPK_KR!BI:BI,JPK_KR!BH:BH,N674,JPK_KR!BJ:BJ,O674)),"")</f>
        <v/>
      </c>
      <c r="U674" s="24" t="str">
        <f>IF(R674&lt;&gt;"",SUMIFS(JPK_KR!AL:AL,JPK_KR!W:W,S674),"")</f>
        <v/>
      </c>
      <c r="V674" s="126" t="str">
        <f>IF(R674&lt;&gt;"",SUMIFS(JPK_KR!AM:AM,JPK_KR!W:W,S674),"")</f>
        <v/>
      </c>
    </row>
    <row r="675" spans="3:22" x14ac:dyDescent="0.3">
      <c r="C675" s="24" t="str">
        <f>IF(A675&lt;&gt;"",SUMIFS(JPK_KR!AL:AL,JPK_KR!W:W,B675),"")</f>
        <v/>
      </c>
      <c r="D675" s="126" t="str">
        <f>IF(A675&lt;&gt;"",SUMIFS(JPK_KR!AM:AM,JPK_KR!W:W,B675),"")</f>
        <v/>
      </c>
      <c r="G675" s="24" t="str">
        <f>IF(E675&lt;&gt;"",SUMIFS(JPK_KR!AL:AL,JPK_KR!W:W,F675),"")</f>
        <v/>
      </c>
      <c r="H675" s="126" t="str">
        <f>IF(E675&lt;&gt;"",SUMIFS(JPK_KR!AM:AM,JPK_KR!W:W,F675),"")</f>
        <v/>
      </c>
      <c r="K675" s="24" t="str">
        <f>IF(I675&lt;&gt;"",SUMIFS(JPK_KR!AL:AL,JPK_KR!W:W,J675),"")</f>
        <v/>
      </c>
      <c r="L675" s="126" t="str">
        <f>IF(I675&lt;&gt;"",SUMIFS(JPK_KR!AM:AM,JPK_KR!W:W,J675),"")</f>
        <v/>
      </c>
      <c r="P675" s="24" t="str">
        <f>IF(M675&lt;&gt;"",IF(O675="",SUMIFS(JPK_KR!AL:AL,JPK_KR!W:W,N675),SUMIFS(JPK_KR!BF:BF,JPK_KR!BE:BE,N675,JPK_KR!BG:BG,O675)),"")</f>
        <v/>
      </c>
      <c r="Q675" s="126" t="str">
        <f>IF(M675&lt;&gt;"",IF(O675="",SUMIFS(JPK_KR!AM:AM,JPK_KR!W:W,N675),SUMIFS(JPK_KR!BI:BI,JPK_KR!BH:BH,N675,JPK_KR!BJ:BJ,O675)),"")</f>
        <v/>
      </c>
      <c r="U675" s="24" t="str">
        <f>IF(R675&lt;&gt;"",SUMIFS(JPK_KR!AL:AL,JPK_KR!W:W,S675),"")</f>
        <v/>
      </c>
      <c r="V675" s="126" t="str">
        <f>IF(R675&lt;&gt;"",SUMIFS(JPK_KR!AM:AM,JPK_KR!W:W,S675),"")</f>
        <v/>
      </c>
    </row>
    <row r="676" spans="3:22" x14ac:dyDescent="0.3">
      <c r="C676" s="24" t="str">
        <f>IF(A676&lt;&gt;"",SUMIFS(JPK_KR!AL:AL,JPK_KR!W:W,B676),"")</f>
        <v/>
      </c>
      <c r="D676" s="126" t="str">
        <f>IF(A676&lt;&gt;"",SUMIFS(JPK_KR!AM:AM,JPK_KR!W:W,B676),"")</f>
        <v/>
      </c>
      <c r="G676" s="24" t="str">
        <f>IF(E676&lt;&gt;"",SUMIFS(JPK_KR!AL:AL,JPK_KR!W:W,F676),"")</f>
        <v/>
      </c>
      <c r="H676" s="126" t="str">
        <f>IF(E676&lt;&gt;"",SUMIFS(JPK_KR!AM:AM,JPK_KR!W:W,F676),"")</f>
        <v/>
      </c>
      <c r="K676" s="24" t="str">
        <f>IF(I676&lt;&gt;"",SUMIFS(JPK_KR!AL:AL,JPK_KR!W:W,J676),"")</f>
        <v/>
      </c>
      <c r="L676" s="126" t="str">
        <f>IF(I676&lt;&gt;"",SUMIFS(JPK_KR!AM:AM,JPK_KR!W:W,J676),"")</f>
        <v/>
      </c>
      <c r="P676" s="24" t="str">
        <f>IF(M676&lt;&gt;"",IF(O676="",SUMIFS(JPK_KR!AL:AL,JPK_KR!W:W,N676),SUMIFS(JPK_KR!BF:BF,JPK_KR!BE:BE,N676,JPK_KR!BG:BG,O676)),"")</f>
        <v/>
      </c>
      <c r="Q676" s="126" t="str">
        <f>IF(M676&lt;&gt;"",IF(O676="",SUMIFS(JPK_KR!AM:AM,JPK_KR!W:W,N676),SUMIFS(JPK_KR!BI:BI,JPK_KR!BH:BH,N676,JPK_KR!BJ:BJ,O676)),"")</f>
        <v/>
      </c>
      <c r="U676" s="24" t="str">
        <f>IF(R676&lt;&gt;"",SUMIFS(JPK_KR!AL:AL,JPK_KR!W:W,S676),"")</f>
        <v/>
      </c>
      <c r="V676" s="126" t="str">
        <f>IF(R676&lt;&gt;"",SUMIFS(JPK_KR!AM:AM,JPK_KR!W:W,S676),"")</f>
        <v/>
      </c>
    </row>
    <row r="677" spans="3:22" x14ac:dyDescent="0.3">
      <c r="C677" s="24" t="str">
        <f>IF(A677&lt;&gt;"",SUMIFS(JPK_KR!AL:AL,JPK_KR!W:W,B677),"")</f>
        <v/>
      </c>
      <c r="D677" s="126" t="str">
        <f>IF(A677&lt;&gt;"",SUMIFS(JPK_KR!AM:AM,JPK_KR!W:W,B677),"")</f>
        <v/>
      </c>
      <c r="G677" s="24" t="str">
        <f>IF(E677&lt;&gt;"",SUMIFS(JPK_KR!AL:AL,JPK_KR!W:W,F677),"")</f>
        <v/>
      </c>
      <c r="H677" s="126" t="str">
        <f>IF(E677&lt;&gt;"",SUMIFS(JPK_KR!AM:AM,JPK_KR!W:W,F677),"")</f>
        <v/>
      </c>
      <c r="K677" s="24" t="str">
        <f>IF(I677&lt;&gt;"",SUMIFS(JPK_KR!AL:AL,JPK_KR!W:W,J677),"")</f>
        <v/>
      </c>
      <c r="L677" s="126" t="str">
        <f>IF(I677&lt;&gt;"",SUMIFS(JPK_KR!AM:AM,JPK_KR!W:W,J677),"")</f>
        <v/>
      </c>
      <c r="P677" s="24" t="str">
        <f>IF(M677&lt;&gt;"",IF(O677="",SUMIFS(JPK_KR!AL:AL,JPK_KR!W:W,N677),SUMIFS(JPK_KR!BF:BF,JPK_KR!BE:BE,N677,JPK_KR!BG:BG,O677)),"")</f>
        <v/>
      </c>
      <c r="Q677" s="126" t="str">
        <f>IF(M677&lt;&gt;"",IF(O677="",SUMIFS(JPK_KR!AM:AM,JPK_KR!W:W,N677),SUMIFS(JPK_KR!BI:BI,JPK_KR!BH:BH,N677,JPK_KR!BJ:BJ,O677)),"")</f>
        <v/>
      </c>
      <c r="U677" s="24" t="str">
        <f>IF(R677&lt;&gt;"",SUMIFS(JPK_KR!AL:AL,JPK_KR!W:W,S677),"")</f>
        <v/>
      </c>
      <c r="V677" s="126" t="str">
        <f>IF(R677&lt;&gt;"",SUMIFS(JPK_KR!AM:AM,JPK_KR!W:W,S677),"")</f>
        <v/>
      </c>
    </row>
    <row r="678" spans="3:22" x14ac:dyDescent="0.3">
      <c r="C678" s="24" t="str">
        <f>IF(A678&lt;&gt;"",SUMIFS(JPK_KR!AL:AL,JPK_KR!W:W,B678),"")</f>
        <v/>
      </c>
      <c r="D678" s="126" t="str">
        <f>IF(A678&lt;&gt;"",SUMIFS(JPK_KR!AM:AM,JPK_KR!W:W,B678),"")</f>
        <v/>
      </c>
      <c r="G678" s="24" t="str">
        <f>IF(E678&lt;&gt;"",SUMIFS(JPK_KR!AL:AL,JPK_KR!W:W,F678),"")</f>
        <v/>
      </c>
      <c r="H678" s="126" t="str">
        <f>IF(E678&lt;&gt;"",SUMIFS(JPK_KR!AM:AM,JPK_KR!W:W,F678),"")</f>
        <v/>
      </c>
      <c r="K678" s="24" t="str">
        <f>IF(I678&lt;&gt;"",SUMIFS(JPK_KR!AL:AL,JPK_KR!W:W,J678),"")</f>
        <v/>
      </c>
      <c r="L678" s="126" t="str">
        <f>IF(I678&lt;&gt;"",SUMIFS(JPK_KR!AM:AM,JPK_KR!W:W,J678),"")</f>
        <v/>
      </c>
      <c r="P678" s="24" t="str">
        <f>IF(M678&lt;&gt;"",IF(O678="",SUMIFS(JPK_KR!AL:AL,JPK_KR!W:W,N678),SUMIFS(JPK_KR!BF:BF,JPK_KR!BE:BE,N678,JPK_KR!BG:BG,O678)),"")</f>
        <v/>
      </c>
      <c r="Q678" s="126" t="str">
        <f>IF(M678&lt;&gt;"",IF(O678="",SUMIFS(JPK_KR!AM:AM,JPK_KR!W:W,N678),SUMIFS(JPK_KR!BI:BI,JPK_KR!BH:BH,N678,JPK_KR!BJ:BJ,O678)),"")</f>
        <v/>
      </c>
      <c r="U678" s="24" t="str">
        <f>IF(R678&lt;&gt;"",SUMIFS(JPK_KR!AL:AL,JPK_KR!W:W,S678),"")</f>
        <v/>
      </c>
      <c r="V678" s="126" t="str">
        <f>IF(R678&lt;&gt;"",SUMIFS(JPK_KR!AM:AM,JPK_KR!W:W,S678),"")</f>
        <v/>
      </c>
    </row>
    <row r="679" spans="3:22" x14ac:dyDescent="0.3">
      <c r="C679" s="24" t="str">
        <f>IF(A679&lt;&gt;"",SUMIFS(JPK_KR!AL:AL,JPK_KR!W:W,B679),"")</f>
        <v/>
      </c>
      <c r="D679" s="126" t="str">
        <f>IF(A679&lt;&gt;"",SUMIFS(JPK_KR!AM:AM,JPK_KR!W:W,B679),"")</f>
        <v/>
      </c>
      <c r="G679" s="24" t="str">
        <f>IF(E679&lt;&gt;"",SUMIFS(JPK_KR!AL:AL,JPK_KR!W:W,F679),"")</f>
        <v/>
      </c>
      <c r="H679" s="126" t="str">
        <f>IF(E679&lt;&gt;"",SUMIFS(JPK_KR!AM:AM,JPK_KR!W:W,F679),"")</f>
        <v/>
      </c>
      <c r="K679" s="24" t="str">
        <f>IF(I679&lt;&gt;"",SUMIFS(JPK_KR!AL:AL,JPK_KR!W:W,J679),"")</f>
        <v/>
      </c>
      <c r="L679" s="126" t="str">
        <f>IF(I679&lt;&gt;"",SUMIFS(JPK_KR!AM:AM,JPK_KR!W:W,J679),"")</f>
        <v/>
      </c>
      <c r="P679" s="24" t="str">
        <f>IF(M679&lt;&gt;"",IF(O679="",SUMIFS(JPK_KR!AL:AL,JPK_KR!W:W,N679),SUMIFS(JPK_KR!BF:BF,JPK_KR!BE:BE,N679,JPK_KR!BG:BG,O679)),"")</f>
        <v/>
      </c>
      <c r="Q679" s="126" t="str">
        <f>IF(M679&lt;&gt;"",IF(O679="",SUMIFS(JPK_KR!AM:AM,JPK_KR!W:W,N679),SUMIFS(JPK_KR!BI:BI,JPK_KR!BH:BH,N679,JPK_KR!BJ:BJ,O679)),"")</f>
        <v/>
      </c>
      <c r="U679" s="24" t="str">
        <f>IF(R679&lt;&gt;"",SUMIFS(JPK_KR!AL:AL,JPK_KR!W:W,S679),"")</f>
        <v/>
      </c>
      <c r="V679" s="126" t="str">
        <f>IF(R679&lt;&gt;"",SUMIFS(JPK_KR!AM:AM,JPK_KR!W:W,S679),"")</f>
        <v/>
      </c>
    </row>
    <row r="680" spans="3:22" x14ac:dyDescent="0.3">
      <c r="C680" s="24" t="str">
        <f>IF(A680&lt;&gt;"",SUMIFS(JPK_KR!AL:AL,JPK_KR!W:W,B680),"")</f>
        <v/>
      </c>
      <c r="D680" s="126" t="str">
        <f>IF(A680&lt;&gt;"",SUMIFS(JPK_KR!AM:AM,JPK_KR!W:W,B680),"")</f>
        <v/>
      </c>
      <c r="G680" s="24" t="str">
        <f>IF(E680&lt;&gt;"",SUMIFS(JPK_KR!AL:AL,JPK_KR!W:W,F680),"")</f>
        <v/>
      </c>
      <c r="H680" s="126" t="str">
        <f>IF(E680&lt;&gt;"",SUMIFS(JPK_KR!AM:AM,JPK_KR!W:W,F680),"")</f>
        <v/>
      </c>
      <c r="K680" s="24" t="str">
        <f>IF(I680&lt;&gt;"",SUMIFS(JPK_KR!AL:AL,JPK_KR!W:W,J680),"")</f>
        <v/>
      </c>
      <c r="L680" s="126" t="str">
        <f>IF(I680&lt;&gt;"",SUMIFS(JPK_KR!AM:AM,JPK_KR!W:W,J680),"")</f>
        <v/>
      </c>
      <c r="P680" s="24" t="str">
        <f>IF(M680&lt;&gt;"",IF(O680="",SUMIFS(JPK_KR!AL:AL,JPK_KR!W:W,N680),SUMIFS(JPK_KR!BF:BF,JPK_KR!BE:BE,N680,JPK_KR!BG:BG,O680)),"")</f>
        <v/>
      </c>
      <c r="Q680" s="126" t="str">
        <f>IF(M680&lt;&gt;"",IF(O680="",SUMIFS(JPK_KR!AM:AM,JPK_KR!W:W,N680),SUMIFS(JPK_KR!BI:BI,JPK_KR!BH:BH,N680,JPK_KR!BJ:BJ,O680)),"")</f>
        <v/>
      </c>
      <c r="U680" s="24" t="str">
        <f>IF(R680&lt;&gt;"",SUMIFS(JPK_KR!AL:AL,JPK_KR!W:W,S680),"")</f>
        <v/>
      </c>
      <c r="V680" s="126" t="str">
        <f>IF(R680&lt;&gt;"",SUMIFS(JPK_KR!AM:AM,JPK_KR!W:W,S680),"")</f>
        <v/>
      </c>
    </row>
    <row r="681" spans="3:22" x14ac:dyDescent="0.3">
      <c r="C681" s="24" t="str">
        <f>IF(A681&lt;&gt;"",SUMIFS(JPK_KR!AL:AL,JPK_KR!W:W,B681),"")</f>
        <v/>
      </c>
      <c r="D681" s="126" t="str">
        <f>IF(A681&lt;&gt;"",SUMIFS(JPK_KR!AM:AM,JPK_KR!W:W,B681),"")</f>
        <v/>
      </c>
      <c r="G681" s="24" t="str">
        <f>IF(E681&lt;&gt;"",SUMIFS(JPK_KR!AL:AL,JPK_KR!W:W,F681),"")</f>
        <v/>
      </c>
      <c r="H681" s="126" t="str">
        <f>IF(E681&lt;&gt;"",SUMIFS(JPK_KR!AM:AM,JPK_KR!W:W,F681),"")</f>
        <v/>
      </c>
      <c r="K681" s="24" t="str">
        <f>IF(I681&lt;&gt;"",SUMIFS(JPK_KR!AL:AL,JPK_KR!W:W,J681),"")</f>
        <v/>
      </c>
      <c r="L681" s="126" t="str">
        <f>IF(I681&lt;&gt;"",SUMIFS(JPK_KR!AM:AM,JPK_KR!W:W,J681),"")</f>
        <v/>
      </c>
      <c r="P681" s="24" t="str">
        <f>IF(M681&lt;&gt;"",IF(O681="",SUMIFS(JPK_KR!AL:AL,JPK_KR!W:W,N681),SUMIFS(JPK_KR!BF:BF,JPK_KR!BE:BE,N681,JPK_KR!BG:BG,O681)),"")</f>
        <v/>
      </c>
      <c r="Q681" s="126" t="str">
        <f>IF(M681&lt;&gt;"",IF(O681="",SUMIFS(JPK_KR!AM:AM,JPK_KR!W:W,N681),SUMIFS(JPK_KR!BI:BI,JPK_KR!BH:BH,N681,JPK_KR!BJ:BJ,O681)),"")</f>
        <v/>
      </c>
      <c r="U681" s="24" t="str">
        <f>IF(R681&lt;&gt;"",SUMIFS(JPK_KR!AL:AL,JPK_KR!W:W,S681),"")</f>
        <v/>
      </c>
      <c r="V681" s="126" t="str">
        <f>IF(R681&lt;&gt;"",SUMIFS(JPK_KR!AM:AM,JPK_KR!W:W,S681),"")</f>
        <v/>
      </c>
    </row>
    <row r="682" spans="3:22" x14ac:dyDescent="0.3">
      <c r="C682" s="24" t="str">
        <f>IF(A682&lt;&gt;"",SUMIFS(JPK_KR!AL:AL,JPK_KR!W:W,B682),"")</f>
        <v/>
      </c>
      <c r="D682" s="126" t="str">
        <f>IF(A682&lt;&gt;"",SUMIFS(JPK_KR!AM:AM,JPK_KR!W:W,B682),"")</f>
        <v/>
      </c>
      <c r="G682" s="24" t="str">
        <f>IF(E682&lt;&gt;"",SUMIFS(JPK_KR!AL:AL,JPK_KR!W:W,F682),"")</f>
        <v/>
      </c>
      <c r="H682" s="126" t="str">
        <f>IF(E682&lt;&gt;"",SUMIFS(JPK_KR!AM:AM,JPK_KR!W:W,F682),"")</f>
        <v/>
      </c>
      <c r="K682" s="24" t="str">
        <f>IF(I682&lt;&gt;"",SUMIFS(JPK_KR!AL:AL,JPK_KR!W:W,J682),"")</f>
        <v/>
      </c>
      <c r="L682" s="126" t="str">
        <f>IF(I682&lt;&gt;"",SUMIFS(JPK_KR!AM:AM,JPK_KR!W:W,J682),"")</f>
        <v/>
      </c>
      <c r="P682" s="24" t="str">
        <f>IF(M682&lt;&gt;"",IF(O682="",SUMIFS(JPK_KR!AL:AL,JPK_KR!W:W,N682),SUMIFS(JPK_KR!BF:BF,JPK_KR!BE:BE,N682,JPK_KR!BG:BG,O682)),"")</f>
        <v/>
      </c>
      <c r="Q682" s="126" t="str">
        <f>IF(M682&lt;&gt;"",IF(O682="",SUMIFS(JPK_KR!AM:AM,JPK_KR!W:W,N682),SUMIFS(JPK_KR!BI:BI,JPK_KR!BH:BH,N682,JPK_KR!BJ:BJ,O682)),"")</f>
        <v/>
      </c>
      <c r="U682" s="24" t="str">
        <f>IF(R682&lt;&gt;"",SUMIFS(JPK_KR!AL:AL,JPK_KR!W:W,S682),"")</f>
        <v/>
      </c>
      <c r="V682" s="126" t="str">
        <f>IF(R682&lt;&gt;"",SUMIFS(JPK_KR!AM:AM,JPK_KR!W:W,S682),"")</f>
        <v/>
      </c>
    </row>
    <row r="683" spans="3:22" x14ac:dyDescent="0.3">
      <c r="C683" s="24" t="str">
        <f>IF(A683&lt;&gt;"",SUMIFS(JPK_KR!AL:AL,JPK_KR!W:W,B683),"")</f>
        <v/>
      </c>
      <c r="D683" s="126" t="str">
        <f>IF(A683&lt;&gt;"",SUMIFS(JPK_KR!AM:AM,JPK_KR!W:W,B683),"")</f>
        <v/>
      </c>
      <c r="G683" s="24" t="str">
        <f>IF(E683&lt;&gt;"",SUMIFS(JPK_KR!AL:AL,JPK_KR!W:W,F683),"")</f>
        <v/>
      </c>
      <c r="H683" s="126" t="str">
        <f>IF(E683&lt;&gt;"",SUMIFS(JPK_KR!AM:AM,JPK_KR!W:W,F683),"")</f>
        <v/>
      </c>
      <c r="K683" s="24" t="str">
        <f>IF(I683&lt;&gt;"",SUMIFS(JPK_KR!AL:AL,JPK_KR!W:W,J683),"")</f>
        <v/>
      </c>
      <c r="L683" s="126" t="str">
        <f>IF(I683&lt;&gt;"",SUMIFS(JPK_KR!AM:AM,JPK_KR!W:W,J683),"")</f>
        <v/>
      </c>
      <c r="P683" s="24" t="str">
        <f>IF(M683&lt;&gt;"",IF(O683="",SUMIFS(JPK_KR!AL:AL,JPK_KR!W:W,N683),SUMIFS(JPK_KR!BF:BF,JPK_KR!BE:BE,N683,JPK_KR!BG:BG,O683)),"")</f>
        <v/>
      </c>
      <c r="Q683" s="126" t="str">
        <f>IF(M683&lt;&gt;"",IF(O683="",SUMIFS(JPK_KR!AM:AM,JPK_KR!W:W,N683),SUMIFS(JPK_KR!BI:BI,JPK_KR!BH:BH,N683,JPK_KR!BJ:BJ,O683)),"")</f>
        <v/>
      </c>
      <c r="U683" s="24" t="str">
        <f>IF(R683&lt;&gt;"",SUMIFS(JPK_KR!AL:AL,JPK_KR!W:W,S683),"")</f>
        <v/>
      </c>
      <c r="V683" s="126" t="str">
        <f>IF(R683&lt;&gt;"",SUMIFS(JPK_KR!AM:AM,JPK_KR!W:W,S683),"")</f>
        <v/>
      </c>
    </row>
    <row r="684" spans="3:22" x14ac:dyDescent="0.3">
      <c r="C684" s="24" t="str">
        <f>IF(A684&lt;&gt;"",SUMIFS(JPK_KR!AL:AL,JPK_KR!W:W,B684),"")</f>
        <v/>
      </c>
      <c r="D684" s="126" t="str">
        <f>IF(A684&lt;&gt;"",SUMIFS(JPK_KR!AM:AM,JPK_KR!W:W,B684),"")</f>
        <v/>
      </c>
      <c r="G684" s="24" t="str">
        <f>IF(E684&lt;&gt;"",SUMIFS(JPK_KR!AL:AL,JPK_KR!W:W,F684),"")</f>
        <v/>
      </c>
      <c r="H684" s="126" t="str">
        <f>IF(E684&lt;&gt;"",SUMIFS(JPK_KR!AM:AM,JPK_KR!W:W,F684),"")</f>
        <v/>
      </c>
      <c r="K684" s="24" t="str">
        <f>IF(I684&lt;&gt;"",SUMIFS(JPK_KR!AL:AL,JPK_KR!W:W,J684),"")</f>
        <v/>
      </c>
      <c r="L684" s="126" t="str">
        <f>IF(I684&lt;&gt;"",SUMIFS(JPK_KR!AM:AM,JPK_KR!W:W,J684),"")</f>
        <v/>
      </c>
      <c r="P684" s="24" t="str">
        <f>IF(M684&lt;&gt;"",IF(O684="",SUMIFS(JPK_KR!AL:AL,JPK_KR!W:W,N684),SUMIFS(JPK_KR!BF:BF,JPK_KR!BE:BE,N684,JPK_KR!BG:BG,O684)),"")</f>
        <v/>
      </c>
      <c r="Q684" s="126" t="str">
        <f>IF(M684&lt;&gt;"",IF(O684="",SUMIFS(JPK_KR!AM:AM,JPK_KR!W:W,N684),SUMIFS(JPK_KR!BI:BI,JPK_KR!BH:BH,N684,JPK_KR!BJ:BJ,O684)),"")</f>
        <v/>
      </c>
      <c r="U684" s="24" t="str">
        <f>IF(R684&lt;&gt;"",SUMIFS(JPK_KR!AL:AL,JPK_KR!W:W,S684),"")</f>
        <v/>
      </c>
      <c r="V684" s="126" t="str">
        <f>IF(R684&lt;&gt;"",SUMIFS(JPK_KR!AM:AM,JPK_KR!W:W,S684),"")</f>
        <v/>
      </c>
    </row>
    <row r="685" spans="3:22" x14ac:dyDescent="0.3">
      <c r="C685" s="24" t="str">
        <f>IF(A685&lt;&gt;"",SUMIFS(JPK_KR!AL:AL,JPK_KR!W:W,B685),"")</f>
        <v/>
      </c>
      <c r="D685" s="126" t="str">
        <f>IF(A685&lt;&gt;"",SUMIFS(JPK_KR!AM:AM,JPK_KR!W:W,B685),"")</f>
        <v/>
      </c>
      <c r="G685" s="24" t="str">
        <f>IF(E685&lt;&gt;"",SUMIFS(JPK_KR!AL:AL,JPK_KR!W:W,F685),"")</f>
        <v/>
      </c>
      <c r="H685" s="126" t="str">
        <f>IF(E685&lt;&gt;"",SUMIFS(JPK_KR!AM:AM,JPK_KR!W:W,F685),"")</f>
        <v/>
      </c>
      <c r="K685" s="24" t="str">
        <f>IF(I685&lt;&gt;"",SUMIFS(JPK_KR!AL:AL,JPK_KR!W:W,J685),"")</f>
        <v/>
      </c>
      <c r="L685" s="126" t="str">
        <f>IF(I685&lt;&gt;"",SUMIFS(JPK_KR!AM:AM,JPK_KR!W:W,J685),"")</f>
        <v/>
      </c>
      <c r="P685" s="24" t="str">
        <f>IF(M685&lt;&gt;"",IF(O685="",SUMIFS(JPK_KR!AL:AL,JPK_KR!W:W,N685),SUMIFS(JPK_KR!BF:BF,JPK_KR!BE:BE,N685,JPK_KR!BG:BG,O685)),"")</f>
        <v/>
      </c>
      <c r="Q685" s="126" t="str">
        <f>IF(M685&lt;&gt;"",IF(O685="",SUMIFS(JPK_KR!AM:AM,JPK_KR!W:W,N685),SUMIFS(JPK_KR!BI:BI,JPK_KR!BH:BH,N685,JPK_KR!BJ:BJ,O685)),"")</f>
        <v/>
      </c>
      <c r="U685" s="24" t="str">
        <f>IF(R685&lt;&gt;"",SUMIFS(JPK_KR!AL:AL,JPK_KR!W:W,S685),"")</f>
        <v/>
      </c>
      <c r="V685" s="126" t="str">
        <f>IF(R685&lt;&gt;"",SUMIFS(JPK_KR!AM:AM,JPK_KR!W:W,S685),"")</f>
        <v/>
      </c>
    </row>
    <row r="686" spans="3:22" x14ac:dyDescent="0.3">
      <c r="C686" s="24" t="str">
        <f>IF(A686&lt;&gt;"",SUMIFS(JPK_KR!AL:AL,JPK_KR!W:W,B686),"")</f>
        <v/>
      </c>
      <c r="D686" s="126" t="str">
        <f>IF(A686&lt;&gt;"",SUMIFS(JPK_KR!AM:AM,JPK_KR!W:W,B686),"")</f>
        <v/>
      </c>
      <c r="G686" s="24" t="str">
        <f>IF(E686&lt;&gt;"",SUMIFS(JPK_KR!AL:AL,JPK_KR!W:W,F686),"")</f>
        <v/>
      </c>
      <c r="H686" s="126" t="str">
        <f>IF(E686&lt;&gt;"",SUMIFS(JPK_KR!AM:AM,JPK_KR!W:W,F686),"")</f>
        <v/>
      </c>
      <c r="K686" s="24" t="str">
        <f>IF(I686&lt;&gt;"",SUMIFS(JPK_KR!AL:AL,JPK_KR!W:W,J686),"")</f>
        <v/>
      </c>
      <c r="L686" s="126" t="str">
        <f>IF(I686&lt;&gt;"",SUMIFS(JPK_KR!AM:AM,JPK_KR!W:W,J686),"")</f>
        <v/>
      </c>
      <c r="P686" s="24" t="str">
        <f>IF(M686&lt;&gt;"",IF(O686="",SUMIFS(JPK_KR!AL:AL,JPK_KR!W:W,N686),SUMIFS(JPK_KR!BF:BF,JPK_KR!BE:BE,N686,JPK_KR!BG:BG,O686)),"")</f>
        <v/>
      </c>
      <c r="Q686" s="126" t="str">
        <f>IF(M686&lt;&gt;"",IF(O686="",SUMIFS(JPK_KR!AM:AM,JPK_KR!W:W,N686),SUMIFS(JPK_KR!BI:BI,JPK_KR!BH:BH,N686,JPK_KR!BJ:BJ,O686)),"")</f>
        <v/>
      </c>
      <c r="U686" s="24" t="str">
        <f>IF(R686&lt;&gt;"",SUMIFS(JPK_KR!AL:AL,JPK_KR!W:W,S686),"")</f>
        <v/>
      </c>
      <c r="V686" s="126" t="str">
        <f>IF(R686&lt;&gt;"",SUMIFS(JPK_KR!AM:AM,JPK_KR!W:W,S686),"")</f>
        <v/>
      </c>
    </row>
    <row r="687" spans="3:22" x14ac:dyDescent="0.3">
      <c r="C687" s="24" t="str">
        <f>IF(A687&lt;&gt;"",SUMIFS(JPK_KR!AL:AL,JPK_KR!W:W,B687),"")</f>
        <v/>
      </c>
      <c r="D687" s="126" t="str">
        <f>IF(A687&lt;&gt;"",SUMIFS(JPK_KR!AM:AM,JPK_KR!W:W,B687),"")</f>
        <v/>
      </c>
      <c r="G687" s="24" t="str">
        <f>IF(E687&lt;&gt;"",SUMIFS(JPK_KR!AL:AL,JPK_KR!W:W,F687),"")</f>
        <v/>
      </c>
      <c r="H687" s="126" t="str">
        <f>IF(E687&lt;&gt;"",SUMIFS(JPK_KR!AM:AM,JPK_KR!W:W,F687),"")</f>
        <v/>
      </c>
      <c r="K687" s="24" t="str">
        <f>IF(I687&lt;&gt;"",SUMIFS(JPK_KR!AL:AL,JPK_KR!W:W,J687),"")</f>
        <v/>
      </c>
      <c r="L687" s="126" t="str">
        <f>IF(I687&lt;&gt;"",SUMIFS(JPK_KR!AM:AM,JPK_KR!W:W,J687),"")</f>
        <v/>
      </c>
      <c r="P687" s="24" t="str">
        <f>IF(M687&lt;&gt;"",IF(O687="",SUMIFS(JPK_KR!AL:AL,JPK_KR!W:W,N687),SUMIFS(JPK_KR!BF:BF,JPK_KR!BE:BE,N687,JPK_KR!BG:BG,O687)),"")</f>
        <v/>
      </c>
      <c r="Q687" s="126" t="str">
        <f>IF(M687&lt;&gt;"",IF(O687="",SUMIFS(JPK_KR!AM:AM,JPK_KR!W:W,N687),SUMIFS(JPK_KR!BI:BI,JPK_KR!BH:BH,N687,JPK_KR!BJ:BJ,O687)),"")</f>
        <v/>
      </c>
      <c r="U687" s="24" t="str">
        <f>IF(R687&lt;&gt;"",SUMIFS(JPK_KR!AL:AL,JPK_KR!W:W,S687),"")</f>
        <v/>
      </c>
      <c r="V687" s="126" t="str">
        <f>IF(R687&lt;&gt;"",SUMIFS(JPK_KR!AM:AM,JPK_KR!W:W,S687),"")</f>
        <v/>
      </c>
    </row>
    <row r="688" spans="3:22" x14ac:dyDescent="0.3">
      <c r="C688" s="24" t="str">
        <f>IF(A688&lt;&gt;"",SUMIFS(JPK_KR!AL:AL,JPK_KR!W:W,B688),"")</f>
        <v/>
      </c>
      <c r="D688" s="126" t="str">
        <f>IF(A688&lt;&gt;"",SUMIFS(JPK_KR!AM:AM,JPK_KR!W:W,B688),"")</f>
        <v/>
      </c>
      <c r="G688" s="24" t="str">
        <f>IF(E688&lt;&gt;"",SUMIFS(JPK_KR!AL:AL,JPK_KR!W:W,F688),"")</f>
        <v/>
      </c>
      <c r="H688" s="126" t="str">
        <f>IF(E688&lt;&gt;"",SUMIFS(JPK_KR!AM:AM,JPK_KR!W:W,F688),"")</f>
        <v/>
      </c>
      <c r="K688" s="24" t="str">
        <f>IF(I688&lt;&gt;"",SUMIFS(JPK_KR!AL:AL,JPK_KR!W:W,J688),"")</f>
        <v/>
      </c>
      <c r="L688" s="126" t="str">
        <f>IF(I688&lt;&gt;"",SUMIFS(JPK_KR!AM:AM,JPK_KR!W:W,J688),"")</f>
        <v/>
      </c>
      <c r="P688" s="24" t="str">
        <f>IF(M688&lt;&gt;"",IF(O688="",SUMIFS(JPK_KR!AL:AL,JPK_KR!W:W,N688),SUMIFS(JPK_KR!BF:BF,JPK_KR!BE:BE,N688,JPK_KR!BG:BG,O688)),"")</f>
        <v/>
      </c>
      <c r="Q688" s="126" t="str">
        <f>IF(M688&lt;&gt;"",IF(O688="",SUMIFS(JPK_KR!AM:AM,JPK_KR!W:W,N688),SUMIFS(JPK_KR!BI:BI,JPK_KR!BH:BH,N688,JPK_KR!BJ:BJ,O688)),"")</f>
        <v/>
      </c>
      <c r="U688" s="24" t="str">
        <f>IF(R688&lt;&gt;"",SUMIFS(JPK_KR!AL:AL,JPK_KR!W:W,S688),"")</f>
        <v/>
      </c>
      <c r="V688" s="126" t="str">
        <f>IF(R688&lt;&gt;"",SUMIFS(JPK_KR!AM:AM,JPK_KR!W:W,S688),"")</f>
        <v/>
      </c>
    </row>
    <row r="689" spans="3:22" x14ac:dyDescent="0.3">
      <c r="C689" s="24" t="str">
        <f>IF(A689&lt;&gt;"",SUMIFS(JPK_KR!AL:AL,JPK_KR!W:W,B689),"")</f>
        <v/>
      </c>
      <c r="D689" s="126" t="str">
        <f>IF(A689&lt;&gt;"",SUMIFS(JPK_KR!AM:AM,JPK_KR!W:W,B689),"")</f>
        <v/>
      </c>
      <c r="G689" s="24" t="str">
        <f>IF(E689&lt;&gt;"",SUMIFS(JPK_KR!AL:AL,JPK_KR!W:W,F689),"")</f>
        <v/>
      </c>
      <c r="H689" s="126" t="str">
        <f>IF(E689&lt;&gt;"",SUMIFS(JPK_KR!AM:AM,JPK_KR!W:W,F689),"")</f>
        <v/>
      </c>
      <c r="K689" s="24" t="str">
        <f>IF(I689&lt;&gt;"",SUMIFS(JPK_KR!AL:AL,JPK_KR!W:W,J689),"")</f>
        <v/>
      </c>
      <c r="L689" s="126" t="str">
        <f>IF(I689&lt;&gt;"",SUMIFS(JPK_KR!AM:AM,JPK_KR!W:W,J689),"")</f>
        <v/>
      </c>
      <c r="P689" s="24" t="str">
        <f>IF(M689&lt;&gt;"",IF(O689="",SUMIFS(JPK_KR!AL:AL,JPK_KR!W:W,N689),SUMIFS(JPK_KR!BF:BF,JPK_KR!BE:BE,N689,JPK_KR!BG:BG,O689)),"")</f>
        <v/>
      </c>
      <c r="Q689" s="126" t="str">
        <f>IF(M689&lt;&gt;"",IF(O689="",SUMIFS(JPK_KR!AM:AM,JPK_KR!W:W,N689),SUMIFS(JPK_KR!BI:BI,JPK_KR!BH:BH,N689,JPK_KR!BJ:BJ,O689)),"")</f>
        <v/>
      </c>
      <c r="U689" s="24" t="str">
        <f>IF(R689&lt;&gt;"",SUMIFS(JPK_KR!AL:AL,JPK_KR!W:W,S689),"")</f>
        <v/>
      </c>
      <c r="V689" s="126" t="str">
        <f>IF(R689&lt;&gt;"",SUMIFS(JPK_KR!AM:AM,JPK_KR!W:W,S689),"")</f>
        <v/>
      </c>
    </row>
    <row r="690" spans="3:22" x14ac:dyDescent="0.3">
      <c r="C690" s="24" t="str">
        <f>IF(A690&lt;&gt;"",SUMIFS(JPK_KR!AL:AL,JPK_KR!W:W,B690),"")</f>
        <v/>
      </c>
      <c r="D690" s="126" t="str">
        <f>IF(A690&lt;&gt;"",SUMIFS(JPK_KR!AM:AM,JPK_KR!W:W,B690),"")</f>
        <v/>
      </c>
      <c r="G690" s="24" t="str">
        <f>IF(E690&lt;&gt;"",SUMIFS(JPK_KR!AL:AL,JPK_KR!W:W,F690),"")</f>
        <v/>
      </c>
      <c r="H690" s="126" t="str">
        <f>IF(E690&lt;&gt;"",SUMIFS(JPK_KR!AM:AM,JPK_KR!W:W,F690),"")</f>
        <v/>
      </c>
      <c r="K690" s="24" t="str">
        <f>IF(I690&lt;&gt;"",SUMIFS(JPK_KR!AL:AL,JPK_KR!W:W,J690),"")</f>
        <v/>
      </c>
      <c r="L690" s="126" t="str">
        <f>IF(I690&lt;&gt;"",SUMIFS(JPK_KR!AM:AM,JPK_KR!W:W,J690),"")</f>
        <v/>
      </c>
      <c r="P690" s="24" t="str">
        <f>IF(M690&lt;&gt;"",IF(O690="",SUMIFS(JPK_KR!AL:AL,JPK_KR!W:W,N690),SUMIFS(JPK_KR!BF:BF,JPK_KR!BE:BE,N690,JPK_KR!BG:BG,O690)),"")</f>
        <v/>
      </c>
      <c r="Q690" s="126" t="str">
        <f>IF(M690&lt;&gt;"",IF(O690="",SUMIFS(JPK_KR!AM:AM,JPK_KR!W:W,N690),SUMIFS(JPK_KR!BI:BI,JPK_KR!BH:BH,N690,JPK_KR!BJ:BJ,O690)),"")</f>
        <v/>
      </c>
      <c r="U690" s="24" t="str">
        <f>IF(R690&lt;&gt;"",SUMIFS(JPK_KR!AL:AL,JPK_KR!W:W,S690),"")</f>
        <v/>
      </c>
      <c r="V690" s="126" t="str">
        <f>IF(R690&lt;&gt;"",SUMIFS(JPK_KR!AM:AM,JPK_KR!W:W,S690),"")</f>
        <v/>
      </c>
    </row>
    <row r="691" spans="3:22" x14ac:dyDescent="0.3">
      <c r="C691" s="24" t="str">
        <f>IF(A691&lt;&gt;"",SUMIFS(JPK_KR!AL:AL,JPK_KR!W:W,B691),"")</f>
        <v/>
      </c>
      <c r="D691" s="126" t="str">
        <f>IF(A691&lt;&gt;"",SUMIFS(JPK_KR!AM:AM,JPK_KR!W:W,B691),"")</f>
        <v/>
      </c>
      <c r="G691" s="24" t="str">
        <f>IF(E691&lt;&gt;"",SUMIFS(JPK_KR!AL:AL,JPK_KR!W:W,F691),"")</f>
        <v/>
      </c>
      <c r="H691" s="126" t="str">
        <f>IF(E691&lt;&gt;"",SUMIFS(JPK_KR!AM:AM,JPK_KR!W:W,F691),"")</f>
        <v/>
      </c>
      <c r="K691" s="24" t="str">
        <f>IF(I691&lt;&gt;"",SUMIFS(JPK_KR!AL:AL,JPK_KR!W:W,J691),"")</f>
        <v/>
      </c>
      <c r="L691" s="126" t="str">
        <f>IF(I691&lt;&gt;"",SUMIFS(JPK_KR!AM:AM,JPK_KR!W:W,J691),"")</f>
        <v/>
      </c>
      <c r="P691" s="24" t="str">
        <f>IF(M691&lt;&gt;"",IF(O691="",SUMIFS(JPK_KR!AL:AL,JPK_KR!W:W,N691),SUMIFS(JPK_KR!BF:BF,JPK_KR!BE:BE,N691,JPK_KR!BG:BG,O691)),"")</f>
        <v/>
      </c>
      <c r="Q691" s="126" t="str">
        <f>IF(M691&lt;&gt;"",IF(O691="",SUMIFS(JPK_KR!AM:AM,JPK_KR!W:W,N691),SUMIFS(JPK_KR!BI:BI,JPK_KR!BH:BH,N691,JPK_KR!BJ:BJ,O691)),"")</f>
        <v/>
      </c>
      <c r="U691" s="24" t="str">
        <f>IF(R691&lt;&gt;"",SUMIFS(JPK_KR!AL:AL,JPK_KR!W:W,S691),"")</f>
        <v/>
      </c>
      <c r="V691" s="126" t="str">
        <f>IF(R691&lt;&gt;"",SUMIFS(JPK_KR!AM:AM,JPK_KR!W:W,S691),"")</f>
        <v/>
      </c>
    </row>
    <row r="692" spans="3:22" x14ac:dyDescent="0.3">
      <c r="C692" s="24" t="str">
        <f>IF(A692&lt;&gt;"",SUMIFS(JPK_KR!AL:AL,JPK_KR!W:W,B692),"")</f>
        <v/>
      </c>
      <c r="D692" s="126" t="str">
        <f>IF(A692&lt;&gt;"",SUMIFS(JPK_KR!AM:AM,JPK_KR!W:W,B692),"")</f>
        <v/>
      </c>
      <c r="G692" s="24" t="str">
        <f>IF(E692&lt;&gt;"",SUMIFS(JPK_KR!AL:AL,JPK_KR!W:W,F692),"")</f>
        <v/>
      </c>
      <c r="H692" s="126" t="str">
        <f>IF(E692&lt;&gt;"",SUMIFS(JPK_KR!AM:AM,JPK_KR!W:W,F692),"")</f>
        <v/>
      </c>
      <c r="K692" s="24" t="str">
        <f>IF(I692&lt;&gt;"",SUMIFS(JPK_KR!AL:AL,JPK_KR!W:W,J692),"")</f>
        <v/>
      </c>
      <c r="L692" s="126" t="str">
        <f>IF(I692&lt;&gt;"",SUMIFS(JPK_KR!AM:AM,JPK_KR!W:W,J692),"")</f>
        <v/>
      </c>
      <c r="P692" s="24" t="str">
        <f>IF(M692&lt;&gt;"",IF(O692="",SUMIFS(JPK_KR!AL:AL,JPK_KR!W:W,N692),SUMIFS(JPK_KR!BF:BF,JPK_KR!BE:BE,N692,JPK_KR!BG:BG,O692)),"")</f>
        <v/>
      </c>
      <c r="Q692" s="126" t="str">
        <f>IF(M692&lt;&gt;"",IF(O692="",SUMIFS(JPK_KR!AM:AM,JPK_KR!W:W,N692),SUMIFS(JPK_KR!BI:BI,JPK_KR!BH:BH,N692,JPK_KR!BJ:BJ,O692)),"")</f>
        <v/>
      </c>
      <c r="U692" s="24" t="str">
        <f>IF(R692&lt;&gt;"",SUMIFS(JPK_KR!AL:AL,JPK_KR!W:W,S692),"")</f>
        <v/>
      </c>
      <c r="V692" s="126" t="str">
        <f>IF(R692&lt;&gt;"",SUMIFS(JPK_KR!AM:AM,JPK_KR!W:W,S692),"")</f>
        <v/>
      </c>
    </row>
    <row r="693" spans="3:22" x14ac:dyDescent="0.3">
      <c r="C693" s="24" t="str">
        <f>IF(A693&lt;&gt;"",SUMIFS(JPK_KR!AL:AL,JPK_KR!W:W,B693),"")</f>
        <v/>
      </c>
      <c r="D693" s="126" t="str">
        <f>IF(A693&lt;&gt;"",SUMIFS(JPK_KR!AM:AM,JPK_KR!W:W,B693),"")</f>
        <v/>
      </c>
      <c r="G693" s="24" t="str">
        <f>IF(E693&lt;&gt;"",SUMIFS(JPK_KR!AL:AL,JPK_KR!W:W,F693),"")</f>
        <v/>
      </c>
      <c r="H693" s="126" t="str">
        <f>IF(E693&lt;&gt;"",SUMIFS(JPK_KR!AM:AM,JPK_KR!W:W,F693),"")</f>
        <v/>
      </c>
      <c r="K693" s="24" t="str">
        <f>IF(I693&lt;&gt;"",SUMIFS(JPK_KR!AL:AL,JPK_KR!W:W,J693),"")</f>
        <v/>
      </c>
      <c r="L693" s="126" t="str">
        <f>IF(I693&lt;&gt;"",SUMIFS(JPK_KR!AM:AM,JPK_KR!W:W,J693),"")</f>
        <v/>
      </c>
      <c r="P693" s="24" t="str">
        <f>IF(M693&lt;&gt;"",IF(O693="",SUMIFS(JPK_KR!AL:AL,JPK_KR!W:W,N693),SUMIFS(JPK_KR!BF:BF,JPK_KR!BE:BE,N693,JPK_KR!BG:BG,O693)),"")</f>
        <v/>
      </c>
      <c r="Q693" s="126" t="str">
        <f>IF(M693&lt;&gt;"",IF(O693="",SUMIFS(JPK_KR!AM:AM,JPK_KR!W:W,N693),SUMIFS(JPK_KR!BI:BI,JPK_KR!BH:BH,N693,JPK_KR!BJ:BJ,O693)),"")</f>
        <v/>
      </c>
      <c r="U693" s="24" t="str">
        <f>IF(R693&lt;&gt;"",SUMIFS(JPK_KR!AL:AL,JPK_KR!W:W,S693),"")</f>
        <v/>
      </c>
      <c r="V693" s="126" t="str">
        <f>IF(R693&lt;&gt;"",SUMIFS(JPK_KR!AM:AM,JPK_KR!W:W,S693),"")</f>
        <v/>
      </c>
    </row>
    <row r="694" spans="3:22" x14ac:dyDescent="0.3">
      <c r="C694" s="24" t="str">
        <f>IF(A694&lt;&gt;"",SUMIFS(JPK_KR!AL:AL,JPK_KR!W:W,B694),"")</f>
        <v/>
      </c>
      <c r="D694" s="126" t="str">
        <f>IF(A694&lt;&gt;"",SUMIFS(JPK_KR!AM:AM,JPK_KR!W:W,B694),"")</f>
        <v/>
      </c>
      <c r="G694" s="24" t="str">
        <f>IF(E694&lt;&gt;"",SUMIFS(JPK_KR!AL:AL,JPK_KR!W:W,F694),"")</f>
        <v/>
      </c>
      <c r="H694" s="126" t="str">
        <f>IF(E694&lt;&gt;"",SUMIFS(JPK_KR!AM:AM,JPK_KR!W:W,F694),"")</f>
        <v/>
      </c>
      <c r="K694" s="24" t="str">
        <f>IF(I694&lt;&gt;"",SUMIFS(JPK_KR!AL:AL,JPK_KR!W:W,J694),"")</f>
        <v/>
      </c>
      <c r="L694" s="126" t="str">
        <f>IF(I694&lt;&gt;"",SUMIFS(JPK_KR!AM:AM,JPK_KR!W:W,J694),"")</f>
        <v/>
      </c>
      <c r="P694" s="24" t="str">
        <f>IF(M694&lt;&gt;"",IF(O694="",SUMIFS(JPK_KR!AL:AL,JPK_KR!W:W,N694),SUMIFS(JPK_KR!BF:BF,JPK_KR!BE:BE,N694,JPK_KR!BG:BG,O694)),"")</f>
        <v/>
      </c>
      <c r="Q694" s="126" t="str">
        <f>IF(M694&lt;&gt;"",IF(O694="",SUMIFS(JPK_KR!AM:AM,JPK_KR!W:W,N694),SUMIFS(JPK_KR!BI:BI,JPK_KR!BH:BH,N694,JPK_KR!BJ:BJ,O694)),"")</f>
        <v/>
      </c>
      <c r="U694" s="24" t="str">
        <f>IF(R694&lt;&gt;"",SUMIFS(JPK_KR!AL:AL,JPK_KR!W:W,S694),"")</f>
        <v/>
      </c>
      <c r="V694" s="126" t="str">
        <f>IF(R694&lt;&gt;"",SUMIFS(JPK_KR!AM:AM,JPK_KR!W:W,S694),"")</f>
        <v/>
      </c>
    </row>
    <row r="695" spans="3:22" x14ac:dyDescent="0.3">
      <c r="C695" s="24" t="str">
        <f>IF(A695&lt;&gt;"",SUMIFS(JPK_KR!AL:AL,JPK_KR!W:W,B695),"")</f>
        <v/>
      </c>
      <c r="D695" s="126" t="str">
        <f>IF(A695&lt;&gt;"",SUMIFS(JPK_KR!AM:AM,JPK_KR!W:W,B695),"")</f>
        <v/>
      </c>
      <c r="G695" s="24" t="str">
        <f>IF(E695&lt;&gt;"",SUMIFS(JPK_KR!AL:AL,JPK_KR!W:W,F695),"")</f>
        <v/>
      </c>
      <c r="H695" s="126" t="str">
        <f>IF(E695&lt;&gt;"",SUMIFS(JPK_KR!AM:AM,JPK_KR!W:W,F695),"")</f>
        <v/>
      </c>
      <c r="K695" s="24" t="str">
        <f>IF(I695&lt;&gt;"",SUMIFS(JPK_KR!AL:AL,JPK_KR!W:W,J695),"")</f>
        <v/>
      </c>
      <c r="L695" s="126" t="str">
        <f>IF(I695&lt;&gt;"",SUMIFS(JPK_KR!AM:AM,JPK_KR!W:W,J695),"")</f>
        <v/>
      </c>
      <c r="P695" s="24" t="str">
        <f>IF(M695&lt;&gt;"",IF(O695="",SUMIFS(JPK_KR!AL:AL,JPK_KR!W:W,N695),SUMIFS(JPK_KR!BF:BF,JPK_KR!BE:BE,N695,JPK_KR!BG:BG,O695)),"")</f>
        <v/>
      </c>
      <c r="Q695" s="126" t="str">
        <f>IF(M695&lt;&gt;"",IF(O695="",SUMIFS(JPK_KR!AM:AM,JPK_KR!W:W,N695),SUMIFS(JPK_KR!BI:BI,JPK_KR!BH:BH,N695,JPK_KR!BJ:BJ,O695)),"")</f>
        <v/>
      </c>
      <c r="U695" s="24" t="str">
        <f>IF(R695&lt;&gt;"",SUMIFS(JPK_KR!AL:AL,JPK_KR!W:W,S695),"")</f>
        <v/>
      </c>
      <c r="V695" s="126" t="str">
        <f>IF(R695&lt;&gt;"",SUMIFS(JPK_KR!AM:AM,JPK_KR!W:W,S695),"")</f>
        <v/>
      </c>
    </row>
    <row r="696" spans="3:22" x14ac:dyDescent="0.3">
      <c r="C696" s="24" t="str">
        <f>IF(A696&lt;&gt;"",SUMIFS(JPK_KR!AL:AL,JPK_KR!W:W,B696),"")</f>
        <v/>
      </c>
      <c r="D696" s="126" t="str">
        <f>IF(A696&lt;&gt;"",SUMIFS(JPK_KR!AM:AM,JPK_KR!W:W,B696),"")</f>
        <v/>
      </c>
      <c r="G696" s="24" t="str">
        <f>IF(E696&lt;&gt;"",SUMIFS(JPK_KR!AL:AL,JPK_KR!W:W,F696),"")</f>
        <v/>
      </c>
      <c r="H696" s="126" t="str">
        <f>IF(E696&lt;&gt;"",SUMIFS(JPK_KR!AM:AM,JPK_KR!W:W,F696),"")</f>
        <v/>
      </c>
      <c r="K696" s="24" t="str">
        <f>IF(I696&lt;&gt;"",SUMIFS(JPK_KR!AL:AL,JPK_KR!W:W,J696),"")</f>
        <v/>
      </c>
      <c r="L696" s="126" t="str">
        <f>IF(I696&lt;&gt;"",SUMIFS(JPK_KR!AM:AM,JPK_KR!W:W,J696),"")</f>
        <v/>
      </c>
      <c r="P696" s="24" t="str">
        <f>IF(M696&lt;&gt;"",IF(O696="",SUMIFS(JPK_KR!AL:AL,JPK_KR!W:W,N696),SUMIFS(JPK_KR!BF:BF,JPK_KR!BE:BE,N696,JPK_KR!BG:BG,O696)),"")</f>
        <v/>
      </c>
      <c r="Q696" s="126" t="str">
        <f>IF(M696&lt;&gt;"",IF(O696="",SUMIFS(JPK_KR!AM:AM,JPK_KR!W:W,N696),SUMIFS(JPK_KR!BI:BI,JPK_KR!BH:BH,N696,JPK_KR!BJ:BJ,O696)),"")</f>
        <v/>
      </c>
      <c r="U696" s="24" t="str">
        <f>IF(R696&lt;&gt;"",SUMIFS(JPK_KR!AL:AL,JPK_KR!W:W,S696),"")</f>
        <v/>
      </c>
      <c r="V696" s="126" t="str">
        <f>IF(R696&lt;&gt;"",SUMIFS(JPK_KR!AM:AM,JPK_KR!W:W,S696),"")</f>
        <v/>
      </c>
    </row>
    <row r="697" spans="3:22" x14ac:dyDescent="0.3">
      <c r="C697" s="24" t="str">
        <f>IF(A697&lt;&gt;"",SUMIFS(JPK_KR!AL:AL,JPK_KR!W:W,B697),"")</f>
        <v/>
      </c>
      <c r="D697" s="126" t="str">
        <f>IF(A697&lt;&gt;"",SUMIFS(JPK_KR!AM:AM,JPK_KR!W:W,B697),"")</f>
        <v/>
      </c>
      <c r="G697" s="24" t="str">
        <f>IF(E697&lt;&gt;"",SUMIFS(JPK_KR!AL:AL,JPK_KR!W:W,F697),"")</f>
        <v/>
      </c>
      <c r="H697" s="126" t="str">
        <f>IF(E697&lt;&gt;"",SUMIFS(JPK_KR!AM:AM,JPK_KR!W:W,F697),"")</f>
        <v/>
      </c>
      <c r="K697" s="24" t="str">
        <f>IF(I697&lt;&gt;"",SUMIFS(JPK_KR!AL:AL,JPK_KR!W:W,J697),"")</f>
        <v/>
      </c>
      <c r="L697" s="126" t="str">
        <f>IF(I697&lt;&gt;"",SUMIFS(JPK_KR!AM:AM,JPK_KR!W:W,J697),"")</f>
        <v/>
      </c>
      <c r="P697" s="24" t="str">
        <f>IF(M697&lt;&gt;"",IF(O697="",SUMIFS(JPK_KR!AL:AL,JPK_KR!W:W,N697),SUMIFS(JPK_KR!BF:BF,JPK_KR!BE:BE,N697,JPK_KR!BG:BG,O697)),"")</f>
        <v/>
      </c>
      <c r="Q697" s="126" t="str">
        <f>IF(M697&lt;&gt;"",IF(O697="",SUMIFS(JPK_KR!AM:AM,JPK_KR!W:W,N697),SUMIFS(JPK_KR!BI:BI,JPK_KR!BH:BH,N697,JPK_KR!BJ:BJ,O697)),"")</f>
        <v/>
      </c>
      <c r="U697" s="24" t="str">
        <f>IF(R697&lt;&gt;"",SUMIFS(JPK_KR!AL:AL,JPK_KR!W:W,S697),"")</f>
        <v/>
      </c>
      <c r="V697" s="126" t="str">
        <f>IF(R697&lt;&gt;"",SUMIFS(JPK_KR!AM:AM,JPK_KR!W:W,S697),"")</f>
        <v/>
      </c>
    </row>
    <row r="698" spans="3:22" x14ac:dyDescent="0.3">
      <c r="C698" s="24" t="str">
        <f>IF(A698&lt;&gt;"",SUMIFS(JPK_KR!AL:AL,JPK_KR!W:W,B698),"")</f>
        <v/>
      </c>
      <c r="D698" s="126" t="str">
        <f>IF(A698&lt;&gt;"",SUMIFS(JPK_KR!AM:AM,JPK_KR!W:W,B698),"")</f>
        <v/>
      </c>
      <c r="G698" s="24" t="str">
        <f>IF(E698&lt;&gt;"",SUMIFS(JPK_KR!AL:AL,JPK_KR!W:W,F698),"")</f>
        <v/>
      </c>
      <c r="H698" s="126" t="str">
        <f>IF(E698&lt;&gt;"",SUMIFS(JPK_KR!AM:AM,JPK_KR!W:W,F698),"")</f>
        <v/>
      </c>
      <c r="K698" s="24" t="str">
        <f>IF(I698&lt;&gt;"",SUMIFS(JPK_KR!AL:AL,JPK_KR!W:W,J698),"")</f>
        <v/>
      </c>
      <c r="L698" s="126" t="str">
        <f>IF(I698&lt;&gt;"",SUMIFS(JPK_KR!AM:AM,JPK_KR!W:W,J698),"")</f>
        <v/>
      </c>
      <c r="P698" s="24" t="str">
        <f>IF(M698&lt;&gt;"",IF(O698="",SUMIFS(JPK_KR!AL:AL,JPK_KR!W:W,N698),SUMIFS(JPK_KR!BF:BF,JPK_KR!BE:BE,N698,JPK_KR!BG:BG,O698)),"")</f>
        <v/>
      </c>
      <c r="Q698" s="126" t="str">
        <f>IF(M698&lt;&gt;"",IF(O698="",SUMIFS(JPK_KR!AM:AM,JPK_KR!W:W,N698),SUMIFS(JPK_KR!BI:BI,JPK_KR!BH:BH,N698,JPK_KR!BJ:BJ,O698)),"")</f>
        <v/>
      </c>
      <c r="U698" s="24" t="str">
        <f>IF(R698&lt;&gt;"",SUMIFS(JPK_KR!AL:AL,JPK_KR!W:W,S698),"")</f>
        <v/>
      </c>
      <c r="V698" s="126" t="str">
        <f>IF(R698&lt;&gt;"",SUMIFS(JPK_KR!AM:AM,JPK_KR!W:W,S698),"")</f>
        <v/>
      </c>
    </row>
    <row r="699" spans="3:22" x14ac:dyDescent="0.3">
      <c r="C699" s="24" t="str">
        <f>IF(A699&lt;&gt;"",SUMIFS(JPK_KR!AL:AL,JPK_KR!W:W,B699),"")</f>
        <v/>
      </c>
      <c r="D699" s="126" t="str">
        <f>IF(A699&lt;&gt;"",SUMIFS(JPK_KR!AM:AM,JPK_KR!W:W,B699),"")</f>
        <v/>
      </c>
      <c r="G699" s="24" t="str">
        <f>IF(E699&lt;&gt;"",SUMIFS(JPK_KR!AL:AL,JPK_KR!W:W,F699),"")</f>
        <v/>
      </c>
      <c r="H699" s="126" t="str">
        <f>IF(E699&lt;&gt;"",SUMIFS(JPK_KR!AM:AM,JPK_KR!W:W,F699),"")</f>
        <v/>
      </c>
      <c r="K699" s="24" t="str">
        <f>IF(I699&lt;&gt;"",SUMIFS(JPK_KR!AL:AL,JPK_KR!W:W,J699),"")</f>
        <v/>
      </c>
      <c r="L699" s="126" t="str">
        <f>IF(I699&lt;&gt;"",SUMIFS(JPK_KR!AM:AM,JPK_KR!W:W,J699),"")</f>
        <v/>
      </c>
      <c r="P699" s="24" t="str">
        <f>IF(M699&lt;&gt;"",IF(O699="",SUMIFS(JPK_KR!AL:AL,JPK_KR!W:W,N699),SUMIFS(JPK_KR!BF:BF,JPK_KR!BE:BE,N699,JPK_KR!BG:BG,O699)),"")</f>
        <v/>
      </c>
      <c r="Q699" s="126" t="str">
        <f>IF(M699&lt;&gt;"",IF(O699="",SUMIFS(JPK_KR!AM:AM,JPK_KR!W:W,N699),SUMIFS(JPK_KR!BI:BI,JPK_KR!BH:BH,N699,JPK_KR!BJ:BJ,O699)),"")</f>
        <v/>
      </c>
      <c r="U699" s="24" t="str">
        <f>IF(R699&lt;&gt;"",SUMIFS(JPK_KR!AL:AL,JPK_KR!W:W,S699),"")</f>
        <v/>
      </c>
      <c r="V699" s="126" t="str">
        <f>IF(R699&lt;&gt;"",SUMIFS(JPK_KR!AM:AM,JPK_KR!W:W,S699),"")</f>
        <v/>
      </c>
    </row>
    <row r="700" spans="3:22" x14ac:dyDescent="0.3">
      <c r="C700" s="24" t="str">
        <f>IF(A700&lt;&gt;"",SUMIFS(JPK_KR!AL:AL,JPK_KR!W:W,B700),"")</f>
        <v/>
      </c>
      <c r="D700" s="126" t="str">
        <f>IF(A700&lt;&gt;"",SUMIFS(JPK_KR!AM:AM,JPK_KR!W:W,B700),"")</f>
        <v/>
      </c>
      <c r="G700" s="24" t="str">
        <f>IF(E700&lt;&gt;"",SUMIFS(JPK_KR!AL:AL,JPK_KR!W:W,F700),"")</f>
        <v/>
      </c>
      <c r="H700" s="126" t="str">
        <f>IF(E700&lt;&gt;"",SUMIFS(JPK_KR!AM:AM,JPK_KR!W:W,F700),"")</f>
        <v/>
      </c>
      <c r="K700" s="24" t="str">
        <f>IF(I700&lt;&gt;"",SUMIFS(JPK_KR!AL:AL,JPK_KR!W:W,J700),"")</f>
        <v/>
      </c>
      <c r="L700" s="126" t="str">
        <f>IF(I700&lt;&gt;"",SUMIFS(JPK_KR!AM:AM,JPK_KR!W:W,J700),"")</f>
        <v/>
      </c>
      <c r="P700" s="24" t="str">
        <f>IF(M700&lt;&gt;"",IF(O700="",SUMIFS(JPK_KR!AL:AL,JPK_KR!W:W,N700),SUMIFS(JPK_KR!BF:BF,JPK_KR!BE:BE,N700,JPK_KR!BG:BG,O700)),"")</f>
        <v/>
      </c>
      <c r="Q700" s="126" t="str">
        <f>IF(M700&lt;&gt;"",IF(O700="",SUMIFS(JPK_KR!AM:AM,JPK_KR!W:W,N700),SUMIFS(JPK_KR!BI:BI,JPK_KR!BH:BH,N700,JPK_KR!BJ:BJ,O700)),"")</f>
        <v/>
      </c>
      <c r="U700" s="24" t="str">
        <f>IF(R700&lt;&gt;"",SUMIFS(JPK_KR!AL:AL,JPK_KR!W:W,S700),"")</f>
        <v/>
      </c>
      <c r="V700" s="126" t="str">
        <f>IF(R700&lt;&gt;"",SUMIFS(JPK_KR!AM:AM,JPK_KR!W:W,S700),"")</f>
        <v/>
      </c>
    </row>
    <row r="701" spans="3:22" x14ac:dyDescent="0.3">
      <c r="C701" s="24" t="str">
        <f>IF(A701&lt;&gt;"",SUMIFS(JPK_KR!AL:AL,JPK_KR!W:W,B701),"")</f>
        <v/>
      </c>
      <c r="D701" s="126" t="str">
        <f>IF(A701&lt;&gt;"",SUMIFS(JPK_KR!AM:AM,JPK_KR!W:W,B701),"")</f>
        <v/>
      </c>
      <c r="G701" s="24" t="str">
        <f>IF(E701&lt;&gt;"",SUMIFS(JPK_KR!AL:AL,JPK_KR!W:W,F701),"")</f>
        <v/>
      </c>
      <c r="H701" s="126" t="str">
        <f>IF(E701&lt;&gt;"",SUMIFS(JPK_KR!AM:AM,JPK_KR!W:W,F701),"")</f>
        <v/>
      </c>
      <c r="K701" s="24" t="str">
        <f>IF(I701&lt;&gt;"",SUMIFS(JPK_KR!AL:AL,JPK_KR!W:W,J701),"")</f>
        <v/>
      </c>
      <c r="L701" s="126" t="str">
        <f>IF(I701&lt;&gt;"",SUMIFS(JPK_KR!AM:AM,JPK_KR!W:W,J701),"")</f>
        <v/>
      </c>
      <c r="P701" s="24" t="str">
        <f>IF(M701&lt;&gt;"",IF(O701="",SUMIFS(JPK_KR!AL:AL,JPK_KR!W:W,N701),SUMIFS(JPK_KR!BF:BF,JPK_KR!BE:BE,N701,JPK_KR!BG:BG,O701)),"")</f>
        <v/>
      </c>
      <c r="Q701" s="126" t="str">
        <f>IF(M701&lt;&gt;"",IF(O701="",SUMIFS(JPK_KR!AM:AM,JPK_KR!W:W,N701),SUMIFS(JPK_KR!BI:BI,JPK_KR!BH:BH,N701,JPK_KR!BJ:BJ,O701)),"")</f>
        <v/>
      </c>
      <c r="U701" s="24" t="str">
        <f>IF(R701&lt;&gt;"",SUMIFS(JPK_KR!AL:AL,JPK_KR!W:W,S701),"")</f>
        <v/>
      </c>
      <c r="V701" s="126" t="str">
        <f>IF(R701&lt;&gt;"",SUMIFS(JPK_KR!AM:AM,JPK_KR!W:W,S701),"")</f>
        <v/>
      </c>
    </row>
    <row r="702" spans="3:22" x14ac:dyDescent="0.3">
      <c r="C702" s="24" t="str">
        <f>IF(A702&lt;&gt;"",SUMIFS(JPK_KR!AL:AL,JPK_KR!W:W,B702),"")</f>
        <v/>
      </c>
      <c r="D702" s="126" t="str">
        <f>IF(A702&lt;&gt;"",SUMIFS(JPK_KR!AM:AM,JPK_KR!W:W,B702),"")</f>
        <v/>
      </c>
      <c r="G702" s="24" t="str">
        <f>IF(E702&lt;&gt;"",SUMIFS(JPK_KR!AL:AL,JPK_KR!W:W,F702),"")</f>
        <v/>
      </c>
      <c r="H702" s="126" t="str">
        <f>IF(E702&lt;&gt;"",SUMIFS(JPK_KR!AM:AM,JPK_KR!W:W,F702),"")</f>
        <v/>
      </c>
      <c r="K702" s="24" t="str">
        <f>IF(I702&lt;&gt;"",SUMIFS(JPK_KR!AL:AL,JPK_KR!W:W,J702),"")</f>
        <v/>
      </c>
      <c r="L702" s="126" t="str">
        <f>IF(I702&lt;&gt;"",SUMIFS(JPK_KR!AM:AM,JPK_KR!W:W,J702),"")</f>
        <v/>
      </c>
      <c r="P702" s="24" t="str">
        <f>IF(M702&lt;&gt;"",IF(O702="",SUMIFS(JPK_KR!AL:AL,JPK_KR!W:W,N702),SUMIFS(JPK_KR!BF:BF,JPK_KR!BE:BE,N702,JPK_KR!BG:BG,O702)),"")</f>
        <v/>
      </c>
      <c r="Q702" s="126" t="str">
        <f>IF(M702&lt;&gt;"",IF(O702="",SUMIFS(JPK_KR!AM:AM,JPK_KR!W:W,N702),SUMIFS(JPK_KR!BI:BI,JPK_KR!BH:BH,N702,JPK_KR!BJ:BJ,O702)),"")</f>
        <v/>
      </c>
      <c r="U702" s="24" t="str">
        <f>IF(R702&lt;&gt;"",SUMIFS(JPK_KR!AL:AL,JPK_KR!W:W,S702),"")</f>
        <v/>
      </c>
      <c r="V702" s="126" t="str">
        <f>IF(R702&lt;&gt;"",SUMIFS(JPK_KR!AM:AM,JPK_KR!W:W,S702),"")</f>
        <v/>
      </c>
    </row>
    <row r="703" spans="3:22" x14ac:dyDescent="0.3">
      <c r="C703" s="24" t="str">
        <f>IF(A703&lt;&gt;"",SUMIFS(JPK_KR!AL:AL,JPK_KR!W:W,B703),"")</f>
        <v/>
      </c>
      <c r="D703" s="126" t="str">
        <f>IF(A703&lt;&gt;"",SUMIFS(JPK_KR!AM:AM,JPK_KR!W:W,B703),"")</f>
        <v/>
      </c>
      <c r="G703" s="24" t="str">
        <f>IF(E703&lt;&gt;"",SUMIFS(JPK_KR!AL:AL,JPK_KR!W:W,F703),"")</f>
        <v/>
      </c>
      <c r="H703" s="126" t="str">
        <f>IF(E703&lt;&gt;"",SUMIFS(JPK_KR!AM:AM,JPK_KR!W:W,F703),"")</f>
        <v/>
      </c>
      <c r="K703" s="24" t="str">
        <f>IF(I703&lt;&gt;"",SUMIFS(JPK_KR!AL:AL,JPK_KR!W:W,J703),"")</f>
        <v/>
      </c>
      <c r="L703" s="126" t="str">
        <f>IF(I703&lt;&gt;"",SUMIFS(JPK_KR!AM:AM,JPK_KR!W:W,J703),"")</f>
        <v/>
      </c>
      <c r="P703" s="24" t="str">
        <f>IF(M703&lt;&gt;"",IF(O703="",SUMIFS(JPK_KR!AL:AL,JPK_KR!W:W,N703),SUMIFS(JPK_KR!BF:BF,JPK_KR!BE:BE,N703,JPK_KR!BG:BG,O703)),"")</f>
        <v/>
      </c>
      <c r="Q703" s="126" t="str">
        <f>IF(M703&lt;&gt;"",IF(O703="",SUMIFS(JPK_KR!AM:AM,JPK_KR!W:W,N703),SUMIFS(JPK_KR!BI:BI,JPK_KR!BH:BH,N703,JPK_KR!BJ:BJ,O703)),"")</f>
        <v/>
      </c>
      <c r="U703" s="24" t="str">
        <f>IF(R703&lt;&gt;"",SUMIFS(JPK_KR!AL:AL,JPK_KR!W:W,S703),"")</f>
        <v/>
      </c>
      <c r="V703" s="126" t="str">
        <f>IF(R703&lt;&gt;"",SUMIFS(JPK_KR!AM:AM,JPK_KR!W:W,S703),"")</f>
        <v/>
      </c>
    </row>
    <row r="704" spans="3:22" x14ac:dyDescent="0.3">
      <c r="C704" s="24" t="str">
        <f>IF(A704&lt;&gt;"",SUMIFS(JPK_KR!AL:AL,JPK_KR!W:W,B704),"")</f>
        <v/>
      </c>
      <c r="D704" s="126" t="str">
        <f>IF(A704&lt;&gt;"",SUMIFS(JPK_KR!AM:AM,JPK_KR!W:W,B704),"")</f>
        <v/>
      </c>
      <c r="G704" s="24" t="str">
        <f>IF(E704&lt;&gt;"",SUMIFS(JPK_KR!AL:AL,JPK_KR!W:W,F704),"")</f>
        <v/>
      </c>
      <c r="H704" s="126" t="str">
        <f>IF(E704&lt;&gt;"",SUMIFS(JPK_KR!AM:AM,JPK_KR!W:W,F704),"")</f>
        <v/>
      </c>
      <c r="K704" s="24" t="str">
        <f>IF(I704&lt;&gt;"",SUMIFS(JPK_KR!AL:AL,JPK_KR!W:W,J704),"")</f>
        <v/>
      </c>
      <c r="L704" s="126" t="str">
        <f>IF(I704&lt;&gt;"",SUMIFS(JPK_KR!AM:AM,JPK_KR!W:W,J704),"")</f>
        <v/>
      </c>
      <c r="P704" s="24" t="str">
        <f>IF(M704&lt;&gt;"",IF(O704="",SUMIFS(JPK_KR!AL:AL,JPK_KR!W:W,N704),SUMIFS(JPK_KR!BF:BF,JPK_KR!BE:BE,N704,JPK_KR!BG:BG,O704)),"")</f>
        <v/>
      </c>
      <c r="Q704" s="126" t="str">
        <f>IF(M704&lt;&gt;"",IF(O704="",SUMIFS(JPK_KR!AM:AM,JPK_KR!W:W,N704),SUMIFS(JPK_KR!BI:BI,JPK_KR!BH:BH,N704,JPK_KR!BJ:BJ,O704)),"")</f>
        <v/>
      </c>
      <c r="U704" s="24" t="str">
        <f>IF(R704&lt;&gt;"",SUMIFS(JPK_KR!AL:AL,JPK_KR!W:W,S704),"")</f>
        <v/>
      </c>
      <c r="V704" s="126" t="str">
        <f>IF(R704&lt;&gt;"",SUMIFS(JPK_KR!AM:AM,JPK_KR!W:W,S704),"")</f>
        <v/>
      </c>
    </row>
    <row r="705" spans="3:22" x14ac:dyDescent="0.3">
      <c r="C705" s="24" t="str">
        <f>IF(A705&lt;&gt;"",SUMIFS(JPK_KR!AL:AL,JPK_KR!W:W,B705),"")</f>
        <v/>
      </c>
      <c r="D705" s="126" t="str">
        <f>IF(A705&lt;&gt;"",SUMIFS(JPK_KR!AM:AM,JPK_KR!W:W,B705),"")</f>
        <v/>
      </c>
      <c r="G705" s="24" t="str">
        <f>IF(E705&lt;&gt;"",SUMIFS(JPK_KR!AL:AL,JPK_KR!W:W,F705),"")</f>
        <v/>
      </c>
      <c r="H705" s="126" t="str">
        <f>IF(E705&lt;&gt;"",SUMIFS(JPK_KR!AM:AM,JPK_KR!W:W,F705),"")</f>
        <v/>
      </c>
      <c r="K705" s="24" t="str">
        <f>IF(I705&lt;&gt;"",SUMIFS(JPK_KR!AL:AL,JPK_KR!W:W,J705),"")</f>
        <v/>
      </c>
      <c r="L705" s="126" t="str">
        <f>IF(I705&lt;&gt;"",SUMIFS(JPK_KR!AM:AM,JPK_KR!W:W,J705),"")</f>
        <v/>
      </c>
      <c r="P705" s="24" t="str">
        <f>IF(M705&lt;&gt;"",IF(O705="",SUMIFS(JPK_KR!AL:AL,JPK_KR!W:W,N705),SUMIFS(JPK_KR!BF:BF,JPK_KR!BE:BE,N705,JPK_KR!BG:BG,O705)),"")</f>
        <v/>
      </c>
      <c r="Q705" s="126" t="str">
        <f>IF(M705&lt;&gt;"",IF(O705="",SUMIFS(JPK_KR!AM:AM,JPK_KR!W:W,N705),SUMIFS(JPK_KR!BI:BI,JPK_KR!BH:BH,N705,JPK_KR!BJ:BJ,O705)),"")</f>
        <v/>
      </c>
      <c r="U705" s="24" t="str">
        <f>IF(R705&lt;&gt;"",SUMIFS(JPK_KR!AL:AL,JPK_KR!W:W,S705),"")</f>
        <v/>
      </c>
      <c r="V705" s="126" t="str">
        <f>IF(R705&lt;&gt;"",SUMIFS(JPK_KR!AM:AM,JPK_KR!W:W,S705),"")</f>
        <v/>
      </c>
    </row>
    <row r="706" spans="3:22" x14ac:dyDescent="0.3">
      <c r="C706" s="24" t="str">
        <f>IF(A706&lt;&gt;"",SUMIFS(JPK_KR!AL:AL,JPK_KR!W:W,B706),"")</f>
        <v/>
      </c>
      <c r="D706" s="126" t="str">
        <f>IF(A706&lt;&gt;"",SUMIFS(JPK_KR!AM:AM,JPK_KR!W:W,B706),"")</f>
        <v/>
      </c>
      <c r="G706" s="24" t="str">
        <f>IF(E706&lt;&gt;"",SUMIFS(JPK_KR!AL:AL,JPK_KR!W:W,F706),"")</f>
        <v/>
      </c>
      <c r="H706" s="126" t="str">
        <f>IF(E706&lt;&gt;"",SUMIFS(JPK_KR!AM:AM,JPK_KR!W:W,F706),"")</f>
        <v/>
      </c>
      <c r="K706" s="24" t="str">
        <f>IF(I706&lt;&gt;"",SUMIFS(JPK_KR!AL:AL,JPK_KR!W:W,J706),"")</f>
        <v/>
      </c>
      <c r="L706" s="126" t="str">
        <f>IF(I706&lt;&gt;"",SUMIFS(JPK_KR!AM:AM,JPK_KR!W:W,J706),"")</f>
        <v/>
      </c>
      <c r="P706" s="24" t="str">
        <f>IF(M706&lt;&gt;"",IF(O706="",SUMIFS(JPK_KR!AL:AL,JPK_KR!W:W,N706),SUMIFS(JPK_KR!BF:BF,JPK_KR!BE:BE,N706,JPK_KR!BG:BG,O706)),"")</f>
        <v/>
      </c>
      <c r="Q706" s="126" t="str">
        <f>IF(M706&lt;&gt;"",IF(O706="",SUMIFS(JPK_KR!AM:AM,JPK_KR!W:W,N706),SUMIFS(JPK_KR!BI:BI,JPK_KR!BH:BH,N706,JPK_KR!BJ:BJ,O706)),"")</f>
        <v/>
      </c>
      <c r="U706" s="24" t="str">
        <f>IF(R706&lt;&gt;"",SUMIFS(JPK_KR!AL:AL,JPK_KR!W:W,S706),"")</f>
        <v/>
      </c>
      <c r="V706" s="126" t="str">
        <f>IF(R706&lt;&gt;"",SUMIFS(JPK_KR!AM:AM,JPK_KR!W:W,S706),"")</f>
        <v/>
      </c>
    </row>
    <row r="707" spans="3:22" x14ac:dyDescent="0.3">
      <c r="C707" s="24" t="str">
        <f>IF(A707&lt;&gt;"",SUMIFS(JPK_KR!AL:AL,JPK_KR!W:W,B707),"")</f>
        <v/>
      </c>
      <c r="D707" s="126" t="str">
        <f>IF(A707&lt;&gt;"",SUMIFS(JPK_KR!AM:AM,JPK_KR!W:W,B707),"")</f>
        <v/>
      </c>
      <c r="G707" s="24" t="str">
        <f>IF(E707&lt;&gt;"",SUMIFS(JPK_KR!AL:AL,JPK_KR!W:W,F707),"")</f>
        <v/>
      </c>
      <c r="H707" s="126" t="str">
        <f>IF(E707&lt;&gt;"",SUMIFS(JPK_KR!AM:AM,JPK_KR!W:W,F707),"")</f>
        <v/>
      </c>
      <c r="K707" s="24" t="str">
        <f>IF(I707&lt;&gt;"",SUMIFS(JPK_KR!AL:AL,JPK_KR!W:W,J707),"")</f>
        <v/>
      </c>
      <c r="L707" s="126" t="str">
        <f>IF(I707&lt;&gt;"",SUMIFS(JPK_KR!AM:AM,JPK_KR!W:W,J707),"")</f>
        <v/>
      </c>
      <c r="P707" s="24" t="str">
        <f>IF(M707&lt;&gt;"",IF(O707="",SUMIFS(JPK_KR!AL:AL,JPK_KR!W:W,N707),SUMIFS(JPK_KR!BF:BF,JPK_KR!BE:BE,N707,JPK_KR!BG:BG,O707)),"")</f>
        <v/>
      </c>
      <c r="Q707" s="126" t="str">
        <f>IF(M707&lt;&gt;"",IF(O707="",SUMIFS(JPK_KR!AM:AM,JPK_KR!W:W,N707),SUMIFS(JPK_KR!BI:BI,JPK_KR!BH:BH,N707,JPK_KR!BJ:BJ,O707)),"")</f>
        <v/>
      </c>
      <c r="U707" s="24" t="str">
        <f>IF(R707&lt;&gt;"",SUMIFS(JPK_KR!AL:AL,JPK_KR!W:W,S707),"")</f>
        <v/>
      </c>
      <c r="V707" s="126" t="str">
        <f>IF(R707&lt;&gt;"",SUMIFS(JPK_KR!AM:AM,JPK_KR!W:W,S707),"")</f>
        <v/>
      </c>
    </row>
    <row r="708" spans="3:22" x14ac:dyDescent="0.3">
      <c r="C708" s="24" t="str">
        <f>IF(A708&lt;&gt;"",SUMIFS(JPK_KR!AL:AL,JPK_KR!W:W,B708),"")</f>
        <v/>
      </c>
      <c r="D708" s="126" t="str">
        <f>IF(A708&lt;&gt;"",SUMIFS(JPK_KR!AM:AM,JPK_KR!W:W,B708),"")</f>
        <v/>
      </c>
      <c r="G708" s="24" t="str">
        <f>IF(E708&lt;&gt;"",SUMIFS(JPK_KR!AL:AL,JPK_KR!W:W,F708),"")</f>
        <v/>
      </c>
      <c r="H708" s="126" t="str">
        <f>IF(E708&lt;&gt;"",SUMIFS(JPK_KR!AM:AM,JPK_KR!W:W,F708),"")</f>
        <v/>
      </c>
      <c r="K708" s="24" t="str">
        <f>IF(I708&lt;&gt;"",SUMIFS(JPK_KR!AL:AL,JPK_KR!W:W,J708),"")</f>
        <v/>
      </c>
      <c r="L708" s="126" t="str">
        <f>IF(I708&lt;&gt;"",SUMIFS(JPK_KR!AM:AM,JPK_KR!W:W,J708),"")</f>
        <v/>
      </c>
      <c r="P708" s="24" t="str">
        <f>IF(M708&lt;&gt;"",IF(O708="",SUMIFS(JPK_KR!AL:AL,JPK_KR!W:W,N708),SUMIFS(JPK_KR!BF:BF,JPK_KR!BE:BE,N708,JPK_KR!BG:BG,O708)),"")</f>
        <v/>
      </c>
      <c r="Q708" s="126" t="str">
        <f>IF(M708&lt;&gt;"",IF(O708="",SUMIFS(JPK_KR!AM:AM,JPK_KR!W:W,N708),SUMIFS(JPK_KR!BI:BI,JPK_KR!BH:BH,N708,JPK_KR!BJ:BJ,O708)),"")</f>
        <v/>
      </c>
      <c r="U708" s="24" t="str">
        <f>IF(R708&lt;&gt;"",SUMIFS(JPK_KR!AL:AL,JPK_KR!W:W,S708),"")</f>
        <v/>
      </c>
      <c r="V708" s="126" t="str">
        <f>IF(R708&lt;&gt;"",SUMIFS(JPK_KR!AM:AM,JPK_KR!W:W,S708),"")</f>
        <v/>
      </c>
    </row>
    <row r="709" spans="3:22" x14ac:dyDescent="0.3">
      <c r="C709" s="24" t="str">
        <f>IF(A709&lt;&gt;"",SUMIFS(JPK_KR!AL:AL,JPK_KR!W:W,B709),"")</f>
        <v/>
      </c>
      <c r="D709" s="126" t="str">
        <f>IF(A709&lt;&gt;"",SUMIFS(JPK_KR!AM:AM,JPK_KR!W:W,B709),"")</f>
        <v/>
      </c>
      <c r="G709" s="24" t="str">
        <f>IF(E709&lt;&gt;"",SUMIFS(JPK_KR!AL:AL,JPK_KR!W:W,F709),"")</f>
        <v/>
      </c>
      <c r="H709" s="126" t="str">
        <f>IF(E709&lt;&gt;"",SUMIFS(JPK_KR!AM:AM,JPK_KR!W:W,F709),"")</f>
        <v/>
      </c>
      <c r="K709" s="24" t="str">
        <f>IF(I709&lt;&gt;"",SUMIFS(JPK_KR!AL:AL,JPK_KR!W:W,J709),"")</f>
        <v/>
      </c>
      <c r="L709" s="126" t="str">
        <f>IF(I709&lt;&gt;"",SUMIFS(JPK_KR!AM:AM,JPK_KR!W:W,J709),"")</f>
        <v/>
      </c>
      <c r="P709" s="24" t="str">
        <f>IF(M709&lt;&gt;"",IF(O709="",SUMIFS(JPK_KR!AL:AL,JPK_KR!W:W,N709),SUMIFS(JPK_KR!BF:BF,JPK_KR!BE:BE,N709,JPK_KR!BG:BG,O709)),"")</f>
        <v/>
      </c>
      <c r="Q709" s="126" t="str">
        <f>IF(M709&lt;&gt;"",IF(O709="",SUMIFS(JPK_KR!AM:AM,JPK_KR!W:W,N709),SUMIFS(JPK_KR!BI:BI,JPK_KR!BH:BH,N709,JPK_KR!BJ:BJ,O709)),"")</f>
        <v/>
      </c>
      <c r="U709" s="24" t="str">
        <f>IF(R709&lt;&gt;"",SUMIFS(JPK_KR!AL:AL,JPK_KR!W:W,S709),"")</f>
        <v/>
      </c>
      <c r="V709" s="126" t="str">
        <f>IF(R709&lt;&gt;"",SUMIFS(JPK_KR!AM:AM,JPK_KR!W:W,S709),"")</f>
        <v/>
      </c>
    </row>
    <row r="710" spans="3:22" x14ac:dyDescent="0.3">
      <c r="C710" s="24" t="str">
        <f>IF(A710&lt;&gt;"",SUMIFS(JPK_KR!AL:AL,JPK_KR!W:W,B710),"")</f>
        <v/>
      </c>
      <c r="D710" s="126" t="str">
        <f>IF(A710&lt;&gt;"",SUMIFS(JPK_KR!AM:AM,JPK_KR!W:W,B710),"")</f>
        <v/>
      </c>
      <c r="G710" s="24" t="str">
        <f>IF(E710&lt;&gt;"",SUMIFS(JPK_KR!AL:AL,JPK_KR!W:W,F710),"")</f>
        <v/>
      </c>
      <c r="H710" s="126" t="str">
        <f>IF(E710&lt;&gt;"",SUMIFS(JPK_KR!AM:AM,JPK_KR!W:W,F710),"")</f>
        <v/>
      </c>
      <c r="K710" s="24" t="str">
        <f>IF(I710&lt;&gt;"",SUMIFS(JPK_KR!AL:AL,JPK_KR!W:W,J710),"")</f>
        <v/>
      </c>
      <c r="L710" s="126" t="str">
        <f>IF(I710&lt;&gt;"",SUMIFS(JPK_KR!AM:AM,JPK_KR!W:W,J710),"")</f>
        <v/>
      </c>
      <c r="P710" s="24" t="str">
        <f>IF(M710&lt;&gt;"",IF(O710="",SUMIFS(JPK_KR!AL:AL,JPK_KR!W:W,N710),SUMIFS(JPK_KR!BF:BF,JPK_KR!BE:BE,N710,JPK_KR!BG:BG,O710)),"")</f>
        <v/>
      </c>
      <c r="Q710" s="126" t="str">
        <f>IF(M710&lt;&gt;"",IF(O710="",SUMIFS(JPK_KR!AM:AM,JPK_KR!W:W,N710),SUMIFS(JPK_KR!BI:BI,JPK_KR!BH:BH,N710,JPK_KR!BJ:BJ,O710)),"")</f>
        <v/>
      </c>
      <c r="U710" s="24" t="str">
        <f>IF(R710&lt;&gt;"",SUMIFS(JPK_KR!AL:AL,JPK_KR!W:W,S710),"")</f>
        <v/>
      </c>
      <c r="V710" s="126" t="str">
        <f>IF(R710&lt;&gt;"",SUMIFS(JPK_KR!AM:AM,JPK_KR!W:W,S710),"")</f>
        <v/>
      </c>
    </row>
    <row r="711" spans="3:22" x14ac:dyDescent="0.3">
      <c r="C711" s="24" t="str">
        <f>IF(A711&lt;&gt;"",SUMIFS(JPK_KR!AL:AL,JPK_KR!W:W,B711),"")</f>
        <v/>
      </c>
      <c r="D711" s="126" t="str">
        <f>IF(A711&lt;&gt;"",SUMIFS(JPK_KR!AM:AM,JPK_KR!W:W,B711),"")</f>
        <v/>
      </c>
      <c r="G711" s="24" t="str">
        <f>IF(E711&lt;&gt;"",SUMIFS(JPK_KR!AL:AL,JPK_KR!W:W,F711),"")</f>
        <v/>
      </c>
      <c r="H711" s="126" t="str">
        <f>IF(E711&lt;&gt;"",SUMIFS(JPK_KR!AM:AM,JPK_KR!W:W,F711),"")</f>
        <v/>
      </c>
      <c r="K711" s="24" t="str">
        <f>IF(I711&lt;&gt;"",SUMIFS(JPK_KR!AL:AL,JPK_KR!W:W,J711),"")</f>
        <v/>
      </c>
      <c r="L711" s="126" t="str">
        <f>IF(I711&lt;&gt;"",SUMIFS(JPK_KR!AM:AM,JPK_KR!W:W,J711),"")</f>
        <v/>
      </c>
      <c r="P711" s="24" t="str">
        <f>IF(M711&lt;&gt;"",IF(O711="",SUMIFS(JPK_KR!AL:AL,JPK_KR!W:W,N711),SUMIFS(JPK_KR!BF:BF,JPK_KR!BE:BE,N711,JPK_KR!BG:BG,O711)),"")</f>
        <v/>
      </c>
      <c r="Q711" s="126" t="str">
        <f>IF(M711&lt;&gt;"",IF(O711="",SUMIFS(JPK_KR!AM:AM,JPK_KR!W:W,N711),SUMIFS(JPK_KR!BI:BI,JPK_KR!BH:BH,N711,JPK_KR!BJ:BJ,O711)),"")</f>
        <v/>
      </c>
      <c r="U711" s="24" t="str">
        <f>IF(R711&lt;&gt;"",SUMIFS(JPK_KR!AL:AL,JPK_KR!W:W,S711),"")</f>
        <v/>
      </c>
      <c r="V711" s="126" t="str">
        <f>IF(R711&lt;&gt;"",SUMIFS(JPK_KR!AM:AM,JPK_KR!W:W,S711),"")</f>
        <v/>
      </c>
    </row>
    <row r="712" spans="3:22" x14ac:dyDescent="0.3">
      <c r="C712" s="24" t="str">
        <f>IF(A712&lt;&gt;"",SUMIFS(JPK_KR!AL:AL,JPK_KR!W:W,B712),"")</f>
        <v/>
      </c>
      <c r="D712" s="126" t="str">
        <f>IF(A712&lt;&gt;"",SUMIFS(JPK_KR!AM:AM,JPK_KR!W:W,B712),"")</f>
        <v/>
      </c>
      <c r="G712" s="24" t="str">
        <f>IF(E712&lt;&gt;"",SUMIFS(JPK_KR!AL:AL,JPK_KR!W:W,F712),"")</f>
        <v/>
      </c>
      <c r="H712" s="126" t="str">
        <f>IF(E712&lt;&gt;"",SUMIFS(JPK_KR!AM:AM,JPK_KR!W:W,F712),"")</f>
        <v/>
      </c>
      <c r="K712" s="24" t="str">
        <f>IF(I712&lt;&gt;"",SUMIFS(JPK_KR!AL:AL,JPK_KR!W:W,J712),"")</f>
        <v/>
      </c>
      <c r="L712" s="126" t="str">
        <f>IF(I712&lt;&gt;"",SUMIFS(JPK_KR!AM:AM,JPK_KR!W:W,J712),"")</f>
        <v/>
      </c>
      <c r="P712" s="24" t="str">
        <f>IF(M712&lt;&gt;"",IF(O712="",SUMIFS(JPK_KR!AL:AL,JPK_KR!W:W,N712),SUMIFS(JPK_KR!BF:BF,JPK_KR!BE:BE,N712,JPK_KR!BG:BG,O712)),"")</f>
        <v/>
      </c>
      <c r="Q712" s="126" t="str">
        <f>IF(M712&lt;&gt;"",IF(O712="",SUMIFS(JPK_KR!AM:AM,JPK_KR!W:W,N712),SUMIFS(JPK_KR!BI:BI,JPK_KR!BH:BH,N712,JPK_KR!BJ:BJ,O712)),"")</f>
        <v/>
      </c>
      <c r="U712" s="24" t="str">
        <f>IF(R712&lt;&gt;"",SUMIFS(JPK_KR!AL:AL,JPK_KR!W:W,S712),"")</f>
        <v/>
      </c>
      <c r="V712" s="126" t="str">
        <f>IF(R712&lt;&gt;"",SUMIFS(JPK_KR!AM:AM,JPK_KR!W:W,S712),"")</f>
        <v/>
      </c>
    </row>
    <row r="713" spans="3:22" x14ac:dyDescent="0.3">
      <c r="C713" s="24" t="str">
        <f>IF(A713&lt;&gt;"",SUMIFS(JPK_KR!AL:AL,JPK_KR!W:W,B713),"")</f>
        <v/>
      </c>
      <c r="D713" s="126" t="str">
        <f>IF(A713&lt;&gt;"",SUMIFS(JPK_KR!AM:AM,JPK_KR!W:W,B713),"")</f>
        <v/>
      </c>
      <c r="G713" s="24" t="str">
        <f>IF(E713&lt;&gt;"",SUMIFS(JPK_KR!AL:AL,JPK_KR!W:W,F713),"")</f>
        <v/>
      </c>
      <c r="H713" s="126" t="str">
        <f>IF(E713&lt;&gt;"",SUMIFS(JPK_KR!AM:AM,JPK_KR!W:W,F713),"")</f>
        <v/>
      </c>
      <c r="K713" s="24" t="str">
        <f>IF(I713&lt;&gt;"",SUMIFS(JPK_KR!AL:AL,JPK_KR!W:W,J713),"")</f>
        <v/>
      </c>
      <c r="L713" s="126" t="str">
        <f>IF(I713&lt;&gt;"",SUMIFS(JPK_KR!AM:AM,JPK_KR!W:W,J713),"")</f>
        <v/>
      </c>
      <c r="P713" s="24" t="str">
        <f>IF(M713&lt;&gt;"",IF(O713="",SUMIFS(JPK_KR!AL:AL,JPK_KR!W:W,N713),SUMIFS(JPK_KR!BF:BF,JPK_KR!BE:BE,N713,JPK_KR!BG:BG,O713)),"")</f>
        <v/>
      </c>
      <c r="Q713" s="126" t="str">
        <f>IF(M713&lt;&gt;"",IF(O713="",SUMIFS(JPK_KR!AM:AM,JPK_KR!W:W,N713),SUMIFS(JPK_KR!BI:BI,JPK_KR!BH:BH,N713,JPK_KR!BJ:BJ,O713)),"")</f>
        <v/>
      </c>
      <c r="U713" s="24" t="str">
        <f>IF(R713&lt;&gt;"",SUMIFS(JPK_KR!AL:AL,JPK_KR!W:W,S713),"")</f>
        <v/>
      </c>
      <c r="V713" s="126" t="str">
        <f>IF(R713&lt;&gt;"",SUMIFS(JPK_KR!AM:AM,JPK_KR!W:W,S713),"")</f>
        <v/>
      </c>
    </row>
    <row r="714" spans="3:22" x14ac:dyDescent="0.3">
      <c r="C714" s="24" t="str">
        <f>IF(A714&lt;&gt;"",SUMIFS(JPK_KR!AL:AL,JPK_KR!W:W,B714),"")</f>
        <v/>
      </c>
      <c r="D714" s="126" t="str">
        <f>IF(A714&lt;&gt;"",SUMIFS(JPK_KR!AM:AM,JPK_KR!W:W,B714),"")</f>
        <v/>
      </c>
      <c r="G714" s="24" t="str">
        <f>IF(E714&lt;&gt;"",SUMIFS(JPK_KR!AL:AL,JPK_KR!W:W,F714),"")</f>
        <v/>
      </c>
      <c r="H714" s="126" t="str">
        <f>IF(E714&lt;&gt;"",SUMIFS(JPK_KR!AM:AM,JPK_KR!W:W,F714),"")</f>
        <v/>
      </c>
      <c r="K714" s="24" t="str">
        <f>IF(I714&lt;&gt;"",SUMIFS(JPK_KR!AL:AL,JPK_KR!W:W,J714),"")</f>
        <v/>
      </c>
      <c r="L714" s="126" t="str">
        <f>IF(I714&lt;&gt;"",SUMIFS(JPK_KR!AM:AM,JPK_KR!W:W,J714),"")</f>
        <v/>
      </c>
      <c r="P714" s="24" t="str">
        <f>IF(M714&lt;&gt;"",IF(O714="",SUMIFS(JPK_KR!AL:AL,JPK_KR!W:W,N714),SUMIFS(JPK_KR!BF:BF,JPK_KR!BE:BE,N714,JPK_KR!BG:BG,O714)),"")</f>
        <v/>
      </c>
      <c r="Q714" s="126" t="str">
        <f>IF(M714&lt;&gt;"",IF(O714="",SUMIFS(JPK_KR!AM:AM,JPK_KR!W:W,N714),SUMIFS(JPK_KR!BI:BI,JPK_KR!BH:BH,N714,JPK_KR!BJ:BJ,O714)),"")</f>
        <v/>
      </c>
      <c r="U714" s="24" t="str">
        <f>IF(R714&lt;&gt;"",SUMIFS(JPK_KR!AL:AL,JPK_KR!W:W,S714),"")</f>
        <v/>
      </c>
      <c r="V714" s="126" t="str">
        <f>IF(R714&lt;&gt;"",SUMIFS(JPK_KR!AM:AM,JPK_KR!W:W,S714),"")</f>
        <v/>
      </c>
    </row>
    <row r="715" spans="3:22" x14ac:dyDescent="0.3">
      <c r="C715" s="24" t="str">
        <f>IF(A715&lt;&gt;"",SUMIFS(JPK_KR!AL:AL,JPK_KR!W:W,B715),"")</f>
        <v/>
      </c>
      <c r="D715" s="126" t="str">
        <f>IF(A715&lt;&gt;"",SUMIFS(JPK_KR!AM:AM,JPK_KR!W:W,B715),"")</f>
        <v/>
      </c>
      <c r="G715" s="24" t="str">
        <f>IF(E715&lt;&gt;"",SUMIFS(JPK_KR!AL:AL,JPK_KR!W:W,F715),"")</f>
        <v/>
      </c>
      <c r="H715" s="126" t="str">
        <f>IF(E715&lt;&gt;"",SUMIFS(JPK_KR!AM:AM,JPK_KR!W:W,F715),"")</f>
        <v/>
      </c>
      <c r="K715" s="24" t="str">
        <f>IF(I715&lt;&gt;"",SUMIFS(JPK_KR!AL:AL,JPK_KR!W:W,J715),"")</f>
        <v/>
      </c>
      <c r="L715" s="126" t="str">
        <f>IF(I715&lt;&gt;"",SUMIFS(JPK_KR!AM:AM,JPK_KR!W:W,J715),"")</f>
        <v/>
      </c>
      <c r="P715" s="24" t="str">
        <f>IF(M715&lt;&gt;"",IF(O715="",SUMIFS(JPK_KR!AL:AL,JPK_KR!W:W,N715),SUMIFS(JPK_KR!BF:BF,JPK_KR!BE:BE,N715,JPK_KR!BG:BG,O715)),"")</f>
        <v/>
      </c>
      <c r="Q715" s="126" t="str">
        <f>IF(M715&lt;&gt;"",IF(O715="",SUMIFS(JPK_KR!AM:AM,JPK_KR!W:W,N715),SUMIFS(JPK_KR!BI:BI,JPK_KR!BH:BH,N715,JPK_KR!BJ:BJ,O715)),"")</f>
        <v/>
      </c>
      <c r="U715" s="24" t="str">
        <f>IF(R715&lt;&gt;"",SUMIFS(JPK_KR!AL:AL,JPK_KR!W:W,S715),"")</f>
        <v/>
      </c>
      <c r="V715" s="126" t="str">
        <f>IF(R715&lt;&gt;"",SUMIFS(JPK_KR!AM:AM,JPK_KR!W:W,S715),"")</f>
        <v/>
      </c>
    </row>
    <row r="716" spans="3:22" x14ac:dyDescent="0.3">
      <c r="C716" s="24" t="str">
        <f>IF(A716&lt;&gt;"",SUMIFS(JPK_KR!AL:AL,JPK_KR!W:W,B716),"")</f>
        <v/>
      </c>
      <c r="D716" s="126" t="str">
        <f>IF(A716&lt;&gt;"",SUMIFS(JPK_KR!AM:AM,JPK_KR!W:W,B716),"")</f>
        <v/>
      </c>
      <c r="G716" s="24" t="str">
        <f>IF(E716&lt;&gt;"",SUMIFS(JPK_KR!AL:AL,JPK_KR!W:W,F716),"")</f>
        <v/>
      </c>
      <c r="H716" s="126" t="str">
        <f>IF(E716&lt;&gt;"",SUMIFS(JPK_KR!AM:AM,JPK_KR!W:W,F716),"")</f>
        <v/>
      </c>
      <c r="K716" s="24" t="str">
        <f>IF(I716&lt;&gt;"",SUMIFS(JPK_KR!AL:AL,JPK_KR!W:W,J716),"")</f>
        <v/>
      </c>
      <c r="L716" s="126" t="str">
        <f>IF(I716&lt;&gt;"",SUMIFS(JPK_KR!AM:AM,JPK_KR!W:W,J716),"")</f>
        <v/>
      </c>
      <c r="P716" s="24" t="str">
        <f>IF(M716&lt;&gt;"",IF(O716="",SUMIFS(JPK_KR!AL:AL,JPK_KR!W:W,N716),SUMIFS(JPK_KR!BF:BF,JPK_KR!BE:BE,N716,JPK_KR!BG:BG,O716)),"")</f>
        <v/>
      </c>
      <c r="Q716" s="126" t="str">
        <f>IF(M716&lt;&gt;"",IF(O716="",SUMIFS(JPK_KR!AM:AM,JPK_KR!W:W,N716),SUMIFS(JPK_KR!BI:BI,JPK_KR!BH:BH,N716,JPK_KR!BJ:BJ,O716)),"")</f>
        <v/>
      </c>
      <c r="U716" s="24" t="str">
        <f>IF(R716&lt;&gt;"",SUMIFS(JPK_KR!AL:AL,JPK_KR!W:W,S716),"")</f>
        <v/>
      </c>
      <c r="V716" s="126" t="str">
        <f>IF(R716&lt;&gt;"",SUMIFS(JPK_KR!AM:AM,JPK_KR!W:W,S716),"")</f>
        <v/>
      </c>
    </row>
    <row r="717" spans="3:22" x14ac:dyDescent="0.3">
      <c r="C717" s="24" t="str">
        <f>IF(A717&lt;&gt;"",SUMIFS(JPK_KR!AL:AL,JPK_KR!W:W,B717),"")</f>
        <v/>
      </c>
      <c r="D717" s="126" t="str">
        <f>IF(A717&lt;&gt;"",SUMIFS(JPK_KR!AM:AM,JPK_KR!W:W,B717),"")</f>
        <v/>
      </c>
      <c r="G717" s="24" t="str">
        <f>IF(E717&lt;&gt;"",SUMIFS(JPK_KR!AL:AL,JPK_KR!W:W,F717),"")</f>
        <v/>
      </c>
      <c r="H717" s="126" t="str">
        <f>IF(E717&lt;&gt;"",SUMIFS(JPK_KR!AM:AM,JPK_KR!W:W,F717),"")</f>
        <v/>
      </c>
      <c r="K717" s="24" t="str">
        <f>IF(I717&lt;&gt;"",SUMIFS(JPK_KR!AL:AL,JPK_KR!W:W,J717),"")</f>
        <v/>
      </c>
      <c r="L717" s="126" t="str">
        <f>IF(I717&lt;&gt;"",SUMIFS(JPK_KR!AM:AM,JPK_KR!W:W,J717),"")</f>
        <v/>
      </c>
      <c r="P717" s="24" t="str">
        <f>IF(M717&lt;&gt;"",IF(O717="",SUMIFS(JPK_KR!AL:AL,JPK_KR!W:W,N717),SUMIFS(JPK_KR!BF:BF,JPK_KR!BE:BE,N717,JPK_KR!BG:BG,O717)),"")</f>
        <v/>
      </c>
      <c r="Q717" s="126" t="str">
        <f>IF(M717&lt;&gt;"",IF(O717="",SUMIFS(JPK_KR!AM:AM,JPK_KR!W:W,N717),SUMIFS(JPK_KR!BI:BI,JPK_KR!BH:BH,N717,JPK_KR!BJ:BJ,O717)),"")</f>
        <v/>
      </c>
      <c r="U717" s="24" t="str">
        <f>IF(R717&lt;&gt;"",SUMIFS(JPK_KR!AL:AL,JPK_KR!W:W,S717),"")</f>
        <v/>
      </c>
      <c r="V717" s="126" t="str">
        <f>IF(R717&lt;&gt;"",SUMIFS(JPK_KR!AM:AM,JPK_KR!W:W,S717),"")</f>
        <v/>
      </c>
    </row>
    <row r="718" spans="3:22" x14ac:dyDescent="0.3">
      <c r="C718" s="24" t="str">
        <f>IF(A718&lt;&gt;"",SUMIFS(JPK_KR!AL:AL,JPK_KR!W:W,B718),"")</f>
        <v/>
      </c>
      <c r="D718" s="126" t="str">
        <f>IF(A718&lt;&gt;"",SUMIFS(JPK_KR!AM:AM,JPK_KR!W:W,B718),"")</f>
        <v/>
      </c>
      <c r="G718" s="24" t="str">
        <f>IF(E718&lt;&gt;"",SUMIFS(JPK_KR!AL:AL,JPK_KR!W:W,F718),"")</f>
        <v/>
      </c>
      <c r="H718" s="126" t="str">
        <f>IF(E718&lt;&gt;"",SUMIFS(JPK_KR!AM:AM,JPK_KR!W:W,F718),"")</f>
        <v/>
      </c>
      <c r="K718" s="24" t="str">
        <f>IF(I718&lt;&gt;"",SUMIFS(JPK_KR!AL:AL,JPK_KR!W:W,J718),"")</f>
        <v/>
      </c>
      <c r="L718" s="126" t="str">
        <f>IF(I718&lt;&gt;"",SUMIFS(JPK_KR!AM:AM,JPK_KR!W:W,J718),"")</f>
        <v/>
      </c>
      <c r="P718" s="24" t="str">
        <f>IF(M718&lt;&gt;"",IF(O718="",SUMIFS(JPK_KR!AL:AL,JPK_KR!W:W,N718),SUMIFS(JPK_KR!BF:BF,JPK_KR!BE:BE,N718,JPK_KR!BG:BG,O718)),"")</f>
        <v/>
      </c>
      <c r="Q718" s="126" t="str">
        <f>IF(M718&lt;&gt;"",IF(O718="",SUMIFS(JPK_KR!AM:AM,JPK_KR!W:W,N718),SUMIFS(JPK_KR!BI:BI,JPK_KR!BH:BH,N718,JPK_KR!BJ:BJ,O718)),"")</f>
        <v/>
      </c>
      <c r="U718" s="24" t="str">
        <f>IF(R718&lt;&gt;"",SUMIFS(JPK_KR!AL:AL,JPK_KR!W:W,S718),"")</f>
        <v/>
      </c>
      <c r="V718" s="126" t="str">
        <f>IF(R718&lt;&gt;"",SUMIFS(JPK_KR!AM:AM,JPK_KR!W:W,S718),"")</f>
        <v/>
      </c>
    </row>
    <row r="719" spans="3:22" x14ac:dyDescent="0.3">
      <c r="C719" s="24" t="str">
        <f>IF(A719&lt;&gt;"",SUMIFS(JPK_KR!AL:AL,JPK_KR!W:W,B719),"")</f>
        <v/>
      </c>
      <c r="D719" s="126" t="str">
        <f>IF(A719&lt;&gt;"",SUMIFS(JPK_KR!AM:AM,JPK_KR!W:W,B719),"")</f>
        <v/>
      </c>
      <c r="G719" s="24" t="str">
        <f>IF(E719&lt;&gt;"",SUMIFS(JPK_KR!AL:AL,JPK_KR!W:W,F719),"")</f>
        <v/>
      </c>
      <c r="H719" s="126" t="str">
        <f>IF(E719&lt;&gt;"",SUMIFS(JPK_KR!AM:AM,JPK_KR!W:W,F719),"")</f>
        <v/>
      </c>
      <c r="K719" s="24" t="str">
        <f>IF(I719&lt;&gt;"",SUMIFS(JPK_KR!AL:AL,JPK_KR!W:W,J719),"")</f>
        <v/>
      </c>
      <c r="L719" s="126" t="str">
        <f>IF(I719&lt;&gt;"",SUMIFS(JPK_KR!AM:AM,JPK_KR!W:W,J719),"")</f>
        <v/>
      </c>
      <c r="P719" s="24" t="str">
        <f>IF(M719&lt;&gt;"",IF(O719="",SUMIFS(JPK_KR!AL:AL,JPK_KR!W:W,N719),SUMIFS(JPK_KR!BF:BF,JPK_KR!BE:BE,N719,JPK_KR!BG:BG,O719)),"")</f>
        <v/>
      </c>
      <c r="Q719" s="126" t="str">
        <f>IF(M719&lt;&gt;"",IF(O719="",SUMIFS(JPK_KR!AM:AM,JPK_KR!W:W,N719),SUMIFS(JPK_KR!BI:BI,JPK_KR!BH:BH,N719,JPK_KR!BJ:BJ,O719)),"")</f>
        <v/>
      </c>
      <c r="U719" s="24" t="str">
        <f>IF(R719&lt;&gt;"",SUMIFS(JPK_KR!AL:AL,JPK_KR!W:W,S719),"")</f>
        <v/>
      </c>
      <c r="V719" s="126" t="str">
        <f>IF(R719&lt;&gt;"",SUMIFS(JPK_KR!AM:AM,JPK_KR!W:W,S719),"")</f>
        <v/>
      </c>
    </row>
    <row r="720" spans="3:22" x14ac:dyDescent="0.3">
      <c r="C720" s="24" t="str">
        <f>IF(A720&lt;&gt;"",SUMIFS(JPK_KR!AL:AL,JPK_KR!W:W,B720),"")</f>
        <v/>
      </c>
      <c r="D720" s="126" t="str">
        <f>IF(A720&lt;&gt;"",SUMIFS(JPK_KR!AM:AM,JPK_KR!W:W,B720),"")</f>
        <v/>
      </c>
      <c r="G720" s="24" t="str">
        <f>IF(E720&lt;&gt;"",SUMIFS(JPK_KR!AL:AL,JPK_KR!W:W,F720),"")</f>
        <v/>
      </c>
      <c r="H720" s="126" t="str">
        <f>IF(E720&lt;&gt;"",SUMIFS(JPK_KR!AM:AM,JPK_KR!W:W,F720),"")</f>
        <v/>
      </c>
      <c r="K720" s="24" t="str">
        <f>IF(I720&lt;&gt;"",SUMIFS(JPK_KR!AL:AL,JPK_KR!W:W,J720),"")</f>
        <v/>
      </c>
      <c r="L720" s="126" t="str">
        <f>IF(I720&lt;&gt;"",SUMIFS(JPK_KR!AM:AM,JPK_KR!W:W,J720),"")</f>
        <v/>
      </c>
      <c r="P720" s="24" t="str">
        <f>IF(M720&lt;&gt;"",IF(O720="",SUMIFS(JPK_KR!AL:AL,JPK_KR!W:W,N720),SUMIFS(JPK_KR!BF:BF,JPK_KR!BE:BE,N720,JPK_KR!BG:BG,O720)),"")</f>
        <v/>
      </c>
      <c r="Q720" s="126" t="str">
        <f>IF(M720&lt;&gt;"",IF(O720="",SUMIFS(JPK_KR!AM:AM,JPK_KR!W:W,N720),SUMIFS(JPK_KR!BI:BI,JPK_KR!BH:BH,N720,JPK_KR!BJ:BJ,O720)),"")</f>
        <v/>
      </c>
      <c r="U720" s="24" t="str">
        <f>IF(R720&lt;&gt;"",SUMIFS(JPK_KR!AL:AL,JPK_KR!W:W,S720),"")</f>
        <v/>
      </c>
      <c r="V720" s="126" t="str">
        <f>IF(R720&lt;&gt;"",SUMIFS(JPK_KR!AM:AM,JPK_KR!W:W,S720),"")</f>
        <v/>
      </c>
    </row>
    <row r="721" spans="3:22" x14ac:dyDescent="0.3">
      <c r="C721" s="24" t="str">
        <f>IF(A721&lt;&gt;"",SUMIFS(JPK_KR!AL:AL,JPK_KR!W:W,B721),"")</f>
        <v/>
      </c>
      <c r="D721" s="126" t="str">
        <f>IF(A721&lt;&gt;"",SUMIFS(JPK_KR!AM:AM,JPK_KR!W:W,B721),"")</f>
        <v/>
      </c>
      <c r="G721" s="24" t="str">
        <f>IF(E721&lt;&gt;"",SUMIFS(JPK_KR!AL:AL,JPK_KR!W:W,F721),"")</f>
        <v/>
      </c>
      <c r="H721" s="126" t="str">
        <f>IF(E721&lt;&gt;"",SUMIFS(JPK_KR!AM:AM,JPK_KR!W:W,F721),"")</f>
        <v/>
      </c>
      <c r="K721" s="24" t="str">
        <f>IF(I721&lt;&gt;"",SUMIFS(JPK_KR!AL:AL,JPK_KR!W:W,J721),"")</f>
        <v/>
      </c>
      <c r="L721" s="126" t="str">
        <f>IF(I721&lt;&gt;"",SUMIFS(JPK_KR!AM:AM,JPK_KR!W:W,J721),"")</f>
        <v/>
      </c>
      <c r="P721" s="24" t="str">
        <f>IF(M721&lt;&gt;"",IF(O721="",SUMIFS(JPK_KR!AL:AL,JPK_KR!W:W,N721),SUMIFS(JPK_KR!BF:BF,JPK_KR!BE:BE,N721,JPK_KR!BG:BG,O721)),"")</f>
        <v/>
      </c>
      <c r="Q721" s="126" t="str">
        <f>IF(M721&lt;&gt;"",IF(O721="",SUMIFS(JPK_KR!AM:AM,JPK_KR!W:W,N721),SUMIFS(JPK_KR!BI:BI,JPK_KR!BH:BH,N721,JPK_KR!BJ:BJ,O721)),"")</f>
        <v/>
      </c>
      <c r="U721" s="24" t="str">
        <f>IF(R721&lt;&gt;"",SUMIFS(JPK_KR!AL:AL,JPK_KR!W:W,S721),"")</f>
        <v/>
      </c>
      <c r="V721" s="126" t="str">
        <f>IF(R721&lt;&gt;"",SUMIFS(JPK_KR!AM:AM,JPK_KR!W:W,S721),"")</f>
        <v/>
      </c>
    </row>
    <row r="722" spans="3:22" x14ac:dyDescent="0.3">
      <c r="C722" s="24" t="str">
        <f>IF(A722&lt;&gt;"",SUMIFS(JPK_KR!AL:AL,JPK_KR!W:W,B722),"")</f>
        <v/>
      </c>
      <c r="D722" s="126" t="str">
        <f>IF(A722&lt;&gt;"",SUMIFS(JPK_KR!AM:AM,JPK_KR!W:W,B722),"")</f>
        <v/>
      </c>
      <c r="G722" s="24" t="str">
        <f>IF(E722&lt;&gt;"",SUMIFS(JPK_KR!AL:AL,JPK_KR!W:W,F722),"")</f>
        <v/>
      </c>
      <c r="H722" s="126" t="str">
        <f>IF(E722&lt;&gt;"",SUMIFS(JPK_KR!AM:AM,JPK_KR!W:W,F722),"")</f>
        <v/>
      </c>
      <c r="K722" s="24" t="str">
        <f>IF(I722&lt;&gt;"",SUMIFS(JPK_KR!AL:AL,JPK_KR!W:W,J722),"")</f>
        <v/>
      </c>
      <c r="L722" s="126" t="str">
        <f>IF(I722&lt;&gt;"",SUMIFS(JPK_KR!AM:AM,JPK_KR!W:W,J722),"")</f>
        <v/>
      </c>
      <c r="P722" s="24" t="str">
        <f>IF(M722&lt;&gt;"",IF(O722="",SUMIFS(JPK_KR!AL:AL,JPK_KR!W:W,N722),SUMIFS(JPK_KR!BF:BF,JPK_KR!BE:BE,N722,JPK_KR!BG:BG,O722)),"")</f>
        <v/>
      </c>
      <c r="Q722" s="126" t="str">
        <f>IF(M722&lt;&gt;"",IF(O722="",SUMIFS(JPK_KR!AM:AM,JPK_KR!W:W,N722),SUMIFS(JPK_KR!BI:BI,JPK_KR!BH:BH,N722,JPK_KR!BJ:BJ,O722)),"")</f>
        <v/>
      </c>
      <c r="U722" s="24" t="str">
        <f>IF(R722&lt;&gt;"",SUMIFS(JPK_KR!AL:AL,JPK_KR!W:W,S722),"")</f>
        <v/>
      </c>
      <c r="V722" s="126" t="str">
        <f>IF(R722&lt;&gt;"",SUMIFS(JPK_KR!AM:AM,JPK_KR!W:W,S722),"")</f>
        <v/>
      </c>
    </row>
    <row r="723" spans="3:22" x14ac:dyDescent="0.3">
      <c r="C723" s="24" t="str">
        <f>IF(A723&lt;&gt;"",SUMIFS(JPK_KR!AL:AL,JPK_KR!W:W,B723),"")</f>
        <v/>
      </c>
      <c r="D723" s="126" t="str">
        <f>IF(A723&lt;&gt;"",SUMIFS(JPK_KR!AM:AM,JPK_KR!W:W,B723),"")</f>
        <v/>
      </c>
      <c r="G723" s="24" t="str">
        <f>IF(E723&lt;&gt;"",SUMIFS(JPK_KR!AL:AL,JPK_KR!W:W,F723),"")</f>
        <v/>
      </c>
      <c r="H723" s="126" t="str">
        <f>IF(E723&lt;&gt;"",SUMIFS(JPK_KR!AM:AM,JPK_KR!W:W,F723),"")</f>
        <v/>
      </c>
      <c r="K723" s="24" t="str">
        <f>IF(I723&lt;&gt;"",SUMIFS(JPK_KR!AL:AL,JPK_KR!W:W,J723),"")</f>
        <v/>
      </c>
      <c r="L723" s="126" t="str">
        <f>IF(I723&lt;&gt;"",SUMIFS(JPK_KR!AM:AM,JPK_KR!W:W,J723),"")</f>
        <v/>
      </c>
      <c r="P723" s="24" t="str">
        <f>IF(M723&lt;&gt;"",IF(O723="",SUMIFS(JPK_KR!AL:AL,JPK_KR!W:W,N723),SUMIFS(JPK_KR!BF:BF,JPK_KR!BE:BE,N723,JPK_KR!BG:BG,O723)),"")</f>
        <v/>
      </c>
      <c r="Q723" s="126" t="str">
        <f>IF(M723&lt;&gt;"",IF(O723="",SUMIFS(JPK_KR!AM:AM,JPK_KR!W:W,N723),SUMIFS(JPK_KR!BI:BI,JPK_KR!BH:BH,N723,JPK_KR!BJ:BJ,O723)),"")</f>
        <v/>
      </c>
      <c r="U723" s="24" t="str">
        <f>IF(R723&lt;&gt;"",SUMIFS(JPK_KR!AL:AL,JPK_KR!W:W,S723),"")</f>
        <v/>
      </c>
      <c r="V723" s="126" t="str">
        <f>IF(R723&lt;&gt;"",SUMIFS(JPK_KR!AM:AM,JPK_KR!W:W,S723),"")</f>
        <v/>
      </c>
    </row>
    <row r="724" spans="3:22" x14ac:dyDescent="0.3">
      <c r="C724" s="24" t="str">
        <f>IF(A724&lt;&gt;"",SUMIFS(JPK_KR!AL:AL,JPK_KR!W:W,B724),"")</f>
        <v/>
      </c>
      <c r="D724" s="126" t="str">
        <f>IF(A724&lt;&gt;"",SUMIFS(JPK_KR!AM:AM,JPK_KR!W:W,B724),"")</f>
        <v/>
      </c>
      <c r="G724" s="24" t="str">
        <f>IF(E724&lt;&gt;"",SUMIFS(JPK_KR!AL:AL,JPK_KR!W:W,F724),"")</f>
        <v/>
      </c>
      <c r="H724" s="126" t="str">
        <f>IF(E724&lt;&gt;"",SUMIFS(JPK_KR!AM:AM,JPK_KR!W:W,F724),"")</f>
        <v/>
      </c>
      <c r="K724" s="24" t="str">
        <f>IF(I724&lt;&gt;"",SUMIFS(JPK_KR!AL:AL,JPK_KR!W:W,J724),"")</f>
        <v/>
      </c>
      <c r="L724" s="126" t="str">
        <f>IF(I724&lt;&gt;"",SUMIFS(JPK_KR!AM:AM,JPK_KR!W:W,J724),"")</f>
        <v/>
      </c>
      <c r="P724" s="24" t="str">
        <f>IF(M724&lt;&gt;"",IF(O724="",SUMIFS(JPK_KR!AL:AL,JPK_KR!W:W,N724),SUMIFS(JPK_KR!BF:BF,JPK_KR!BE:BE,N724,JPK_KR!BG:BG,O724)),"")</f>
        <v/>
      </c>
      <c r="Q724" s="126" t="str">
        <f>IF(M724&lt;&gt;"",IF(O724="",SUMIFS(JPK_KR!AM:AM,JPK_KR!W:W,N724),SUMIFS(JPK_KR!BI:BI,JPK_KR!BH:BH,N724,JPK_KR!BJ:BJ,O724)),"")</f>
        <v/>
      </c>
      <c r="U724" s="24" t="str">
        <f>IF(R724&lt;&gt;"",SUMIFS(JPK_KR!AL:AL,JPK_KR!W:W,S724),"")</f>
        <v/>
      </c>
      <c r="V724" s="126" t="str">
        <f>IF(R724&lt;&gt;"",SUMIFS(JPK_KR!AM:AM,JPK_KR!W:W,S724),"")</f>
        <v/>
      </c>
    </row>
    <row r="725" spans="3:22" x14ac:dyDescent="0.3">
      <c r="C725" s="24" t="str">
        <f>IF(A725&lt;&gt;"",SUMIFS(JPK_KR!AL:AL,JPK_KR!W:W,B725),"")</f>
        <v/>
      </c>
      <c r="D725" s="126" t="str">
        <f>IF(A725&lt;&gt;"",SUMIFS(JPK_KR!AM:AM,JPK_KR!W:W,B725),"")</f>
        <v/>
      </c>
      <c r="G725" s="24" t="str">
        <f>IF(E725&lt;&gt;"",SUMIFS(JPK_KR!AL:AL,JPK_KR!W:W,F725),"")</f>
        <v/>
      </c>
      <c r="H725" s="126" t="str">
        <f>IF(E725&lt;&gt;"",SUMIFS(JPK_KR!AM:AM,JPK_KR!W:W,F725),"")</f>
        <v/>
      </c>
      <c r="K725" s="24" t="str">
        <f>IF(I725&lt;&gt;"",SUMIFS(JPK_KR!AL:AL,JPK_KR!W:W,J725),"")</f>
        <v/>
      </c>
      <c r="L725" s="126" t="str">
        <f>IF(I725&lt;&gt;"",SUMIFS(JPK_KR!AM:AM,JPK_KR!W:W,J725),"")</f>
        <v/>
      </c>
      <c r="P725" s="24" t="str">
        <f>IF(M725&lt;&gt;"",IF(O725="",SUMIFS(JPK_KR!AL:AL,JPK_KR!W:W,N725),SUMIFS(JPK_KR!BF:BF,JPK_KR!BE:BE,N725,JPK_KR!BG:BG,O725)),"")</f>
        <v/>
      </c>
      <c r="Q725" s="126" t="str">
        <f>IF(M725&lt;&gt;"",IF(O725="",SUMIFS(JPK_KR!AM:AM,JPK_KR!W:W,N725),SUMIFS(JPK_KR!BI:BI,JPK_KR!BH:BH,N725,JPK_KR!BJ:BJ,O725)),"")</f>
        <v/>
      </c>
      <c r="U725" s="24" t="str">
        <f>IF(R725&lt;&gt;"",SUMIFS(JPK_KR!AL:AL,JPK_KR!W:W,S725),"")</f>
        <v/>
      </c>
      <c r="V725" s="126" t="str">
        <f>IF(R725&lt;&gt;"",SUMIFS(JPK_KR!AM:AM,JPK_KR!W:W,S725),"")</f>
        <v/>
      </c>
    </row>
    <row r="726" spans="3:22" x14ac:dyDescent="0.3">
      <c r="C726" s="24" t="str">
        <f>IF(A726&lt;&gt;"",SUMIFS(JPK_KR!AL:AL,JPK_KR!W:W,B726),"")</f>
        <v/>
      </c>
      <c r="D726" s="126" t="str">
        <f>IF(A726&lt;&gt;"",SUMIFS(JPK_KR!AM:AM,JPK_KR!W:W,B726),"")</f>
        <v/>
      </c>
      <c r="G726" s="24" t="str">
        <f>IF(E726&lt;&gt;"",SUMIFS(JPK_KR!AL:AL,JPK_KR!W:W,F726),"")</f>
        <v/>
      </c>
      <c r="H726" s="126" t="str">
        <f>IF(E726&lt;&gt;"",SUMIFS(JPK_KR!AM:AM,JPK_KR!W:W,F726),"")</f>
        <v/>
      </c>
      <c r="K726" s="24" t="str">
        <f>IF(I726&lt;&gt;"",SUMIFS(JPK_KR!AL:AL,JPK_KR!W:W,J726),"")</f>
        <v/>
      </c>
      <c r="L726" s="126" t="str">
        <f>IF(I726&lt;&gt;"",SUMIFS(JPK_KR!AM:AM,JPK_KR!W:W,J726),"")</f>
        <v/>
      </c>
      <c r="P726" s="24" t="str">
        <f>IF(M726&lt;&gt;"",IF(O726="",SUMIFS(JPK_KR!AL:AL,JPK_KR!W:W,N726),SUMIFS(JPK_KR!BF:BF,JPK_KR!BE:BE,N726,JPK_KR!BG:BG,O726)),"")</f>
        <v/>
      </c>
      <c r="Q726" s="126" t="str">
        <f>IF(M726&lt;&gt;"",IF(O726="",SUMIFS(JPK_KR!AM:AM,JPK_KR!W:W,N726),SUMIFS(JPK_KR!BI:BI,JPK_KR!BH:BH,N726,JPK_KR!BJ:BJ,O726)),"")</f>
        <v/>
      </c>
      <c r="U726" s="24" t="str">
        <f>IF(R726&lt;&gt;"",SUMIFS(JPK_KR!AL:AL,JPK_KR!W:W,S726),"")</f>
        <v/>
      </c>
      <c r="V726" s="126" t="str">
        <f>IF(R726&lt;&gt;"",SUMIFS(JPK_KR!AM:AM,JPK_KR!W:W,S726),"")</f>
        <v/>
      </c>
    </row>
    <row r="727" spans="3:22" x14ac:dyDescent="0.3">
      <c r="C727" s="24" t="str">
        <f>IF(A727&lt;&gt;"",SUMIFS(JPK_KR!AL:AL,JPK_KR!W:W,B727),"")</f>
        <v/>
      </c>
      <c r="D727" s="126" t="str">
        <f>IF(A727&lt;&gt;"",SUMIFS(JPK_KR!AM:AM,JPK_KR!W:W,B727),"")</f>
        <v/>
      </c>
      <c r="G727" s="24" t="str">
        <f>IF(E727&lt;&gt;"",SUMIFS(JPK_KR!AL:AL,JPK_KR!W:W,F727),"")</f>
        <v/>
      </c>
      <c r="H727" s="126" t="str">
        <f>IF(E727&lt;&gt;"",SUMIFS(JPK_KR!AM:AM,JPK_KR!W:W,F727),"")</f>
        <v/>
      </c>
      <c r="K727" s="24" t="str">
        <f>IF(I727&lt;&gt;"",SUMIFS(JPK_KR!AL:AL,JPK_KR!W:W,J727),"")</f>
        <v/>
      </c>
      <c r="L727" s="126" t="str">
        <f>IF(I727&lt;&gt;"",SUMIFS(JPK_KR!AM:AM,JPK_KR!W:W,J727),"")</f>
        <v/>
      </c>
      <c r="P727" s="24" t="str">
        <f>IF(M727&lt;&gt;"",IF(O727="",SUMIFS(JPK_KR!AL:AL,JPK_KR!W:W,N727),SUMIFS(JPK_KR!BF:BF,JPK_KR!BE:BE,N727,JPK_KR!BG:BG,O727)),"")</f>
        <v/>
      </c>
      <c r="Q727" s="126" t="str">
        <f>IF(M727&lt;&gt;"",IF(O727="",SUMIFS(JPK_KR!AM:AM,JPK_KR!W:W,N727),SUMIFS(JPK_KR!BI:BI,JPK_KR!BH:BH,N727,JPK_KR!BJ:BJ,O727)),"")</f>
        <v/>
      </c>
      <c r="U727" s="24" t="str">
        <f>IF(R727&lt;&gt;"",SUMIFS(JPK_KR!AL:AL,JPK_KR!W:W,S727),"")</f>
        <v/>
      </c>
      <c r="V727" s="126" t="str">
        <f>IF(R727&lt;&gt;"",SUMIFS(JPK_KR!AM:AM,JPK_KR!W:W,S727),"")</f>
        <v/>
      </c>
    </row>
    <row r="728" spans="3:22" x14ac:dyDescent="0.3">
      <c r="C728" s="24" t="str">
        <f>IF(A728&lt;&gt;"",SUMIFS(JPK_KR!AL:AL,JPK_KR!W:W,B728),"")</f>
        <v/>
      </c>
      <c r="D728" s="126" t="str">
        <f>IF(A728&lt;&gt;"",SUMIFS(JPK_KR!AM:AM,JPK_KR!W:W,B728),"")</f>
        <v/>
      </c>
      <c r="G728" s="24" t="str">
        <f>IF(E728&lt;&gt;"",SUMIFS(JPK_KR!AL:AL,JPK_KR!W:W,F728),"")</f>
        <v/>
      </c>
      <c r="H728" s="126" t="str">
        <f>IF(E728&lt;&gt;"",SUMIFS(JPK_KR!AM:AM,JPK_KR!W:W,F728),"")</f>
        <v/>
      </c>
      <c r="K728" s="24" t="str">
        <f>IF(I728&lt;&gt;"",SUMIFS(JPK_KR!AL:AL,JPK_KR!W:W,J728),"")</f>
        <v/>
      </c>
      <c r="L728" s="126" t="str">
        <f>IF(I728&lt;&gt;"",SUMIFS(JPK_KR!AM:AM,JPK_KR!W:W,J728),"")</f>
        <v/>
      </c>
      <c r="P728" s="24" t="str">
        <f>IF(M728&lt;&gt;"",IF(O728="",SUMIFS(JPK_KR!AL:AL,JPK_KR!W:W,N728),SUMIFS(JPK_KR!BF:BF,JPK_KR!BE:BE,N728,JPK_KR!BG:BG,O728)),"")</f>
        <v/>
      </c>
      <c r="Q728" s="126" t="str">
        <f>IF(M728&lt;&gt;"",IF(O728="",SUMIFS(JPK_KR!AM:AM,JPK_KR!W:W,N728),SUMIFS(JPK_KR!BI:BI,JPK_KR!BH:BH,N728,JPK_KR!BJ:BJ,O728)),"")</f>
        <v/>
      </c>
      <c r="U728" s="24" t="str">
        <f>IF(R728&lt;&gt;"",SUMIFS(JPK_KR!AL:AL,JPK_KR!W:W,S728),"")</f>
        <v/>
      </c>
      <c r="V728" s="126" t="str">
        <f>IF(R728&lt;&gt;"",SUMIFS(JPK_KR!AM:AM,JPK_KR!W:W,S728),"")</f>
        <v/>
      </c>
    </row>
    <row r="729" spans="3:22" x14ac:dyDescent="0.3">
      <c r="C729" s="24" t="str">
        <f>IF(A729&lt;&gt;"",SUMIFS(JPK_KR!AL:AL,JPK_KR!W:W,B729),"")</f>
        <v/>
      </c>
      <c r="D729" s="126" t="str">
        <f>IF(A729&lt;&gt;"",SUMIFS(JPK_KR!AM:AM,JPK_KR!W:W,B729),"")</f>
        <v/>
      </c>
      <c r="G729" s="24" t="str">
        <f>IF(E729&lt;&gt;"",SUMIFS(JPK_KR!AL:AL,JPK_KR!W:W,F729),"")</f>
        <v/>
      </c>
      <c r="H729" s="126" t="str">
        <f>IF(E729&lt;&gt;"",SUMIFS(JPK_KR!AM:AM,JPK_KR!W:W,F729),"")</f>
        <v/>
      </c>
      <c r="K729" s="24" t="str">
        <f>IF(I729&lt;&gt;"",SUMIFS(JPK_KR!AL:AL,JPK_KR!W:W,J729),"")</f>
        <v/>
      </c>
      <c r="L729" s="126" t="str">
        <f>IF(I729&lt;&gt;"",SUMIFS(JPK_KR!AM:AM,JPK_KR!W:W,J729),"")</f>
        <v/>
      </c>
      <c r="P729" s="24" t="str">
        <f>IF(M729&lt;&gt;"",IF(O729="",SUMIFS(JPK_KR!AL:AL,JPK_KR!W:W,N729),SUMIFS(JPK_KR!BF:BF,JPK_KR!BE:BE,N729,JPK_KR!BG:BG,O729)),"")</f>
        <v/>
      </c>
      <c r="Q729" s="126" t="str">
        <f>IF(M729&lt;&gt;"",IF(O729="",SUMIFS(JPK_KR!AM:AM,JPK_KR!W:W,N729),SUMIFS(JPK_KR!BI:BI,JPK_KR!BH:BH,N729,JPK_KR!BJ:BJ,O729)),"")</f>
        <v/>
      </c>
      <c r="U729" s="24" t="str">
        <f>IF(R729&lt;&gt;"",SUMIFS(JPK_KR!AL:AL,JPK_KR!W:W,S729),"")</f>
        <v/>
      </c>
      <c r="V729" s="126" t="str">
        <f>IF(R729&lt;&gt;"",SUMIFS(JPK_KR!AM:AM,JPK_KR!W:W,S729),"")</f>
        <v/>
      </c>
    </row>
    <row r="730" spans="3:22" x14ac:dyDescent="0.3">
      <c r="C730" s="24" t="str">
        <f>IF(A730&lt;&gt;"",SUMIFS(JPK_KR!AL:AL,JPK_KR!W:W,B730),"")</f>
        <v/>
      </c>
      <c r="D730" s="126" t="str">
        <f>IF(A730&lt;&gt;"",SUMIFS(JPK_KR!AM:AM,JPK_KR!W:W,B730),"")</f>
        <v/>
      </c>
      <c r="G730" s="24" t="str">
        <f>IF(E730&lt;&gt;"",SUMIFS(JPK_KR!AL:AL,JPK_KR!W:W,F730),"")</f>
        <v/>
      </c>
      <c r="H730" s="126" t="str">
        <f>IF(E730&lt;&gt;"",SUMIFS(JPK_KR!AM:AM,JPK_KR!W:W,F730),"")</f>
        <v/>
      </c>
      <c r="K730" s="24" t="str">
        <f>IF(I730&lt;&gt;"",SUMIFS(JPK_KR!AL:AL,JPK_KR!W:W,J730),"")</f>
        <v/>
      </c>
      <c r="L730" s="126" t="str">
        <f>IF(I730&lt;&gt;"",SUMIFS(JPK_KR!AM:AM,JPK_KR!W:W,J730),"")</f>
        <v/>
      </c>
      <c r="P730" s="24" t="str">
        <f>IF(M730&lt;&gt;"",IF(O730="",SUMIFS(JPK_KR!AL:AL,JPK_KR!W:W,N730),SUMIFS(JPK_KR!BF:BF,JPK_KR!BE:BE,N730,JPK_KR!BG:BG,O730)),"")</f>
        <v/>
      </c>
      <c r="Q730" s="126" t="str">
        <f>IF(M730&lt;&gt;"",IF(O730="",SUMIFS(JPK_KR!AM:AM,JPK_KR!W:W,N730),SUMIFS(JPK_KR!BI:BI,JPK_KR!BH:BH,N730,JPK_KR!BJ:BJ,O730)),"")</f>
        <v/>
      </c>
      <c r="U730" s="24" t="str">
        <f>IF(R730&lt;&gt;"",SUMIFS(JPK_KR!AL:AL,JPK_KR!W:W,S730),"")</f>
        <v/>
      </c>
      <c r="V730" s="126" t="str">
        <f>IF(R730&lt;&gt;"",SUMIFS(JPK_KR!AM:AM,JPK_KR!W:W,S730),"")</f>
        <v/>
      </c>
    </row>
    <row r="731" spans="3:22" x14ac:dyDescent="0.3">
      <c r="C731" s="24" t="str">
        <f>IF(A731&lt;&gt;"",SUMIFS(JPK_KR!AL:AL,JPK_KR!W:W,B731),"")</f>
        <v/>
      </c>
      <c r="D731" s="126" t="str">
        <f>IF(A731&lt;&gt;"",SUMIFS(JPK_KR!AM:AM,JPK_KR!W:W,B731),"")</f>
        <v/>
      </c>
      <c r="G731" s="24" t="str">
        <f>IF(E731&lt;&gt;"",SUMIFS(JPK_KR!AL:AL,JPK_KR!W:W,F731),"")</f>
        <v/>
      </c>
      <c r="H731" s="126" t="str">
        <f>IF(E731&lt;&gt;"",SUMIFS(JPK_KR!AM:AM,JPK_KR!W:W,F731),"")</f>
        <v/>
      </c>
      <c r="K731" s="24" t="str">
        <f>IF(I731&lt;&gt;"",SUMIFS(JPK_KR!AL:AL,JPK_KR!W:W,J731),"")</f>
        <v/>
      </c>
      <c r="L731" s="126" t="str">
        <f>IF(I731&lt;&gt;"",SUMIFS(JPK_KR!AM:AM,JPK_KR!W:W,J731),"")</f>
        <v/>
      </c>
      <c r="P731" s="24" t="str">
        <f>IF(M731&lt;&gt;"",IF(O731="",SUMIFS(JPK_KR!AL:AL,JPK_KR!W:W,N731),SUMIFS(JPK_KR!BF:BF,JPK_KR!BE:BE,N731,JPK_KR!BG:BG,O731)),"")</f>
        <v/>
      </c>
      <c r="Q731" s="126" t="str">
        <f>IF(M731&lt;&gt;"",IF(O731="",SUMIFS(JPK_KR!AM:AM,JPK_KR!W:W,N731),SUMIFS(JPK_KR!BI:BI,JPK_KR!BH:BH,N731,JPK_KR!BJ:BJ,O731)),"")</f>
        <v/>
      </c>
      <c r="U731" s="24" t="str">
        <f>IF(R731&lt;&gt;"",SUMIFS(JPK_KR!AL:AL,JPK_KR!W:W,S731),"")</f>
        <v/>
      </c>
      <c r="V731" s="126" t="str">
        <f>IF(R731&lt;&gt;"",SUMIFS(JPK_KR!AM:AM,JPK_KR!W:W,S731),"")</f>
        <v/>
      </c>
    </row>
    <row r="732" spans="3:22" x14ac:dyDescent="0.3">
      <c r="C732" s="24" t="str">
        <f>IF(A732&lt;&gt;"",SUMIFS(JPK_KR!AL:AL,JPK_KR!W:W,B732),"")</f>
        <v/>
      </c>
      <c r="D732" s="126" t="str">
        <f>IF(A732&lt;&gt;"",SUMIFS(JPK_KR!AM:AM,JPK_KR!W:W,B732),"")</f>
        <v/>
      </c>
      <c r="G732" s="24" t="str">
        <f>IF(E732&lt;&gt;"",SUMIFS(JPK_KR!AL:AL,JPK_KR!W:W,F732),"")</f>
        <v/>
      </c>
      <c r="H732" s="126" t="str">
        <f>IF(E732&lt;&gt;"",SUMIFS(JPK_KR!AM:AM,JPK_KR!W:W,F732),"")</f>
        <v/>
      </c>
      <c r="K732" s="24" t="str">
        <f>IF(I732&lt;&gt;"",SUMIFS(JPK_KR!AL:AL,JPK_KR!W:W,J732),"")</f>
        <v/>
      </c>
      <c r="L732" s="126" t="str">
        <f>IF(I732&lt;&gt;"",SUMIFS(JPK_KR!AM:AM,JPK_KR!W:W,J732),"")</f>
        <v/>
      </c>
      <c r="P732" s="24" t="str">
        <f>IF(M732&lt;&gt;"",IF(O732="",SUMIFS(JPK_KR!AL:AL,JPK_KR!W:W,N732),SUMIFS(JPK_KR!BF:BF,JPK_KR!BE:BE,N732,JPK_KR!BG:BG,O732)),"")</f>
        <v/>
      </c>
      <c r="Q732" s="126" t="str">
        <f>IF(M732&lt;&gt;"",IF(O732="",SUMIFS(JPK_KR!AM:AM,JPK_KR!W:W,N732),SUMIFS(JPK_KR!BI:BI,JPK_KR!BH:BH,N732,JPK_KR!BJ:BJ,O732)),"")</f>
        <v/>
      </c>
      <c r="U732" s="24" t="str">
        <f>IF(R732&lt;&gt;"",SUMIFS(JPK_KR!AL:AL,JPK_KR!W:W,S732),"")</f>
        <v/>
      </c>
      <c r="V732" s="126" t="str">
        <f>IF(R732&lt;&gt;"",SUMIFS(JPK_KR!AM:AM,JPK_KR!W:W,S732),"")</f>
        <v/>
      </c>
    </row>
    <row r="733" spans="3:22" x14ac:dyDescent="0.3">
      <c r="C733" s="24" t="str">
        <f>IF(A733&lt;&gt;"",SUMIFS(JPK_KR!AL:AL,JPK_KR!W:W,B733),"")</f>
        <v/>
      </c>
      <c r="D733" s="126" t="str">
        <f>IF(A733&lt;&gt;"",SUMIFS(JPK_KR!AM:AM,JPK_KR!W:W,B733),"")</f>
        <v/>
      </c>
      <c r="G733" s="24" t="str">
        <f>IF(E733&lt;&gt;"",SUMIFS(JPK_KR!AL:AL,JPK_KR!W:W,F733),"")</f>
        <v/>
      </c>
      <c r="H733" s="126" t="str">
        <f>IF(E733&lt;&gt;"",SUMIFS(JPK_KR!AM:AM,JPK_KR!W:W,F733),"")</f>
        <v/>
      </c>
      <c r="K733" s="24" t="str">
        <f>IF(I733&lt;&gt;"",SUMIFS(JPK_KR!AL:AL,JPK_KR!W:W,J733),"")</f>
        <v/>
      </c>
      <c r="L733" s="126" t="str">
        <f>IF(I733&lt;&gt;"",SUMIFS(JPK_KR!AM:AM,JPK_KR!W:W,J733),"")</f>
        <v/>
      </c>
      <c r="P733" s="24" t="str">
        <f>IF(M733&lt;&gt;"",IF(O733="",SUMIFS(JPK_KR!AL:AL,JPK_KR!W:W,N733),SUMIFS(JPK_KR!BF:BF,JPK_KR!BE:BE,N733,JPK_KR!BG:BG,O733)),"")</f>
        <v/>
      </c>
      <c r="Q733" s="126" t="str">
        <f>IF(M733&lt;&gt;"",IF(O733="",SUMIFS(JPK_KR!AM:AM,JPK_KR!W:W,N733),SUMIFS(JPK_KR!BI:BI,JPK_KR!BH:BH,N733,JPK_KR!BJ:BJ,O733)),"")</f>
        <v/>
      </c>
      <c r="U733" s="24" t="str">
        <f>IF(R733&lt;&gt;"",SUMIFS(JPK_KR!AL:AL,JPK_KR!W:W,S733),"")</f>
        <v/>
      </c>
      <c r="V733" s="126" t="str">
        <f>IF(R733&lt;&gt;"",SUMIFS(JPK_KR!AM:AM,JPK_KR!W:W,S733),"")</f>
        <v/>
      </c>
    </row>
    <row r="734" spans="3:22" x14ac:dyDescent="0.3">
      <c r="C734" s="24" t="str">
        <f>IF(A734&lt;&gt;"",SUMIFS(JPK_KR!AL:AL,JPK_KR!W:W,B734),"")</f>
        <v/>
      </c>
      <c r="D734" s="126" t="str">
        <f>IF(A734&lt;&gt;"",SUMIFS(JPK_KR!AM:AM,JPK_KR!W:W,B734),"")</f>
        <v/>
      </c>
      <c r="G734" s="24" t="str">
        <f>IF(E734&lt;&gt;"",SUMIFS(JPK_KR!AL:AL,JPK_KR!W:W,F734),"")</f>
        <v/>
      </c>
      <c r="H734" s="126" t="str">
        <f>IF(E734&lt;&gt;"",SUMIFS(JPK_KR!AM:AM,JPK_KR!W:W,F734),"")</f>
        <v/>
      </c>
      <c r="K734" s="24" t="str">
        <f>IF(I734&lt;&gt;"",SUMIFS(JPK_KR!AL:AL,JPK_KR!W:W,J734),"")</f>
        <v/>
      </c>
      <c r="L734" s="126" t="str">
        <f>IF(I734&lt;&gt;"",SUMIFS(JPK_KR!AM:AM,JPK_KR!W:W,J734),"")</f>
        <v/>
      </c>
      <c r="P734" s="24" t="str">
        <f>IF(M734&lt;&gt;"",IF(O734="",SUMIFS(JPK_KR!AL:AL,JPK_KR!W:W,N734),SUMIFS(JPK_KR!BF:BF,JPK_KR!BE:BE,N734,JPK_KR!BG:BG,O734)),"")</f>
        <v/>
      </c>
      <c r="Q734" s="126" t="str">
        <f>IF(M734&lt;&gt;"",IF(O734="",SUMIFS(JPK_KR!AM:AM,JPK_KR!W:W,N734),SUMIFS(JPK_KR!BI:BI,JPK_KR!BH:BH,N734,JPK_KR!BJ:BJ,O734)),"")</f>
        <v/>
      </c>
      <c r="U734" s="24" t="str">
        <f>IF(R734&lt;&gt;"",SUMIFS(JPK_KR!AL:AL,JPK_KR!W:W,S734),"")</f>
        <v/>
      </c>
      <c r="V734" s="126" t="str">
        <f>IF(R734&lt;&gt;"",SUMIFS(JPK_KR!AM:AM,JPK_KR!W:W,S734),"")</f>
        <v/>
      </c>
    </row>
    <row r="735" spans="3:22" x14ac:dyDescent="0.3">
      <c r="C735" s="24" t="str">
        <f>IF(A735&lt;&gt;"",SUMIFS(JPK_KR!AL:AL,JPK_KR!W:W,B735),"")</f>
        <v/>
      </c>
      <c r="D735" s="126" t="str">
        <f>IF(A735&lt;&gt;"",SUMIFS(JPK_KR!AM:AM,JPK_KR!W:W,B735),"")</f>
        <v/>
      </c>
      <c r="G735" s="24" t="str">
        <f>IF(E735&lt;&gt;"",SUMIFS(JPK_KR!AL:AL,JPK_KR!W:W,F735),"")</f>
        <v/>
      </c>
      <c r="H735" s="126" t="str">
        <f>IF(E735&lt;&gt;"",SUMIFS(JPK_KR!AM:AM,JPK_KR!W:W,F735),"")</f>
        <v/>
      </c>
      <c r="K735" s="24" t="str">
        <f>IF(I735&lt;&gt;"",SUMIFS(JPK_KR!AL:AL,JPK_KR!W:W,J735),"")</f>
        <v/>
      </c>
      <c r="L735" s="126" t="str">
        <f>IF(I735&lt;&gt;"",SUMIFS(JPK_KR!AM:AM,JPK_KR!W:W,J735),"")</f>
        <v/>
      </c>
      <c r="P735" s="24" t="str">
        <f>IF(M735&lt;&gt;"",IF(O735="",SUMIFS(JPK_KR!AL:AL,JPK_KR!W:W,N735),SUMIFS(JPK_KR!BF:BF,JPK_KR!BE:BE,N735,JPK_KR!BG:BG,O735)),"")</f>
        <v/>
      </c>
      <c r="Q735" s="126" t="str">
        <f>IF(M735&lt;&gt;"",IF(O735="",SUMIFS(JPK_KR!AM:AM,JPK_KR!W:W,N735),SUMIFS(JPK_KR!BI:BI,JPK_KR!BH:BH,N735,JPK_KR!BJ:BJ,O735)),"")</f>
        <v/>
      </c>
      <c r="U735" s="24" t="str">
        <f>IF(R735&lt;&gt;"",SUMIFS(JPK_KR!AL:AL,JPK_KR!W:W,S735),"")</f>
        <v/>
      </c>
      <c r="V735" s="126" t="str">
        <f>IF(R735&lt;&gt;"",SUMIFS(JPK_KR!AM:AM,JPK_KR!W:W,S735),"")</f>
        <v/>
      </c>
    </row>
    <row r="736" spans="3:22" x14ac:dyDescent="0.3">
      <c r="C736" s="24" t="str">
        <f>IF(A736&lt;&gt;"",SUMIFS(JPK_KR!AL:AL,JPK_KR!W:W,B736),"")</f>
        <v/>
      </c>
      <c r="D736" s="126" t="str">
        <f>IF(A736&lt;&gt;"",SUMIFS(JPK_KR!AM:AM,JPK_KR!W:W,B736),"")</f>
        <v/>
      </c>
      <c r="G736" s="24" t="str">
        <f>IF(E736&lt;&gt;"",SUMIFS(JPK_KR!AL:AL,JPK_KR!W:W,F736),"")</f>
        <v/>
      </c>
      <c r="H736" s="126" t="str">
        <f>IF(E736&lt;&gt;"",SUMIFS(JPK_KR!AM:AM,JPK_KR!W:W,F736),"")</f>
        <v/>
      </c>
      <c r="K736" s="24" t="str">
        <f>IF(I736&lt;&gt;"",SUMIFS(JPK_KR!AL:AL,JPK_KR!W:W,J736),"")</f>
        <v/>
      </c>
      <c r="L736" s="126" t="str">
        <f>IF(I736&lt;&gt;"",SUMIFS(JPK_KR!AM:AM,JPK_KR!W:W,J736),"")</f>
        <v/>
      </c>
      <c r="P736" s="24" t="str">
        <f>IF(M736&lt;&gt;"",IF(O736="",SUMIFS(JPK_KR!AL:AL,JPK_KR!W:W,N736),SUMIFS(JPK_KR!BF:BF,JPK_KR!BE:BE,N736,JPK_KR!BG:BG,O736)),"")</f>
        <v/>
      </c>
      <c r="Q736" s="126" t="str">
        <f>IF(M736&lt;&gt;"",IF(O736="",SUMIFS(JPK_KR!AM:AM,JPK_KR!W:W,N736),SUMIFS(JPK_KR!BI:BI,JPK_KR!BH:BH,N736,JPK_KR!BJ:BJ,O736)),"")</f>
        <v/>
      </c>
      <c r="U736" s="24" t="str">
        <f>IF(R736&lt;&gt;"",SUMIFS(JPK_KR!AL:AL,JPK_KR!W:W,S736),"")</f>
        <v/>
      </c>
      <c r="V736" s="126" t="str">
        <f>IF(R736&lt;&gt;"",SUMIFS(JPK_KR!AM:AM,JPK_KR!W:W,S736),"")</f>
        <v/>
      </c>
    </row>
    <row r="737" spans="3:22" x14ac:dyDescent="0.3">
      <c r="C737" s="24" t="str">
        <f>IF(A737&lt;&gt;"",SUMIFS(JPK_KR!AL:AL,JPK_KR!W:W,B737),"")</f>
        <v/>
      </c>
      <c r="D737" s="126" t="str">
        <f>IF(A737&lt;&gt;"",SUMIFS(JPK_KR!AM:AM,JPK_KR!W:W,B737),"")</f>
        <v/>
      </c>
      <c r="G737" s="24" t="str">
        <f>IF(E737&lt;&gt;"",SUMIFS(JPK_KR!AL:AL,JPK_KR!W:W,F737),"")</f>
        <v/>
      </c>
      <c r="H737" s="126" t="str">
        <f>IF(E737&lt;&gt;"",SUMIFS(JPK_KR!AM:AM,JPK_KR!W:W,F737),"")</f>
        <v/>
      </c>
      <c r="K737" s="24" t="str">
        <f>IF(I737&lt;&gt;"",SUMIFS(JPK_KR!AL:AL,JPK_KR!W:W,J737),"")</f>
        <v/>
      </c>
      <c r="L737" s="126" t="str">
        <f>IF(I737&lt;&gt;"",SUMIFS(JPK_KR!AM:AM,JPK_KR!W:W,J737),"")</f>
        <v/>
      </c>
      <c r="P737" s="24" t="str">
        <f>IF(M737&lt;&gt;"",IF(O737="",SUMIFS(JPK_KR!AL:AL,JPK_KR!W:W,N737),SUMIFS(JPK_KR!BF:BF,JPK_KR!BE:BE,N737,JPK_KR!BG:BG,O737)),"")</f>
        <v/>
      </c>
      <c r="Q737" s="126" t="str">
        <f>IF(M737&lt;&gt;"",IF(O737="",SUMIFS(JPK_KR!AM:AM,JPK_KR!W:W,N737),SUMIFS(JPK_KR!BI:BI,JPK_KR!BH:BH,N737,JPK_KR!BJ:BJ,O737)),"")</f>
        <v/>
      </c>
      <c r="U737" s="24" t="str">
        <f>IF(R737&lt;&gt;"",SUMIFS(JPK_KR!AL:AL,JPK_KR!W:W,S737),"")</f>
        <v/>
      </c>
      <c r="V737" s="126" t="str">
        <f>IF(R737&lt;&gt;"",SUMIFS(JPK_KR!AM:AM,JPK_KR!W:W,S737),"")</f>
        <v/>
      </c>
    </row>
    <row r="738" spans="3:22" x14ac:dyDescent="0.3">
      <c r="C738" s="24" t="str">
        <f>IF(A738&lt;&gt;"",SUMIFS(JPK_KR!AL:AL,JPK_KR!W:W,B738),"")</f>
        <v/>
      </c>
      <c r="D738" s="126" t="str">
        <f>IF(A738&lt;&gt;"",SUMIFS(JPK_KR!AM:AM,JPK_KR!W:W,B738),"")</f>
        <v/>
      </c>
      <c r="G738" s="24" t="str">
        <f>IF(E738&lt;&gt;"",SUMIFS(JPK_KR!AL:AL,JPK_KR!W:W,F738),"")</f>
        <v/>
      </c>
      <c r="H738" s="126" t="str">
        <f>IF(E738&lt;&gt;"",SUMIFS(JPK_KR!AM:AM,JPK_KR!W:W,F738),"")</f>
        <v/>
      </c>
      <c r="K738" s="24" t="str">
        <f>IF(I738&lt;&gt;"",SUMIFS(JPK_KR!AL:AL,JPK_KR!W:W,J738),"")</f>
        <v/>
      </c>
      <c r="L738" s="126" t="str">
        <f>IF(I738&lt;&gt;"",SUMIFS(JPK_KR!AM:AM,JPK_KR!W:W,J738),"")</f>
        <v/>
      </c>
      <c r="P738" s="24" t="str">
        <f>IF(M738&lt;&gt;"",IF(O738="",SUMIFS(JPK_KR!AL:AL,JPK_KR!W:W,N738),SUMIFS(JPK_KR!BF:BF,JPK_KR!BE:BE,N738,JPK_KR!BG:BG,O738)),"")</f>
        <v/>
      </c>
      <c r="Q738" s="126" t="str">
        <f>IF(M738&lt;&gt;"",IF(O738="",SUMIFS(JPK_KR!AM:AM,JPK_KR!W:W,N738),SUMIFS(JPK_KR!BI:BI,JPK_KR!BH:BH,N738,JPK_KR!BJ:BJ,O738)),"")</f>
        <v/>
      </c>
      <c r="U738" s="24" t="str">
        <f>IF(R738&lt;&gt;"",SUMIFS(JPK_KR!AL:AL,JPK_KR!W:W,S738),"")</f>
        <v/>
      </c>
      <c r="V738" s="126" t="str">
        <f>IF(R738&lt;&gt;"",SUMIFS(JPK_KR!AM:AM,JPK_KR!W:W,S738),"")</f>
        <v/>
      </c>
    </row>
    <row r="739" spans="3:22" x14ac:dyDescent="0.3">
      <c r="C739" s="24" t="str">
        <f>IF(A739&lt;&gt;"",SUMIFS(JPK_KR!AL:AL,JPK_KR!W:W,B739),"")</f>
        <v/>
      </c>
      <c r="D739" s="126" t="str">
        <f>IF(A739&lt;&gt;"",SUMIFS(JPK_KR!AM:AM,JPK_KR!W:W,B739),"")</f>
        <v/>
      </c>
      <c r="G739" s="24" t="str">
        <f>IF(E739&lt;&gt;"",SUMIFS(JPK_KR!AL:AL,JPK_KR!W:W,F739),"")</f>
        <v/>
      </c>
      <c r="H739" s="126" t="str">
        <f>IF(E739&lt;&gt;"",SUMIFS(JPK_KR!AM:AM,JPK_KR!W:W,F739),"")</f>
        <v/>
      </c>
      <c r="K739" s="24" t="str">
        <f>IF(I739&lt;&gt;"",SUMIFS(JPK_KR!AL:AL,JPK_KR!W:W,J739),"")</f>
        <v/>
      </c>
      <c r="L739" s="126" t="str">
        <f>IF(I739&lt;&gt;"",SUMIFS(JPK_KR!AM:AM,JPK_KR!W:W,J739),"")</f>
        <v/>
      </c>
      <c r="P739" s="24" t="str">
        <f>IF(M739&lt;&gt;"",IF(O739="",SUMIFS(JPK_KR!AL:AL,JPK_KR!W:W,N739),SUMIFS(JPK_KR!BF:BF,JPK_KR!BE:BE,N739,JPK_KR!BG:BG,O739)),"")</f>
        <v/>
      </c>
      <c r="Q739" s="126" t="str">
        <f>IF(M739&lt;&gt;"",IF(O739="",SUMIFS(JPK_KR!AM:AM,JPK_KR!W:W,N739),SUMIFS(JPK_KR!BI:BI,JPK_KR!BH:BH,N739,JPK_KR!BJ:BJ,O739)),"")</f>
        <v/>
      </c>
      <c r="U739" s="24" t="str">
        <f>IF(R739&lt;&gt;"",SUMIFS(JPK_KR!AL:AL,JPK_KR!W:W,S739),"")</f>
        <v/>
      </c>
      <c r="V739" s="126" t="str">
        <f>IF(R739&lt;&gt;"",SUMIFS(JPK_KR!AM:AM,JPK_KR!W:W,S739),"")</f>
        <v/>
      </c>
    </row>
    <row r="740" spans="3:22" x14ac:dyDescent="0.3">
      <c r="C740" s="24" t="str">
        <f>IF(A740&lt;&gt;"",SUMIFS(JPK_KR!AL:AL,JPK_KR!W:W,B740),"")</f>
        <v/>
      </c>
      <c r="D740" s="126" t="str">
        <f>IF(A740&lt;&gt;"",SUMIFS(JPK_KR!AM:AM,JPK_KR!W:W,B740),"")</f>
        <v/>
      </c>
      <c r="G740" s="24" t="str">
        <f>IF(E740&lt;&gt;"",SUMIFS(JPK_KR!AL:AL,JPK_KR!W:W,F740),"")</f>
        <v/>
      </c>
      <c r="H740" s="126" t="str">
        <f>IF(E740&lt;&gt;"",SUMIFS(JPK_KR!AM:AM,JPK_KR!W:W,F740),"")</f>
        <v/>
      </c>
      <c r="K740" s="24" t="str">
        <f>IF(I740&lt;&gt;"",SUMIFS(JPK_KR!AL:AL,JPK_KR!W:W,J740),"")</f>
        <v/>
      </c>
      <c r="L740" s="126" t="str">
        <f>IF(I740&lt;&gt;"",SUMIFS(JPK_KR!AM:AM,JPK_KR!W:W,J740),"")</f>
        <v/>
      </c>
      <c r="P740" s="24" t="str">
        <f>IF(M740&lt;&gt;"",IF(O740="",SUMIFS(JPK_KR!AL:AL,JPK_KR!W:W,N740),SUMIFS(JPK_KR!BF:BF,JPK_KR!BE:BE,N740,JPK_KR!BG:BG,O740)),"")</f>
        <v/>
      </c>
      <c r="Q740" s="126" t="str">
        <f>IF(M740&lt;&gt;"",IF(O740="",SUMIFS(JPK_KR!AM:AM,JPK_KR!W:W,N740),SUMIFS(JPK_KR!BI:BI,JPK_KR!BH:BH,N740,JPK_KR!BJ:BJ,O740)),"")</f>
        <v/>
      </c>
      <c r="U740" s="24" t="str">
        <f>IF(R740&lt;&gt;"",SUMIFS(JPK_KR!AL:AL,JPK_KR!W:W,S740),"")</f>
        <v/>
      </c>
      <c r="V740" s="126" t="str">
        <f>IF(R740&lt;&gt;"",SUMIFS(JPK_KR!AM:AM,JPK_KR!W:W,S740),"")</f>
        <v/>
      </c>
    </row>
    <row r="741" spans="3:22" x14ac:dyDescent="0.3">
      <c r="C741" s="24" t="str">
        <f>IF(A741&lt;&gt;"",SUMIFS(JPK_KR!AL:AL,JPK_KR!W:W,B741),"")</f>
        <v/>
      </c>
      <c r="D741" s="126" t="str">
        <f>IF(A741&lt;&gt;"",SUMIFS(JPK_KR!AM:AM,JPK_KR!W:W,B741),"")</f>
        <v/>
      </c>
      <c r="G741" s="24" t="str">
        <f>IF(E741&lt;&gt;"",SUMIFS(JPK_KR!AL:AL,JPK_KR!W:W,F741),"")</f>
        <v/>
      </c>
      <c r="H741" s="126" t="str">
        <f>IF(E741&lt;&gt;"",SUMIFS(JPK_KR!AM:AM,JPK_KR!W:W,F741),"")</f>
        <v/>
      </c>
      <c r="K741" s="24" t="str">
        <f>IF(I741&lt;&gt;"",SUMIFS(JPK_KR!AL:AL,JPK_KR!W:W,J741),"")</f>
        <v/>
      </c>
      <c r="L741" s="126" t="str">
        <f>IF(I741&lt;&gt;"",SUMIFS(JPK_KR!AM:AM,JPK_KR!W:W,J741),"")</f>
        <v/>
      </c>
      <c r="P741" s="24" t="str">
        <f>IF(M741&lt;&gt;"",IF(O741="",SUMIFS(JPK_KR!AL:AL,JPK_KR!W:W,N741),SUMIFS(JPK_KR!BF:BF,JPK_KR!BE:BE,N741,JPK_KR!BG:BG,O741)),"")</f>
        <v/>
      </c>
      <c r="Q741" s="126" t="str">
        <f>IF(M741&lt;&gt;"",IF(O741="",SUMIFS(JPK_KR!AM:AM,JPK_KR!W:W,N741),SUMIFS(JPK_KR!BI:BI,JPK_KR!BH:BH,N741,JPK_KR!BJ:BJ,O741)),"")</f>
        <v/>
      </c>
      <c r="U741" s="24" t="str">
        <f>IF(R741&lt;&gt;"",SUMIFS(JPK_KR!AL:AL,JPK_KR!W:W,S741),"")</f>
        <v/>
      </c>
      <c r="V741" s="126" t="str">
        <f>IF(R741&lt;&gt;"",SUMIFS(JPK_KR!AM:AM,JPK_KR!W:W,S741),"")</f>
        <v/>
      </c>
    </row>
    <row r="742" spans="3:22" x14ac:dyDescent="0.3">
      <c r="C742" s="24" t="str">
        <f>IF(A742&lt;&gt;"",SUMIFS(JPK_KR!AL:AL,JPK_KR!W:W,B742),"")</f>
        <v/>
      </c>
      <c r="D742" s="126" t="str">
        <f>IF(A742&lt;&gt;"",SUMIFS(JPK_KR!AM:AM,JPK_KR!W:W,B742),"")</f>
        <v/>
      </c>
      <c r="G742" s="24" t="str">
        <f>IF(E742&lt;&gt;"",SUMIFS(JPK_KR!AL:AL,JPK_KR!W:W,F742),"")</f>
        <v/>
      </c>
      <c r="H742" s="126" t="str">
        <f>IF(E742&lt;&gt;"",SUMIFS(JPK_KR!AM:AM,JPK_KR!W:W,F742),"")</f>
        <v/>
      </c>
      <c r="K742" s="24" t="str">
        <f>IF(I742&lt;&gt;"",SUMIFS(JPK_KR!AL:AL,JPK_KR!W:W,J742),"")</f>
        <v/>
      </c>
      <c r="L742" s="126" t="str">
        <f>IF(I742&lt;&gt;"",SUMIFS(JPK_KR!AM:AM,JPK_KR!W:W,J742),"")</f>
        <v/>
      </c>
      <c r="P742" s="24" t="str">
        <f>IF(M742&lt;&gt;"",IF(O742="",SUMIFS(JPK_KR!AL:AL,JPK_KR!W:W,N742),SUMIFS(JPK_KR!BF:BF,JPK_KR!BE:BE,N742,JPK_KR!BG:BG,O742)),"")</f>
        <v/>
      </c>
      <c r="Q742" s="126" t="str">
        <f>IF(M742&lt;&gt;"",IF(O742="",SUMIFS(JPK_KR!AM:AM,JPK_KR!W:W,N742),SUMIFS(JPK_KR!BI:BI,JPK_KR!BH:BH,N742,JPK_KR!BJ:BJ,O742)),"")</f>
        <v/>
      </c>
      <c r="U742" s="24" t="str">
        <f>IF(R742&lt;&gt;"",SUMIFS(JPK_KR!AL:AL,JPK_KR!W:W,S742),"")</f>
        <v/>
      </c>
      <c r="V742" s="126" t="str">
        <f>IF(R742&lt;&gt;"",SUMIFS(JPK_KR!AM:AM,JPK_KR!W:W,S742),"")</f>
        <v/>
      </c>
    </row>
    <row r="743" spans="3:22" x14ac:dyDescent="0.3">
      <c r="C743" s="24" t="str">
        <f>IF(A743&lt;&gt;"",SUMIFS(JPK_KR!AL:AL,JPK_KR!W:W,B743),"")</f>
        <v/>
      </c>
      <c r="D743" s="126" t="str">
        <f>IF(A743&lt;&gt;"",SUMIFS(JPK_KR!AM:AM,JPK_KR!W:W,B743),"")</f>
        <v/>
      </c>
      <c r="G743" s="24" t="str">
        <f>IF(E743&lt;&gt;"",SUMIFS(JPK_KR!AL:AL,JPK_KR!W:W,F743),"")</f>
        <v/>
      </c>
      <c r="H743" s="126" t="str">
        <f>IF(E743&lt;&gt;"",SUMIFS(JPK_KR!AM:AM,JPK_KR!W:W,F743),"")</f>
        <v/>
      </c>
      <c r="K743" s="24" t="str">
        <f>IF(I743&lt;&gt;"",SUMIFS(JPK_KR!AL:AL,JPK_KR!W:W,J743),"")</f>
        <v/>
      </c>
      <c r="L743" s="126" t="str">
        <f>IF(I743&lt;&gt;"",SUMIFS(JPK_KR!AM:AM,JPK_KR!W:W,J743),"")</f>
        <v/>
      </c>
      <c r="P743" s="24" t="str">
        <f>IF(M743&lt;&gt;"",IF(O743="",SUMIFS(JPK_KR!AL:AL,JPK_KR!W:W,N743),SUMIFS(JPK_KR!BF:BF,JPK_KR!BE:BE,N743,JPK_KR!BG:BG,O743)),"")</f>
        <v/>
      </c>
      <c r="Q743" s="126" t="str">
        <f>IF(M743&lt;&gt;"",IF(O743="",SUMIFS(JPK_KR!AM:AM,JPK_KR!W:W,N743),SUMIFS(JPK_KR!BI:BI,JPK_KR!BH:BH,N743,JPK_KR!BJ:BJ,O743)),"")</f>
        <v/>
      </c>
      <c r="U743" s="24" t="str">
        <f>IF(R743&lt;&gt;"",SUMIFS(JPK_KR!AL:AL,JPK_KR!W:W,S743),"")</f>
        <v/>
      </c>
      <c r="V743" s="126" t="str">
        <f>IF(R743&lt;&gt;"",SUMIFS(JPK_KR!AM:AM,JPK_KR!W:W,S743),"")</f>
        <v/>
      </c>
    </row>
    <row r="744" spans="3:22" x14ac:dyDescent="0.3">
      <c r="C744" s="24" t="str">
        <f>IF(A744&lt;&gt;"",SUMIFS(JPK_KR!AL:AL,JPK_KR!W:W,B744),"")</f>
        <v/>
      </c>
      <c r="D744" s="126" t="str">
        <f>IF(A744&lt;&gt;"",SUMIFS(JPK_KR!AM:AM,JPK_KR!W:W,B744),"")</f>
        <v/>
      </c>
      <c r="G744" s="24" t="str">
        <f>IF(E744&lt;&gt;"",SUMIFS(JPK_KR!AL:AL,JPK_KR!W:W,F744),"")</f>
        <v/>
      </c>
      <c r="H744" s="126" t="str">
        <f>IF(E744&lt;&gt;"",SUMIFS(JPK_KR!AM:AM,JPK_KR!W:W,F744),"")</f>
        <v/>
      </c>
      <c r="K744" s="24" t="str">
        <f>IF(I744&lt;&gt;"",SUMIFS(JPK_KR!AL:AL,JPK_KR!W:W,J744),"")</f>
        <v/>
      </c>
      <c r="L744" s="126" t="str">
        <f>IF(I744&lt;&gt;"",SUMIFS(JPK_KR!AM:AM,JPK_KR!W:W,J744),"")</f>
        <v/>
      </c>
      <c r="P744" s="24" t="str">
        <f>IF(M744&lt;&gt;"",IF(O744="",SUMIFS(JPK_KR!AL:AL,JPK_KR!W:W,N744),SUMIFS(JPK_KR!BF:BF,JPK_KR!BE:BE,N744,JPK_KR!BG:BG,O744)),"")</f>
        <v/>
      </c>
      <c r="Q744" s="126" t="str">
        <f>IF(M744&lt;&gt;"",IF(O744="",SUMIFS(JPK_KR!AM:AM,JPK_KR!W:W,N744),SUMIFS(JPK_KR!BI:BI,JPK_KR!BH:BH,N744,JPK_KR!BJ:BJ,O744)),"")</f>
        <v/>
      </c>
      <c r="U744" s="24" t="str">
        <f>IF(R744&lt;&gt;"",SUMIFS(JPK_KR!AL:AL,JPK_KR!W:W,S744),"")</f>
        <v/>
      </c>
      <c r="V744" s="126" t="str">
        <f>IF(R744&lt;&gt;"",SUMIFS(JPK_KR!AM:AM,JPK_KR!W:W,S744),"")</f>
        <v/>
      </c>
    </row>
    <row r="745" spans="3:22" x14ac:dyDescent="0.3">
      <c r="C745" s="24" t="str">
        <f>IF(A745&lt;&gt;"",SUMIFS(JPK_KR!AL:AL,JPK_KR!W:W,B745),"")</f>
        <v/>
      </c>
      <c r="D745" s="126" t="str">
        <f>IF(A745&lt;&gt;"",SUMIFS(JPK_KR!AM:AM,JPK_KR!W:W,B745),"")</f>
        <v/>
      </c>
      <c r="G745" s="24" t="str">
        <f>IF(E745&lt;&gt;"",SUMIFS(JPK_KR!AL:AL,JPK_KR!W:W,F745),"")</f>
        <v/>
      </c>
      <c r="H745" s="126" t="str">
        <f>IF(E745&lt;&gt;"",SUMIFS(JPK_KR!AM:AM,JPK_KR!W:W,F745),"")</f>
        <v/>
      </c>
      <c r="K745" s="24" t="str">
        <f>IF(I745&lt;&gt;"",SUMIFS(JPK_KR!AL:AL,JPK_KR!W:W,J745),"")</f>
        <v/>
      </c>
      <c r="L745" s="126" t="str">
        <f>IF(I745&lt;&gt;"",SUMIFS(JPK_KR!AM:AM,JPK_KR!W:W,J745),"")</f>
        <v/>
      </c>
      <c r="P745" s="24" t="str">
        <f>IF(M745&lt;&gt;"",IF(O745="",SUMIFS(JPK_KR!AL:AL,JPK_KR!W:W,N745),SUMIFS(JPK_KR!BF:BF,JPK_KR!BE:BE,N745,JPK_KR!BG:BG,O745)),"")</f>
        <v/>
      </c>
      <c r="Q745" s="126" t="str">
        <f>IF(M745&lt;&gt;"",IF(O745="",SUMIFS(JPK_KR!AM:AM,JPK_KR!W:W,N745),SUMIFS(JPK_KR!BI:BI,JPK_KR!BH:BH,N745,JPK_KR!BJ:BJ,O745)),"")</f>
        <v/>
      </c>
      <c r="U745" s="24" t="str">
        <f>IF(R745&lt;&gt;"",SUMIFS(JPK_KR!AL:AL,JPK_KR!W:W,S745),"")</f>
        <v/>
      </c>
      <c r="V745" s="126" t="str">
        <f>IF(R745&lt;&gt;"",SUMIFS(JPK_KR!AM:AM,JPK_KR!W:W,S745),"")</f>
        <v/>
      </c>
    </row>
    <row r="746" spans="3:22" x14ac:dyDescent="0.3">
      <c r="C746" s="24" t="str">
        <f>IF(A746&lt;&gt;"",SUMIFS(JPK_KR!AL:AL,JPK_KR!W:W,B746),"")</f>
        <v/>
      </c>
      <c r="D746" s="126" t="str">
        <f>IF(A746&lt;&gt;"",SUMIFS(JPK_KR!AM:AM,JPK_KR!W:W,B746),"")</f>
        <v/>
      </c>
      <c r="G746" s="24" t="str">
        <f>IF(E746&lt;&gt;"",SUMIFS(JPK_KR!AL:AL,JPK_KR!W:W,F746),"")</f>
        <v/>
      </c>
      <c r="H746" s="126" t="str">
        <f>IF(E746&lt;&gt;"",SUMIFS(JPK_KR!AM:AM,JPK_KR!W:W,F746),"")</f>
        <v/>
      </c>
      <c r="K746" s="24" t="str">
        <f>IF(I746&lt;&gt;"",SUMIFS(JPK_KR!AL:AL,JPK_KR!W:W,J746),"")</f>
        <v/>
      </c>
      <c r="L746" s="126" t="str">
        <f>IF(I746&lt;&gt;"",SUMIFS(JPK_KR!AM:AM,JPK_KR!W:W,J746),"")</f>
        <v/>
      </c>
      <c r="P746" s="24" t="str">
        <f>IF(M746&lt;&gt;"",IF(O746="",SUMIFS(JPK_KR!AL:AL,JPK_KR!W:W,N746),SUMIFS(JPK_KR!BF:BF,JPK_KR!BE:BE,N746,JPK_KR!BG:BG,O746)),"")</f>
        <v/>
      </c>
      <c r="Q746" s="126" t="str">
        <f>IF(M746&lt;&gt;"",IF(O746="",SUMIFS(JPK_KR!AM:AM,JPK_KR!W:W,N746),SUMIFS(JPK_KR!BI:BI,JPK_KR!BH:BH,N746,JPK_KR!BJ:BJ,O746)),"")</f>
        <v/>
      </c>
      <c r="U746" s="24" t="str">
        <f>IF(R746&lt;&gt;"",SUMIFS(JPK_KR!AL:AL,JPK_KR!W:W,S746),"")</f>
        <v/>
      </c>
      <c r="V746" s="126" t="str">
        <f>IF(R746&lt;&gt;"",SUMIFS(JPK_KR!AM:AM,JPK_KR!W:W,S746),"")</f>
        <v/>
      </c>
    </row>
    <row r="747" spans="3:22" x14ac:dyDescent="0.3">
      <c r="C747" s="24" t="str">
        <f>IF(A747&lt;&gt;"",SUMIFS(JPK_KR!AL:AL,JPK_KR!W:W,B747),"")</f>
        <v/>
      </c>
      <c r="D747" s="126" t="str">
        <f>IF(A747&lt;&gt;"",SUMIFS(JPK_KR!AM:AM,JPK_KR!W:W,B747),"")</f>
        <v/>
      </c>
      <c r="G747" s="24" t="str">
        <f>IF(E747&lt;&gt;"",SUMIFS(JPK_KR!AL:AL,JPK_KR!W:W,F747),"")</f>
        <v/>
      </c>
      <c r="H747" s="126" t="str">
        <f>IF(E747&lt;&gt;"",SUMIFS(JPK_KR!AM:AM,JPK_KR!W:W,F747),"")</f>
        <v/>
      </c>
      <c r="K747" s="24" t="str">
        <f>IF(I747&lt;&gt;"",SUMIFS(JPK_KR!AL:AL,JPK_KR!W:W,J747),"")</f>
        <v/>
      </c>
      <c r="L747" s="126" t="str">
        <f>IF(I747&lt;&gt;"",SUMIFS(JPK_KR!AM:AM,JPK_KR!W:W,J747),"")</f>
        <v/>
      </c>
      <c r="P747" s="24" t="str">
        <f>IF(M747&lt;&gt;"",IF(O747="",SUMIFS(JPK_KR!AL:AL,JPK_KR!W:W,N747),SUMIFS(JPK_KR!BF:BF,JPK_KR!BE:BE,N747,JPK_KR!BG:BG,O747)),"")</f>
        <v/>
      </c>
      <c r="Q747" s="126" t="str">
        <f>IF(M747&lt;&gt;"",IF(O747="",SUMIFS(JPK_KR!AM:AM,JPK_KR!W:W,N747),SUMIFS(JPK_KR!BI:BI,JPK_KR!BH:BH,N747,JPK_KR!BJ:BJ,O747)),"")</f>
        <v/>
      </c>
      <c r="U747" s="24" t="str">
        <f>IF(R747&lt;&gt;"",SUMIFS(JPK_KR!AL:AL,JPK_KR!W:W,S747),"")</f>
        <v/>
      </c>
      <c r="V747" s="126" t="str">
        <f>IF(R747&lt;&gt;"",SUMIFS(JPK_KR!AM:AM,JPK_KR!W:W,S747),"")</f>
        <v/>
      </c>
    </row>
    <row r="748" spans="3:22" x14ac:dyDescent="0.3">
      <c r="C748" s="24" t="str">
        <f>IF(A748&lt;&gt;"",SUMIFS(JPK_KR!AL:AL,JPK_KR!W:W,B748),"")</f>
        <v/>
      </c>
      <c r="D748" s="126" t="str">
        <f>IF(A748&lt;&gt;"",SUMIFS(JPK_KR!AM:AM,JPK_KR!W:W,B748),"")</f>
        <v/>
      </c>
      <c r="G748" s="24" t="str">
        <f>IF(E748&lt;&gt;"",SUMIFS(JPK_KR!AL:AL,JPK_KR!W:W,F748),"")</f>
        <v/>
      </c>
      <c r="H748" s="126" t="str">
        <f>IF(E748&lt;&gt;"",SUMIFS(JPK_KR!AM:AM,JPK_KR!W:W,F748),"")</f>
        <v/>
      </c>
      <c r="K748" s="24" t="str">
        <f>IF(I748&lt;&gt;"",SUMIFS(JPK_KR!AL:AL,JPK_KR!W:W,J748),"")</f>
        <v/>
      </c>
      <c r="L748" s="126" t="str">
        <f>IF(I748&lt;&gt;"",SUMIFS(JPK_KR!AM:AM,JPK_KR!W:W,J748),"")</f>
        <v/>
      </c>
      <c r="P748" s="24" t="str">
        <f>IF(M748&lt;&gt;"",IF(O748="",SUMIFS(JPK_KR!AL:AL,JPK_KR!W:W,N748),SUMIFS(JPK_KR!BF:BF,JPK_KR!BE:BE,N748,JPK_KR!BG:BG,O748)),"")</f>
        <v/>
      </c>
      <c r="Q748" s="126" t="str">
        <f>IF(M748&lt;&gt;"",IF(O748="",SUMIFS(JPK_KR!AM:AM,JPK_KR!W:W,N748),SUMIFS(JPK_KR!BI:BI,JPK_KR!BH:BH,N748,JPK_KR!BJ:BJ,O748)),"")</f>
        <v/>
      </c>
      <c r="U748" s="24" t="str">
        <f>IF(R748&lt;&gt;"",SUMIFS(JPK_KR!AL:AL,JPK_KR!W:W,S748),"")</f>
        <v/>
      </c>
      <c r="V748" s="126" t="str">
        <f>IF(R748&lt;&gt;"",SUMIFS(JPK_KR!AM:AM,JPK_KR!W:W,S748),"")</f>
        <v/>
      </c>
    </row>
    <row r="749" spans="3:22" x14ac:dyDescent="0.3">
      <c r="C749" s="24" t="str">
        <f>IF(A749&lt;&gt;"",SUMIFS(JPK_KR!AL:AL,JPK_KR!W:W,B749),"")</f>
        <v/>
      </c>
      <c r="D749" s="126" t="str">
        <f>IF(A749&lt;&gt;"",SUMIFS(JPK_KR!AM:AM,JPK_KR!W:W,B749),"")</f>
        <v/>
      </c>
      <c r="G749" s="24" t="str">
        <f>IF(E749&lt;&gt;"",SUMIFS(JPK_KR!AL:AL,JPK_KR!W:W,F749),"")</f>
        <v/>
      </c>
      <c r="H749" s="126" t="str">
        <f>IF(E749&lt;&gt;"",SUMIFS(JPK_KR!AM:AM,JPK_KR!W:W,F749),"")</f>
        <v/>
      </c>
      <c r="K749" s="24" t="str">
        <f>IF(I749&lt;&gt;"",SUMIFS(JPK_KR!AL:AL,JPK_KR!W:W,J749),"")</f>
        <v/>
      </c>
      <c r="L749" s="126" t="str">
        <f>IF(I749&lt;&gt;"",SUMIFS(JPK_KR!AM:AM,JPK_KR!W:W,J749),"")</f>
        <v/>
      </c>
      <c r="P749" s="24" t="str">
        <f>IF(M749&lt;&gt;"",IF(O749="",SUMIFS(JPK_KR!AL:AL,JPK_KR!W:W,N749),SUMIFS(JPK_KR!BF:BF,JPK_KR!BE:BE,N749,JPK_KR!BG:BG,O749)),"")</f>
        <v/>
      </c>
      <c r="Q749" s="126" t="str">
        <f>IF(M749&lt;&gt;"",IF(O749="",SUMIFS(JPK_KR!AM:AM,JPK_KR!W:W,N749),SUMIFS(JPK_KR!BI:BI,JPK_KR!BH:BH,N749,JPK_KR!BJ:BJ,O749)),"")</f>
        <v/>
      </c>
      <c r="U749" s="24" t="str">
        <f>IF(R749&lt;&gt;"",SUMIFS(JPK_KR!AL:AL,JPK_KR!W:W,S749),"")</f>
        <v/>
      </c>
      <c r="V749" s="126" t="str">
        <f>IF(R749&lt;&gt;"",SUMIFS(JPK_KR!AM:AM,JPK_KR!W:W,S749),"")</f>
        <v/>
      </c>
    </row>
    <row r="750" spans="3:22" x14ac:dyDescent="0.3">
      <c r="C750" s="24" t="str">
        <f>IF(A750&lt;&gt;"",SUMIFS(JPK_KR!AL:AL,JPK_KR!W:W,B750),"")</f>
        <v/>
      </c>
      <c r="D750" s="126" t="str">
        <f>IF(A750&lt;&gt;"",SUMIFS(JPK_KR!AM:AM,JPK_KR!W:W,B750),"")</f>
        <v/>
      </c>
      <c r="G750" s="24" t="str">
        <f>IF(E750&lt;&gt;"",SUMIFS(JPK_KR!AL:AL,JPK_KR!W:W,F750),"")</f>
        <v/>
      </c>
      <c r="H750" s="126" t="str">
        <f>IF(E750&lt;&gt;"",SUMIFS(JPK_KR!AM:AM,JPK_KR!W:W,F750),"")</f>
        <v/>
      </c>
      <c r="K750" s="24" t="str">
        <f>IF(I750&lt;&gt;"",SUMIFS(JPK_KR!AL:AL,JPK_KR!W:W,J750),"")</f>
        <v/>
      </c>
      <c r="L750" s="126" t="str">
        <f>IF(I750&lt;&gt;"",SUMIFS(JPK_KR!AM:AM,JPK_KR!W:W,J750),"")</f>
        <v/>
      </c>
      <c r="P750" s="24" t="str">
        <f>IF(M750&lt;&gt;"",IF(O750="",SUMIFS(JPK_KR!AL:AL,JPK_KR!W:W,N750),SUMIFS(JPK_KR!BF:BF,JPK_KR!BE:BE,N750,JPK_KR!BG:BG,O750)),"")</f>
        <v/>
      </c>
      <c r="Q750" s="126" t="str">
        <f>IF(M750&lt;&gt;"",IF(O750="",SUMIFS(JPK_KR!AM:AM,JPK_KR!W:W,N750),SUMIFS(JPK_KR!BI:BI,JPK_KR!BH:BH,N750,JPK_KR!BJ:BJ,O750)),"")</f>
        <v/>
      </c>
      <c r="U750" s="24" t="str">
        <f>IF(R750&lt;&gt;"",SUMIFS(JPK_KR!AL:AL,JPK_KR!W:W,S750),"")</f>
        <v/>
      </c>
      <c r="V750" s="126" t="str">
        <f>IF(R750&lt;&gt;"",SUMIFS(JPK_KR!AM:AM,JPK_KR!W:W,S750),"")</f>
        <v/>
      </c>
    </row>
    <row r="751" spans="3:22" x14ac:dyDescent="0.3">
      <c r="C751" s="24" t="str">
        <f>IF(A751&lt;&gt;"",SUMIFS(JPK_KR!AL:AL,JPK_KR!W:W,B751),"")</f>
        <v/>
      </c>
      <c r="D751" s="126" t="str">
        <f>IF(A751&lt;&gt;"",SUMIFS(JPK_KR!AM:AM,JPK_KR!W:W,B751),"")</f>
        <v/>
      </c>
      <c r="G751" s="24" t="str">
        <f>IF(E751&lt;&gt;"",SUMIFS(JPK_KR!AL:AL,JPK_KR!W:W,F751),"")</f>
        <v/>
      </c>
      <c r="H751" s="126" t="str">
        <f>IF(E751&lt;&gt;"",SUMIFS(JPK_KR!AM:AM,JPK_KR!W:W,F751),"")</f>
        <v/>
      </c>
      <c r="K751" s="24" t="str">
        <f>IF(I751&lt;&gt;"",SUMIFS(JPK_KR!AL:AL,JPK_KR!W:W,J751),"")</f>
        <v/>
      </c>
      <c r="L751" s="126" t="str">
        <f>IF(I751&lt;&gt;"",SUMIFS(JPK_KR!AM:AM,JPK_KR!W:W,J751),"")</f>
        <v/>
      </c>
      <c r="P751" s="24" t="str">
        <f>IF(M751&lt;&gt;"",IF(O751="",SUMIFS(JPK_KR!AL:AL,JPK_KR!W:W,N751),SUMIFS(JPK_KR!BF:BF,JPK_KR!BE:BE,N751,JPK_KR!BG:BG,O751)),"")</f>
        <v/>
      </c>
      <c r="Q751" s="126" t="str">
        <f>IF(M751&lt;&gt;"",IF(O751="",SUMIFS(JPK_KR!AM:AM,JPK_KR!W:W,N751),SUMIFS(JPK_KR!BI:BI,JPK_KR!BH:BH,N751,JPK_KR!BJ:BJ,O751)),"")</f>
        <v/>
      </c>
      <c r="U751" s="24" t="str">
        <f>IF(R751&lt;&gt;"",SUMIFS(JPK_KR!AL:AL,JPK_KR!W:W,S751),"")</f>
        <v/>
      </c>
      <c r="V751" s="126" t="str">
        <f>IF(R751&lt;&gt;"",SUMIFS(JPK_KR!AM:AM,JPK_KR!W:W,S751),"")</f>
        <v/>
      </c>
    </row>
    <row r="752" spans="3:22" x14ac:dyDescent="0.3">
      <c r="C752" s="24" t="str">
        <f>IF(A752&lt;&gt;"",SUMIFS(JPK_KR!AL:AL,JPK_KR!W:W,B752),"")</f>
        <v/>
      </c>
      <c r="D752" s="126" t="str">
        <f>IF(A752&lt;&gt;"",SUMIFS(JPK_KR!AM:AM,JPK_KR!W:W,B752),"")</f>
        <v/>
      </c>
      <c r="G752" s="24" t="str">
        <f>IF(E752&lt;&gt;"",SUMIFS(JPK_KR!AL:AL,JPK_KR!W:W,F752),"")</f>
        <v/>
      </c>
      <c r="H752" s="126" t="str">
        <f>IF(E752&lt;&gt;"",SUMIFS(JPK_KR!AM:AM,JPK_KR!W:W,F752),"")</f>
        <v/>
      </c>
      <c r="K752" s="24" t="str">
        <f>IF(I752&lt;&gt;"",SUMIFS(JPK_KR!AL:AL,JPK_KR!W:W,J752),"")</f>
        <v/>
      </c>
      <c r="L752" s="126" t="str">
        <f>IF(I752&lt;&gt;"",SUMIFS(JPK_KR!AM:AM,JPK_KR!W:W,J752),"")</f>
        <v/>
      </c>
      <c r="P752" s="24" t="str">
        <f>IF(M752&lt;&gt;"",IF(O752="",SUMIFS(JPK_KR!AL:AL,JPK_KR!W:W,N752),SUMIFS(JPK_KR!BF:BF,JPK_KR!BE:BE,N752,JPK_KR!BG:BG,O752)),"")</f>
        <v/>
      </c>
      <c r="Q752" s="126" t="str">
        <f>IF(M752&lt;&gt;"",IF(O752="",SUMIFS(JPK_KR!AM:AM,JPK_KR!W:W,N752),SUMIFS(JPK_KR!BI:BI,JPK_KR!BH:BH,N752,JPK_KR!BJ:BJ,O752)),"")</f>
        <v/>
      </c>
      <c r="U752" s="24" t="str">
        <f>IF(R752&lt;&gt;"",SUMIFS(JPK_KR!AL:AL,JPK_KR!W:W,S752),"")</f>
        <v/>
      </c>
      <c r="V752" s="126" t="str">
        <f>IF(R752&lt;&gt;"",SUMIFS(JPK_KR!AM:AM,JPK_KR!W:W,S752),"")</f>
        <v/>
      </c>
    </row>
    <row r="753" spans="3:22" x14ac:dyDescent="0.3">
      <c r="C753" s="24" t="str">
        <f>IF(A753&lt;&gt;"",SUMIFS(JPK_KR!AL:AL,JPK_KR!W:W,B753),"")</f>
        <v/>
      </c>
      <c r="D753" s="126" t="str">
        <f>IF(A753&lt;&gt;"",SUMIFS(JPK_KR!AM:AM,JPK_KR!W:W,B753),"")</f>
        <v/>
      </c>
      <c r="G753" s="24" t="str">
        <f>IF(E753&lt;&gt;"",SUMIFS(JPK_KR!AL:AL,JPK_KR!W:W,F753),"")</f>
        <v/>
      </c>
      <c r="H753" s="126" t="str">
        <f>IF(E753&lt;&gt;"",SUMIFS(JPK_KR!AM:AM,JPK_KR!W:W,F753),"")</f>
        <v/>
      </c>
      <c r="K753" s="24" t="str">
        <f>IF(I753&lt;&gt;"",SUMIFS(JPK_KR!AL:AL,JPK_KR!W:W,J753),"")</f>
        <v/>
      </c>
      <c r="L753" s="126" t="str">
        <f>IF(I753&lt;&gt;"",SUMIFS(JPK_KR!AM:AM,JPK_KR!W:W,J753),"")</f>
        <v/>
      </c>
      <c r="P753" s="24" t="str">
        <f>IF(M753&lt;&gt;"",IF(O753="",SUMIFS(JPK_KR!AL:AL,JPK_KR!W:W,N753),SUMIFS(JPK_KR!BF:BF,JPK_KR!BE:BE,N753,JPK_KR!BG:BG,O753)),"")</f>
        <v/>
      </c>
      <c r="Q753" s="126" t="str">
        <f>IF(M753&lt;&gt;"",IF(O753="",SUMIFS(JPK_KR!AM:AM,JPK_KR!W:W,N753),SUMIFS(JPK_KR!BI:BI,JPK_KR!BH:BH,N753,JPK_KR!BJ:BJ,O753)),"")</f>
        <v/>
      </c>
      <c r="U753" s="24" t="str">
        <f>IF(R753&lt;&gt;"",SUMIFS(JPK_KR!AL:AL,JPK_KR!W:W,S753),"")</f>
        <v/>
      </c>
      <c r="V753" s="126" t="str">
        <f>IF(R753&lt;&gt;"",SUMIFS(JPK_KR!AM:AM,JPK_KR!W:W,S753),"")</f>
        <v/>
      </c>
    </row>
    <row r="754" spans="3:22" x14ac:dyDescent="0.3">
      <c r="C754" s="24" t="str">
        <f>IF(A754&lt;&gt;"",SUMIFS(JPK_KR!AL:AL,JPK_KR!W:W,B754),"")</f>
        <v/>
      </c>
      <c r="D754" s="126" t="str">
        <f>IF(A754&lt;&gt;"",SUMIFS(JPK_KR!AM:AM,JPK_KR!W:W,B754),"")</f>
        <v/>
      </c>
      <c r="G754" s="24" t="str">
        <f>IF(E754&lt;&gt;"",SUMIFS(JPK_KR!AL:AL,JPK_KR!W:W,F754),"")</f>
        <v/>
      </c>
      <c r="H754" s="126" t="str">
        <f>IF(E754&lt;&gt;"",SUMIFS(JPK_KR!AM:AM,JPK_KR!W:W,F754),"")</f>
        <v/>
      </c>
      <c r="K754" s="24" t="str">
        <f>IF(I754&lt;&gt;"",SUMIFS(JPK_KR!AL:AL,JPK_KR!W:W,J754),"")</f>
        <v/>
      </c>
      <c r="L754" s="126" t="str">
        <f>IF(I754&lt;&gt;"",SUMIFS(JPK_KR!AM:AM,JPK_KR!W:W,J754),"")</f>
        <v/>
      </c>
      <c r="P754" s="24" t="str">
        <f>IF(M754&lt;&gt;"",IF(O754="",SUMIFS(JPK_KR!AL:AL,JPK_KR!W:W,N754),SUMIFS(JPK_KR!BF:BF,JPK_KR!BE:BE,N754,JPK_KR!BG:BG,O754)),"")</f>
        <v/>
      </c>
      <c r="Q754" s="126" t="str">
        <f>IF(M754&lt;&gt;"",IF(O754="",SUMIFS(JPK_KR!AM:AM,JPK_KR!W:W,N754),SUMIFS(JPK_KR!BI:BI,JPK_KR!BH:BH,N754,JPK_KR!BJ:BJ,O754)),"")</f>
        <v/>
      </c>
      <c r="U754" s="24" t="str">
        <f>IF(R754&lt;&gt;"",SUMIFS(JPK_KR!AL:AL,JPK_KR!W:W,S754),"")</f>
        <v/>
      </c>
      <c r="V754" s="126" t="str">
        <f>IF(R754&lt;&gt;"",SUMIFS(JPK_KR!AM:AM,JPK_KR!W:W,S754),"")</f>
        <v/>
      </c>
    </row>
    <row r="755" spans="3:22" x14ac:dyDescent="0.3">
      <c r="C755" s="24" t="str">
        <f>IF(A755&lt;&gt;"",SUMIFS(JPK_KR!AL:AL,JPK_KR!W:W,B755),"")</f>
        <v/>
      </c>
      <c r="D755" s="126" t="str">
        <f>IF(A755&lt;&gt;"",SUMIFS(JPK_KR!AM:AM,JPK_KR!W:W,B755),"")</f>
        <v/>
      </c>
      <c r="G755" s="24" t="str">
        <f>IF(E755&lt;&gt;"",SUMIFS(JPK_KR!AL:AL,JPK_KR!W:W,F755),"")</f>
        <v/>
      </c>
      <c r="H755" s="126" t="str">
        <f>IF(E755&lt;&gt;"",SUMIFS(JPK_KR!AM:AM,JPK_KR!W:W,F755),"")</f>
        <v/>
      </c>
      <c r="K755" s="24" t="str">
        <f>IF(I755&lt;&gt;"",SUMIFS(JPK_KR!AL:AL,JPK_KR!W:W,J755),"")</f>
        <v/>
      </c>
      <c r="L755" s="126" t="str">
        <f>IF(I755&lt;&gt;"",SUMIFS(JPK_KR!AM:AM,JPK_KR!W:W,J755),"")</f>
        <v/>
      </c>
      <c r="P755" s="24" t="str">
        <f>IF(M755&lt;&gt;"",IF(O755="",SUMIFS(JPK_KR!AL:AL,JPK_KR!W:W,N755),SUMIFS(JPK_KR!BF:BF,JPK_KR!BE:BE,N755,JPK_KR!BG:BG,O755)),"")</f>
        <v/>
      </c>
      <c r="Q755" s="126" t="str">
        <f>IF(M755&lt;&gt;"",IF(O755="",SUMIFS(JPK_KR!AM:AM,JPK_KR!W:W,N755),SUMIFS(JPK_KR!BI:BI,JPK_KR!BH:BH,N755,JPK_KR!BJ:BJ,O755)),"")</f>
        <v/>
      </c>
      <c r="U755" s="24" t="str">
        <f>IF(R755&lt;&gt;"",SUMIFS(JPK_KR!AL:AL,JPK_KR!W:W,S755),"")</f>
        <v/>
      </c>
      <c r="V755" s="126" t="str">
        <f>IF(R755&lt;&gt;"",SUMIFS(JPK_KR!AM:AM,JPK_KR!W:W,S755),"")</f>
        <v/>
      </c>
    </row>
    <row r="756" spans="3:22" x14ac:dyDescent="0.3">
      <c r="C756" s="24" t="str">
        <f>IF(A756&lt;&gt;"",SUMIFS(JPK_KR!AL:AL,JPK_KR!W:W,B756),"")</f>
        <v/>
      </c>
      <c r="D756" s="126" t="str">
        <f>IF(A756&lt;&gt;"",SUMIFS(JPK_KR!AM:AM,JPK_KR!W:W,B756),"")</f>
        <v/>
      </c>
      <c r="G756" s="24" t="str">
        <f>IF(E756&lt;&gt;"",SUMIFS(JPK_KR!AL:AL,JPK_KR!W:W,F756),"")</f>
        <v/>
      </c>
      <c r="H756" s="126" t="str">
        <f>IF(E756&lt;&gt;"",SUMIFS(JPK_KR!AM:AM,JPK_KR!W:W,F756),"")</f>
        <v/>
      </c>
      <c r="K756" s="24" t="str">
        <f>IF(I756&lt;&gt;"",SUMIFS(JPK_KR!AL:AL,JPK_KR!W:W,J756),"")</f>
        <v/>
      </c>
      <c r="L756" s="126" t="str">
        <f>IF(I756&lt;&gt;"",SUMIFS(JPK_KR!AM:AM,JPK_KR!W:W,J756),"")</f>
        <v/>
      </c>
      <c r="P756" s="24" t="str">
        <f>IF(M756&lt;&gt;"",IF(O756="",SUMIFS(JPK_KR!AL:AL,JPK_KR!W:W,N756),SUMIFS(JPK_KR!BF:BF,JPK_KR!BE:BE,N756,JPK_KR!BG:BG,O756)),"")</f>
        <v/>
      </c>
      <c r="Q756" s="126" t="str">
        <f>IF(M756&lt;&gt;"",IF(O756="",SUMIFS(JPK_KR!AM:AM,JPK_KR!W:W,N756),SUMIFS(JPK_KR!BI:BI,JPK_KR!BH:BH,N756,JPK_KR!BJ:BJ,O756)),"")</f>
        <v/>
      </c>
      <c r="U756" s="24" t="str">
        <f>IF(R756&lt;&gt;"",SUMIFS(JPK_KR!AL:AL,JPK_KR!W:W,S756),"")</f>
        <v/>
      </c>
      <c r="V756" s="126" t="str">
        <f>IF(R756&lt;&gt;"",SUMIFS(JPK_KR!AM:AM,JPK_KR!W:W,S756),"")</f>
        <v/>
      </c>
    </row>
    <row r="757" spans="3:22" x14ac:dyDescent="0.3">
      <c r="C757" s="24" t="str">
        <f>IF(A757&lt;&gt;"",SUMIFS(JPK_KR!AL:AL,JPK_KR!W:W,B757),"")</f>
        <v/>
      </c>
      <c r="D757" s="126" t="str">
        <f>IF(A757&lt;&gt;"",SUMIFS(JPK_KR!AM:AM,JPK_KR!W:W,B757),"")</f>
        <v/>
      </c>
      <c r="G757" s="24" t="str">
        <f>IF(E757&lt;&gt;"",SUMIFS(JPK_KR!AL:AL,JPK_KR!W:W,F757),"")</f>
        <v/>
      </c>
      <c r="H757" s="126" t="str">
        <f>IF(E757&lt;&gt;"",SUMIFS(JPK_KR!AM:AM,JPK_KR!W:W,F757),"")</f>
        <v/>
      </c>
      <c r="K757" s="24" t="str">
        <f>IF(I757&lt;&gt;"",SUMIFS(JPK_KR!AL:AL,JPK_KR!W:W,J757),"")</f>
        <v/>
      </c>
      <c r="L757" s="126" t="str">
        <f>IF(I757&lt;&gt;"",SUMIFS(JPK_KR!AM:AM,JPK_KR!W:W,J757),"")</f>
        <v/>
      </c>
      <c r="P757" s="24" t="str">
        <f>IF(M757&lt;&gt;"",IF(O757="",SUMIFS(JPK_KR!AL:AL,JPK_KR!W:W,N757),SUMIFS(JPK_KR!BF:BF,JPK_KR!BE:BE,N757,JPK_KR!BG:BG,O757)),"")</f>
        <v/>
      </c>
      <c r="Q757" s="126" t="str">
        <f>IF(M757&lt;&gt;"",IF(O757="",SUMIFS(JPK_KR!AM:AM,JPK_KR!W:W,N757),SUMIFS(JPK_KR!BI:BI,JPK_KR!BH:BH,N757,JPK_KR!BJ:BJ,O757)),"")</f>
        <v/>
      </c>
      <c r="U757" s="24" t="str">
        <f>IF(R757&lt;&gt;"",SUMIFS(JPK_KR!AL:AL,JPK_KR!W:W,S757),"")</f>
        <v/>
      </c>
      <c r="V757" s="126" t="str">
        <f>IF(R757&lt;&gt;"",SUMIFS(JPK_KR!AM:AM,JPK_KR!W:W,S757),"")</f>
        <v/>
      </c>
    </row>
    <row r="758" spans="3:22" x14ac:dyDescent="0.3">
      <c r="C758" s="24" t="str">
        <f>IF(A758&lt;&gt;"",SUMIFS(JPK_KR!AL:AL,JPK_KR!W:W,B758),"")</f>
        <v/>
      </c>
      <c r="D758" s="126" t="str">
        <f>IF(A758&lt;&gt;"",SUMIFS(JPK_KR!AM:AM,JPK_KR!W:W,B758),"")</f>
        <v/>
      </c>
      <c r="G758" s="24" t="str">
        <f>IF(E758&lt;&gt;"",SUMIFS(JPK_KR!AL:AL,JPK_KR!W:W,F758),"")</f>
        <v/>
      </c>
      <c r="H758" s="126" t="str">
        <f>IF(E758&lt;&gt;"",SUMIFS(JPK_KR!AM:AM,JPK_KR!W:W,F758),"")</f>
        <v/>
      </c>
      <c r="K758" s="24" t="str">
        <f>IF(I758&lt;&gt;"",SUMIFS(JPK_KR!AL:AL,JPK_KR!W:W,J758),"")</f>
        <v/>
      </c>
      <c r="L758" s="126" t="str">
        <f>IF(I758&lt;&gt;"",SUMIFS(JPK_KR!AM:AM,JPK_KR!W:W,J758),"")</f>
        <v/>
      </c>
      <c r="P758" s="24" t="str">
        <f>IF(M758&lt;&gt;"",IF(O758="",SUMIFS(JPK_KR!AL:AL,JPK_KR!W:W,N758),SUMIFS(JPK_KR!BF:BF,JPK_KR!BE:BE,N758,JPK_KR!BG:BG,O758)),"")</f>
        <v/>
      </c>
      <c r="Q758" s="126" t="str">
        <f>IF(M758&lt;&gt;"",IF(O758="",SUMIFS(JPK_KR!AM:AM,JPK_KR!W:W,N758),SUMIFS(JPK_KR!BI:BI,JPK_KR!BH:BH,N758,JPK_KR!BJ:BJ,O758)),"")</f>
        <v/>
      </c>
      <c r="U758" s="24" t="str">
        <f>IF(R758&lt;&gt;"",SUMIFS(JPK_KR!AL:AL,JPK_KR!W:W,S758),"")</f>
        <v/>
      </c>
      <c r="V758" s="126" t="str">
        <f>IF(R758&lt;&gt;"",SUMIFS(JPK_KR!AM:AM,JPK_KR!W:W,S758),"")</f>
        <v/>
      </c>
    </row>
    <row r="759" spans="3:22" x14ac:dyDescent="0.3">
      <c r="C759" s="24" t="str">
        <f>IF(A759&lt;&gt;"",SUMIFS(JPK_KR!AL:AL,JPK_KR!W:W,B759),"")</f>
        <v/>
      </c>
      <c r="D759" s="126" t="str">
        <f>IF(A759&lt;&gt;"",SUMIFS(JPK_KR!AM:AM,JPK_KR!W:W,B759),"")</f>
        <v/>
      </c>
      <c r="G759" s="24" t="str">
        <f>IF(E759&lt;&gt;"",SUMIFS(JPK_KR!AL:AL,JPK_KR!W:W,F759),"")</f>
        <v/>
      </c>
      <c r="H759" s="126" t="str">
        <f>IF(E759&lt;&gt;"",SUMIFS(JPK_KR!AM:AM,JPK_KR!W:W,F759),"")</f>
        <v/>
      </c>
      <c r="K759" s="24" t="str">
        <f>IF(I759&lt;&gt;"",SUMIFS(JPK_KR!AL:AL,JPK_KR!W:W,J759),"")</f>
        <v/>
      </c>
      <c r="L759" s="126" t="str">
        <f>IF(I759&lt;&gt;"",SUMIFS(JPK_KR!AM:AM,JPK_KR!W:W,J759),"")</f>
        <v/>
      </c>
      <c r="P759" s="24" t="str">
        <f>IF(M759&lt;&gt;"",IF(O759="",SUMIFS(JPK_KR!AL:AL,JPK_KR!W:W,N759),SUMIFS(JPK_KR!BF:BF,JPK_KR!BE:BE,N759,JPK_KR!BG:BG,O759)),"")</f>
        <v/>
      </c>
      <c r="Q759" s="126" t="str">
        <f>IF(M759&lt;&gt;"",IF(O759="",SUMIFS(JPK_KR!AM:AM,JPK_KR!W:W,N759),SUMIFS(JPK_KR!BI:BI,JPK_KR!BH:BH,N759,JPK_KR!BJ:BJ,O759)),"")</f>
        <v/>
      </c>
      <c r="U759" s="24" t="str">
        <f>IF(R759&lt;&gt;"",SUMIFS(JPK_KR!AL:AL,JPK_KR!W:W,S759),"")</f>
        <v/>
      </c>
      <c r="V759" s="126" t="str">
        <f>IF(R759&lt;&gt;"",SUMIFS(JPK_KR!AM:AM,JPK_KR!W:W,S759),"")</f>
        <v/>
      </c>
    </row>
    <row r="760" spans="3:22" x14ac:dyDescent="0.3">
      <c r="C760" s="24" t="str">
        <f>IF(A760&lt;&gt;"",SUMIFS(JPK_KR!AL:AL,JPK_KR!W:W,B760),"")</f>
        <v/>
      </c>
      <c r="D760" s="126" t="str">
        <f>IF(A760&lt;&gt;"",SUMIFS(JPK_KR!AM:AM,JPK_KR!W:W,B760),"")</f>
        <v/>
      </c>
      <c r="G760" s="24" t="str">
        <f>IF(E760&lt;&gt;"",SUMIFS(JPK_KR!AL:AL,JPK_KR!W:W,F760),"")</f>
        <v/>
      </c>
      <c r="H760" s="126" t="str">
        <f>IF(E760&lt;&gt;"",SUMIFS(JPK_KR!AM:AM,JPK_KR!W:W,F760),"")</f>
        <v/>
      </c>
      <c r="K760" s="24" t="str">
        <f>IF(I760&lt;&gt;"",SUMIFS(JPK_KR!AL:AL,JPK_KR!W:W,J760),"")</f>
        <v/>
      </c>
      <c r="L760" s="126" t="str">
        <f>IF(I760&lt;&gt;"",SUMIFS(JPK_KR!AM:AM,JPK_KR!W:W,J760),"")</f>
        <v/>
      </c>
      <c r="P760" s="24" t="str">
        <f>IF(M760&lt;&gt;"",IF(O760="",SUMIFS(JPK_KR!AL:AL,JPK_KR!W:W,N760),SUMIFS(JPK_KR!BF:BF,JPK_KR!BE:BE,N760,JPK_KR!BG:BG,O760)),"")</f>
        <v/>
      </c>
      <c r="Q760" s="126" t="str">
        <f>IF(M760&lt;&gt;"",IF(O760="",SUMIFS(JPK_KR!AM:AM,JPK_KR!W:W,N760),SUMIFS(JPK_KR!BI:BI,JPK_KR!BH:BH,N760,JPK_KR!BJ:BJ,O760)),"")</f>
        <v/>
      </c>
      <c r="U760" s="24" t="str">
        <f>IF(R760&lt;&gt;"",SUMIFS(JPK_KR!AL:AL,JPK_KR!W:W,S760),"")</f>
        <v/>
      </c>
      <c r="V760" s="126" t="str">
        <f>IF(R760&lt;&gt;"",SUMIFS(JPK_KR!AM:AM,JPK_KR!W:W,S760),"")</f>
        <v/>
      </c>
    </row>
    <row r="761" spans="3:22" x14ac:dyDescent="0.3">
      <c r="C761" s="24" t="str">
        <f>IF(A761&lt;&gt;"",SUMIFS(JPK_KR!AL:AL,JPK_KR!W:W,B761),"")</f>
        <v/>
      </c>
      <c r="D761" s="126" t="str">
        <f>IF(A761&lt;&gt;"",SUMIFS(JPK_KR!AM:AM,JPK_KR!W:W,B761),"")</f>
        <v/>
      </c>
      <c r="G761" s="24" t="str">
        <f>IF(E761&lt;&gt;"",SUMIFS(JPK_KR!AL:AL,JPK_KR!W:W,F761),"")</f>
        <v/>
      </c>
      <c r="H761" s="126" t="str">
        <f>IF(E761&lt;&gt;"",SUMIFS(JPK_KR!AM:AM,JPK_KR!W:W,F761),"")</f>
        <v/>
      </c>
      <c r="K761" s="24" t="str">
        <f>IF(I761&lt;&gt;"",SUMIFS(JPK_KR!AL:AL,JPK_KR!W:W,J761),"")</f>
        <v/>
      </c>
      <c r="L761" s="126" t="str">
        <f>IF(I761&lt;&gt;"",SUMIFS(JPK_KR!AM:AM,JPK_KR!W:W,J761),"")</f>
        <v/>
      </c>
      <c r="P761" s="24" t="str">
        <f>IF(M761&lt;&gt;"",IF(O761="",SUMIFS(JPK_KR!AL:AL,JPK_KR!W:W,N761),SUMIFS(JPK_KR!BF:BF,JPK_KR!BE:BE,N761,JPK_KR!BG:BG,O761)),"")</f>
        <v/>
      </c>
      <c r="Q761" s="126" t="str">
        <f>IF(M761&lt;&gt;"",IF(O761="",SUMIFS(JPK_KR!AM:AM,JPK_KR!W:W,N761),SUMIFS(JPK_KR!BI:BI,JPK_KR!BH:BH,N761,JPK_KR!BJ:BJ,O761)),"")</f>
        <v/>
      </c>
      <c r="U761" s="24" t="str">
        <f>IF(R761&lt;&gt;"",SUMIFS(JPK_KR!AL:AL,JPK_KR!W:W,S761),"")</f>
        <v/>
      </c>
      <c r="V761" s="126" t="str">
        <f>IF(R761&lt;&gt;"",SUMIFS(JPK_KR!AM:AM,JPK_KR!W:W,S761),"")</f>
        <v/>
      </c>
    </row>
    <row r="762" spans="3:22" x14ac:dyDescent="0.3">
      <c r="C762" s="24" t="str">
        <f>IF(A762&lt;&gt;"",SUMIFS(JPK_KR!AL:AL,JPK_KR!W:W,B762),"")</f>
        <v/>
      </c>
      <c r="D762" s="126" t="str">
        <f>IF(A762&lt;&gt;"",SUMIFS(JPK_KR!AM:AM,JPK_KR!W:W,B762),"")</f>
        <v/>
      </c>
      <c r="G762" s="24" t="str">
        <f>IF(E762&lt;&gt;"",SUMIFS(JPK_KR!AL:AL,JPK_KR!W:W,F762),"")</f>
        <v/>
      </c>
      <c r="H762" s="126" t="str">
        <f>IF(E762&lt;&gt;"",SUMIFS(JPK_KR!AM:AM,JPK_KR!W:W,F762),"")</f>
        <v/>
      </c>
      <c r="K762" s="24" t="str">
        <f>IF(I762&lt;&gt;"",SUMIFS(JPK_KR!AL:AL,JPK_KR!W:W,J762),"")</f>
        <v/>
      </c>
      <c r="L762" s="126" t="str">
        <f>IF(I762&lt;&gt;"",SUMIFS(JPK_KR!AM:AM,JPK_KR!W:W,J762),"")</f>
        <v/>
      </c>
      <c r="P762" s="24" t="str">
        <f>IF(M762&lt;&gt;"",IF(O762="",SUMIFS(JPK_KR!AL:AL,JPK_KR!W:W,N762),SUMIFS(JPK_KR!BF:BF,JPK_KR!BE:BE,N762,JPK_KR!BG:BG,O762)),"")</f>
        <v/>
      </c>
      <c r="Q762" s="126" t="str">
        <f>IF(M762&lt;&gt;"",IF(O762="",SUMIFS(JPK_KR!AM:AM,JPK_KR!W:W,N762),SUMIFS(JPK_KR!BI:BI,JPK_KR!BH:BH,N762,JPK_KR!BJ:BJ,O762)),"")</f>
        <v/>
      </c>
      <c r="U762" s="24" t="str">
        <f>IF(R762&lt;&gt;"",SUMIFS(JPK_KR!AL:AL,JPK_KR!W:W,S762),"")</f>
        <v/>
      </c>
      <c r="V762" s="126" t="str">
        <f>IF(R762&lt;&gt;"",SUMIFS(JPK_KR!AM:AM,JPK_KR!W:W,S762),"")</f>
        <v/>
      </c>
    </row>
    <row r="763" spans="3:22" x14ac:dyDescent="0.3">
      <c r="C763" s="24" t="str">
        <f>IF(A763&lt;&gt;"",SUMIFS(JPK_KR!AL:AL,JPK_KR!W:W,B763),"")</f>
        <v/>
      </c>
      <c r="D763" s="126" t="str">
        <f>IF(A763&lt;&gt;"",SUMIFS(JPK_KR!AM:AM,JPK_KR!W:W,B763),"")</f>
        <v/>
      </c>
      <c r="G763" s="24" t="str">
        <f>IF(E763&lt;&gt;"",SUMIFS(JPK_KR!AL:AL,JPK_KR!W:W,F763),"")</f>
        <v/>
      </c>
      <c r="H763" s="126" t="str">
        <f>IF(E763&lt;&gt;"",SUMIFS(JPK_KR!AM:AM,JPK_KR!W:W,F763),"")</f>
        <v/>
      </c>
      <c r="K763" s="24" t="str">
        <f>IF(I763&lt;&gt;"",SUMIFS(JPK_KR!AL:AL,JPK_KR!W:W,J763),"")</f>
        <v/>
      </c>
      <c r="L763" s="126" t="str">
        <f>IF(I763&lt;&gt;"",SUMIFS(JPK_KR!AM:AM,JPK_KR!W:W,J763),"")</f>
        <v/>
      </c>
      <c r="P763" s="24" t="str">
        <f>IF(M763&lt;&gt;"",IF(O763="",SUMIFS(JPK_KR!AL:AL,JPK_KR!W:W,N763),SUMIFS(JPK_KR!BF:BF,JPK_KR!BE:BE,N763,JPK_KR!BG:BG,O763)),"")</f>
        <v/>
      </c>
      <c r="Q763" s="126" t="str">
        <f>IF(M763&lt;&gt;"",IF(O763="",SUMIFS(JPK_KR!AM:AM,JPK_KR!W:W,N763),SUMIFS(JPK_KR!BI:BI,JPK_KR!BH:BH,N763,JPK_KR!BJ:BJ,O763)),"")</f>
        <v/>
      </c>
      <c r="U763" s="24" t="str">
        <f>IF(R763&lt;&gt;"",SUMIFS(JPK_KR!AL:AL,JPK_KR!W:W,S763),"")</f>
        <v/>
      </c>
      <c r="V763" s="126" t="str">
        <f>IF(R763&lt;&gt;"",SUMIFS(JPK_KR!AM:AM,JPK_KR!W:W,S763),"")</f>
        <v/>
      </c>
    </row>
    <row r="764" spans="3:22" x14ac:dyDescent="0.3">
      <c r="C764" s="24" t="str">
        <f>IF(A764&lt;&gt;"",SUMIFS(JPK_KR!AL:AL,JPK_KR!W:W,B764),"")</f>
        <v/>
      </c>
      <c r="D764" s="126" t="str">
        <f>IF(A764&lt;&gt;"",SUMIFS(JPK_KR!AM:AM,JPK_KR!W:W,B764),"")</f>
        <v/>
      </c>
      <c r="G764" s="24" t="str">
        <f>IF(E764&lt;&gt;"",SUMIFS(JPK_KR!AL:AL,JPK_KR!W:W,F764),"")</f>
        <v/>
      </c>
      <c r="H764" s="126" t="str">
        <f>IF(E764&lt;&gt;"",SUMIFS(JPK_KR!AM:AM,JPK_KR!W:W,F764),"")</f>
        <v/>
      </c>
      <c r="K764" s="24" t="str">
        <f>IF(I764&lt;&gt;"",SUMIFS(JPK_KR!AL:AL,JPK_KR!W:W,J764),"")</f>
        <v/>
      </c>
      <c r="L764" s="126" t="str">
        <f>IF(I764&lt;&gt;"",SUMIFS(JPK_KR!AM:AM,JPK_KR!W:W,J764),"")</f>
        <v/>
      </c>
      <c r="P764" s="24" t="str">
        <f>IF(M764&lt;&gt;"",IF(O764="",SUMIFS(JPK_KR!AL:AL,JPK_KR!W:W,N764),SUMIFS(JPK_KR!BF:BF,JPK_KR!BE:BE,N764,JPK_KR!BG:BG,O764)),"")</f>
        <v/>
      </c>
      <c r="Q764" s="126" t="str">
        <f>IF(M764&lt;&gt;"",IF(O764="",SUMIFS(JPK_KR!AM:AM,JPK_KR!W:W,N764),SUMIFS(JPK_KR!BI:BI,JPK_KR!BH:BH,N764,JPK_KR!BJ:BJ,O764)),"")</f>
        <v/>
      </c>
      <c r="U764" s="24" t="str">
        <f>IF(R764&lt;&gt;"",SUMIFS(JPK_KR!AL:AL,JPK_KR!W:W,S764),"")</f>
        <v/>
      </c>
      <c r="V764" s="126" t="str">
        <f>IF(R764&lt;&gt;"",SUMIFS(JPK_KR!AM:AM,JPK_KR!W:W,S764),"")</f>
        <v/>
      </c>
    </row>
    <row r="765" spans="3:22" x14ac:dyDescent="0.3">
      <c r="C765" s="24" t="str">
        <f>IF(A765&lt;&gt;"",SUMIFS(JPK_KR!AL:AL,JPK_KR!W:W,B765),"")</f>
        <v/>
      </c>
      <c r="D765" s="126" t="str">
        <f>IF(A765&lt;&gt;"",SUMIFS(JPK_KR!AM:AM,JPK_KR!W:W,B765),"")</f>
        <v/>
      </c>
      <c r="G765" s="24" t="str">
        <f>IF(E765&lt;&gt;"",SUMIFS(JPK_KR!AL:AL,JPK_KR!W:W,F765),"")</f>
        <v/>
      </c>
      <c r="H765" s="126" t="str">
        <f>IF(E765&lt;&gt;"",SUMIFS(JPK_KR!AM:AM,JPK_KR!W:W,F765),"")</f>
        <v/>
      </c>
      <c r="K765" s="24" t="str">
        <f>IF(I765&lt;&gt;"",SUMIFS(JPK_KR!AL:AL,JPK_KR!W:W,J765),"")</f>
        <v/>
      </c>
      <c r="L765" s="126" t="str">
        <f>IF(I765&lt;&gt;"",SUMIFS(JPK_KR!AM:AM,JPK_KR!W:W,J765),"")</f>
        <v/>
      </c>
      <c r="P765" s="24" t="str">
        <f>IF(M765&lt;&gt;"",IF(O765="",SUMIFS(JPK_KR!AL:AL,JPK_KR!W:W,N765),SUMIFS(JPK_KR!BF:BF,JPK_KR!BE:BE,N765,JPK_KR!BG:BG,O765)),"")</f>
        <v/>
      </c>
      <c r="Q765" s="126" t="str">
        <f>IF(M765&lt;&gt;"",IF(O765="",SUMIFS(JPK_KR!AM:AM,JPK_KR!W:W,N765),SUMIFS(JPK_KR!BI:BI,JPK_KR!BH:BH,N765,JPK_KR!BJ:BJ,O765)),"")</f>
        <v/>
      </c>
      <c r="U765" s="24" t="str">
        <f>IF(R765&lt;&gt;"",SUMIFS(JPK_KR!AL:AL,JPK_KR!W:W,S765),"")</f>
        <v/>
      </c>
      <c r="V765" s="126" t="str">
        <f>IF(R765&lt;&gt;"",SUMIFS(JPK_KR!AM:AM,JPK_KR!W:W,S765),"")</f>
        <v/>
      </c>
    </row>
    <row r="766" spans="3:22" x14ac:dyDescent="0.3">
      <c r="C766" s="24" t="str">
        <f>IF(A766&lt;&gt;"",SUMIFS(JPK_KR!AL:AL,JPK_KR!W:W,B766),"")</f>
        <v/>
      </c>
      <c r="D766" s="126" t="str">
        <f>IF(A766&lt;&gt;"",SUMIFS(JPK_KR!AM:AM,JPK_KR!W:W,B766),"")</f>
        <v/>
      </c>
      <c r="G766" s="24" t="str">
        <f>IF(E766&lt;&gt;"",SUMIFS(JPK_KR!AL:AL,JPK_KR!W:W,F766),"")</f>
        <v/>
      </c>
      <c r="H766" s="126" t="str">
        <f>IF(E766&lt;&gt;"",SUMIFS(JPK_KR!AM:AM,JPK_KR!W:W,F766),"")</f>
        <v/>
      </c>
      <c r="K766" s="24" t="str">
        <f>IF(I766&lt;&gt;"",SUMIFS(JPK_KR!AL:AL,JPK_KR!W:W,J766),"")</f>
        <v/>
      </c>
      <c r="L766" s="126" t="str">
        <f>IF(I766&lt;&gt;"",SUMIFS(JPK_KR!AM:AM,JPK_KR!W:W,J766),"")</f>
        <v/>
      </c>
      <c r="P766" s="24" t="str">
        <f>IF(M766&lt;&gt;"",IF(O766="",SUMIFS(JPK_KR!AL:AL,JPK_KR!W:W,N766),SUMIFS(JPK_KR!BF:BF,JPK_KR!BE:BE,N766,JPK_KR!BG:BG,O766)),"")</f>
        <v/>
      </c>
      <c r="Q766" s="126" t="str">
        <f>IF(M766&lt;&gt;"",IF(O766="",SUMIFS(JPK_KR!AM:AM,JPK_KR!W:W,N766),SUMIFS(JPK_KR!BI:BI,JPK_KR!BH:BH,N766,JPK_KR!BJ:BJ,O766)),"")</f>
        <v/>
      </c>
      <c r="U766" s="24" t="str">
        <f>IF(R766&lt;&gt;"",SUMIFS(JPK_KR!AL:AL,JPK_KR!W:W,S766),"")</f>
        <v/>
      </c>
      <c r="V766" s="126" t="str">
        <f>IF(R766&lt;&gt;"",SUMIFS(JPK_KR!AM:AM,JPK_KR!W:W,S766),"")</f>
        <v/>
      </c>
    </row>
    <row r="767" spans="3:22" x14ac:dyDescent="0.3">
      <c r="C767" s="24" t="str">
        <f>IF(A767&lt;&gt;"",SUMIFS(JPK_KR!AL:AL,JPK_KR!W:W,B767),"")</f>
        <v/>
      </c>
      <c r="D767" s="126" t="str">
        <f>IF(A767&lt;&gt;"",SUMIFS(JPK_KR!AM:AM,JPK_KR!W:W,B767),"")</f>
        <v/>
      </c>
      <c r="G767" s="24" t="str">
        <f>IF(E767&lt;&gt;"",SUMIFS(JPK_KR!AL:AL,JPK_KR!W:W,F767),"")</f>
        <v/>
      </c>
      <c r="H767" s="126" t="str">
        <f>IF(E767&lt;&gt;"",SUMIFS(JPK_KR!AM:AM,JPK_KR!W:W,F767),"")</f>
        <v/>
      </c>
      <c r="K767" s="24" t="str">
        <f>IF(I767&lt;&gt;"",SUMIFS(JPK_KR!AL:AL,JPK_KR!W:W,J767),"")</f>
        <v/>
      </c>
      <c r="L767" s="126" t="str">
        <f>IF(I767&lt;&gt;"",SUMIFS(JPK_KR!AM:AM,JPK_KR!W:W,J767),"")</f>
        <v/>
      </c>
      <c r="P767" s="24" t="str">
        <f>IF(M767&lt;&gt;"",IF(O767="",SUMIFS(JPK_KR!AL:AL,JPK_KR!W:W,N767),SUMIFS(JPK_KR!BF:BF,JPK_KR!BE:BE,N767,JPK_KR!BG:BG,O767)),"")</f>
        <v/>
      </c>
      <c r="Q767" s="126" t="str">
        <f>IF(M767&lt;&gt;"",IF(O767="",SUMIFS(JPK_KR!AM:AM,JPK_KR!W:W,N767),SUMIFS(JPK_KR!BI:BI,JPK_KR!BH:BH,N767,JPK_KR!BJ:BJ,O767)),"")</f>
        <v/>
      </c>
      <c r="U767" s="24" t="str">
        <f>IF(R767&lt;&gt;"",SUMIFS(JPK_KR!AL:AL,JPK_KR!W:W,S767),"")</f>
        <v/>
      </c>
      <c r="V767" s="126" t="str">
        <f>IF(R767&lt;&gt;"",SUMIFS(JPK_KR!AM:AM,JPK_KR!W:W,S767),"")</f>
        <v/>
      </c>
    </row>
    <row r="768" spans="3:22" x14ac:dyDescent="0.3">
      <c r="C768" s="24" t="str">
        <f>IF(A768&lt;&gt;"",SUMIFS(JPK_KR!AL:AL,JPK_KR!W:W,B768),"")</f>
        <v/>
      </c>
      <c r="D768" s="126" t="str">
        <f>IF(A768&lt;&gt;"",SUMIFS(JPK_KR!AM:AM,JPK_KR!W:W,B768),"")</f>
        <v/>
      </c>
      <c r="G768" s="24" t="str">
        <f>IF(E768&lt;&gt;"",SUMIFS(JPK_KR!AL:AL,JPK_KR!W:W,F768),"")</f>
        <v/>
      </c>
      <c r="H768" s="126" t="str">
        <f>IF(E768&lt;&gt;"",SUMIFS(JPK_KR!AM:AM,JPK_KR!W:W,F768),"")</f>
        <v/>
      </c>
      <c r="K768" s="24" t="str">
        <f>IF(I768&lt;&gt;"",SUMIFS(JPK_KR!AL:AL,JPK_KR!W:W,J768),"")</f>
        <v/>
      </c>
      <c r="L768" s="126" t="str">
        <f>IF(I768&lt;&gt;"",SUMIFS(JPK_KR!AM:AM,JPK_KR!W:W,J768),"")</f>
        <v/>
      </c>
      <c r="P768" s="24" t="str">
        <f>IF(M768&lt;&gt;"",IF(O768="",SUMIFS(JPK_KR!AL:AL,JPK_KR!W:W,N768),SUMIFS(JPK_KR!BF:BF,JPK_KR!BE:BE,N768,JPK_KR!BG:BG,O768)),"")</f>
        <v/>
      </c>
      <c r="Q768" s="126" t="str">
        <f>IF(M768&lt;&gt;"",IF(O768="",SUMIFS(JPK_KR!AM:AM,JPK_KR!W:W,N768),SUMIFS(JPK_KR!BI:BI,JPK_KR!BH:BH,N768,JPK_KR!BJ:BJ,O768)),"")</f>
        <v/>
      </c>
      <c r="U768" s="24" t="str">
        <f>IF(R768&lt;&gt;"",SUMIFS(JPK_KR!AL:AL,JPK_KR!W:W,S768),"")</f>
        <v/>
      </c>
      <c r="V768" s="126" t="str">
        <f>IF(R768&lt;&gt;"",SUMIFS(JPK_KR!AM:AM,JPK_KR!W:W,S768),"")</f>
        <v/>
      </c>
    </row>
    <row r="769" spans="3:22" x14ac:dyDescent="0.3">
      <c r="C769" s="24" t="str">
        <f>IF(A769&lt;&gt;"",SUMIFS(JPK_KR!AL:AL,JPK_KR!W:W,B769),"")</f>
        <v/>
      </c>
      <c r="D769" s="126" t="str">
        <f>IF(A769&lt;&gt;"",SUMIFS(JPK_KR!AM:AM,JPK_KR!W:W,B769),"")</f>
        <v/>
      </c>
      <c r="G769" s="24" t="str">
        <f>IF(E769&lt;&gt;"",SUMIFS(JPK_KR!AL:AL,JPK_KR!W:W,F769),"")</f>
        <v/>
      </c>
      <c r="H769" s="126" t="str">
        <f>IF(E769&lt;&gt;"",SUMIFS(JPK_KR!AM:AM,JPK_KR!W:W,F769),"")</f>
        <v/>
      </c>
      <c r="K769" s="24" t="str">
        <f>IF(I769&lt;&gt;"",SUMIFS(JPK_KR!AL:AL,JPK_KR!W:W,J769),"")</f>
        <v/>
      </c>
      <c r="L769" s="126" t="str">
        <f>IF(I769&lt;&gt;"",SUMIFS(JPK_KR!AM:AM,JPK_KR!W:W,J769),"")</f>
        <v/>
      </c>
      <c r="P769" s="24" t="str">
        <f>IF(M769&lt;&gt;"",IF(O769="",SUMIFS(JPK_KR!AL:AL,JPK_KR!W:W,N769),SUMIFS(JPK_KR!BF:BF,JPK_KR!BE:BE,N769,JPK_KR!BG:BG,O769)),"")</f>
        <v/>
      </c>
      <c r="Q769" s="126" t="str">
        <f>IF(M769&lt;&gt;"",IF(O769="",SUMIFS(JPK_KR!AM:AM,JPK_KR!W:W,N769),SUMIFS(JPK_KR!BI:BI,JPK_KR!BH:BH,N769,JPK_KR!BJ:BJ,O769)),"")</f>
        <v/>
      </c>
      <c r="U769" s="24" t="str">
        <f>IF(R769&lt;&gt;"",SUMIFS(JPK_KR!AL:AL,JPK_KR!W:W,S769),"")</f>
        <v/>
      </c>
      <c r="V769" s="126" t="str">
        <f>IF(R769&lt;&gt;"",SUMIFS(JPK_KR!AM:AM,JPK_KR!W:W,S769),"")</f>
        <v/>
      </c>
    </row>
    <row r="770" spans="3:22" x14ac:dyDescent="0.3">
      <c r="C770" s="24" t="str">
        <f>IF(A770&lt;&gt;"",SUMIFS(JPK_KR!AL:AL,JPK_KR!W:W,B770),"")</f>
        <v/>
      </c>
      <c r="D770" s="126" t="str">
        <f>IF(A770&lt;&gt;"",SUMIFS(JPK_KR!AM:AM,JPK_KR!W:W,B770),"")</f>
        <v/>
      </c>
      <c r="G770" s="24" t="str">
        <f>IF(E770&lt;&gt;"",SUMIFS(JPK_KR!AL:AL,JPK_KR!W:W,F770),"")</f>
        <v/>
      </c>
      <c r="H770" s="126" t="str">
        <f>IF(E770&lt;&gt;"",SUMIFS(JPK_KR!AM:AM,JPK_KR!W:W,F770),"")</f>
        <v/>
      </c>
      <c r="K770" s="24" t="str">
        <f>IF(I770&lt;&gt;"",SUMIFS(JPK_KR!AL:AL,JPK_KR!W:W,J770),"")</f>
        <v/>
      </c>
      <c r="L770" s="126" t="str">
        <f>IF(I770&lt;&gt;"",SUMIFS(JPK_KR!AM:AM,JPK_KR!W:W,J770),"")</f>
        <v/>
      </c>
      <c r="P770" s="24" t="str">
        <f>IF(M770&lt;&gt;"",IF(O770="",SUMIFS(JPK_KR!AL:AL,JPK_KR!W:W,N770),SUMIFS(JPK_KR!BF:BF,JPK_KR!BE:BE,N770,JPK_KR!BG:BG,O770)),"")</f>
        <v/>
      </c>
      <c r="Q770" s="126" t="str">
        <f>IF(M770&lt;&gt;"",IF(O770="",SUMIFS(JPK_KR!AM:AM,JPK_KR!W:W,N770),SUMIFS(JPK_KR!BI:BI,JPK_KR!BH:BH,N770,JPK_KR!BJ:BJ,O770)),"")</f>
        <v/>
      </c>
      <c r="U770" s="24" t="str">
        <f>IF(R770&lt;&gt;"",SUMIFS(JPK_KR!AL:AL,JPK_KR!W:W,S770),"")</f>
        <v/>
      </c>
      <c r="V770" s="126" t="str">
        <f>IF(R770&lt;&gt;"",SUMIFS(JPK_KR!AM:AM,JPK_KR!W:W,S770),"")</f>
        <v/>
      </c>
    </row>
    <row r="771" spans="3:22" x14ac:dyDescent="0.3">
      <c r="C771" s="24" t="str">
        <f>IF(A771&lt;&gt;"",SUMIFS(JPK_KR!AL:AL,JPK_KR!W:W,B771),"")</f>
        <v/>
      </c>
      <c r="D771" s="126" t="str">
        <f>IF(A771&lt;&gt;"",SUMIFS(JPK_KR!AM:AM,JPK_KR!W:W,B771),"")</f>
        <v/>
      </c>
      <c r="G771" s="24" t="str">
        <f>IF(E771&lt;&gt;"",SUMIFS(JPK_KR!AL:AL,JPK_KR!W:W,F771),"")</f>
        <v/>
      </c>
      <c r="H771" s="126" t="str">
        <f>IF(E771&lt;&gt;"",SUMIFS(JPK_KR!AM:AM,JPK_KR!W:W,F771),"")</f>
        <v/>
      </c>
      <c r="K771" s="24" t="str">
        <f>IF(I771&lt;&gt;"",SUMIFS(JPK_KR!AL:AL,JPK_KR!W:W,J771),"")</f>
        <v/>
      </c>
      <c r="L771" s="126" t="str">
        <f>IF(I771&lt;&gt;"",SUMIFS(JPK_KR!AM:AM,JPK_KR!W:W,J771),"")</f>
        <v/>
      </c>
      <c r="P771" s="24" t="str">
        <f>IF(M771&lt;&gt;"",IF(O771="",SUMIFS(JPK_KR!AL:AL,JPK_KR!W:W,N771),SUMIFS(JPK_KR!BF:BF,JPK_KR!BE:BE,N771,JPK_KR!BG:BG,O771)),"")</f>
        <v/>
      </c>
      <c r="Q771" s="126" t="str">
        <f>IF(M771&lt;&gt;"",IF(O771="",SUMIFS(JPK_KR!AM:AM,JPK_KR!W:W,N771),SUMIFS(JPK_KR!BI:BI,JPK_KR!BH:BH,N771,JPK_KR!BJ:BJ,O771)),"")</f>
        <v/>
      </c>
      <c r="U771" s="24" t="str">
        <f>IF(R771&lt;&gt;"",SUMIFS(JPK_KR!AL:AL,JPK_KR!W:W,S771),"")</f>
        <v/>
      </c>
      <c r="V771" s="126" t="str">
        <f>IF(R771&lt;&gt;"",SUMIFS(JPK_KR!AM:AM,JPK_KR!W:W,S771),"")</f>
        <v/>
      </c>
    </row>
    <row r="772" spans="3:22" x14ac:dyDescent="0.3">
      <c r="C772" s="24" t="str">
        <f>IF(A772&lt;&gt;"",SUMIFS(JPK_KR!AL:AL,JPK_KR!W:W,B772),"")</f>
        <v/>
      </c>
      <c r="D772" s="126" t="str">
        <f>IF(A772&lt;&gt;"",SUMIFS(JPK_KR!AM:AM,JPK_KR!W:W,B772),"")</f>
        <v/>
      </c>
      <c r="G772" s="24" t="str">
        <f>IF(E772&lt;&gt;"",SUMIFS(JPK_KR!AL:AL,JPK_KR!W:W,F772),"")</f>
        <v/>
      </c>
      <c r="H772" s="126" t="str">
        <f>IF(E772&lt;&gt;"",SUMIFS(JPK_KR!AM:AM,JPK_KR!W:W,F772),"")</f>
        <v/>
      </c>
      <c r="K772" s="24" t="str">
        <f>IF(I772&lt;&gt;"",SUMIFS(JPK_KR!AL:AL,JPK_KR!W:W,J772),"")</f>
        <v/>
      </c>
      <c r="L772" s="126" t="str">
        <f>IF(I772&lt;&gt;"",SUMIFS(JPK_KR!AM:AM,JPK_KR!W:W,J772),"")</f>
        <v/>
      </c>
      <c r="P772" s="24" t="str">
        <f>IF(M772&lt;&gt;"",IF(O772="",SUMIFS(JPK_KR!AL:AL,JPK_KR!W:W,N772),SUMIFS(JPK_KR!BF:BF,JPK_KR!BE:BE,N772,JPK_KR!BG:BG,O772)),"")</f>
        <v/>
      </c>
      <c r="Q772" s="126" t="str">
        <f>IF(M772&lt;&gt;"",IF(O772="",SUMIFS(JPK_KR!AM:AM,JPK_KR!W:W,N772),SUMIFS(JPK_KR!BI:BI,JPK_KR!BH:BH,N772,JPK_KR!BJ:BJ,O772)),"")</f>
        <v/>
      </c>
      <c r="U772" s="24" t="str">
        <f>IF(R772&lt;&gt;"",SUMIFS(JPK_KR!AL:AL,JPK_KR!W:W,S772),"")</f>
        <v/>
      </c>
      <c r="V772" s="126" t="str">
        <f>IF(R772&lt;&gt;"",SUMIFS(JPK_KR!AM:AM,JPK_KR!W:W,S772),"")</f>
        <v/>
      </c>
    </row>
    <row r="773" spans="3:22" x14ac:dyDescent="0.3">
      <c r="C773" s="24" t="str">
        <f>IF(A773&lt;&gt;"",SUMIFS(JPK_KR!AL:AL,JPK_KR!W:W,B773),"")</f>
        <v/>
      </c>
      <c r="D773" s="126" t="str">
        <f>IF(A773&lt;&gt;"",SUMIFS(JPK_KR!AM:AM,JPK_KR!W:W,B773),"")</f>
        <v/>
      </c>
      <c r="G773" s="24" t="str">
        <f>IF(E773&lt;&gt;"",SUMIFS(JPK_KR!AL:AL,JPK_KR!W:W,F773),"")</f>
        <v/>
      </c>
      <c r="H773" s="126" t="str">
        <f>IF(E773&lt;&gt;"",SUMIFS(JPK_KR!AM:AM,JPK_KR!W:W,F773),"")</f>
        <v/>
      </c>
      <c r="K773" s="24" t="str">
        <f>IF(I773&lt;&gt;"",SUMIFS(JPK_KR!AL:AL,JPK_KR!W:W,J773),"")</f>
        <v/>
      </c>
      <c r="L773" s="126" t="str">
        <f>IF(I773&lt;&gt;"",SUMIFS(JPK_KR!AM:AM,JPK_KR!W:W,J773),"")</f>
        <v/>
      </c>
      <c r="P773" s="24" t="str">
        <f>IF(M773&lt;&gt;"",IF(O773="",SUMIFS(JPK_KR!AL:AL,JPK_KR!W:W,N773),SUMIFS(JPK_KR!BF:BF,JPK_KR!BE:BE,N773,JPK_KR!BG:BG,O773)),"")</f>
        <v/>
      </c>
      <c r="Q773" s="126" t="str">
        <f>IF(M773&lt;&gt;"",IF(O773="",SUMIFS(JPK_KR!AM:AM,JPK_KR!W:W,N773),SUMIFS(JPK_KR!BI:BI,JPK_KR!BH:BH,N773,JPK_KR!BJ:BJ,O773)),"")</f>
        <v/>
      </c>
      <c r="U773" s="24" t="str">
        <f>IF(R773&lt;&gt;"",SUMIFS(JPK_KR!AL:AL,JPK_KR!W:W,S773),"")</f>
        <v/>
      </c>
      <c r="V773" s="126" t="str">
        <f>IF(R773&lt;&gt;"",SUMIFS(JPK_KR!AM:AM,JPK_KR!W:W,S773),"")</f>
        <v/>
      </c>
    </row>
    <row r="774" spans="3:22" x14ac:dyDescent="0.3">
      <c r="C774" s="24" t="str">
        <f>IF(A774&lt;&gt;"",SUMIFS(JPK_KR!AL:AL,JPK_KR!W:W,B774),"")</f>
        <v/>
      </c>
      <c r="D774" s="126" t="str">
        <f>IF(A774&lt;&gt;"",SUMIFS(JPK_KR!AM:AM,JPK_KR!W:W,B774),"")</f>
        <v/>
      </c>
      <c r="G774" s="24" t="str">
        <f>IF(E774&lt;&gt;"",SUMIFS(JPK_KR!AL:AL,JPK_KR!W:W,F774),"")</f>
        <v/>
      </c>
      <c r="H774" s="126" t="str">
        <f>IF(E774&lt;&gt;"",SUMIFS(JPK_KR!AM:AM,JPK_KR!W:W,F774),"")</f>
        <v/>
      </c>
      <c r="K774" s="24" t="str">
        <f>IF(I774&lt;&gt;"",SUMIFS(JPK_KR!AL:AL,JPK_KR!W:W,J774),"")</f>
        <v/>
      </c>
      <c r="L774" s="126" t="str">
        <f>IF(I774&lt;&gt;"",SUMIFS(JPK_KR!AM:AM,JPK_KR!W:W,J774),"")</f>
        <v/>
      </c>
      <c r="P774" s="24" t="str">
        <f>IF(M774&lt;&gt;"",IF(O774="",SUMIFS(JPK_KR!AL:AL,JPK_KR!W:W,N774),SUMIFS(JPK_KR!BF:BF,JPK_KR!BE:BE,N774,JPK_KR!BG:BG,O774)),"")</f>
        <v/>
      </c>
      <c r="Q774" s="126" t="str">
        <f>IF(M774&lt;&gt;"",IF(O774="",SUMIFS(JPK_KR!AM:AM,JPK_KR!W:W,N774),SUMIFS(JPK_KR!BI:BI,JPK_KR!BH:BH,N774,JPK_KR!BJ:BJ,O774)),"")</f>
        <v/>
      </c>
      <c r="U774" s="24" t="str">
        <f>IF(R774&lt;&gt;"",SUMIFS(JPK_KR!AL:AL,JPK_KR!W:W,S774),"")</f>
        <v/>
      </c>
      <c r="V774" s="126" t="str">
        <f>IF(R774&lt;&gt;"",SUMIFS(JPK_KR!AM:AM,JPK_KR!W:W,S774),"")</f>
        <v/>
      </c>
    </row>
    <row r="775" spans="3:22" x14ac:dyDescent="0.3">
      <c r="C775" s="24" t="str">
        <f>IF(A775&lt;&gt;"",SUMIFS(JPK_KR!AL:AL,JPK_KR!W:W,B775),"")</f>
        <v/>
      </c>
      <c r="D775" s="126" t="str">
        <f>IF(A775&lt;&gt;"",SUMIFS(JPK_KR!AM:AM,JPK_KR!W:W,B775),"")</f>
        <v/>
      </c>
      <c r="G775" s="24" t="str">
        <f>IF(E775&lt;&gt;"",SUMIFS(JPK_KR!AL:AL,JPK_KR!W:W,F775),"")</f>
        <v/>
      </c>
      <c r="H775" s="126" t="str">
        <f>IF(E775&lt;&gt;"",SUMIFS(JPK_KR!AM:AM,JPK_KR!W:W,F775),"")</f>
        <v/>
      </c>
      <c r="K775" s="24" t="str">
        <f>IF(I775&lt;&gt;"",SUMIFS(JPK_KR!AL:AL,JPK_KR!W:W,J775),"")</f>
        <v/>
      </c>
      <c r="L775" s="126" t="str">
        <f>IF(I775&lt;&gt;"",SUMIFS(JPK_KR!AM:AM,JPK_KR!W:W,J775),"")</f>
        <v/>
      </c>
      <c r="P775" s="24" t="str">
        <f>IF(M775&lt;&gt;"",IF(O775="",SUMIFS(JPK_KR!AL:AL,JPK_KR!W:W,N775),SUMIFS(JPK_KR!BF:BF,JPK_KR!BE:BE,N775,JPK_KR!BG:BG,O775)),"")</f>
        <v/>
      </c>
      <c r="Q775" s="126" t="str">
        <f>IF(M775&lt;&gt;"",IF(O775="",SUMIFS(JPK_KR!AM:AM,JPK_KR!W:W,N775),SUMIFS(JPK_KR!BI:BI,JPK_KR!BH:BH,N775,JPK_KR!BJ:BJ,O775)),"")</f>
        <v/>
      </c>
      <c r="U775" s="24" t="str">
        <f>IF(R775&lt;&gt;"",SUMIFS(JPK_KR!AL:AL,JPK_KR!W:W,S775),"")</f>
        <v/>
      </c>
      <c r="V775" s="126" t="str">
        <f>IF(R775&lt;&gt;"",SUMIFS(JPK_KR!AM:AM,JPK_KR!W:W,S775),"")</f>
        <v/>
      </c>
    </row>
    <row r="776" spans="3:22" x14ac:dyDescent="0.3">
      <c r="C776" s="24" t="str">
        <f>IF(A776&lt;&gt;"",SUMIFS(JPK_KR!AL:AL,JPK_KR!W:W,B776),"")</f>
        <v/>
      </c>
      <c r="D776" s="126" t="str">
        <f>IF(A776&lt;&gt;"",SUMIFS(JPK_KR!AM:AM,JPK_KR!W:W,B776),"")</f>
        <v/>
      </c>
      <c r="G776" s="24" t="str">
        <f>IF(E776&lt;&gt;"",SUMIFS(JPK_KR!AL:AL,JPK_KR!W:W,F776),"")</f>
        <v/>
      </c>
      <c r="H776" s="126" t="str">
        <f>IF(E776&lt;&gt;"",SUMIFS(JPK_KR!AM:AM,JPK_KR!W:W,F776),"")</f>
        <v/>
      </c>
      <c r="K776" s="24" t="str">
        <f>IF(I776&lt;&gt;"",SUMIFS(JPK_KR!AL:AL,JPK_KR!W:W,J776),"")</f>
        <v/>
      </c>
      <c r="L776" s="126" t="str">
        <f>IF(I776&lt;&gt;"",SUMIFS(JPK_KR!AM:AM,JPK_KR!W:W,J776),"")</f>
        <v/>
      </c>
      <c r="P776" s="24" t="str">
        <f>IF(M776&lt;&gt;"",IF(O776="",SUMIFS(JPK_KR!AL:AL,JPK_KR!W:W,N776),SUMIFS(JPK_KR!BF:BF,JPK_KR!BE:BE,N776,JPK_KR!BG:BG,O776)),"")</f>
        <v/>
      </c>
      <c r="Q776" s="126" t="str">
        <f>IF(M776&lt;&gt;"",IF(O776="",SUMIFS(JPK_KR!AM:AM,JPK_KR!W:W,N776),SUMIFS(JPK_KR!BI:BI,JPK_KR!BH:BH,N776,JPK_KR!BJ:BJ,O776)),"")</f>
        <v/>
      </c>
      <c r="U776" s="24" t="str">
        <f>IF(R776&lt;&gt;"",SUMIFS(JPK_KR!AL:AL,JPK_KR!W:W,S776),"")</f>
        <v/>
      </c>
      <c r="V776" s="126" t="str">
        <f>IF(R776&lt;&gt;"",SUMIFS(JPK_KR!AM:AM,JPK_KR!W:W,S776),"")</f>
        <v/>
      </c>
    </row>
    <row r="777" spans="3:22" x14ac:dyDescent="0.3">
      <c r="C777" s="24" t="str">
        <f>IF(A777&lt;&gt;"",SUMIFS(JPK_KR!AL:AL,JPK_KR!W:W,B777),"")</f>
        <v/>
      </c>
      <c r="D777" s="126" t="str">
        <f>IF(A777&lt;&gt;"",SUMIFS(JPK_KR!AM:AM,JPK_KR!W:W,B777),"")</f>
        <v/>
      </c>
      <c r="G777" s="24" t="str">
        <f>IF(E777&lt;&gt;"",SUMIFS(JPK_KR!AL:AL,JPK_KR!W:W,F777),"")</f>
        <v/>
      </c>
      <c r="H777" s="126" t="str">
        <f>IF(E777&lt;&gt;"",SUMIFS(JPK_KR!AM:AM,JPK_KR!W:W,F777),"")</f>
        <v/>
      </c>
      <c r="K777" s="24" t="str">
        <f>IF(I777&lt;&gt;"",SUMIFS(JPK_KR!AL:AL,JPK_KR!W:W,J777),"")</f>
        <v/>
      </c>
      <c r="L777" s="126" t="str">
        <f>IF(I777&lt;&gt;"",SUMIFS(JPK_KR!AM:AM,JPK_KR!W:W,J777),"")</f>
        <v/>
      </c>
      <c r="P777" s="24" t="str">
        <f>IF(M777&lt;&gt;"",IF(O777="",SUMIFS(JPK_KR!AL:AL,JPK_KR!W:W,N777),SUMIFS(JPK_KR!BF:BF,JPK_KR!BE:BE,N777,JPK_KR!BG:BG,O777)),"")</f>
        <v/>
      </c>
      <c r="Q777" s="126" t="str">
        <f>IF(M777&lt;&gt;"",IF(O777="",SUMIFS(JPK_KR!AM:AM,JPK_KR!W:W,N777),SUMIFS(JPK_KR!BI:BI,JPK_KR!BH:BH,N777,JPK_KR!BJ:BJ,O777)),"")</f>
        <v/>
      </c>
      <c r="U777" s="24" t="str">
        <f>IF(R777&lt;&gt;"",SUMIFS(JPK_KR!AL:AL,JPK_KR!W:W,S777),"")</f>
        <v/>
      </c>
      <c r="V777" s="126" t="str">
        <f>IF(R777&lt;&gt;"",SUMIFS(JPK_KR!AM:AM,JPK_KR!W:W,S777),"")</f>
        <v/>
      </c>
    </row>
    <row r="778" spans="3:22" x14ac:dyDescent="0.3">
      <c r="C778" s="24" t="str">
        <f>IF(A778&lt;&gt;"",SUMIFS(JPK_KR!AL:AL,JPK_KR!W:W,B778),"")</f>
        <v/>
      </c>
      <c r="D778" s="126" t="str">
        <f>IF(A778&lt;&gt;"",SUMIFS(JPK_KR!AM:AM,JPK_KR!W:W,B778),"")</f>
        <v/>
      </c>
      <c r="G778" s="24" t="str">
        <f>IF(E778&lt;&gt;"",SUMIFS(JPK_KR!AL:AL,JPK_KR!W:W,F778),"")</f>
        <v/>
      </c>
      <c r="H778" s="126" t="str">
        <f>IF(E778&lt;&gt;"",SUMIFS(JPK_KR!AM:AM,JPK_KR!W:W,F778),"")</f>
        <v/>
      </c>
      <c r="K778" s="24" t="str">
        <f>IF(I778&lt;&gt;"",SUMIFS(JPK_KR!AL:AL,JPK_KR!W:W,J778),"")</f>
        <v/>
      </c>
      <c r="L778" s="126" t="str">
        <f>IF(I778&lt;&gt;"",SUMIFS(JPK_KR!AM:AM,JPK_KR!W:W,J778),"")</f>
        <v/>
      </c>
      <c r="P778" s="24" t="str">
        <f>IF(M778&lt;&gt;"",IF(O778="",SUMIFS(JPK_KR!AL:AL,JPK_KR!W:W,N778),SUMIFS(JPK_KR!BF:BF,JPK_KR!BE:BE,N778,JPK_KR!BG:BG,O778)),"")</f>
        <v/>
      </c>
      <c r="Q778" s="126" t="str">
        <f>IF(M778&lt;&gt;"",IF(O778="",SUMIFS(JPK_KR!AM:AM,JPK_KR!W:W,N778),SUMIFS(JPK_KR!BI:BI,JPK_KR!BH:BH,N778,JPK_KR!BJ:BJ,O778)),"")</f>
        <v/>
      </c>
      <c r="U778" s="24" t="str">
        <f>IF(R778&lt;&gt;"",SUMIFS(JPK_KR!AL:AL,JPK_KR!W:W,S778),"")</f>
        <v/>
      </c>
      <c r="V778" s="126" t="str">
        <f>IF(R778&lt;&gt;"",SUMIFS(JPK_KR!AM:AM,JPK_KR!W:W,S778),"")</f>
        <v/>
      </c>
    </row>
    <row r="779" spans="3:22" x14ac:dyDescent="0.3">
      <c r="C779" s="24" t="str">
        <f>IF(A779&lt;&gt;"",SUMIFS(JPK_KR!AL:AL,JPK_KR!W:W,B779),"")</f>
        <v/>
      </c>
      <c r="D779" s="126" t="str">
        <f>IF(A779&lt;&gt;"",SUMIFS(JPK_KR!AM:AM,JPK_KR!W:W,B779),"")</f>
        <v/>
      </c>
      <c r="G779" s="24" t="str">
        <f>IF(E779&lt;&gt;"",SUMIFS(JPK_KR!AL:AL,JPK_KR!W:W,F779),"")</f>
        <v/>
      </c>
      <c r="H779" s="126" t="str">
        <f>IF(E779&lt;&gt;"",SUMIFS(JPK_KR!AM:AM,JPK_KR!W:W,F779),"")</f>
        <v/>
      </c>
      <c r="K779" s="24" t="str">
        <f>IF(I779&lt;&gt;"",SUMIFS(JPK_KR!AL:AL,JPK_KR!W:W,J779),"")</f>
        <v/>
      </c>
      <c r="L779" s="126" t="str">
        <f>IF(I779&lt;&gt;"",SUMIFS(JPK_KR!AM:AM,JPK_KR!W:W,J779),"")</f>
        <v/>
      </c>
      <c r="P779" s="24" t="str">
        <f>IF(M779&lt;&gt;"",IF(O779="",SUMIFS(JPK_KR!AL:AL,JPK_KR!W:W,N779),SUMIFS(JPK_KR!BF:BF,JPK_KR!BE:BE,N779,JPK_KR!BG:BG,O779)),"")</f>
        <v/>
      </c>
      <c r="Q779" s="126" t="str">
        <f>IF(M779&lt;&gt;"",IF(O779="",SUMIFS(JPK_KR!AM:AM,JPK_KR!W:W,N779),SUMIFS(JPK_KR!BI:BI,JPK_KR!BH:BH,N779,JPK_KR!BJ:BJ,O779)),"")</f>
        <v/>
      </c>
      <c r="U779" s="24" t="str">
        <f>IF(R779&lt;&gt;"",SUMIFS(JPK_KR!AL:AL,JPK_KR!W:W,S779),"")</f>
        <v/>
      </c>
      <c r="V779" s="126" t="str">
        <f>IF(R779&lt;&gt;"",SUMIFS(JPK_KR!AM:AM,JPK_KR!W:W,S779),"")</f>
        <v/>
      </c>
    </row>
    <row r="780" spans="3:22" x14ac:dyDescent="0.3">
      <c r="C780" s="24" t="str">
        <f>IF(A780&lt;&gt;"",SUMIFS(JPK_KR!AL:AL,JPK_KR!W:W,B780),"")</f>
        <v/>
      </c>
      <c r="D780" s="126" t="str">
        <f>IF(A780&lt;&gt;"",SUMIFS(JPK_KR!AM:AM,JPK_KR!W:W,B780),"")</f>
        <v/>
      </c>
      <c r="G780" s="24" t="str">
        <f>IF(E780&lt;&gt;"",SUMIFS(JPK_KR!AL:AL,JPK_KR!W:W,F780),"")</f>
        <v/>
      </c>
      <c r="H780" s="126" t="str">
        <f>IF(E780&lt;&gt;"",SUMIFS(JPK_KR!AM:AM,JPK_KR!W:W,F780),"")</f>
        <v/>
      </c>
      <c r="K780" s="24" t="str">
        <f>IF(I780&lt;&gt;"",SUMIFS(JPK_KR!AL:AL,JPK_KR!W:W,J780),"")</f>
        <v/>
      </c>
      <c r="L780" s="126" t="str">
        <f>IF(I780&lt;&gt;"",SUMIFS(JPK_KR!AM:AM,JPK_KR!W:W,J780),"")</f>
        <v/>
      </c>
      <c r="P780" s="24" t="str">
        <f>IF(M780&lt;&gt;"",IF(O780="",SUMIFS(JPK_KR!AL:AL,JPK_KR!W:W,N780),SUMIFS(JPK_KR!BF:BF,JPK_KR!BE:BE,N780,JPK_KR!BG:BG,O780)),"")</f>
        <v/>
      </c>
      <c r="Q780" s="126" t="str">
        <f>IF(M780&lt;&gt;"",IF(O780="",SUMIFS(JPK_KR!AM:AM,JPK_KR!W:W,N780),SUMIFS(JPK_KR!BI:BI,JPK_KR!BH:BH,N780,JPK_KR!BJ:BJ,O780)),"")</f>
        <v/>
      </c>
      <c r="U780" s="24" t="str">
        <f>IF(R780&lt;&gt;"",SUMIFS(JPK_KR!AL:AL,JPK_KR!W:W,S780),"")</f>
        <v/>
      </c>
      <c r="V780" s="126" t="str">
        <f>IF(R780&lt;&gt;"",SUMIFS(JPK_KR!AM:AM,JPK_KR!W:W,S780),"")</f>
        <v/>
      </c>
    </row>
    <row r="781" spans="3:22" x14ac:dyDescent="0.3">
      <c r="C781" s="24" t="str">
        <f>IF(A781&lt;&gt;"",SUMIFS(JPK_KR!AL:AL,JPK_KR!W:W,B781),"")</f>
        <v/>
      </c>
      <c r="D781" s="126" t="str">
        <f>IF(A781&lt;&gt;"",SUMIFS(JPK_KR!AM:AM,JPK_KR!W:W,B781),"")</f>
        <v/>
      </c>
      <c r="G781" s="24" t="str">
        <f>IF(E781&lt;&gt;"",SUMIFS(JPK_KR!AL:AL,JPK_KR!W:W,F781),"")</f>
        <v/>
      </c>
      <c r="H781" s="126" t="str">
        <f>IF(E781&lt;&gt;"",SUMIFS(JPK_KR!AM:AM,JPK_KR!W:W,F781),"")</f>
        <v/>
      </c>
      <c r="K781" s="24" t="str">
        <f>IF(I781&lt;&gt;"",SUMIFS(JPK_KR!AL:AL,JPK_KR!W:W,J781),"")</f>
        <v/>
      </c>
      <c r="L781" s="126" t="str">
        <f>IF(I781&lt;&gt;"",SUMIFS(JPK_KR!AM:AM,JPK_KR!W:W,J781),"")</f>
        <v/>
      </c>
      <c r="P781" s="24" t="str">
        <f>IF(M781&lt;&gt;"",IF(O781="",SUMIFS(JPK_KR!AL:AL,JPK_KR!W:W,N781),SUMIFS(JPK_KR!BF:BF,JPK_KR!BE:BE,N781,JPK_KR!BG:BG,O781)),"")</f>
        <v/>
      </c>
      <c r="Q781" s="126" t="str">
        <f>IF(M781&lt;&gt;"",IF(O781="",SUMIFS(JPK_KR!AM:AM,JPK_KR!W:W,N781),SUMIFS(JPK_KR!BI:BI,JPK_KR!BH:BH,N781,JPK_KR!BJ:BJ,O781)),"")</f>
        <v/>
      </c>
      <c r="U781" s="24" t="str">
        <f>IF(R781&lt;&gt;"",SUMIFS(JPK_KR!AL:AL,JPK_KR!W:W,S781),"")</f>
        <v/>
      </c>
      <c r="V781" s="126" t="str">
        <f>IF(R781&lt;&gt;"",SUMIFS(JPK_KR!AM:AM,JPK_KR!W:W,S781),"")</f>
        <v/>
      </c>
    </row>
    <row r="782" spans="3:22" x14ac:dyDescent="0.3">
      <c r="C782" s="24" t="str">
        <f>IF(A782&lt;&gt;"",SUMIFS(JPK_KR!AL:AL,JPK_KR!W:W,B782),"")</f>
        <v/>
      </c>
      <c r="D782" s="126" t="str">
        <f>IF(A782&lt;&gt;"",SUMIFS(JPK_KR!AM:AM,JPK_KR!W:W,B782),"")</f>
        <v/>
      </c>
      <c r="G782" s="24" t="str">
        <f>IF(E782&lt;&gt;"",SUMIFS(JPK_KR!AL:AL,JPK_KR!W:W,F782),"")</f>
        <v/>
      </c>
      <c r="H782" s="126" t="str">
        <f>IF(E782&lt;&gt;"",SUMIFS(JPK_KR!AM:AM,JPK_KR!W:W,F782),"")</f>
        <v/>
      </c>
      <c r="K782" s="24" t="str">
        <f>IF(I782&lt;&gt;"",SUMIFS(JPK_KR!AL:AL,JPK_KR!W:W,J782),"")</f>
        <v/>
      </c>
      <c r="L782" s="126" t="str">
        <f>IF(I782&lt;&gt;"",SUMIFS(JPK_KR!AM:AM,JPK_KR!W:W,J782),"")</f>
        <v/>
      </c>
      <c r="P782" s="24" t="str">
        <f>IF(M782&lt;&gt;"",IF(O782="",SUMIFS(JPK_KR!AL:AL,JPK_KR!W:W,N782),SUMIFS(JPK_KR!BF:BF,JPK_KR!BE:BE,N782,JPK_KR!BG:BG,O782)),"")</f>
        <v/>
      </c>
      <c r="Q782" s="126" t="str">
        <f>IF(M782&lt;&gt;"",IF(O782="",SUMIFS(JPK_KR!AM:AM,JPK_KR!W:W,N782),SUMIFS(JPK_KR!BI:BI,JPK_KR!BH:BH,N782,JPK_KR!BJ:BJ,O782)),"")</f>
        <v/>
      </c>
      <c r="U782" s="24" t="str">
        <f>IF(R782&lt;&gt;"",SUMIFS(JPK_KR!AL:AL,JPK_KR!W:W,S782),"")</f>
        <v/>
      </c>
      <c r="V782" s="126" t="str">
        <f>IF(R782&lt;&gt;"",SUMIFS(JPK_KR!AM:AM,JPK_KR!W:W,S782),"")</f>
        <v/>
      </c>
    </row>
    <row r="783" spans="3:22" x14ac:dyDescent="0.3">
      <c r="C783" s="24" t="str">
        <f>IF(A783&lt;&gt;"",SUMIFS(JPK_KR!AL:AL,JPK_KR!W:W,B783),"")</f>
        <v/>
      </c>
      <c r="D783" s="126" t="str">
        <f>IF(A783&lt;&gt;"",SUMIFS(JPK_KR!AM:AM,JPK_KR!W:W,B783),"")</f>
        <v/>
      </c>
      <c r="G783" s="24" t="str">
        <f>IF(E783&lt;&gt;"",SUMIFS(JPK_KR!AL:AL,JPK_KR!W:W,F783),"")</f>
        <v/>
      </c>
      <c r="H783" s="126" t="str">
        <f>IF(E783&lt;&gt;"",SUMIFS(JPK_KR!AM:AM,JPK_KR!W:W,F783),"")</f>
        <v/>
      </c>
      <c r="K783" s="24" t="str">
        <f>IF(I783&lt;&gt;"",SUMIFS(JPK_KR!AL:AL,JPK_KR!W:W,J783),"")</f>
        <v/>
      </c>
      <c r="L783" s="126" t="str">
        <f>IF(I783&lt;&gt;"",SUMIFS(JPK_KR!AM:AM,JPK_KR!W:W,J783),"")</f>
        <v/>
      </c>
      <c r="P783" s="24" t="str">
        <f>IF(M783&lt;&gt;"",IF(O783="",SUMIFS(JPK_KR!AL:AL,JPK_KR!W:W,N783),SUMIFS(JPK_KR!BF:BF,JPK_KR!BE:BE,N783,JPK_KR!BG:BG,O783)),"")</f>
        <v/>
      </c>
      <c r="Q783" s="126" t="str">
        <f>IF(M783&lt;&gt;"",IF(O783="",SUMIFS(JPK_KR!AM:AM,JPK_KR!W:W,N783),SUMIFS(JPK_KR!BI:BI,JPK_KR!BH:BH,N783,JPK_KR!BJ:BJ,O783)),"")</f>
        <v/>
      </c>
      <c r="U783" s="24" t="str">
        <f>IF(R783&lt;&gt;"",SUMIFS(JPK_KR!AL:AL,JPK_KR!W:W,S783),"")</f>
        <v/>
      </c>
      <c r="V783" s="126" t="str">
        <f>IF(R783&lt;&gt;"",SUMIFS(JPK_KR!AM:AM,JPK_KR!W:W,S783),"")</f>
        <v/>
      </c>
    </row>
    <row r="784" spans="3:22" x14ac:dyDescent="0.3">
      <c r="C784" s="24" t="str">
        <f>IF(A784&lt;&gt;"",SUMIFS(JPK_KR!AL:AL,JPK_KR!W:W,B784),"")</f>
        <v/>
      </c>
      <c r="D784" s="126" t="str">
        <f>IF(A784&lt;&gt;"",SUMIFS(JPK_KR!AM:AM,JPK_KR!W:W,B784),"")</f>
        <v/>
      </c>
      <c r="G784" s="24" t="str">
        <f>IF(E784&lt;&gt;"",SUMIFS(JPK_KR!AL:AL,JPK_KR!W:W,F784),"")</f>
        <v/>
      </c>
      <c r="H784" s="126" t="str">
        <f>IF(E784&lt;&gt;"",SUMIFS(JPK_KR!AM:AM,JPK_KR!W:W,F784),"")</f>
        <v/>
      </c>
      <c r="K784" s="24" t="str">
        <f>IF(I784&lt;&gt;"",SUMIFS(JPK_KR!AL:AL,JPK_KR!W:W,J784),"")</f>
        <v/>
      </c>
      <c r="L784" s="126" t="str">
        <f>IF(I784&lt;&gt;"",SUMIFS(JPK_KR!AM:AM,JPK_KR!W:W,J784),"")</f>
        <v/>
      </c>
      <c r="P784" s="24" t="str">
        <f>IF(M784&lt;&gt;"",IF(O784="",SUMIFS(JPK_KR!AL:AL,JPK_KR!W:W,N784),SUMIFS(JPK_KR!BF:BF,JPK_KR!BE:BE,N784,JPK_KR!BG:BG,O784)),"")</f>
        <v/>
      </c>
      <c r="Q784" s="126" t="str">
        <f>IF(M784&lt;&gt;"",IF(O784="",SUMIFS(JPK_KR!AM:AM,JPK_KR!W:W,N784),SUMIFS(JPK_KR!BI:BI,JPK_KR!BH:BH,N784,JPK_KR!BJ:BJ,O784)),"")</f>
        <v/>
      </c>
      <c r="U784" s="24" t="str">
        <f>IF(R784&lt;&gt;"",SUMIFS(JPK_KR!AL:AL,JPK_KR!W:W,S784),"")</f>
        <v/>
      </c>
      <c r="V784" s="126" t="str">
        <f>IF(R784&lt;&gt;"",SUMIFS(JPK_KR!AM:AM,JPK_KR!W:W,S784),"")</f>
        <v/>
      </c>
    </row>
    <row r="785" spans="3:22" x14ac:dyDescent="0.3">
      <c r="C785" s="24" t="str">
        <f>IF(A785&lt;&gt;"",SUMIFS(JPK_KR!AL:AL,JPK_KR!W:W,B785),"")</f>
        <v/>
      </c>
      <c r="D785" s="126" t="str">
        <f>IF(A785&lt;&gt;"",SUMIFS(JPK_KR!AM:AM,JPK_KR!W:W,B785),"")</f>
        <v/>
      </c>
      <c r="G785" s="24" t="str">
        <f>IF(E785&lt;&gt;"",SUMIFS(JPK_KR!AL:AL,JPK_KR!W:W,F785),"")</f>
        <v/>
      </c>
      <c r="H785" s="126" t="str">
        <f>IF(E785&lt;&gt;"",SUMIFS(JPK_KR!AM:AM,JPK_KR!W:W,F785),"")</f>
        <v/>
      </c>
      <c r="K785" s="24" t="str">
        <f>IF(I785&lt;&gt;"",SUMIFS(JPK_KR!AL:AL,JPK_KR!W:W,J785),"")</f>
        <v/>
      </c>
      <c r="L785" s="126" t="str">
        <f>IF(I785&lt;&gt;"",SUMIFS(JPK_KR!AM:AM,JPK_KR!W:W,J785),"")</f>
        <v/>
      </c>
      <c r="P785" s="24" t="str">
        <f>IF(M785&lt;&gt;"",IF(O785="",SUMIFS(JPK_KR!AL:AL,JPK_KR!W:W,N785),SUMIFS(JPK_KR!BF:BF,JPK_KR!BE:BE,N785,JPK_KR!BG:BG,O785)),"")</f>
        <v/>
      </c>
      <c r="Q785" s="126" t="str">
        <f>IF(M785&lt;&gt;"",IF(O785="",SUMIFS(JPK_KR!AM:AM,JPK_KR!W:W,N785),SUMIFS(JPK_KR!BI:BI,JPK_KR!BH:BH,N785,JPK_KR!BJ:BJ,O785)),"")</f>
        <v/>
      </c>
      <c r="U785" s="24" t="str">
        <f>IF(R785&lt;&gt;"",SUMIFS(JPK_KR!AL:AL,JPK_KR!W:W,S785),"")</f>
        <v/>
      </c>
      <c r="V785" s="126" t="str">
        <f>IF(R785&lt;&gt;"",SUMIFS(JPK_KR!AM:AM,JPK_KR!W:W,S785),"")</f>
        <v/>
      </c>
    </row>
    <row r="786" spans="3:22" x14ac:dyDescent="0.3">
      <c r="C786" s="24" t="str">
        <f>IF(A786&lt;&gt;"",SUMIFS(JPK_KR!AL:AL,JPK_KR!W:W,B786),"")</f>
        <v/>
      </c>
      <c r="D786" s="126" t="str">
        <f>IF(A786&lt;&gt;"",SUMIFS(JPK_KR!AM:AM,JPK_KR!W:W,B786),"")</f>
        <v/>
      </c>
      <c r="G786" s="24" t="str">
        <f>IF(E786&lt;&gt;"",SUMIFS(JPK_KR!AL:AL,JPK_KR!W:W,F786),"")</f>
        <v/>
      </c>
      <c r="H786" s="126" t="str">
        <f>IF(E786&lt;&gt;"",SUMIFS(JPK_KR!AM:AM,JPK_KR!W:W,F786),"")</f>
        <v/>
      </c>
      <c r="K786" s="24" t="str">
        <f>IF(I786&lt;&gt;"",SUMIFS(JPK_KR!AL:AL,JPK_KR!W:W,J786),"")</f>
        <v/>
      </c>
      <c r="L786" s="126" t="str">
        <f>IF(I786&lt;&gt;"",SUMIFS(JPK_KR!AM:AM,JPK_KR!W:W,J786),"")</f>
        <v/>
      </c>
      <c r="P786" s="24" t="str">
        <f>IF(M786&lt;&gt;"",IF(O786="",SUMIFS(JPK_KR!AL:AL,JPK_KR!W:W,N786),SUMIFS(JPK_KR!BF:BF,JPK_KR!BE:BE,N786,JPK_KR!BG:BG,O786)),"")</f>
        <v/>
      </c>
      <c r="Q786" s="126" t="str">
        <f>IF(M786&lt;&gt;"",IF(O786="",SUMIFS(JPK_KR!AM:AM,JPK_KR!W:W,N786),SUMIFS(JPK_KR!BI:BI,JPK_KR!BH:BH,N786,JPK_KR!BJ:BJ,O786)),"")</f>
        <v/>
      </c>
      <c r="U786" s="24" t="str">
        <f>IF(R786&lt;&gt;"",SUMIFS(JPK_KR!AL:AL,JPK_KR!W:W,S786),"")</f>
        <v/>
      </c>
      <c r="V786" s="126" t="str">
        <f>IF(R786&lt;&gt;"",SUMIFS(JPK_KR!AM:AM,JPK_KR!W:W,S786),"")</f>
        <v/>
      </c>
    </row>
    <row r="787" spans="3:22" x14ac:dyDescent="0.3">
      <c r="C787" s="24" t="str">
        <f>IF(A787&lt;&gt;"",SUMIFS(JPK_KR!AL:AL,JPK_KR!W:W,B787),"")</f>
        <v/>
      </c>
      <c r="D787" s="126" t="str">
        <f>IF(A787&lt;&gt;"",SUMIFS(JPK_KR!AM:AM,JPK_KR!W:W,B787),"")</f>
        <v/>
      </c>
      <c r="G787" s="24" t="str">
        <f>IF(E787&lt;&gt;"",SUMIFS(JPK_KR!AL:AL,JPK_KR!W:W,F787),"")</f>
        <v/>
      </c>
      <c r="H787" s="126" t="str">
        <f>IF(E787&lt;&gt;"",SUMIFS(JPK_KR!AM:AM,JPK_KR!W:W,F787),"")</f>
        <v/>
      </c>
      <c r="K787" s="24" t="str">
        <f>IF(I787&lt;&gt;"",SUMIFS(JPK_KR!AL:AL,JPK_KR!W:W,J787),"")</f>
        <v/>
      </c>
      <c r="L787" s="126" t="str">
        <f>IF(I787&lt;&gt;"",SUMIFS(JPK_KR!AM:AM,JPK_KR!W:W,J787),"")</f>
        <v/>
      </c>
      <c r="P787" s="24" t="str">
        <f>IF(M787&lt;&gt;"",IF(O787="",SUMIFS(JPK_KR!AL:AL,JPK_KR!W:W,N787),SUMIFS(JPK_KR!BF:BF,JPK_KR!BE:BE,N787,JPK_KR!BG:BG,O787)),"")</f>
        <v/>
      </c>
      <c r="Q787" s="126" t="str">
        <f>IF(M787&lt;&gt;"",IF(O787="",SUMIFS(JPK_KR!AM:AM,JPK_KR!W:W,N787),SUMIFS(JPK_KR!BI:BI,JPK_KR!BH:BH,N787,JPK_KR!BJ:BJ,O787)),"")</f>
        <v/>
      </c>
      <c r="U787" s="24" t="str">
        <f>IF(R787&lt;&gt;"",SUMIFS(JPK_KR!AL:AL,JPK_KR!W:W,S787),"")</f>
        <v/>
      </c>
      <c r="V787" s="126" t="str">
        <f>IF(R787&lt;&gt;"",SUMIFS(JPK_KR!AM:AM,JPK_KR!W:W,S787),"")</f>
        <v/>
      </c>
    </row>
    <row r="788" spans="3:22" x14ac:dyDescent="0.3">
      <c r="C788" s="24" t="str">
        <f>IF(A788&lt;&gt;"",SUMIFS(JPK_KR!AL:AL,JPK_KR!W:W,B788),"")</f>
        <v/>
      </c>
      <c r="D788" s="126" t="str">
        <f>IF(A788&lt;&gt;"",SUMIFS(JPK_KR!AM:AM,JPK_KR!W:W,B788),"")</f>
        <v/>
      </c>
      <c r="G788" s="24" t="str">
        <f>IF(E788&lt;&gt;"",SUMIFS(JPK_KR!AL:AL,JPK_KR!W:W,F788),"")</f>
        <v/>
      </c>
      <c r="H788" s="126" t="str">
        <f>IF(E788&lt;&gt;"",SUMIFS(JPK_KR!AM:AM,JPK_KR!W:W,F788),"")</f>
        <v/>
      </c>
      <c r="K788" s="24" t="str">
        <f>IF(I788&lt;&gt;"",SUMIFS(JPK_KR!AL:AL,JPK_KR!W:W,J788),"")</f>
        <v/>
      </c>
      <c r="L788" s="126" t="str">
        <f>IF(I788&lt;&gt;"",SUMIFS(JPK_KR!AM:AM,JPK_KR!W:W,J788),"")</f>
        <v/>
      </c>
      <c r="P788" s="24" t="str">
        <f>IF(M788&lt;&gt;"",IF(O788="",SUMIFS(JPK_KR!AL:AL,JPK_KR!W:W,N788),SUMIFS(JPK_KR!BF:BF,JPK_KR!BE:BE,N788,JPK_KR!BG:BG,O788)),"")</f>
        <v/>
      </c>
      <c r="Q788" s="126" t="str">
        <f>IF(M788&lt;&gt;"",IF(O788="",SUMIFS(JPK_KR!AM:AM,JPK_KR!W:W,N788),SUMIFS(JPK_KR!BI:BI,JPK_KR!BH:BH,N788,JPK_KR!BJ:BJ,O788)),"")</f>
        <v/>
      </c>
      <c r="U788" s="24" t="str">
        <f>IF(R788&lt;&gt;"",SUMIFS(JPK_KR!AL:AL,JPK_KR!W:W,S788),"")</f>
        <v/>
      </c>
      <c r="V788" s="126" t="str">
        <f>IF(R788&lt;&gt;"",SUMIFS(JPK_KR!AM:AM,JPK_KR!W:W,S788),"")</f>
        <v/>
      </c>
    </row>
    <row r="789" spans="3:22" x14ac:dyDescent="0.3">
      <c r="C789" s="24" t="str">
        <f>IF(A789&lt;&gt;"",SUMIFS(JPK_KR!AL:AL,JPK_KR!W:W,B789),"")</f>
        <v/>
      </c>
      <c r="D789" s="126" t="str">
        <f>IF(A789&lt;&gt;"",SUMIFS(JPK_KR!AM:AM,JPK_KR!W:W,B789),"")</f>
        <v/>
      </c>
      <c r="G789" s="24" t="str">
        <f>IF(E789&lt;&gt;"",SUMIFS(JPK_KR!AL:AL,JPK_KR!W:W,F789),"")</f>
        <v/>
      </c>
      <c r="H789" s="126" t="str">
        <f>IF(E789&lt;&gt;"",SUMIFS(JPK_KR!AM:AM,JPK_KR!W:W,F789),"")</f>
        <v/>
      </c>
      <c r="K789" s="24" t="str">
        <f>IF(I789&lt;&gt;"",SUMIFS(JPK_KR!AL:AL,JPK_KR!W:W,J789),"")</f>
        <v/>
      </c>
      <c r="L789" s="126" t="str">
        <f>IF(I789&lt;&gt;"",SUMIFS(JPK_KR!AM:AM,JPK_KR!W:W,J789),"")</f>
        <v/>
      </c>
      <c r="P789" s="24" t="str">
        <f>IF(M789&lt;&gt;"",IF(O789="",SUMIFS(JPK_KR!AL:AL,JPK_KR!W:W,N789),SUMIFS(JPK_KR!BF:BF,JPK_KR!BE:BE,N789,JPK_KR!BG:BG,O789)),"")</f>
        <v/>
      </c>
      <c r="Q789" s="126" t="str">
        <f>IF(M789&lt;&gt;"",IF(O789="",SUMIFS(JPK_KR!AM:AM,JPK_KR!W:W,N789),SUMIFS(JPK_KR!BI:BI,JPK_KR!BH:BH,N789,JPK_KR!BJ:BJ,O789)),"")</f>
        <v/>
      </c>
      <c r="U789" s="24" t="str">
        <f>IF(R789&lt;&gt;"",SUMIFS(JPK_KR!AL:AL,JPK_KR!W:W,S789),"")</f>
        <v/>
      </c>
      <c r="V789" s="126" t="str">
        <f>IF(R789&lt;&gt;"",SUMIFS(JPK_KR!AM:AM,JPK_KR!W:W,S789),"")</f>
        <v/>
      </c>
    </row>
    <row r="790" spans="3:22" x14ac:dyDescent="0.3">
      <c r="C790" s="24" t="str">
        <f>IF(A790&lt;&gt;"",SUMIFS(JPK_KR!AL:AL,JPK_KR!W:W,B790),"")</f>
        <v/>
      </c>
      <c r="D790" s="126" t="str">
        <f>IF(A790&lt;&gt;"",SUMIFS(JPK_KR!AM:AM,JPK_KR!W:W,B790),"")</f>
        <v/>
      </c>
      <c r="G790" s="24" t="str">
        <f>IF(E790&lt;&gt;"",SUMIFS(JPK_KR!AL:AL,JPK_KR!W:W,F790),"")</f>
        <v/>
      </c>
      <c r="H790" s="126" t="str">
        <f>IF(E790&lt;&gt;"",SUMIFS(JPK_KR!AM:AM,JPK_KR!W:W,F790),"")</f>
        <v/>
      </c>
      <c r="K790" s="24" t="str">
        <f>IF(I790&lt;&gt;"",SUMIFS(JPK_KR!AL:AL,JPK_KR!W:W,J790),"")</f>
        <v/>
      </c>
      <c r="L790" s="126" t="str">
        <f>IF(I790&lt;&gt;"",SUMIFS(JPK_KR!AM:AM,JPK_KR!W:W,J790),"")</f>
        <v/>
      </c>
      <c r="P790" s="24" t="str">
        <f>IF(M790&lt;&gt;"",IF(O790="",SUMIFS(JPK_KR!AL:AL,JPK_KR!W:W,N790),SUMIFS(JPK_KR!BF:BF,JPK_KR!BE:BE,N790,JPK_KR!BG:BG,O790)),"")</f>
        <v/>
      </c>
      <c r="Q790" s="126" t="str">
        <f>IF(M790&lt;&gt;"",IF(O790="",SUMIFS(JPK_KR!AM:AM,JPK_KR!W:W,N790),SUMIFS(JPK_KR!BI:BI,JPK_KR!BH:BH,N790,JPK_KR!BJ:BJ,O790)),"")</f>
        <v/>
      </c>
      <c r="U790" s="24" t="str">
        <f>IF(R790&lt;&gt;"",SUMIFS(JPK_KR!AL:AL,JPK_KR!W:W,S790),"")</f>
        <v/>
      </c>
      <c r="V790" s="126" t="str">
        <f>IF(R790&lt;&gt;"",SUMIFS(JPK_KR!AM:AM,JPK_KR!W:W,S790),"")</f>
        <v/>
      </c>
    </row>
    <row r="791" spans="3:22" x14ac:dyDescent="0.3">
      <c r="C791" s="24" t="str">
        <f>IF(A791&lt;&gt;"",SUMIFS(JPK_KR!AL:AL,JPK_KR!W:W,B791),"")</f>
        <v/>
      </c>
      <c r="D791" s="126" t="str">
        <f>IF(A791&lt;&gt;"",SUMIFS(JPK_KR!AM:AM,JPK_KR!W:W,B791),"")</f>
        <v/>
      </c>
      <c r="G791" s="24" t="str">
        <f>IF(E791&lt;&gt;"",SUMIFS(JPK_KR!AL:AL,JPK_KR!W:W,F791),"")</f>
        <v/>
      </c>
      <c r="H791" s="126" t="str">
        <f>IF(E791&lt;&gt;"",SUMIFS(JPK_KR!AM:AM,JPK_KR!W:W,F791),"")</f>
        <v/>
      </c>
      <c r="K791" s="24" t="str">
        <f>IF(I791&lt;&gt;"",SUMIFS(JPK_KR!AL:AL,JPK_KR!W:W,J791),"")</f>
        <v/>
      </c>
      <c r="L791" s="126" t="str">
        <f>IF(I791&lt;&gt;"",SUMIFS(JPK_KR!AM:AM,JPK_KR!W:W,J791),"")</f>
        <v/>
      </c>
      <c r="P791" s="24" t="str">
        <f>IF(M791&lt;&gt;"",IF(O791="",SUMIFS(JPK_KR!AL:AL,JPK_KR!W:W,N791),SUMIFS(JPK_KR!BF:BF,JPK_KR!BE:BE,N791,JPK_KR!BG:BG,O791)),"")</f>
        <v/>
      </c>
      <c r="Q791" s="126" t="str">
        <f>IF(M791&lt;&gt;"",IF(O791="",SUMIFS(JPK_KR!AM:AM,JPK_KR!W:W,N791),SUMIFS(JPK_KR!BI:BI,JPK_KR!BH:BH,N791,JPK_KR!BJ:BJ,O791)),"")</f>
        <v/>
      </c>
      <c r="U791" s="24" t="str">
        <f>IF(R791&lt;&gt;"",SUMIFS(JPK_KR!AL:AL,JPK_KR!W:W,S791),"")</f>
        <v/>
      </c>
      <c r="V791" s="126" t="str">
        <f>IF(R791&lt;&gt;"",SUMIFS(JPK_KR!AM:AM,JPK_KR!W:W,S791),"")</f>
        <v/>
      </c>
    </row>
    <row r="792" spans="3:22" x14ac:dyDescent="0.3">
      <c r="C792" s="24" t="str">
        <f>IF(A792&lt;&gt;"",SUMIFS(JPK_KR!AL:AL,JPK_KR!W:W,B792),"")</f>
        <v/>
      </c>
      <c r="D792" s="126" t="str">
        <f>IF(A792&lt;&gt;"",SUMIFS(JPK_KR!AM:AM,JPK_KR!W:W,B792),"")</f>
        <v/>
      </c>
      <c r="G792" s="24" t="str">
        <f>IF(E792&lt;&gt;"",SUMIFS(JPK_KR!AL:AL,JPK_KR!W:W,F792),"")</f>
        <v/>
      </c>
      <c r="H792" s="126" t="str">
        <f>IF(E792&lt;&gt;"",SUMIFS(JPK_KR!AM:AM,JPK_KR!W:W,F792),"")</f>
        <v/>
      </c>
      <c r="K792" s="24" t="str">
        <f>IF(I792&lt;&gt;"",SUMIFS(JPK_KR!AL:AL,JPK_KR!W:W,J792),"")</f>
        <v/>
      </c>
      <c r="L792" s="126" t="str">
        <f>IF(I792&lt;&gt;"",SUMIFS(JPK_KR!AM:AM,JPK_KR!W:W,J792),"")</f>
        <v/>
      </c>
      <c r="P792" s="24" t="str">
        <f>IF(M792&lt;&gt;"",IF(O792="",SUMIFS(JPK_KR!AL:AL,JPK_KR!W:W,N792),SUMIFS(JPK_KR!BF:BF,JPK_KR!BE:BE,N792,JPK_KR!BG:BG,O792)),"")</f>
        <v/>
      </c>
      <c r="Q792" s="126" t="str">
        <f>IF(M792&lt;&gt;"",IF(O792="",SUMIFS(JPK_KR!AM:AM,JPK_KR!W:W,N792),SUMIFS(JPK_KR!BI:BI,JPK_KR!BH:BH,N792,JPK_KR!BJ:BJ,O792)),"")</f>
        <v/>
      </c>
      <c r="U792" s="24" t="str">
        <f>IF(R792&lt;&gt;"",SUMIFS(JPK_KR!AL:AL,JPK_KR!W:W,S792),"")</f>
        <v/>
      </c>
      <c r="V792" s="126" t="str">
        <f>IF(R792&lt;&gt;"",SUMIFS(JPK_KR!AM:AM,JPK_KR!W:W,S792),"")</f>
        <v/>
      </c>
    </row>
    <row r="793" spans="3:22" x14ac:dyDescent="0.3">
      <c r="C793" s="24" t="str">
        <f>IF(A793&lt;&gt;"",SUMIFS(JPK_KR!AL:AL,JPK_KR!W:W,B793),"")</f>
        <v/>
      </c>
      <c r="D793" s="126" t="str">
        <f>IF(A793&lt;&gt;"",SUMIFS(JPK_KR!AM:AM,JPK_KR!W:W,B793),"")</f>
        <v/>
      </c>
      <c r="G793" s="24" t="str">
        <f>IF(E793&lt;&gt;"",SUMIFS(JPK_KR!AL:AL,JPK_KR!W:W,F793),"")</f>
        <v/>
      </c>
      <c r="H793" s="126" t="str">
        <f>IF(E793&lt;&gt;"",SUMIFS(JPK_KR!AM:AM,JPK_KR!W:W,F793),"")</f>
        <v/>
      </c>
      <c r="K793" s="24" t="str">
        <f>IF(I793&lt;&gt;"",SUMIFS(JPK_KR!AL:AL,JPK_KR!W:W,J793),"")</f>
        <v/>
      </c>
      <c r="L793" s="126" t="str">
        <f>IF(I793&lt;&gt;"",SUMIFS(JPK_KR!AM:AM,JPK_KR!W:W,J793),"")</f>
        <v/>
      </c>
      <c r="P793" s="24" t="str">
        <f>IF(M793&lt;&gt;"",IF(O793="",SUMIFS(JPK_KR!AL:AL,JPK_KR!W:W,N793),SUMIFS(JPK_KR!BF:BF,JPK_KR!BE:BE,N793,JPK_KR!BG:BG,O793)),"")</f>
        <v/>
      </c>
      <c r="Q793" s="126" t="str">
        <f>IF(M793&lt;&gt;"",IF(O793="",SUMIFS(JPK_KR!AM:AM,JPK_KR!W:W,N793),SUMIFS(JPK_KR!BI:BI,JPK_KR!BH:BH,N793,JPK_KR!BJ:BJ,O793)),"")</f>
        <v/>
      </c>
      <c r="U793" s="24" t="str">
        <f>IF(R793&lt;&gt;"",SUMIFS(JPK_KR!AL:AL,JPK_KR!W:W,S793),"")</f>
        <v/>
      </c>
      <c r="V793" s="126" t="str">
        <f>IF(R793&lt;&gt;"",SUMIFS(JPK_KR!AM:AM,JPK_KR!W:W,S793),"")</f>
        <v/>
      </c>
    </row>
    <row r="794" spans="3:22" x14ac:dyDescent="0.3">
      <c r="C794" s="24" t="str">
        <f>IF(A794&lt;&gt;"",SUMIFS(JPK_KR!AL:AL,JPK_KR!W:W,B794),"")</f>
        <v/>
      </c>
      <c r="D794" s="126" t="str">
        <f>IF(A794&lt;&gt;"",SUMIFS(JPK_KR!AM:AM,JPK_KR!W:W,B794),"")</f>
        <v/>
      </c>
      <c r="G794" s="24" t="str">
        <f>IF(E794&lt;&gt;"",SUMIFS(JPK_KR!AL:AL,JPK_KR!W:W,F794),"")</f>
        <v/>
      </c>
      <c r="H794" s="126" t="str">
        <f>IF(E794&lt;&gt;"",SUMIFS(JPK_KR!AM:AM,JPK_KR!W:W,F794),"")</f>
        <v/>
      </c>
      <c r="K794" s="24" t="str">
        <f>IF(I794&lt;&gt;"",SUMIFS(JPK_KR!AL:AL,JPK_KR!W:W,J794),"")</f>
        <v/>
      </c>
      <c r="L794" s="126" t="str">
        <f>IF(I794&lt;&gt;"",SUMIFS(JPK_KR!AM:AM,JPK_KR!W:W,J794),"")</f>
        <v/>
      </c>
      <c r="P794" s="24" t="str">
        <f>IF(M794&lt;&gt;"",IF(O794="",SUMIFS(JPK_KR!AL:AL,JPK_KR!W:W,N794),SUMIFS(JPK_KR!BF:BF,JPK_KR!BE:BE,N794,JPK_KR!BG:BG,O794)),"")</f>
        <v/>
      </c>
      <c r="Q794" s="126" t="str">
        <f>IF(M794&lt;&gt;"",IF(O794="",SUMIFS(JPK_KR!AM:AM,JPK_KR!W:W,N794),SUMIFS(JPK_KR!BI:BI,JPK_KR!BH:BH,N794,JPK_KR!BJ:BJ,O794)),"")</f>
        <v/>
      </c>
      <c r="U794" s="24" t="str">
        <f>IF(R794&lt;&gt;"",SUMIFS(JPK_KR!AL:AL,JPK_KR!W:W,S794),"")</f>
        <v/>
      </c>
      <c r="V794" s="126" t="str">
        <f>IF(R794&lt;&gt;"",SUMIFS(JPK_KR!AM:AM,JPK_KR!W:W,S794),"")</f>
        <v/>
      </c>
    </row>
    <row r="795" spans="3:22" x14ac:dyDescent="0.3">
      <c r="C795" s="24" t="str">
        <f>IF(A795&lt;&gt;"",SUMIFS(JPK_KR!AL:AL,JPK_KR!W:W,B795),"")</f>
        <v/>
      </c>
      <c r="D795" s="126" t="str">
        <f>IF(A795&lt;&gt;"",SUMIFS(JPK_KR!AM:AM,JPK_KR!W:W,B795),"")</f>
        <v/>
      </c>
      <c r="G795" s="24" t="str">
        <f>IF(E795&lt;&gt;"",SUMIFS(JPK_KR!AL:AL,JPK_KR!W:W,F795),"")</f>
        <v/>
      </c>
      <c r="H795" s="126" t="str">
        <f>IF(E795&lt;&gt;"",SUMIFS(JPK_KR!AM:AM,JPK_KR!W:W,F795),"")</f>
        <v/>
      </c>
      <c r="K795" s="24" t="str">
        <f>IF(I795&lt;&gt;"",SUMIFS(JPK_KR!AL:AL,JPK_KR!W:W,J795),"")</f>
        <v/>
      </c>
      <c r="L795" s="126" t="str">
        <f>IF(I795&lt;&gt;"",SUMIFS(JPK_KR!AM:AM,JPK_KR!W:W,J795),"")</f>
        <v/>
      </c>
      <c r="P795" s="24" t="str">
        <f>IF(M795&lt;&gt;"",IF(O795="",SUMIFS(JPK_KR!AL:AL,JPK_KR!W:W,N795),SUMIFS(JPK_KR!BF:BF,JPK_KR!BE:BE,N795,JPK_KR!BG:BG,O795)),"")</f>
        <v/>
      </c>
      <c r="Q795" s="126" t="str">
        <f>IF(M795&lt;&gt;"",IF(O795="",SUMIFS(JPK_KR!AM:AM,JPK_KR!W:W,N795),SUMIFS(JPK_KR!BI:BI,JPK_KR!BH:BH,N795,JPK_KR!BJ:BJ,O795)),"")</f>
        <v/>
      </c>
      <c r="U795" s="24" t="str">
        <f>IF(R795&lt;&gt;"",SUMIFS(JPK_KR!AL:AL,JPK_KR!W:W,S795),"")</f>
        <v/>
      </c>
      <c r="V795" s="126" t="str">
        <f>IF(R795&lt;&gt;"",SUMIFS(JPK_KR!AM:AM,JPK_KR!W:W,S795),"")</f>
        <v/>
      </c>
    </row>
    <row r="796" spans="3:22" x14ac:dyDescent="0.3">
      <c r="C796" s="24" t="str">
        <f>IF(A796&lt;&gt;"",SUMIFS(JPK_KR!AL:AL,JPK_KR!W:W,B796),"")</f>
        <v/>
      </c>
      <c r="D796" s="126" t="str">
        <f>IF(A796&lt;&gt;"",SUMIFS(JPK_KR!AM:AM,JPK_KR!W:W,B796),"")</f>
        <v/>
      </c>
      <c r="G796" s="24" t="str">
        <f>IF(E796&lt;&gt;"",SUMIFS(JPK_KR!AL:AL,JPK_KR!W:W,F796),"")</f>
        <v/>
      </c>
      <c r="H796" s="126" t="str">
        <f>IF(E796&lt;&gt;"",SUMIFS(JPK_KR!AM:AM,JPK_KR!W:W,F796),"")</f>
        <v/>
      </c>
      <c r="K796" s="24" t="str">
        <f>IF(I796&lt;&gt;"",SUMIFS(JPK_KR!AL:AL,JPK_KR!W:W,J796),"")</f>
        <v/>
      </c>
      <c r="L796" s="126" t="str">
        <f>IF(I796&lt;&gt;"",SUMIFS(JPK_KR!AM:AM,JPK_KR!W:W,J796),"")</f>
        <v/>
      </c>
      <c r="P796" s="24" t="str">
        <f>IF(M796&lt;&gt;"",IF(O796="",SUMIFS(JPK_KR!AL:AL,JPK_KR!W:W,N796),SUMIFS(JPK_KR!BF:BF,JPK_KR!BE:BE,N796,JPK_KR!BG:BG,O796)),"")</f>
        <v/>
      </c>
      <c r="Q796" s="126" t="str">
        <f>IF(M796&lt;&gt;"",IF(O796="",SUMIFS(JPK_KR!AM:AM,JPK_KR!W:W,N796),SUMIFS(JPK_KR!BI:BI,JPK_KR!BH:BH,N796,JPK_KR!BJ:BJ,O796)),"")</f>
        <v/>
      </c>
      <c r="U796" s="24" t="str">
        <f>IF(R796&lt;&gt;"",SUMIFS(JPK_KR!AL:AL,JPK_KR!W:W,S796),"")</f>
        <v/>
      </c>
      <c r="V796" s="126" t="str">
        <f>IF(R796&lt;&gt;"",SUMIFS(JPK_KR!AM:AM,JPK_KR!W:W,S796),"")</f>
        <v/>
      </c>
    </row>
    <row r="797" spans="3:22" x14ac:dyDescent="0.3">
      <c r="C797" s="24" t="str">
        <f>IF(A797&lt;&gt;"",SUMIFS(JPK_KR!AL:AL,JPK_KR!W:W,B797),"")</f>
        <v/>
      </c>
      <c r="D797" s="126" t="str">
        <f>IF(A797&lt;&gt;"",SUMIFS(JPK_KR!AM:AM,JPK_KR!W:W,B797),"")</f>
        <v/>
      </c>
      <c r="G797" s="24" t="str">
        <f>IF(E797&lt;&gt;"",SUMIFS(JPK_KR!AL:AL,JPK_KR!W:W,F797),"")</f>
        <v/>
      </c>
      <c r="H797" s="126" t="str">
        <f>IF(E797&lt;&gt;"",SUMIFS(JPK_KR!AM:AM,JPK_KR!W:W,F797),"")</f>
        <v/>
      </c>
      <c r="K797" s="24" t="str">
        <f>IF(I797&lt;&gt;"",SUMIFS(JPK_KR!AL:AL,JPK_KR!W:W,J797),"")</f>
        <v/>
      </c>
      <c r="L797" s="126" t="str">
        <f>IF(I797&lt;&gt;"",SUMIFS(JPK_KR!AM:AM,JPK_KR!W:W,J797),"")</f>
        <v/>
      </c>
      <c r="P797" s="24" t="str">
        <f>IF(M797&lt;&gt;"",IF(O797="",SUMIFS(JPK_KR!AL:AL,JPK_KR!W:W,N797),SUMIFS(JPK_KR!BF:BF,JPK_KR!BE:BE,N797,JPK_KR!BG:BG,O797)),"")</f>
        <v/>
      </c>
      <c r="Q797" s="126" t="str">
        <f>IF(M797&lt;&gt;"",IF(O797="",SUMIFS(JPK_KR!AM:AM,JPK_KR!W:W,N797),SUMIFS(JPK_KR!BI:BI,JPK_KR!BH:BH,N797,JPK_KR!BJ:BJ,O797)),"")</f>
        <v/>
      </c>
      <c r="U797" s="24" t="str">
        <f>IF(R797&lt;&gt;"",SUMIFS(JPK_KR!AL:AL,JPK_KR!W:W,S797),"")</f>
        <v/>
      </c>
      <c r="V797" s="126" t="str">
        <f>IF(R797&lt;&gt;"",SUMIFS(JPK_KR!AM:AM,JPK_KR!W:W,S797),"")</f>
        <v/>
      </c>
    </row>
    <row r="798" spans="3:22" x14ac:dyDescent="0.3">
      <c r="C798" s="24" t="str">
        <f>IF(A798&lt;&gt;"",SUMIFS(JPK_KR!AL:AL,JPK_KR!W:W,B798),"")</f>
        <v/>
      </c>
      <c r="D798" s="126" t="str">
        <f>IF(A798&lt;&gt;"",SUMIFS(JPK_KR!AM:AM,JPK_KR!W:W,B798),"")</f>
        <v/>
      </c>
      <c r="G798" s="24" t="str">
        <f>IF(E798&lt;&gt;"",SUMIFS(JPK_KR!AL:AL,JPK_KR!W:W,F798),"")</f>
        <v/>
      </c>
      <c r="H798" s="126" t="str">
        <f>IF(E798&lt;&gt;"",SUMIFS(JPK_KR!AM:AM,JPK_KR!W:W,F798),"")</f>
        <v/>
      </c>
      <c r="K798" s="24" t="str">
        <f>IF(I798&lt;&gt;"",SUMIFS(JPK_KR!AL:AL,JPK_KR!W:W,J798),"")</f>
        <v/>
      </c>
      <c r="L798" s="126" t="str">
        <f>IF(I798&lt;&gt;"",SUMIFS(JPK_KR!AM:AM,JPK_KR!W:W,J798),"")</f>
        <v/>
      </c>
      <c r="P798" s="24" t="str">
        <f>IF(M798&lt;&gt;"",IF(O798="",SUMIFS(JPK_KR!AL:AL,JPK_KR!W:W,N798),SUMIFS(JPK_KR!BF:BF,JPK_KR!BE:BE,N798,JPK_KR!BG:BG,O798)),"")</f>
        <v/>
      </c>
      <c r="Q798" s="126" t="str">
        <f>IF(M798&lt;&gt;"",IF(O798="",SUMIFS(JPK_KR!AM:AM,JPK_KR!W:W,N798),SUMIFS(JPK_KR!BI:BI,JPK_KR!BH:BH,N798,JPK_KR!BJ:BJ,O798)),"")</f>
        <v/>
      </c>
      <c r="U798" s="24" t="str">
        <f>IF(R798&lt;&gt;"",SUMIFS(JPK_KR!AL:AL,JPK_KR!W:W,S798),"")</f>
        <v/>
      </c>
      <c r="V798" s="126" t="str">
        <f>IF(R798&lt;&gt;"",SUMIFS(JPK_KR!AM:AM,JPK_KR!W:W,S798),"")</f>
        <v/>
      </c>
    </row>
    <row r="799" spans="3:22" x14ac:dyDescent="0.3">
      <c r="C799" s="24" t="str">
        <f>IF(A799&lt;&gt;"",SUMIFS(JPK_KR!AL:AL,JPK_KR!W:W,B799),"")</f>
        <v/>
      </c>
      <c r="D799" s="126" t="str">
        <f>IF(A799&lt;&gt;"",SUMIFS(JPK_KR!AM:AM,JPK_KR!W:W,B799),"")</f>
        <v/>
      </c>
      <c r="G799" s="24" t="str">
        <f>IF(E799&lt;&gt;"",SUMIFS(JPK_KR!AL:AL,JPK_KR!W:W,F799),"")</f>
        <v/>
      </c>
      <c r="H799" s="126" t="str">
        <f>IF(E799&lt;&gt;"",SUMIFS(JPK_KR!AM:AM,JPK_KR!W:W,F799),"")</f>
        <v/>
      </c>
      <c r="K799" s="24" t="str">
        <f>IF(I799&lt;&gt;"",SUMIFS(JPK_KR!AL:AL,JPK_KR!W:W,J799),"")</f>
        <v/>
      </c>
      <c r="L799" s="126" t="str">
        <f>IF(I799&lt;&gt;"",SUMIFS(JPK_KR!AM:AM,JPK_KR!W:W,J799),"")</f>
        <v/>
      </c>
      <c r="P799" s="24" t="str">
        <f>IF(M799&lt;&gt;"",IF(O799="",SUMIFS(JPK_KR!AL:AL,JPK_KR!W:W,N799),SUMIFS(JPK_KR!BF:BF,JPK_KR!BE:BE,N799,JPK_KR!BG:BG,O799)),"")</f>
        <v/>
      </c>
      <c r="Q799" s="126" t="str">
        <f>IF(M799&lt;&gt;"",IF(O799="",SUMIFS(JPK_KR!AM:AM,JPK_KR!W:W,N799),SUMIFS(JPK_KR!BI:BI,JPK_KR!BH:BH,N799,JPK_KR!BJ:BJ,O799)),"")</f>
        <v/>
      </c>
      <c r="U799" s="24" t="str">
        <f>IF(R799&lt;&gt;"",SUMIFS(JPK_KR!AL:AL,JPK_KR!W:W,S799),"")</f>
        <v/>
      </c>
      <c r="V799" s="126" t="str">
        <f>IF(R799&lt;&gt;"",SUMIFS(JPK_KR!AM:AM,JPK_KR!W:W,S799),"")</f>
        <v/>
      </c>
    </row>
    <row r="800" spans="3:22" x14ac:dyDescent="0.3">
      <c r="C800" s="24" t="str">
        <f>IF(A800&lt;&gt;"",SUMIFS(JPK_KR!AL:AL,JPK_KR!W:W,B800),"")</f>
        <v/>
      </c>
      <c r="D800" s="126" t="str">
        <f>IF(A800&lt;&gt;"",SUMIFS(JPK_KR!AM:AM,JPK_KR!W:W,B800),"")</f>
        <v/>
      </c>
      <c r="G800" s="24" t="str">
        <f>IF(E800&lt;&gt;"",SUMIFS(JPK_KR!AL:AL,JPK_KR!W:W,F800),"")</f>
        <v/>
      </c>
      <c r="H800" s="126" t="str">
        <f>IF(E800&lt;&gt;"",SUMIFS(JPK_KR!AM:AM,JPK_KR!W:W,F800),"")</f>
        <v/>
      </c>
      <c r="K800" s="24" t="str">
        <f>IF(I800&lt;&gt;"",SUMIFS(JPK_KR!AL:AL,JPK_KR!W:W,J800),"")</f>
        <v/>
      </c>
      <c r="L800" s="126" t="str">
        <f>IF(I800&lt;&gt;"",SUMIFS(JPK_KR!AM:AM,JPK_KR!W:W,J800),"")</f>
        <v/>
      </c>
      <c r="P800" s="24" t="str">
        <f>IF(M800&lt;&gt;"",IF(O800="",SUMIFS(JPK_KR!AL:AL,JPK_KR!W:W,N800),SUMIFS(JPK_KR!BF:BF,JPK_KR!BE:BE,N800,JPK_KR!BG:BG,O800)),"")</f>
        <v/>
      </c>
      <c r="Q800" s="126" t="str">
        <f>IF(M800&lt;&gt;"",IF(O800="",SUMIFS(JPK_KR!AM:AM,JPK_KR!W:W,N800),SUMIFS(JPK_KR!BI:BI,JPK_KR!BH:BH,N800,JPK_KR!BJ:BJ,O800)),"")</f>
        <v/>
      </c>
      <c r="U800" s="24" t="str">
        <f>IF(R800&lt;&gt;"",SUMIFS(JPK_KR!AL:AL,JPK_KR!W:W,S800),"")</f>
        <v/>
      </c>
      <c r="V800" s="126" t="str">
        <f>IF(R800&lt;&gt;"",SUMIFS(JPK_KR!AM:AM,JPK_KR!W:W,S800),"")</f>
        <v/>
      </c>
    </row>
    <row r="801" spans="3:22" x14ac:dyDescent="0.3">
      <c r="C801" s="24" t="str">
        <f>IF(A801&lt;&gt;"",SUMIFS(JPK_KR!AL:AL,JPK_KR!W:W,B801),"")</f>
        <v/>
      </c>
      <c r="D801" s="126" t="str">
        <f>IF(A801&lt;&gt;"",SUMIFS(JPK_KR!AM:AM,JPK_KR!W:W,B801),"")</f>
        <v/>
      </c>
      <c r="G801" s="24" t="str">
        <f>IF(E801&lt;&gt;"",SUMIFS(JPK_KR!AL:AL,JPK_KR!W:W,F801),"")</f>
        <v/>
      </c>
      <c r="H801" s="126" t="str">
        <f>IF(E801&lt;&gt;"",SUMIFS(JPK_KR!AM:AM,JPK_KR!W:W,F801),"")</f>
        <v/>
      </c>
      <c r="K801" s="24" t="str">
        <f>IF(I801&lt;&gt;"",SUMIFS(JPK_KR!AL:AL,JPK_KR!W:W,J801),"")</f>
        <v/>
      </c>
      <c r="L801" s="126" t="str">
        <f>IF(I801&lt;&gt;"",SUMIFS(JPK_KR!AM:AM,JPK_KR!W:W,J801),"")</f>
        <v/>
      </c>
      <c r="P801" s="24" t="str">
        <f>IF(M801&lt;&gt;"",IF(O801="",SUMIFS(JPK_KR!AL:AL,JPK_KR!W:W,N801),SUMIFS(JPK_KR!BF:BF,JPK_KR!BE:BE,N801,JPK_KR!BG:BG,O801)),"")</f>
        <v/>
      </c>
      <c r="Q801" s="126" t="str">
        <f>IF(M801&lt;&gt;"",IF(O801="",SUMIFS(JPK_KR!AM:AM,JPK_KR!W:W,N801),SUMIFS(JPK_KR!BI:BI,JPK_KR!BH:BH,N801,JPK_KR!BJ:BJ,O801)),"")</f>
        <v/>
      </c>
      <c r="U801" s="24" t="str">
        <f>IF(R801&lt;&gt;"",SUMIFS(JPK_KR!AL:AL,JPK_KR!W:W,S801),"")</f>
        <v/>
      </c>
      <c r="V801" s="126" t="str">
        <f>IF(R801&lt;&gt;"",SUMIFS(JPK_KR!AM:AM,JPK_KR!W:W,S801),"")</f>
        <v/>
      </c>
    </row>
    <row r="802" spans="3:22" x14ac:dyDescent="0.3">
      <c r="C802" s="24" t="str">
        <f>IF(A802&lt;&gt;"",SUMIFS(JPK_KR!AL:AL,JPK_KR!W:W,B802),"")</f>
        <v/>
      </c>
      <c r="D802" s="126" t="str">
        <f>IF(A802&lt;&gt;"",SUMIFS(JPK_KR!AM:AM,JPK_KR!W:W,B802),"")</f>
        <v/>
      </c>
      <c r="G802" s="24" t="str">
        <f>IF(E802&lt;&gt;"",SUMIFS(JPK_KR!AL:AL,JPK_KR!W:W,F802),"")</f>
        <v/>
      </c>
      <c r="H802" s="126" t="str">
        <f>IF(E802&lt;&gt;"",SUMIFS(JPK_KR!AM:AM,JPK_KR!W:W,F802),"")</f>
        <v/>
      </c>
      <c r="K802" s="24" t="str">
        <f>IF(I802&lt;&gt;"",SUMIFS(JPK_KR!AL:AL,JPK_KR!W:W,J802),"")</f>
        <v/>
      </c>
      <c r="L802" s="126" t="str">
        <f>IF(I802&lt;&gt;"",SUMIFS(JPK_KR!AM:AM,JPK_KR!W:W,J802),"")</f>
        <v/>
      </c>
      <c r="P802" s="24" t="str">
        <f>IF(M802&lt;&gt;"",IF(O802="",SUMIFS(JPK_KR!AL:AL,JPK_KR!W:W,N802),SUMIFS(JPK_KR!BF:BF,JPK_KR!BE:BE,N802,JPK_KR!BG:BG,O802)),"")</f>
        <v/>
      </c>
      <c r="Q802" s="126" t="str">
        <f>IF(M802&lt;&gt;"",IF(O802="",SUMIFS(JPK_KR!AM:AM,JPK_KR!W:W,N802),SUMIFS(JPK_KR!BI:BI,JPK_KR!BH:BH,N802,JPK_KR!BJ:BJ,O802)),"")</f>
        <v/>
      </c>
      <c r="U802" s="24" t="str">
        <f>IF(R802&lt;&gt;"",SUMIFS(JPK_KR!AL:AL,JPK_KR!W:W,S802),"")</f>
        <v/>
      </c>
      <c r="V802" s="126" t="str">
        <f>IF(R802&lt;&gt;"",SUMIFS(JPK_KR!AM:AM,JPK_KR!W:W,S802),"")</f>
        <v/>
      </c>
    </row>
    <row r="803" spans="3:22" x14ac:dyDescent="0.3">
      <c r="C803" s="24" t="str">
        <f>IF(A803&lt;&gt;"",SUMIFS(JPK_KR!AL:AL,JPK_KR!W:W,B803),"")</f>
        <v/>
      </c>
      <c r="D803" s="126" t="str">
        <f>IF(A803&lt;&gt;"",SUMIFS(JPK_KR!AM:AM,JPK_KR!W:W,B803),"")</f>
        <v/>
      </c>
      <c r="G803" s="24" t="str">
        <f>IF(E803&lt;&gt;"",SUMIFS(JPK_KR!AL:AL,JPK_KR!W:W,F803),"")</f>
        <v/>
      </c>
      <c r="H803" s="126" t="str">
        <f>IF(E803&lt;&gt;"",SUMIFS(JPK_KR!AM:AM,JPK_KR!W:W,F803),"")</f>
        <v/>
      </c>
      <c r="K803" s="24" t="str">
        <f>IF(I803&lt;&gt;"",SUMIFS(JPK_KR!AL:AL,JPK_KR!W:W,J803),"")</f>
        <v/>
      </c>
      <c r="L803" s="126" t="str">
        <f>IF(I803&lt;&gt;"",SUMIFS(JPK_KR!AM:AM,JPK_KR!W:W,J803),"")</f>
        <v/>
      </c>
      <c r="P803" s="24" t="str">
        <f>IF(M803&lt;&gt;"",IF(O803="",SUMIFS(JPK_KR!AL:AL,JPK_KR!W:W,N803),SUMIFS(JPK_KR!BF:BF,JPK_KR!BE:BE,N803,JPK_KR!BG:BG,O803)),"")</f>
        <v/>
      </c>
      <c r="Q803" s="126" t="str">
        <f>IF(M803&lt;&gt;"",IF(O803="",SUMIFS(JPK_KR!AM:AM,JPK_KR!W:W,N803),SUMIFS(JPK_KR!BI:BI,JPK_KR!BH:BH,N803,JPK_KR!BJ:BJ,O803)),"")</f>
        <v/>
      </c>
      <c r="U803" s="24" t="str">
        <f>IF(R803&lt;&gt;"",SUMIFS(JPK_KR!AL:AL,JPK_KR!W:W,S803),"")</f>
        <v/>
      </c>
      <c r="V803" s="126" t="str">
        <f>IF(R803&lt;&gt;"",SUMIFS(JPK_KR!AM:AM,JPK_KR!W:W,S803),"")</f>
        <v/>
      </c>
    </row>
    <row r="804" spans="3:22" x14ac:dyDescent="0.3">
      <c r="C804" s="24" t="str">
        <f>IF(A804&lt;&gt;"",SUMIFS(JPK_KR!AL:AL,JPK_KR!W:W,B804),"")</f>
        <v/>
      </c>
      <c r="D804" s="126" t="str">
        <f>IF(A804&lt;&gt;"",SUMIFS(JPK_KR!AM:AM,JPK_KR!W:W,B804),"")</f>
        <v/>
      </c>
      <c r="G804" s="24" t="str">
        <f>IF(E804&lt;&gt;"",SUMIFS(JPK_KR!AL:AL,JPK_KR!W:W,F804),"")</f>
        <v/>
      </c>
      <c r="H804" s="126" t="str">
        <f>IF(E804&lt;&gt;"",SUMIFS(JPK_KR!AM:AM,JPK_KR!W:W,F804),"")</f>
        <v/>
      </c>
      <c r="K804" s="24" t="str">
        <f>IF(I804&lt;&gt;"",SUMIFS(JPK_KR!AL:AL,JPK_KR!W:W,J804),"")</f>
        <v/>
      </c>
      <c r="L804" s="126" t="str">
        <f>IF(I804&lt;&gt;"",SUMIFS(JPK_KR!AM:AM,JPK_KR!W:W,J804),"")</f>
        <v/>
      </c>
      <c r="P804" s="24" t="str">
        <f>IF(M804&lt;&gt;"",IF(O804="",SUMIFS(JPK_KR!AL:AL,JPK_KR!W:W,N804),SUMIFS(JPK_KR!BF:BF,JPK_KR!BE:BE,N804,JPK_KR!BG:BG,O804)),"")</f>
        <v/>
      </c>
      <c r="Q804" s="126" t="str">
        <f>IF(M804&lt;&gt;"",IF(O804="",SUMIFS(JPK_KR!AM:AM,JPK_KR!W:W,N804),SUMIFS(JPK_KR!BI:BI,JPK_KR!BH:BH,N804,JPK_KR!BJ:BJ,O804)),"")</f>
        <v/>
      </c>
      <c r="U804" s="24" t="str">
        <f>IF(R804&lt;&gt;"",SUMIFS(JPK_KR!AL:AL,JPK_KR!W:W,S804),"")</f>
        <v/>
      </c>
      <c r="V804" s="126" t="str">
        <f>IF(R804&lt;&gt;"",SUMIFS(JPK_KR!AM:AM,JPK_KR!W:W,S804),"")</f>
        <v/>
      </c>
    </row>
    <row r="805" spans="3:22" x14ac:dyDescent="0.3">
      <c r="C805" s="24" t="str">
        <f>IF(A805&lt;&gt;"",SUMIFS(JPK_KR!AL:AL,JPK_KR!W:W,B805),"")</f>
        <v/>
      </c>
      <c r="D805" s="126" t="str">
        <f>IF(A805&lt;&gt;"",SUMIFS(JPK_KR!AM:AM,JPK_KR!W:W,B805),"")</f>
        <v/>
      </c>
      <c r="G805" s="24" t="str">
        <f>IF(E805&lt;&gt;"",SUMIFS(JPK_KR!AL:AL,JPK_KR!W:W,F805),"")</f>
        <v/>
      </c>
      <c r="H805" s="126" t="str">
        <f>IF(E805&lt;&gt;"",SUMIFS(JPK_KR!AM:AM,JPK_KR!W:W,F805),"")</f>
        <v/>
      </c>
      <c r="K805" s="24" t="str">
        <f>IF(I805&lt;&gt;"",SUMIFS(JPK_KR!AL:AL,JPK_KR!W:W,J805),"")</f>
        <v/>
      </c>
      <c r="L805" s="126" t="str">
        <f>IF(I805&lt;&gt;"",SUMIFS(JPK_KR!AM:AM,JPK_KR!W:W,J805),"")</f>
        <v/>
      </c>
      <c r="P805" s="24" t="str">
        <f>IF(M805&lt;&gt;"",IF(O805="",SUMIFS(JPK_KR!AL:AL,JPK_KR!W:W,N805),SUMIFS(JPK_KR!BF:BF,JPK_KR!BE:BE,N805,JPK_KR!BG:BG,O805)),"")</f>
        <v/>
      </c>
      <c r="Q805" s="126" t="str">
        <f>IF(M805&lt;&gt;"",IF(O805="",SUMIFS(JPK_KR!AM:AM,JPK_KR!W:W,N805),SUMIFS(JPK_KR!BI:BI,JPK_KR!BH:BH,N805,JPK_KR!BJ:BJ,O805)),"")</f>
        <v/>
      </c>
      <c r="U805" s="24" t="str">
        <f>IF(R805&lt;&gt;"",SUMIFS(JPK_KR!AL:AL,JPK_KR!W:W,S805),"")</f>
        <v/>
      </c>
      <c r="V805" s="126" t="str">
        <f>IF(R805&lt;&gt;"",SUMIFS(JPK_KR!AM:AM,JPK_KR!W:W,S805),"")</f>
        <v/>
      </c>
    </row>
    <row r="806" spans="3:22" x14ac:dyDescent="0.3">
      <c r="C806" s="24" t="str">
        <f>IF(A806&lt;&gt;"",SUMIFS(JPK_KR!AL:AL,JPK_KR!W:W,B806),"")</f>
        <v/>
      </c>
      <c r="D806" s="126" t="str">
        <f>IF(A806&lt;&gt;"",SUMIFS(JPK_KR!AM:AM,JPK_KR!W:W,B806),"")</f>
        <v/>
      </c>
      <c r="G806" s="24" t="str">
        <f>IF(E806&lt;&gt;"",SUMIFS(JPK_KR!AL:AL,JPK_KR!W:W,F806),"")</f>
        <v/>
      </c>
      <c r="H806" s="126" t="str">
        <f>IF(E806&lt;&gt;"",SUMIFS(JPK_KR!AM:AM,JPK_KR!W:W,F806),"")</f>
        <v/>
      </c>
      <c r="K806" s="24" t="str">
        <f>IF(I806&lt;&gt;"",SUMIFS(JPK_KR!AL:AL,JPK_KR!W:W,J806),"")</f>
        <v/>
      </c>
      <c r="L806" s="126" t="str">
        <f>IF(I806&lt;&gt;"",SUMIFS(JPK_KR!AM:AM,JPK_KR!W:W,J806),"")</f>
        <v/>
      </c>
      <c r="P806" s="24" t="str">
        <f>IF(M806&lt;&gt;"",IF(O806="",SUMIFS(JPK_KR!AL:AL,JPK_KR!W:W,N806),SUMIFS(JPK_KR!BF:BF,JPK_KR!BE:BE,N806,JPK_KR!BG:BG,O806)),"")</f>
        <v/>
      </c>
      <c r="Q806" s="126" t="str">
        <f>IF(M806&lt;&gt;"",IF(O806="",SUMIFS(JPK_KR!AM:AM,JPK_KR!W:W,N806),SUMIFS(JPK_KR!BI:BI,JPK_KR!BH:BH,N806,JPK_KR!BJ:BJ,O806)),"")</f>
        <v/>
      </c>
      <c r="U806" s="24" t="str">
        <f>IF(R806&lt;&gt;"",SUMIFS(JPK_KR!AL:AL,JPK_KR!W:W,S806),"")</f>
        <v/>
      </c>
      <c r="V806" s="126" t="str">
        <f>IF(R806&lt;&gt;"",SUMIFS(JPK_KR!AM:AM,JPK_KR!W:W,S806),"")</f>
        <v/>
      </c>
    </row>
    <row r="807" spans="3:22" x14ac:dyDescent="0.3">
      <c r="C807" s="24" t="str">
        <f>IF(A807&lt;&gt;"",SUMIFS(JPK_KR!AL:AL,JPK_KR!W:W,B807),"")</f>
        <v/>
      </c>
      <c r="D807" s="126" t="str">
        <f>IF(A807&lt;&gt;"",SUMIFS(JPK_KR!AM:AM,JPK_KR!W:W,B807),"")</f>
        <v/>
      </c>
      <c r="G807" s="24" t="str">
        <f>IF(E807&lt;&gt;"",SUMIFS(JPK_KR!AL:AL,JPK_KR!W:W,F807),"")</f>
        <v/>
      </c>
      <c r="H807" s="126" t="str">
        <f>IF(E807&lt;&gt;"",SUMIFS(JPK_KR!AM:AM,JPK_KR!W:W,F807),"")</f>
        <v/>
      </c>
      <c r="K807" s="24" t="str">
        <f>IF(I807&lt;&gt;"",SUMIFS(JPK_KR!AL:AL,JPK_KR!W:W,J807),"")</f>
        <v/>
      </c>
      <c r="L807" s="126" t="str">
        <f>IF(I807&lt;&gt;"",SUMIFS(JPK_KR!AM:AM,JPK_KR!W:W,J807),"")</f>
        <v/>
      </c>
      <c r="P807" s="24" t="str">
        <f>IF(M807&lt;&gt;"",IF(O807="",SUMIFS(JPK_KR!AL:AL,JPK_KR!W:W,N807),SUMIFS(JPK_KR!BF:BF,JPK_KR!BE:BE,N807,JPK_KR!BG:BG,O807)),"")</f>
        <v/>
      </c>
      <c r="Q807" s="126" t="str">
        <f>IF(M807&lt;&gt;"",IF(O807="",SUMIFS(JPK_KR!AM:AM,JPK_KR!W:W,N807),SUMIFS(JPK_KR!BI:BI,JPK_KR!BH:BH,N807,JPK_KR!BJ:BJ,O807)),"")</f>
        <v/>
      </c>
      <c r="U807" s="24" t="str">
        <f>IF(R807&lt;&gt;"",SUMIFS(JPK_KR!AL:AL,JPK_KR!W:W,S807),"")</f>
        <v/>
      </c>
      <c r="V807" s="126" t="str">
        <f>IF(R807&lt;&gt;"",SUMIFS(JPK_KR!AM:AM,JPK_KR!W:W,S807),"")</f>
        <v/>
      </c>
    </row>
    <row r="808" spans="3:22" x14ac:dyDescent="0.3">
      <c r="C808" s="24" t="str">
        <f>IF(A808&lt;&gt;"",SUMIFS(JPK_KR!AL:AL,JPK_KR!W:W,B808),"")</f>
        <v/>
      </c>
      <c r="D808" s="126" t="str">
        <f>IF(A808&lt;&gt;"",SUMIFS(JPK_KR!AM:AM,JPK_KR!W:W,B808),"")</f>
        <v/>
      </c>
      <c r="G808" s="24" t="str">
        <f>IF(E808&lt;&gt;"",SUMIFS(JPK_KR!AL:AL,JPK_KR!W:W,F808),"")</f>
        <v/>
      </c>
      <c r="H808" s="126" t="str">
        <f>IF(E808&lt;&gt;"",SUMIFS(JPK_KR!AM:AM,JPK_KR!W:W,F808),"")</f>
        <v/>
      </c>
      <c r="K808" s="24" t="str">
        <f>IF(I808&lt;&gt;"",SUMIFS(JPK_KR!AL:AL,JPK_KR!W:W,J808),"")</f>
        <v/>
      </c>
      <c r="L808" s="126" t="str">
        <f>IF(I808&lt;&gt;"",SUMIFS(JPK_KR!AM:AM,JPK_KR!W:W,J808),"")</f>
        <v/>
      </c>
      <c r="P808" s="24" t="str">
        <f>IF(M808&lt;&gt;"",IF(O808="",SUMIFS(JPK_KR!AL:AL,JPK_KR!W:W,N808),SUMIFS(JPK_KR!BF:BF,JPK_KR!BE:BE,N808,JPK_KR!BG:BG,O808)),"")</f>
        <v/>
      </c>
      <c r="Q808" s="126" t="str">
        <f>IF(M808&lt;&gt;"",IF(O808="",SUMIFS(JPK_KR!AM:AM,JPK_KR!W:W,N808),SUMIFS(JPK_KR!BI:BI,JPK_KR!BH:BH,N808,JPK_KR!BJ:BJ,O808)),"")</f>
        <v/>
      </c>
      <c r="U808" s="24" t="str">
        <f>IF(R808&lt;&gt;"",SUMIFS(JPK_KR!AL:AL,JPK_KR!W:W,S808),"")</f>
        <v/>
      </c>
      <c r="V808" s="126" t="str">
        <f>IF(R808&lt;&gt;"",SUMIFS(JPK_KR!AM:AM,JPK_KR!W:W,S808),"")</f>
        <v/>
      </c>
    </row>
    <row r="809" spans="3:22" x14ac:dyDescent="0.3">
      <c r="C809" s="24" t="str">
        <f>IF(A809&lt;&gt;"",SUMIFS(JPK_KR!AL:AL,JPK_KR!W:W,B809),"")</f>
        <v/>
      </c>
      <c r="D809" s="126" t="str">
        <f>IF(A809&lt;&gt;"",SUMIFS(JPK_KR!AM:AM,JPK_KR!W:W,B809),"")</f>
        <v/>
      </c>
      <c r="G809" s="24" t="str">
        <f>IF(E809&lt;&gt;"",SUMIFS(JPK_KR!AL:AL,JPK_KR!W:W,F809),"")</f>
        <v/>
      </c>
      <c r="H809" s="126" t="str">
        <f>IF(E809&lt;&gt;"",SUMIFS(JPK_KR!AM:AM,JPK_KR!W:W,F809),"")</f>
        <v/>
      </c>
      <c r="K809" s="24" t="str">
        <f>IF(I809&lt;&gt;"",SUMIFS(JPK_KR!AL:AL,JPK_KR!W:W,J809),"")</f>
        <v/>
      </c>
      <c r="L809" s="126" t="str">
        <f>IF(I809&lt;&gt;"",SUMIFS(JPK_KR!AM:AM,JPK_KR!W:W,J809),"")</f>
        <v/>
      </c>
      <c r="P809" s="24" t="str">
        <f>IF(M809&lt;&gt;"",IF(O809="",SUMIFS(JPK_KR!AL:AL,JPK_KR!W:W,N809),SUMIFS(JPK_KR!BF:BF,JPK_KR!BE:BE,N809,JPK_KR!BG:BG,O809)),"")</f>
        <v/>
      </c>
      <c r="Q809" s="126" t="str">
        <f>IF(M809&lt;&gt;"",IF(O809="",SUMIFS(JPK_KR!AM:AM,JPK_KR!W:W,N809),SUMIFS(JPK_KR!BI:BI,JPK_KR!BH:BH,N809,JPK_KR!BJ:BJ,O809)),"")</f>
        <v/>
      </c>
      <c r="U809" s="24" t="str">
        <f>IF(R809&lt;&gt;"",SUMIFS(JPK_KR!AL:AL,JPK_KR!W:W,S809),"")</f>
        <v/>
      </c>
      <c r="V809" s="126" t="str">
        <f>IF(R809&lt;&gt;"",SUMIFS(JPK_KR!AM:AM,JPK_KR!W:W,S809),"")</f>
        <v/>
      </c>
    </row>
    <row r="810" spans="3:22" x14ac:dyDescent="0.3">
      <c r="C810" s="24" t="str">
        <f>IF(A810&lt;&gt;"",SUMIFS(JPK_KR!AL:AL,JPK_KR!W:W,B810),"")</f>
        <v/>
      </c>
      <c r="D810" s="126" t="str">
        <f>IF(A810&lt;&gt;"",SUMIFS(JPK_KR!AM:AM,JPK_KR!W:W,B810),"")</f>
        <v/>
      </c>
      <c r="G810" s="24" t="str">
        <f>IF(E810&lt;&gt;"",SUMIFS(JPK_KR!AL:AL,JPK_KR!W:W,F810),"")</f>
        <v/>
      </c>
      <c r="H810" s="126" t="str">
        <f>IF(E810&lt;&gt;"",SUMIFS(JPK_KR!AM:AM,JPK_KR!W:W,F810),"")</f>
        <v/>
      </c>
      <c r="K810" s="24" t="str">
        <f>IF(I810&lt;&gt;"",SUMIFS(JPK_KR!AL:AL,JPK_KR!W:W,J810),"")</f>
        <v/>
      </c>
      <c r="L810" s="126" t="str">
        <f>IF(I810&lt;&gt;"",SUMIFS(JPK_KR!AM:AM,JPK_KR!W:W,J810),"")</f>
        <v/>
      </c>
      <c r="P810" s="24" t="str">
        <f>IF(M810&lt;&gt;"",IF(O810="",SUMIFS(JPK_KR!AL:AL,JPK_KR!W:W,N810),SUMIFS(JPK_KR!BF:BF,JPK_KR!BE:BE,N810,JPK_KR!BG:BG,O810)),"")</f>
        <v/>
      </c>
      <c r="Q810" s="126" t="str">
        <f>IF(M810&lt;&gt;"",IF(O810="",SUMIFS(JPK_KR!AM:AM,JPK_KR!W:W,N810),SUMIFS(JPK_KR!BI:BI,JPK_KR!BH:BH,N810,JPK_KR!BJ:BJ,O810)),"")</f>
        <v/>
      </c>
      <c r="U810" s="24" t="str">
        <f>IF(R810&lt;&gt;"",SUMIFS(JPK_KR!AL:AL,JPK_KR!W:W,S810),"")</f>
        <v/>
      </c>
      <c r="V810" s="126" t="str">
        <f>IF(R810&lt;&gt;"",SUMIFS(JPK_KR!AM:AM,JPK_KR!W:W,S810),"")</f>
        <v/>
      </c>
    </row>
    <row r="811" spans="3:22" x14ac:dyDescent="0.3">
      <c r="C811" s="24" t="str">
        <f>IF(A811&lt;&gt;"",SUMIFS(JPK_KR!AL:AL,JPK_KR!W:W,B811),"")</f>
        <v/>
      </c>
      <c r="D811" s="126" t="str">
        <f>IF(A811&lt;&gt;"",SUMIFS(JPK_KR!AM:AM,JPK_KR!W:W,B811),"")</f>
        <v/>
      </c>
      <c r="G811" s="24" t="str">
        <f>IF(E811&lt;&gt;"",SUMIFS(JPK_KR!AL:AL,JPK_KR!W:W,F811),"")</f>
        <v/>
      </c>
      <c r="H811" s="126" t="str">
        <f>IF(E811&lt;&gt;"",SUMIFS(JPK_KR!AM:AM,JPK_KR!W:W,F811),"")</f>
        <v/>
      </c>
      <c r="K811" s="24" t="str">
        <f>IF(I811&lt;&gt;"",SUMIFS(JPK_KR!AL:AL,JPK_KR!W:W,J811),"")</f>
        <v/>
      </c>
      <c r="L811" s="126" t="str">
        <f>IF(I811&lt;&gt;"",SUMIFS(JPK_KR!AM:AM,JPK_KR!W:W,J811),"")</f>
        <v/>
      </c>
      <c r="P811" s="24" t="str">
        <f>IF(M811&lt;&gt;"",IF(O811="",SUMIFS(JPK_KR!AL:AL,JPK_KR!W:W,N811),SUMIFS(JPK_KR!BF:BF,JPK_KR!BE:BE,N811,JPK_KR!BG:BG,O811)),"")</f>
        <v/>
      </c>
      <c r="Q811" s="126" t="str">
        <f>IF(M811&lt;&gt;"",IF(O811="",SUMIFS(JPK_KR!AM:AM,JPK_KR!W:W,N811),SUMIFS(JPK_KR!BI:BI,JPK_KR!BH:BH,N811,JPK_KR!BJ:BJ,O811)),"")</f>
        <v/>
      </c>
      <c r="U811" s="24" t="str">
        <f>IF(R811&lt;&gt;"",SUMIFS(JPK_KR!AL:AL,JPK_KR!W:W,S811),"")</f>
        <v/>
      </c>
      <c r="V811" s="126" t="str">
        <f>IF(R811&lt;&gt;"",SUMIFS(JPK_KR!AM:AM,JPK_KR!W:W,S811),"")</f>
        <v/>
      </c>
    </row>
    <row r="812" spans="3:22" x14ac:dyDescent="0.3">
      <c r="C812" s="24" t="str">
        <f>IF(A812&lt;&gt;"",SUMIFS(JPK_KR!AL:AL,JPK_KR!W:W,B812),"")</f>
        <v/>
      </c>
      <c r="D812" s="126" t="str">
        <f>IF(A812&lt;&gt;"",SUMIFS(JPK_KR!AM:AM,JPK_KR!W:W,B812),"")</f>
        <v/>
      </c>
      <c r="G812" s="24" t="str">
        <f>IF(E812&lt;&gt;"",SUMIFS(JPK_KR!AL:AL,JPK_KR!W:W,F812),"")</f>
        <v/>
      </c>
      <c r="H812" s="126" t="str">
        <f>IF(E812&lt;&gt;"",SUMIFS(JPK_KR!AM:AM,JPK_KR!W:W,F812),"")</f>
        <v/>
      </c>
      <c r="K812" s="24" t="str">
        <f>IF(I812&lt;&gt;"",SUMIFS(JPK_KR!AL:AL,JPK_KR!W:W,J812),"")</f>
        <v/>
      </c>
      <c r="L812" s="126" t="str">
        <f>IF(I812&lt;&gt;"",SUMIFS(JPK_KR!AM:AM,JPK_KR!W:W,J812),"")</f>
        <v/>
      </c>
      <c r="P812" s="24" t="str">
        <f>IF(M812&lt;&gt;"",IF(O812="",SUMIFS(JPK_KR!AL:AL,JPK_KR!W:W,N812),SUMIFS(JPK_KR!BF:BF,JPK_KR!BE:BE,N812,JPK_KR!BG:BG,O812)),"")</f>
        <v/>
      </c>
      <c r="Q812" s="126" t="str">
        <f>IF(M812&lt;&gt;"",IF(O812="",SUMIFS(JPK_KR!AM:AM,JPK_KR!W:W,N812),SUMIFS(JPK_KR!BI:BI,JPK_KR!BH:BH,N812,JPK_KR!BJ:BJ,O812)),"")</f>
        <v/>
      </c>
      <c r="U812" s="24" t="str">
        <f>IF(R812&lt;&gt;"",SUMIFS(JPK_KR!AL:AL,JPK_KR!W:W,S812),"")</f>
        <v/>
      </c>
      <c r="V812" s="126" t="str">
        <f>IF(R812&lt;&gt;"",SUMIFS(JPK_KR!AM:AM,JPK_KR!W:W,S812),"")</f>
        <v/>
      </c>
    </row>
    <row r="813" spans="3:22" x14ac:dyDescent="0.3">
      <c r="C813" s="24" t="str">
        <f>IF(A813&lt;&gt;"",SUMIFS(JPK_KR!AL:AL,JPK_KR!W:W,B813),"")</f>
        <v/>
      </c>
      <c r="D813" s="126" t="str">
        <f>IF(A813&lt;&gt;"",SUMIFS(JPK_KR!AM:AM,JPK_KR!W:W,B813),"")</f>
        <v/>
      </c>
      <c r="G813" s="24" t="str">
        <f>IF(E813&lt;&gt;"",SUMIFS(JPK_KR!AL:AL,JPK_KR!W:W,F813),"")</f>
        <v/>
      </c>
      <c r="H813" s="126" t="str">
        <f>IF(E813&lt;&gt;"",SUMIFS(JPK_KR!AM:AM,JPK_KR!W:W,F813),"")</f>
        <v/>
      </c>
      <c r="K813" s="24" t="str">
        <f>IF(I813&lt;&gt;"",SUMIFS(JPK_KR!AL:AL,JPK_KR!W:W,J813),"")</f>
        <v/>
      </c>
      <c r="L813" s="126" t="str">
        <f>IF(I813&lt;&gt;"",SUMIFS(JPK_KR!AM:AM,JPK_KR!W:W,J813),"")</f>
        <v/>
      </c>
      <c r="P813" s="24" t="str">
        <f>IF(M813&lt;&gt;"",IF(O813="",SUMIFS(JPK_KR!AL:AL,JPK_KR!W:W,N813),SUMIFS(JPK_KR!BF:BF,JPK_KR!BE:BE,N813,JPK_KR!BG:BG,O813)),"")</f>
        <v/>
      </c>
      <c r="Q813" s="126" t="str">
        <f>IF(M813&lt;&gt;"",IF(O813="",SUMIFS(JPK_KR!AM:AM,JPK_KR!W:W,N813),SUMIFS(JPK_KR!BI:BI,JPK_KR!BH:BH,N813,JPK_KR!BJ:BJ,O813)),"")</f>
        <v/>
      </c>
      <c r="U813" s="24" t="str">
        <f>IF(R813&lt;&gt;"",SUMIFS(JPK_KR!AL:AL,JPK_KR!W:W,S813),"")</f>
        <v/>
      </c>
      <c r="V813" s="126" t="str">
        <f>IF(R813&lt;&gt;"",SUMIFS(JPK_KR!AM:AM,JPK_KR!W:W,S813),"")</f>
        <v/>
      </c>
    </row>
    <row r="814" spans="3:22" x14ac:dyDescent="0.3">
      <c r="C814" s="24" t="str">
        <f>IF(A814&lt;&gt;"",SUMIFS(JPK_KR!AL:AL,JPK_KR!W:W,B814),"")</f>
        <v/>
      </c>
      <c r="D814" s="126" t="str">
        <f>IF(A814&lt;&gt;"",SUMIFS(JPK_KR!AM:AM,JPK_KR!W:W,B814),"")</f>
        <v/>
      </c>
      <c r="G814" s="24" t="str">
        <f>IF(E814&lt;&gt;"",SUMIFS(JPK_KR!AL:AL,JPK_KR!W:W,F814),"")</f>
        <v/>
      </c>
      <c r="H814" s="126" t="str">
        <f>IF(E814&lt;&gt;"",SUMIFS(JPK_KR!AM:AM,JPK_KR!W:W,F814),"")</f>
        <v/>
      </c>
      <c r="K814" s="24" t="str">
        <f>IF(I814&lt;&gt;"",SUMIFS(JPK_KR!AL:AL,JPK_KR!W:W,J814),"")</f>
        <v/>
      </c>
      <c r="L814" s="126" t="str">
        <f>IF(I814&lt;&gt;"",SUMIFS(JPK_KR!AM:AM,JPK_KR!W:W,J814),"")</f>
        <v/>
      </c>
      <c r="P814" s="24" t="str">
        <f>IF(M814&lt;&gt;"",IF(O814="",SUMIFS(JPK_KR!AL:AL,JPK_KR!W:W,N814),SUMIFS(JPK_KR!BF:BF,JPK_KR!BE:BE,N814,JPK_KR!BG:BG,O814)),"")</f>
        <v/>
      </c>
      <c r="Q814" s="126" t="str">
        <f>IF(M814&lt;&gt;"",IF(O814="",SUMIFS(JPK_KR!AM:AM,JPK_KR!W:W,N814),SUMIFS(JPK_KR!BI:BI,JPK_KR!BH:BH,N814,JPK_KR!BJ:BJ,O814)),"")</f>
        <v/>
      </c>
      <c r="U814" s="24" t="str">
        <f>IF(R814&lt;&gt;"",SUMIFS(JPK_KR!AL:AL,JPK_KR!W:W,S814),"")</f>
        <v/>
      </c>
      <c r="V814" s="126" t="str">
        <f>IF(R814&lt;&gt;"",SUMIFS(JPK_KR!AM:AM,JPK_KR!W:W,S814),"")</f>
        <v/>
      </c>
    </row>
    <row r="815" spans="3:22" x14ac:dyDescent="0.3">
      <c r="C815" s="24" t="str">
        <f>IF(A815&lt;&gt;"",SUMIFS(JPK_KR!AL:AL,JPK_KR!W:W,B815),"")</f>
        <v/>
      </c>
      <c r="D815" s="126" t="str">
        <f>IF(A815&lt;&gt;"",SUMIFS(JPK_KR!AM:AM,JPK_KR!W:W,B815),"")</f>
        <v/>
      </c>
      <c r="G815" s="24" t="str">
        <f>IF(E815&lt;&gt;"",SUMIFS(JPK_KR!AL:AL,JPK_KR!W:W,F815),"")</f>
        <v/>
      </c>
      <c r="H815" s="126" t="str">
        <f>IF(E815&lt;&gt;"",SUMIFS(JPK_KR!AM:AM,JPK_KR!W:W,F815),"")</f>
        <v/>
      </c>
      <c r="K815" s="24" t="str">
        <f>IF(I815&lt;&gt;"",SUMIFS(JPK_KR!AL:AL,JPK_KR!W:W,J815),"")</f>
        <v/>
      </c>
      <c r="L815" s="126" t="str">
        <f>IF(I815&lt;&gt;"",SUMIFS(JPK_KR!AM:AM,JPK_KR!W:W,J815),"")</f>
        <v/>
      </c>
      <c r="P815" s="24" t="str">
        <f>IF(M815&lt;&gt;"",IF(O815="",SUMIFS(JPK_KR!AL:AL,JPK_KR!W:W,N815),SUMIFS(JPK_KR!BF:BF,JPK_KR!BE:BE,N815,JPK_KR!BG:BG,O815)),"")</f>
        <v/>
      </c>
      <c r="Q815" s="126" t="str">
        <f>IF(M815&lt;&gt;"",IF(O815="",SUMIFS(JPK_KR!AM:AM,JPK_KR!W:W,N815),SUMIFS(JPK_KR!BI:BI,JPK_KR!BH:BH,N815,JPK_KR!BJ:BJ,O815)),"")</f>
        <v/>
      </c>
      <c r="U815" s="24" t="str">
        <f>IF(R815&lt;&gt;"",SUMIFS(JPK_KR!AL:AL,JPK_KR!W:W,S815),"")</f>
        <v/>
      </c>
      <c r="V815" s="126" t="str">
        <f>IF(R815&lt;&gt;"",SUMIFS(JPK_KR!AM:AM,JPK_KR!W:W,S815),"")</f>
        <v/>
      </c>
    </row>
    <row r="816" spans="3:22" x14ac:dyDescent="0.3">
      <c r="C816" s="24" t="str">
        <f>IF(A816&lt;&gt;"",SUMIFS(JPK_KR!AL:AL,JPK_KR!W:W,B816),"")</f>
        <v/>
      </c>
      <c r="D816" s="126" t="str">
        <f>IF(A816&lt;&gt;"",SUMIFS(JPK_KR!AM:AM,JPK_KR!W:W,B816),"")</f>
        <v/>
      </c>
      <c r="G816" s="24" t="str">
        <f>IF(E816&lt;&gt;"",SUMIFS(JPK_KR!AL:AL,JPK_KR!W:W,F816),"")</f>
        <v/>
      </c>
      <c r="H816" s="126" t="str">
        <f>IF(E816&lt;&gt;"",SUMIFS(JPK_KR!AM:AM,JPK_KR!W:W,F816),"")</f>
        <v/>
      </c>
      <c r="K816" s="24" t="str">
        <f>IF(I816&lt;&gt;"",SUMIFS(JPK_KR!AL:AL,JPK_KR!W:W,J816),"")</f>
        <v/>
      </c>
      <c r="L816" s="126" t="str">
        <f>IF(I816&lt;&gt;"",SUMIFS(JPK_KR!AM:AM,JPK_KR!W:W,J816),"")</f>
        <v/>
      </c>
      <c r="P816" s="24" t="str">
        <f>IF(M816&lt;&gt;"",IF(O816="",SUMIFS(JPK_KR!AL:AL,JPK_KR!W:W,N816),SUMIFS(JPK_KR!BF:BF,JPK_KR!BE:BE,N816,JPK_KR!BG:BG,O816)),"")</f>
        <v/>
      </c>
      <c r="Q816" s="126" t="str">
        <f>IF(M816&lt;&gt;"",IF(O816="",SUMIFS(JPK_KR!AM:AM,JPK_KR!W:W,N816),SUMIFS(JPK_KR!BI:BI,JPK_KR!BH:BH,N816,JPK_KR!BJ:BJ,O816)),"")</f>
        <v/>
      </c>
      <c r="U816" s="24" t="str">
        <f>IF(R816&lt;&gt;"",SUMIFS(JPK_KR!AL:AL,JPK_KR!W:W,S816),"")</f>
        <v/>
      </c>
      <c r="V816" s="126" t="str">
        <f>IF(R816&lt;&gt;"",SUMIFS(JPK_KR!AM:AM,JPK_KR!W:W,S816),"")</f>
        <v/>
      </c>
    </row>
    <row r="817" spans="3:22" x14ac:dyDescent="0.3">
      <c r="C817" s="24" t="str">
        <f>IF(A817&lt;&gt;"",SUMIFS(JPK_KR!AL:AL,JPK_KR!W:W,B817),"")</f>
        <v/>
      </c>
      <c r="D817" s="126" t="str">
        <f>IF(A817&lt;&gt;"",SUMIFS(JPK_KR!AM:AM,JPK_KR!W:W,B817),"")</f>
        <v/>
      </c>
      <c r="G817" s="24" t="str">
        <f>IF(E817&lt;&gt;"",SUMIFS(JPK_KR!AL:AL,JPK_KR!W:W,F817),"")</f>
        <v/>
      </c>
      <c r="H817" s="126" t="str">
        <f>IF(E817&lt;&gt;"",SUMIFS(JPK_KR!AM:AM,JPK_KR!W:W,F817),"")</f>
        <v/>
      </c>
      <c r="K817" s="24" t="str">
        <f>IF(I817&lt;&gt;"",SUMIFS(JPK_KR!AL:AL,JPK_KR!W:W,J817),"")</f>
        <v/>
      </c>
      <c r="L817" s="126" t="str">
        <f>IF(I817&lt;&gt;"",SUMIFS(JPK_KR!AM:AM,JPK_KR!W:W,J817),"")</f>
        <v/>
      </c>
      <c r="P817" s="24" t="str">
        <f>IF(M817&lt;&gt;"",IF(O817="",SUMIFS(JPK_KR!AL:AL,JPK_KR!W:W,N817),SUMIFS(JPK_KR!BF:BF,JPK_KR!BE:BE,N817,JPK_KR!BG:BG,O817)),"")</f>
        <v/>
      </c>
      <c r="Q817" s="126" t="str">
        <f>IF(M817&lt;&gt;"",IF(O817="",SUMIFS(JPK_KR!AM:AM,JPK_KR!W:W,N817),SUMIFS(JPK_KR!BI:BI,JPK_KR!BH:BH,N817,JPK_KR!BJ:BJ,O817)),"")</f>
        <v/>
      </c>
      <c r="U817" s="24" t="str">
        <f>IF(R817&lt;&gt;"",SUMIFS(JPK_KR!AL:AL,JPK_KR!W:W,S817),"")</f>
        <v/>
      </c>
      <c r="V817" s="126" t="str">
        <f>IF(R817&lt;&gt;"",SUMIFS(JPK_KR!AM:AM,JPK_KR!W:W,S817),"")</f>
        <v/>
      </c>
    </row>
    <row r="818" spans="3:22" x14ac:dyDescent="0.3">
      <c r="C818" s="24" t="str">
        <f>IF(A818&lt;&gt;"",SUMIFS(JPK_KR!AL:AL,JPK_KR!W:W,B818),"")</f>
        <v/>
      </c>
      <c r="D818" s="126" t="str">
        <f>IF(A818&lt;&gt;"",SUMIFS(JPK_KR!AM:AM,JPK_KR!W:W,B818),"")</f>
        <v/>
      </c>
      <c r="G818" s="24" t="str">
        <f>IF(E818&lt;&gt;"",SUMIFS(JPK_KR!AL:AL,JPK_KR!W:W,F818),"")</f>
        <v/>
      </c>
      <c r="H818" s="126" t="str">
        <f>IF(E818&lt;&gt;"",SUMIFS(JPK_KR!AM:AM,JPK_KR!W:W,F818),"")</f>
        <v/>
      </c>
      <c r="K818" s="24" t="str">
        <f>IF(I818&lt;&gt;"",SUMIFS(JPK_KR!AL:AL,JPK_KR!W:W,J818),"")</f>
        <v/>
      </c>
      <c r="L818" s="126" t="str">
        <f>IF(I818&lt;&gt;"",SUMIFS(JPK_KR!AM:AM,JPK_KR!W:W,J818),"")</f>
        <v/>
      </c>
      <c r="P818" s="24" t="str">
        <f>IF(M818&lt;&gt;"",IF(O818="",SUMIFS(JPK_KR!AL:AL,JPK_KR!W:W,N818),SUMIFS(JPK_KR!BF:BF,JPK_KR!BE:BE,N818,JPK_KR!BG:BG,O818)),"")</f>
        <v/>
      </c>
      <c r="Q818" s="126" t="str">
        <f>IF(M818&lt;&gt;"",IF(O818="",SUMIFS(JPK_KR!AM:AM,JPK_KR!W:W,N818),SUMIFS(JPK_KR!BI:BI,JPK_KR!BH:BH,N818,JPK_KR!BJ:BJ,O818)),"")</f>
        <v/>
      </c>
      <c r="U818" s="24" t="str">
        <f>IF(R818&lt;&gt;"",SUMIFS(JPK_KR!AL:AL,JPK_KR!W:W,S818),"")</f>
        <v/>
      </c>
      <c r="V818" s="126" t="str">
        <f>IF(R818&lt;&gt;"",SUMIFS(JPK_KR!AM:AM,JPK_KR!W:W,S818),"")</f>
        <v/>
      </c>
    </row>
    <row r="819" spans="3:22" x14ac:dyDescent="0.3">
      <c r="C819" s="24" t="str">
        <f>IF(A819&lt;&gt;"",SUMIFS(JPK_KR!AL:AL,JPK_KR!W:W,B819),"")</f>
        <v/>
      </c>
      <c r="D819" s="126" t="str">
        <f>IF(A819&lt;&gt;"",SUMIFS(JPK_KR!AM:AM,JPK_KR!W:W,B819),"")</f>
        <v/>
      </c>
      <c r="G819" s="24" t="str">
        <f>IF(E819&lt;&gt;"",SUMIFS(JPK_KR!AL:AL,JPK_KR!W:W,F819),"")</f>
        <v/>
      </c>
      <c r="H819" s="126" t="str">
        <f>IF(E819&lt;&gt;"",SUMIFS(JPK_KR!AM:AM,JPK_KR!W:W,F819),"")</f>
        <v/>
      </c>
      <c r="K819" s="24" t="str">
        <f>IF(I819&lt;&gt;"",SUMIFS(JPK_KR!AL:AL,JPK_KR!W:W,J819),"")</f>
        <v/>
      </c>
      <c r="L819" s="126" t="str">
        <f>IF(I819&lt;&gt;"",SUMIFS(JPK_KR!AM:AM,JPK_KR!W:W,J819),"")</f>
        <v/>
      </c>
      <c r="P819" s="24" t="str">
        <f>IF(M819&lt;&gt;"",IF(O819="",SUMIFS(JPK_KR!AL:AL,JPK_KR!W:W,N819),SUMIFS(JPK_KR!BF:BF,JPK_KR!BE:BE,N819,JPK_KR!BG:BG,O819)),"")</f>
        <v/>
      </c>
      <c r="Q819" s="126" t="str">
        <f>IF(M819&lt;&gt;"",IF(O819="",SUMIFS(JPK_KR!AM:AM,JPK_KR!W:W,N819),SUMIFS(JPK_KR!BI:BI,JPK_KR!BH:BH,N819,JPK_KR!BJ:BJ,O819)),"")</f>
        <v/>
      </c>
      <c r="U819" s="24" t="str">
        <f>IF(R819&lt;&gt;"",SUMIFS(JPK_KR!AL:AL,JPK_KR!W:W,S819),"")</f>
        <v/>
      </c>
      <c r="V819" s="126" t="str">
        <f>IF(R819&lt;&gt;"",SUMIFS(JPK_KR!AM:AM,JPK_KR!W:W,S819),"")</f>
        <v/>
      </c>
    </row>
    <row r="820" spans="3:22" x14ac:dyDescent="0.3">
      <c r="C820" s="24" t="str">
        <f>IF(A820&lt;&gt;"",SUMIFS(JPK_KR!AL:AL,JPK_KR!W:W,B820),"")</f>
        <v/>
      </c>
      <c r="D820" s="126" t="str">
        <f>IF(A820&lt;&gt;"",SUMIFS(JPK_KR!AM:AM,JPK_KR!W:W,B820),"")</f>
        <v/>
      </c>
      <c r="G820" s="24" t="str">
        <f>IF(E820&lt;&gt;"",SUMIFS(JPK_KR!AL:AL,JPK_KR!W:W,F820),"")</f>
        <v/>
      </c>
      <c r="H820" s="126" t="str">
        <f>IF(E820&lt;&gt;"",SUMIFS(JPK_KR!AM:AM,JPK_KR!W:W,F820),"")</f>
        <v/>
      </c>
      <c r="K820" s="24" t="str">
        <f>IF(I820&lt;&gt;"",SUMIFS(JPK_KR!AL:AL,JPK_KR!W:W,J820),"")</f>
        <v/>
      </c>
      <c r="L820" s="126" t="str">
        <f>IF(I820&lt;&gt;"",SUMIFS(JPK_KR!AM:AM,JPK_KR!W:W,J820),"")</f>
        <v/>
      </c>
      <c r="P820" s="24" t="str">
        <f>IF(M820&lt;&gt;"",IF(O820="",SUMIFS(JPK_KR!AL:AL,JPK_KR!W:W,N820),SUMIFS(JPK_KR!BF:BF,JPK_KR!BE:BE,N820,JPK_KR!BG:BG,O820)),"")</f>
        <v/>
      </c>
      <c r="Q820" s="126" t="str">
        <f>IF(M820&lt;&gt;"",IF(O820="",SUMIFS(JPK_KR!AM:AM,JPK_KR!W:W,N820),SUMIFS(JPK_KR!BI:BI,JPK_KR!BH:BH,N820,JPK_KR!BJ:BJ,O820)),"")</f>
        <v/>
      </c>
      <c r="U820" s="24" t="str">
        <f>IF(R820&lt;&gt;"",SUMIFS(JPK_KR!AL:AL,JPK_KR!W:W,S820),"")</f>
        <v/>
      </c>
      <c r="V820" s="126" t="str">
        <f>IF(R820&lt;&gt;"",SUMIFS(JPK_KR!AM:AM,JPK_KR!W:W,S820),"")</f>
        <v/>
      </c>
    </row>
    <row r="821" spans="3:22" x14ac:dyDescent="0.3">
      <c r="C821" s="24" t="str">
        <f>IF(A821&lt;&gt;"",SUMIFS(JPK_KR!AL:AL,JPK_KR!W:W,B821),"")</f>
        <v/>
      </c>
      <c r="D821" s="126" t="str">
        <f>IF(A821&lt;&gt;"",SUMIFS(JPK_KR!AM:AM,JPK_KR!W:W,B821),"")</f>
        <v/>
      </c>
      <c r="G821" s="24" t="str">
        <f>IF(E821&lt;&gt;"",SUMIFS(JPK_KR!AL:AL,JPK_KR!W:W,F821),"")</f>
        <v/>
      </c>
      <c r="H821" s="126" t="str">
        <f>IF(E821&lt;&gt;"",SUMIFS(JPK_KR!AM:AM,JPK_KR!W:W,F821),"")</f>
        <v/>
      </c>
      <c r="K821" s="24" t="str">
        <f>IF(I821&lt;&gt;"",SUMIFS(JPK_KR!AL:AL,JPK_KR!W:W,J821),"")</f>
        <v/>
      </c>
      <c r="L821" s="126" t="str">
        <f>IF(I821&lt;&gt;"",SUMIFS(JPK_KR!AM:AM,JPK_KR!W:W,J821),"")</f>
        <v/>
      </c>
      <c r="P821" s="24" t="str">
        <f>IF(M821&lt;&gt;"",IF(O821="",SUMIFS(JPK_KR!AL:AL,JPK_KR!W:W,N821),SUMIFS(JPK_KR!BF:BF,JPK_KR!BE:BE,N821,JPK_KR!BG:BG,O821)),"")</f>
        <v/>
      </c>
      <c r="Q821" s="126" t="str">
        <f>IF(M821&lt;&gt;"",IF(O821="",SUMIFS(JPK_KR!AM:AM,JPK_KR!W:W,N821),SUMIFS(JPK_KR!BI:BI,JPK_KR!BH:BH,N821,JPK_KR!BJ:BJ,O821)),"")</f>
        <v/>
      </c>
      <c r="U821" s="24" t="str">
        <f>IF(R821&lt;&gt;"",SUMIFS(JPK_KR!AL:AL,JPK_KR!W:W,S821),"")</f>
        <v/>
      </c>
      <c r="V821" s="126" t="str">
        <f>IF(R821&lt;&gt;"",SUMIFS(JPK_KR!AM:AM,JPK_KR!W:W,S821),"")</f>
        <v/>
      </c>
    </row>
    <row r="822" spans="3:22" x14ac:dyDescent="0.3">
      <c r="C822" s="24" t="str">
        <f>IF(A822&lt;&gt;"",SUMIFS(JPK_KR!AL:AL,JPK_KR!W:W,B822),"")</f>
        <v/>
      </c>
      <c r="D822" s="126" t="str">
        <f>IF(A822&lt;&gt;"",SUMIFS(JPK_KR!AM:AM,JPK_KR!W:W,B822),"")</f>
        <v/>
      </c>
      <c r="G822" s="24" t="str">
        <f>IF(E822&lt;&gt;"",SUMIFS(JPK_KR!AL:AL,JPK_KR!W:W,F822),"")</f>
        <v/>
      </c>
      <c r="H822" s="126" t="str">
        <f>IF(E822&lt;&gt;"",SUMIFS(JPK_KR!AM:AM,JPK_KR!W:W,F822),"")</f>
        <v/>
      </c>
      <c r="K822" s="24" t="str">
        <f>IF(I822&lt;&gt;"",SUMIFS(JPK_KR!AL:AL,JPK_KR!W:W,J822),"")</f>
        <v/>
      </c>
      <c r="L822" s="126" t="str">
        <f>IF(I822&lt;&gt;"",SUMIFS(JPK_KR!AM:AM,JPK_KR!W:W,J822),"")</f>
        <v/>
      </c>
      <c r="P822" s="24" t="str">
        <f>IF(M822&lt;&gt;"",IF(O822="",SUMIFS(JPK_KR!AL:AL,JPK_KR!W:W,N822),SUMIFS(JPK_KR!BF:BF,JPK_KR!BE:BE,N822,JPK_KR!BG:BG,O822)),"")</f>
        <v/>
      </c>
      <c r="Q822" s="126" t="str">
        <f>IF(M822&lt;&gt;"",IF(O822="",SUMIFS(JPK_KR!AM:AM,JPK_KR!W:W,N822),SUMIFS(JPK_KR!BI:BI,JPK_KR!BH:BH,N822,JPK_KR!BJ:BJ,O822)),"")</f>
        <v/>
      </c>
      <c r="U822" s="24" t="str">
        <f>IF(R822&lt;&gt;"",SUMIFS(JPK_KR!AL:AL,JPK_KR!W:W,S822),"")</f>
        <v/>
      </c>
      <c r="V822" s="126" t="str">
        <f>IF(R822&lt;&gt;"",SUMIFS(JPK_KR!AM:AM,JPK_KR!W:W,S822),"")</f>
        <v/>
      </c>
    </row>
    <row r="823" spans="3:22" x14ac:dyDescent="0.3">
      <c r="C823" s="24" t="str">
        <f>IF(A823&lt;&gt;"",SUMIFS(JPK_KR!AL:AL,JPK_KR!W:W,B823),"")</f>
        <v/>
      </c>
      <c r="D823" s="126" t="str">
        <f>IF(A823&lt;&gt;"",SUMIFS(JPK_KR!AM:AM,JPK_KR!W:W,B823),"")</f>
        <v/>
      </c>
      <c r="G823" s="24" t="str">
        <f>IF(E823&lt;&gt;"",SUMIFS(JPK_KR!AL:AL,JPK_KR!W:W,F823),"")</f>
        <v/>
      </c>
      <c r="H823" s="126" t="str">
        <f>IF(E823&lt;&gt;"",SUMIFS(JPK_KR!AM:AM,JPK_KR!W:W,F823),"")</f>
        <v/>
      </c>
      <c r="K823" s="24" t="str">
        <f>IF(I823&lt;&gt;"",SUMIFS(JPK_KR!AL:AL,JPK_KR!W:W,J823),"")</f>
        <v/>
      </c>
      <c r="L823" s="126" t="str">
        <f>IF(I823&lt;&gt;"",SUMIFS(JPK_KR!AM:AM,JPK_KR!W:W,J823),"")</f>
        <v/>
      </c>
      <c r="P823" s="24" t="str">
        <f>IF(M823&lt;&gt;"",IF(O823="",SUMIFS(JPK_KR!AL:AL,JPK_KR!W:W,N823),SUMIFS(JPK_KR!BF:BF,JPK_KR!BE:BE,N823,JPK_KR!BG:BG,O823)),"")</f>
        <v/>
      </c>
      <c r="Q823" s="126" t="str">
        <f>IF(M823&lt;&gt;"",IF(O823="",SUMIFS(JPK_KR!AM:AM,JPK_KR!W:W,N823),SUMIFS(JPK_KR!BI:BI,JPK_KR!BH:BH,N823,JPK_KR!BJ:BJ,O823)),"")</f>
        <v/>
      </c>
      <c r="U823" s="24" t="str">
        <f>IF(R823&lt;&gt;"",SUMIFS(JPK_KR!AL:AL,JPK_KR!W:W,S823),"")</f>
        <v/>
      </c>
      <c r="V823" s="126" t="str">
        <f>IF(R823&lt;&gt;"",SUMIFS(JPK_KR!AM:AM,JPK_KR!W:W,S823),"")</f>
        <v/>
      </c>
    </row>
    <row r="824" spans="3:22" x14ac:dyDescent="0.3">
      <c r="C824" s="24" t="str">
        <f>IF(A824&lt;&gt;"",SUMIFS(JPK_KR!AL:AL,JPK_KR!W:W,B824),"")</f>
        <v/>
      </c>
      <c r="D824" s="126" t="str">
        <f>IF(A824&lt;&gt;"",SUMIFS(JPK_KR!AM:AM,JPK_KR!W:W,B824),"")</f>
        <v/>
      </c>
      <c r="G824" s="24" t="str">
        <f>IF(E824&lt;&gt;"",SUMIFS(JPK_KR!AL:AL,JPK_KR!W:W,F824),"")</f>
        <v/>
      </c>
      <c r="H824" s="126" t="str">
        <f>IF(E824&lt;&gt;"",SUMIFS(JPK_KR!AM:AM,JPK_KR!W:W,F824),"")</f>
        <v/>
      </c>
      <c r="K824" s="24" t="str">
        <f>IF(I824&lt;&gt;"",SUMIFS(JPK_KR!AL:AL,JPK_KR!W:W,J824),"")</f>
        <v/>
      </c>
      <c r="L824" s="126" t="str">
        <f>IF(I824&lt;&gt;"",SUMIFS(JPK_KR!AM:AM,JPK_KR!W:W,J824),"")</f>
        <v/>
      </c>
      <c r="P824" s="24" t="str">
        <f>IF(M824&lt;&gt;"",IF(O824="",SUMIFS(JPK_KR!AL:AL,JPK_KR!W:W,N824),SUMIFS(JPK_KR!BF:BF,JPK_KR!BE:BE,N824,JPK_KR!BG:BG,O824)),"")</f>
        <v/>
      </c>
      <c r="Q824" s="126" t="str">
        <f>IF(M824&lt;&gt;"",IF(O824="",SUMIFS(JPK_KR!AM:AM,JPK_KR!W:W,N824),SUMIFS(JPK_KR!BI:BI,JPK_KR!BH:BH,N824,JPK_KR!BJ:BJ,O824)),"")</f>
        <v/>
      </c>
      <c r="U824" s="24" t="str">
        <f>IF(R824&lt;&gt;"",SUMIFS(JPK_KR!AL:AL,JPK_KR!W:W,S824),"")</f>
        <v/>
      </c>
      <c r="V824" s="126" t="str">
        <f>IF(R824&lt;&gt;"",SUMIFS(JPK_KR!AM:AM,JPK_KR!W:W,S824),"")</f>
        <v/>
      </c>
    </row>
    <row r="825" spans="3:22" x14ac:dyDescent="0.3">
      <c r="C825" s="24" t="str">
        <f>IF(A825&lt;&gt;"",SUMIFS(JPK_KR!AL:AL,JPK_KR!W:W,B825),"")</f>
        <v/>
      </c>
      <c r="D825" s="126" t="str">
        <f>IF(A825&lt;&gt;"",SUMIFS(JPK_KR!AM:AM,JPK_KR!W:W,B825),"")</f>
        <v/>
      </c>
      <c r="G825" s="24" t="str">
        <f>IF(E825&lt;&gt;"",SUMIFS(JPK_KR!AL:AL,JPK_KR!W:W,F825),"")</f>
        <v/>
      </c>
      <c r="H825" s="126" t="str">
        <f>IF(E825&lt;&gt;"",SUMIFS(JPK_KR!AM:AM,JPK_KR!W:W,F825),"")</f>
        <v/>
      </c>
      <c r="K825" s="24" t="str">
        <f>IF(I825&lt;&gt;"",SUMIFS(JPK_KR!AL:AL,JPK_KR!W:W,J825),"")</f>
        <v/>
      </c>
      <c r="L825" s="126" t="str">
        <f>IF(I825&lt;&gt;"",SUMIFS(JPK_KR!AM:AM,JPK_KR!W:W,J825),"")</f>
        <v/>
      </c>
      <c r="P825" s="24" t="str">
        <f>IF(M825&lt;&gt;"",IF(O825="",SUMIFS(JPK_KR!AL:AL,JPK_KR!W:W,N825),SUMIFS(JPK_KR!BF:BF,JPK_KR!BE:BE,N825,JPK_KR!BG:BG,O825)),"")</f>
        <v/>
      </c>
      <c r="Q825" s="126" t="str">
        <f>IF(M825&lt;&gt;"",IF(O825="",SUMIFS(JPK_KR!AM:AM,JPK_KR!W:W,N825),SUMIFS(JPK_KR!BI:BI,JPK_KR!BH:BH,N825,JPK_KR!BJ:BJ,O825)),"")</f>
        <v/>
      </c>
      <c r="U825" s="24" t="str">
        <f>IF(R825&lt;&gt;"",SUMIFS(JPK_KR!AL:AL,JPK_KR!W:W,S825),"")</f>
        <v/>
      </c>
      <c r="V825" s="126" t="str">
        <f>IF(R825&lt;&gt;"",SUMIFS(JPK_KR!AM:AM,JPK_KR!W:W,S825),"")</f>
        <v/>
      </c>
    </row>
    <row r="826" spans="3:22" x14ac:dyDescent="0.3">
      <c r="C826" s="24" t="str">
        <f>IF(A826&lt;&gt;"",SUMIFS(JPK_KR!AL:AL,JPK_KR!W:W,B826),"")</f>
        <v/>
      </c>
      <c r="D826" s="126" t="str">
        <f>IF(A826&lt;&gt;"",SUMIFS(JPK_KR!AM:AM,JPK_KR!W:W,B826),"")</f>
        <v/>
      </c>
      <c r="G826" s="24" t="str">
        <f>IF(E826&lt;&gt;"",SUMIFS(JPK_KR!AL:AL,JPK_KR!W:W,F826),"")</f>
        <v/>
      </c>
      <c r="H826" s="126" t="str">
        <f>IF(E826&lt;&gt;"",SUMIFS(JPK_KR!AM:AM,JPK_KR!W:W,F826),"")</f>
        <v/>
      </c>
      <c r="K826" s="24" t="str">
        <f>IF(I826&lt;&gt;"",SUMIFS(JPK_KR!AL:AL,JPK_KR!W:W,J826),"")</f>
        <v/>
      </c>
      <c r="L826" s="126" t="str">
        <f>IF(I826&lt;&gt;"",SUMIFS(JPK_KR!AM:AM,JPK_KR!W:W,J826),"")</f>
        <v/>
      </c>
      <c r="P826" s="24" t="str">
        <f>IF(M826&lt;&gt;"",IF(O826="",SUMIFS(JPK_KR!AL:AL,JPK_KR!W:W,N826),SUMIFS(JPK_KR!BF:BF,JPK_KR!BE:BE,N826,JPK_KR!BG:BG,O826)),"")</f>
        <v/>
      </c>
      <c r="Q826" s="126" t="str">
        <f>IF(M826&lt;&gt;"",IF(O826="",SUMIFS(JPK_KR!AM:AM,JPK_KR!W:W,N826),SUMIFS(JPK_KR!BI:BI,JPK_KR!BH:BH,N826,JPK_KR!BJ:BJ,O826)),"")</f>
        <v/>
      </c>
      <c r="U826" s="24" t="str">
        <f>IF(R826&lt;&gt;"",SUMIFS(JPK_KR!AL:AL,JPK_KR!W:W,S826),"")</f>
        <v/>
      </c>
      <c r="V826" s="126" t="str">
        <f>IF(R826&lt;&gt;"",SUMIFS(JPK_KR!AM:AM,JPK_KR!W:W,S826),"")</f>
        <v/>
      </c>
    </row>
    <row r="827" spans="3:22" x14ac:dyDescent="0.3">
      <c r="C827" s="24" t="str">
        <f>IF(A827&lt;&gt;"",SUMIFS(JPK_KR!AL:AL,JPK_KR!W:W,B827),"")</f>
        <v/>
      </c>
      <c r="D827" s="126" t="str">
        <f>IF(A827&lt;&gt;"",SUMIFS(JPK_KR!AM:AM,JPK_KR!W:W,B827),"")</f>
        <v/>
      </c>
      <c r="G827" s="24" t="str">
        <f>IF(E827&lt;&gt;"",SUMIFS(JPK_KR!AL:AL,JPK_KR!W:W,F827),"")</f>
        <v/>
      </c>
      <c r="H827" s="126" t="str">
        <f>IF(E827&lt;&gt;"",SUMIFS(JPK_KR!AM:AM,JPK_KR!W:W,F827),"")</f>
        <v/>
      </c>
      <c r="K827" s="24" t="str">
        <f>IF(I827&lt;&gt;"",SUMIFS(JPK_KR!AL:AL,JPK_KR!W:W,J827),"")</f>
        <v/>
      </c>
      <c r="L827" s="126" t="str">
        <f>IF(I827&lt;&gt;"",SUMIFS(JPK_KR!AM:AM,JPK_KR!W:W,J827),"")</f>
        <v/>
      </c>
      <c r="P827" s="24" t="str">
        <f>IF(M827&lt;&gt;"",IF(O827="",SUMIFS(JPK_KR!AL:AL,JPK_KR!W:W,N827),SUMIFS(JPK_KR!BF:BF,JPK_KR!BE:BE,N827,JPK_KR!BG:BG,O827)),"")</f>
        <v/>
      </c>
      <c r="Q827" s="126" t="str">
        <f>IF(M827&lt;&gt;"",IF(O827="",SUMIFS(JPK_KR!AM:AM,JPK_KR!W:W,N827),SUMIFS(JPK_KR!BI:BI,JPK_KR!BH:BH,N827,JPK_KR!BJ:BJ,O827)),"")</f>
        <v/>
      </c>
      <c r="U827" s="24" t="str">
        <f>IF(R827&lt;&gt;"",SUMIFS(JPK_KR!AL:AL,JPK_KR!W:W,S827),"")</f>
        <v/>
      </c>
      <c r="V827" s="126" t="str">
        <f>IF(R827&lt;&gt;"",SUMIFS(JPK_KR!AM:AM,JPK_KR!W:W,S827),"")</f>
        <v/>
      </c>
    </row>
    <row r="828" spans="3:22" x14ac:dyDescent="0.3">
      <c r="C828" s="24" t="str">
        <f>IF(A828&lt;&gt;"",SUMIFS(JPK_KR!AL:AL,JPK_KR!W:W,B828),"")</f>
        <v/>
      </c>
      <c r="D828" s="126" t="str">
        <f>IF(A828&lt;&gt;"",SUMIFS(JPK_KR!AM:AM,JPK_KR!W:W,B828),"")</f>
        <v/>
      </c>
      <c r="G828" s="24" t="str">
        <f>IF(E828&lt;&gt;"",SUMIFS(JPK_KR!AL:AL,JPK_KR!W:W,F828),"")</f>
        <v/>
      </c>
      <c r="H828" s="126" t="str">
        <f>IF(E828&lt;&gt;"",SUMIFS(JPK_KR!AM:AM,JPK_KR!W:W,F828),"")</f>
        <v/>
      </c>
      <c r="K828" s="24" t="str">
        <f>IF(I828&lt;&gt;"",SUMIFS(JPK_KR!AL:AL,JPK_KR!W:W,J828),"")</f>
        <v/>
      </c>
      <c r="L828" s="126" t="str">
        <f>IF(I828&lt;&gt;"",SUMIFS(JPK_KR!AM:AM,JPK_KR!W:W,J828),"")</f>
        <v/>
      </c>
      <c r="P828" s="24" t="str">
        <f>IF(M828&lt;&gt;"",IF(O828="",SUMIFS(JPK_KR!AL:AL,JPK_KR!W:W,N828),SUMIFS(JPK_KR!BF:BF,JPK_KR!BE:BE,N828,JPK_KR!BG:BG,O828)),"")</f>
        <v/>
      </c>
      <c r="Q828" s="126" t="str">
        <f>IF(M828&lt;&gt;"",IF(O828="",SUMIFS(JPK_KR!AM:AM,JPK_KR!W:W,N828),SUMIFS(JPK_KR!BI:BI,JPK_KR!BH:BH,N828,JPK_KR!BJ:BJ,O828)),"")</f>
        <v/>
      </c>
      <c r="U828" s="24" t="str">
        <f>IF(R828&lt;&gt;"",SUMIFS(JPK_KR!AL:AL,JPK_KR!W:W,S828),"")</f>
        <v/>
      </c>
      <c r="V828" s="126" t="str">
        <f>IF(R828&lt;&gt;"",SUMIFS(JPK_KR!AM:AM,JPK_KR!W:W,S828),"")</f>
        <v/>
      </c>
    </row>
    <row r="829" spans="3:22" x14ac:dyDescent="0.3">
      <c r="C829" s="24" t="str">
        <f>IF(A829&lt;&gt;"",SUMIFS(JPK_KR!AL:AL,JPK_KR!W:W,B829),"")</f>
        <v/>
      </c>
      <c r="D829" s="126" t="str">
        <f>IF(A829&lt;&gt;"",SUMIFS(JPK_KR!AM:AM,JPK_KR!W:W,B829),"")</f>
        <v/>
      </c>
      <c r="G829" s="24" t="str">
        <f>IF(E829&lt;&gt;"",SUMIFS(JPK_KR!AL:AL,JPK_KR!W:W,F829),"")</f>
        <v/>
      </c>
      <c r="H829" s="126" t="str">
        <f>IF(E829&lt;&gt;"",SUMIFS(JPK_KR!AM:AM,JPK_KR!W:W,F829),"")</f>
        <v/>
      </c>
      <c r="K829" s="24" t="str">
        <f>IF(I829&lt;&gt;"",SUMIFS(JPK_KR!AL:AL,JPK_KR!W:W,J829),"")</f>
        <v/>
      </c>
      <c r="L829" s="126" t="str">
        <f>IF(I829&lt;&gt;"",SUMIFS(JPK_KR!AM:AM,JPK_KR!W:W,J829),"")</f>
        <v/>
      </c>
      <c r="P829" s="24" t="str">
        <f>IF(M829&lt;&gt;"",IF(O829="",SUMIFS(JPK_KR!AL:AL,JPK_KR!W:W,N829),SUMIFS(JPK_KR!BF:BF,JPK_KR!BE:BE,N829,JPK_KR!BG:BG,O829)),"")</f>
        <v/>
      </c>
      <c r="Q829" s="126" t="str">
        <f>IF(M829&lt;&gt;"",IF(O829="",SUMIFS(JPK_KR!AM:AM,JPK_KR!W:W,N829),SUMIFS(JPK_KR!BI:BI,JPK_KR!BH:BH,N829,JPK_KR!BJ:BJ,O829)),"")</f>
        <v/>
      </c>
      <c r="U829" s="24" t="str">
        <f>IF(R829&lt;&gt;"",SUMIFS(JPK_KR!AL:AL,JPK_KR!W:W,S829),"")</f>
        <v/>
      </c>
      <c r="V829" s="126" t="str">
        <f>IF(R829&lt;&gt;"",SUMIFS(JPK_KR!AM:AM,JPK_KR!W:W,S829),"")</f>
        <v/>
      </c>
    </row>
    <row r="830" spans="3:22" x14ac:dyDescent="0.3">
      <c r="C830" s="24" t="str">
        <f>IF(A830&lt;&gt;"",SUMIFS(JPK_KR!AL:AL,JPK_KR!W:W,B830),"")</f>
        <v/>
      </c>
      <c r="D830" s="126" t="str">
        <f>IF(A830&lt;&gt;"",SUMIFS(JPK_KR!AM:AM,JPK_KR!W:W,B830),"")</f>
        <v/>
      </c>
      <c r="G830" s="24" t="str">
        <f>IF(E830&lt;&gt;"",SUMIFS(JPK_KR!AL:AL,JPK_KR!W:W,F830),"")</f>
        <v/>
      </c>
      <c r="H830" s="126" t="str">
        <f>IF(E830&lt;&gt;"",SUMIFS(JPK_KR!AM:AM,JPK_KR!W:W,F830),"")</f>
        <v/>
      </c>
      <c r="K830" s="24" t="str">
        <f>IF(I830&lt;&gt;"",SUMIFS(JPK_KR!AL:AL,JPK_KR!W:W,J830),"")</f>
        <v/>
      </c>
      <c r="L830" s="126" t="str">
        <f>IF(I830&lt;&gt;"",SUMIFS(JPK_KR!AM:AM,JPK_KR!W:W,J830),"")</f>
        <v/>
      </c>
      <c r="P830" s="24" t="str">
        <f>IF(M830&lt;&gt;"",IF(O830="",SUMIFS(JPK_KR!AL:AL,JPK_KR!W:W,N830),SUMIFS(JPK_KR!BF:BF,JPK_KR!BE:BE,N830,JPK_KR!BG:BG,O830)),"")</f>
        <v/>
      </c>
      <c r="Q830" s="126" t="str">
        <f>IF(M830&lt;&gt;"",IF(O830="",SUMIFS(JPK_KR!AM:AM,JPK_KR!W:W,N830),SUMIFS(JPK_KR!BI:BI,JPK_KR!BH:BH,N830,JPK_KR!BJ:BJ,O830)),"")</f>
        <v/>
      </c>
      <c r="U830" s="24" t="str">
        <f>IF(R830&lt;&gt;"",SUMIFS(JPK_KR!AL:AL,JPK_KR!W:W,S830),"")</f>
        <v/>
      </c>
      <c r="V830" s="126" t="str">
        <f>IF(R830&lt;&gt;"",SUMIFS(JPK_KR!AM:AM,JPK_KR!W:W,S830),"")</f>
        <v/>
      </c>
    </row>
    <row r="831" spans="3:22" x14ac:dyDescent="0.3">
      <c r="C831" s="24" t="str">
        <f>IF(A831&lt;&gt;"",SUMIFS(JPK_KR!AL:AL,JPK_KR!W:W,B831),"")</f>
        <v/>
      </c>
      <c r="D831" s="126" t="str">
        <f>IF(A831&lt;&gt;"",SUMIFS(JPK_KR!AM:AM,JPK_KR!W:W,B831),"")</f>
        <v/>
      </c>
      <c r="G831" s="24" t="str">
        <f>IF(E831&lt;&gt;"",SUMIFS(JPK_KR!AL:AL,JPK_KR!W:W,F831),"")</f>
        <v/>
      </c>
      <c r="H831" s="126" t="str">
        <f>IF(E831&lt;&gt;"",SUMIFS(JPK_KR!AM:AM,JPK_KR!W:W,F831),"")</f>
        <v/>
      </c>
      <c r="K831" s="24" t="str">
        <f>IF(I831&lt;&gt;"",SUMIFS(JPK_KR!AL:AL,JPK_KR!W:W,J831),"")</f>
        <v/>
      </c>
      <c r="L831" s="126" t="str">
        <f>IF(I831&lt;&gt;"",SUMIFS(JPK_KR!AM:AM,JPK_KR!W:W,J831),"")</f>
        <v/>
      </c>
      <c r="P831" s="24" t="str">
        <f>IF(M831&lt;&gt;"",IF(O831="",SUMIFS(JPK_KR!AL:AL,JPK_KR!W:W,N831),SUMIFS(JPK_KR!BF:BF,JPK_KR!BE:BE,N831,JPK_KR!BG:BG,O831)),"")</f>
        <v/>
      </c>
      <c r="Q831" s="126" t="str">
        <f>IF(M831&lt;&gt;"",IF(O831="",SUMIFS(JPK_KR!AM:AM,JPK_KR!W:W,N831),SUMIFS(JPK_KR!BI:BI,JPK_KR!BH:BH,N831,JPK_KR!BJ:BJ,O831)),"")</f>
        <v/>
      </c>
      <c r="U831" s="24" t="str">
        <f>IF(R831&lt;&gt;"",SUMIFS(JPK_KR!AL:AL,JPK_KR!W:W,S831),"")</f>
        <v/>
      </c>
      <c r="V831" s="126" t="str">
        <f>IF(R831&lt;&gt;"",SUMIFS(JPK_KR!AM:AM,JPK_KR!W:W,S831),"")</f>
        <v/>
      </c>
    </row>
    <row r="832" spans="3:22" x14ac:dyDescent="0.3">
      <c r="C832" s="24" t="str">
        <f>IF(A832&lt;&gt;"",SUMIFS(JPK_KR!AL:AL,JPK_KR!W:W,B832),"")</f>
        <v/>
      </c>
      <c r="D832" s="126" t="str">
        <f>IF(A832&lt;&gt;"",SUMIFS(JPK_KR!AM:AM,JPK_KR!W:W,B832),"")</f>
        <v/>
      </c>
      <c r="G832" s="24" t="str">
        <f>IF(E832&lt;&gt;"",SUMIFS(JPK_KR!AL:AL,JPK_KR!W:W,F832),"")</f>
        <v/>
      </c>
      <c r="H832" s="126" t="str">
        <f>IF(E832&lt;&gt;"",SUMIFS(JPK_KR!AM:AM,JPK_KR!W:W,F832),"")</f>
        <v/>
      </c>
      <c r="K832" s="24" t="str">
        <f>IF(I832&lt;&gt;"",SUMIFS(JPK_KR!AL:AL,JPK_KR!W:W,J832),"")</f>
        <v/>
      </c>
      <c r="L832" s="126" t="str">
        <f>IF(I832&lt;&gt;"",SUMIFS(JPK_KR!AM:AM,JPK_KR!W:W,J832),"")</f>
        <v/>
      </c>
      <c r="P832" s="24" t="str">
        <f>IF(M832&lt;&gt;"",IF(O832="",SUMIFS(JPK_KR!AL:AL,JPK_KR!W:W,N832),SUMIFS(JPK_KR!BF:BF,JPK_KR!BE:BE,N832,JPK_KR!BG:BG,O832)),"")</f>
        <v/>
      </c>
      <c r="Q832" s="126" t="str">
        <f>IF(M832&lt;&gt;"",IF(O832="",SUMIFS(JPK_KR!AM:AM,JPK_KR!W:W,N832),SUMIFS(JPK_KR!BI:BI,JPK_KR!BH:BH,N832,JPK_KR!BJ:BJ,O832)),"")</f>
        <v/>
      </c>
      <c r="U832" s="24" t="str">
        <f>IF(R832&lt;&gt;"",SUMIFS(JPK_KR!AL:AL,JPK_KR!W:W,S832),"")</f>
        <v/>
      </c>
      <c r="V832" s="126" t="str">
        <f>IF(R832&lt;&gt;"",SUMIFS(JPK_KR!AM:AM,JPK_KR!W:W,S832),"")</f>
        <v/>
      </c>
    </row>
    <row r="833" spans="3:22" x14ac:dyDescent="0.3">
      <c r="C833" s="24" t="str">
        <f>IF(A833&lt;&gt;"",SUMIFS(JPK_KR!AL:AL,JPK_KR!W:W,B833),"")</f>
        <v/>
      </c>
      <c r="D833" s="126" t="str">
        <f>IF(A833&lt;&gt;"",SUMIFS(JPK_KR!AM:AM,JPK_KR!W:W,B833),"")</f>
        <v/>
      </c>
      <c r="G833" s="24" t="str">
        <f>IF(E833&lt;&gt;"",SUMIFS(JPK_KR!AL:AL,JPK_KR!W:W,F833),"")</f>
        <v/>
      </c>
      <c r="H833" s="126" t="str">
        <f>IF(E833&lt;&gt;"",SUMIFS(JPK_KR!AM:AM,JPK_KR!W:W,F833),"")</f>
        <v/>
      </c>
      <c r="K833" s="24" t="str">
        <f>IF(I833&lt;&gt;"",SUMIFS(JPK_KR!AL:AL,JPK_KR!W:W,J833),"")</f>
        <v/>
      </c>
      <c r="L833" s="126" t="str">
        <f>IF(I833&lt;&gt;"",SUMIFS(JPK_KR!AM:AM,JPK_KR!W:W,J833),"")</f>
        <v/>
      </c>
      <c r="P833" s="24" t="str">
        <f>IF(M833&lt;&gt;"",IF(O833="",SUMIFS(JPK_KR!AL:AL,JPK_KR!W:W,N833),SUMIFS(JPK_KR!BF:BF,JPK_KR!BE:BE,N833,JPK_KR!BG:BG,O833)),"")</f>
        <v/>
      </c>
      <c r="Q833" s="126" t="str">
        <f>IF(M833&lt;&gt;"",IF(O833="",SUMIFS(JPK_KR!AM:AM,JPK_KR!W:W,N833),SUMIFS(JPK_KR!BI:BI,JPK_KR!BH:BH,N833,JPK_KR!BJ:BJ,O833)),"")</f>
        <v/>
      </c>
      <c r="U833" s="24" t="str">
        <f>IF(R833&lt;&gt;"",SUMIFS(JPK_KR!AL:AL,JPK_KR!W:W,S833),"")</f>
        <v/>
      </c>
      <c r="V833" s="126" t="str">
        <f>IF(R833&lt;&gt;"",SUMIFS(JPK_KR!AM:AM,JPK_KR!W:W,S833),"")</f>
        <v/>
      </c>
    </row>
    <row r="834" spans="3:22" x14ac:dyDescent="0.3">
      <c r="C834" s="24" t="str">
        <f>IF(A834&lt;&gt;"",SUMIFS(JPK_KR!AL:AL,JPK_KR!W:W,B834),"")</f>
        <v/>
      </c>
      <c r="D834" s="126" t="str">
        <f>IF(A834&lt;&gt;"",SUMIFS(JPK_KR!AM:AM,JPK_KR!W:W,B834),"")</f>
        <v/>
      </c>
      <c r="G834" s="24" t="str">
        <f>IF(E834&lt;&gt;"",SUMIFS(JPK_KR!AL:AL,JPK_KR!W:W,F834),"")</f>
        <v/>
      </c>
      <c r="H834" s="126" t="str">
        <f>IF(E834&lt;&gt;"",SUMIFS(JPK_KR!AM:AM,JPK_KR!W:W,F834),"")</f>
        <v/>
      </c>
      <c r="K834" s="24" t="str">
        <f>IF(I834&lt;&gt;"",SUMIFS(JPK_KR!AL:AL,JPK_KR!W:W,J834),"")</f>
        <v/>
      </c>
      <c r="L834" s="126" t="str">
        <f>IF(I834&lt;&gt;"",SUMIFS(JPK_KR!AM:AM,JPK_KR!W:W,J834),"")</f>
        <v/>
      </c>
      <c r="P834" s="24" t="str">
        <f>IF(M834&lt;&gt;"",IF(O834="",SUMIFS(JPK_KR!AL:AL,JPK_KR!W:W,N834),SUMIFS(JPK_KR!BF:BF,JPK_KR!BE:BE,N834,JPK_KR!BG:BG,O834)),"")</f>
        <v/>
      </c>
      <c r="Q834" s="126" t="str">
        <f>IF(M834&lt;&gt;"",IF(O834="",SUMIFS(JPK_KR!AM:AM,JPK_KR!W:W,N834),SUMIFS(JPK_KR!BI:BI,JPK_KR!BH:BH,N834,JPK_KR!BJ:BJ,O834)),"")</f>
        <v/>
      </c>
      <c r="U834" s="24" t="str">
        <f>IF(R834&lt;&gt;"",SUMIFS(JPK_KR!AL:AL,JPK_KR!W:W,S834),"")</f>
        <v/>
      </c>
      <c r="V834" s="126" t="str">
        <f>IF(R834&lt;&gt;"",SUMIFS(JPK_KR!AM:AM,JPK_KR!W:W,S834),"")</f>
        <v/>
      </c>
    </row>
    <row r="835" spans="3:22" x14ac:dyDescent="0.3">
      <c r="C835" s="24" t="str">
        <f>IF(A835&lt;&gt;"",SUMIFS(JPK_KR!AL:AL,JPK_KR!W:W,B835),"")</f>
        <v/>
      </c>
      <c r="D835" s="126" t="str">
        <f>IF(A835&lt;&gt;"",SUMIFS(JPK_KR!AM:AM,JPK_KR!W:W,B835),"")</f>
        <v/>
      </c>
      <c r="G835" s="24" t="str">
        <f>IF(E835&lt;&gt;"",SUMIFS(JPK_KR!AL:AL,JPK_KR!W:W,F835),"")</f>
        <v/>
      </c>
      <c r="H835" s="126" t="str">
        <f>IF(E835&lt;&gt;"",SUMIFS(JPK_KR!AM:AM,JPK_KR!W:W,F835),"")</f>
        <v/>
      </c>
      <c r="K835" s="24" t="str">
        <f>IF(I835&lt;&gt;"",SUMIFS(JPK_KR!AL:AL,JPK_KR!W:W,J835),"")</f>
        <v/>
      </c>
      <c r="L835" s="126" t="str">
        <f>IF(I835&lt;&gt;"",SUMIFS(JPK_KR!AM:AM,JPK_KR!W:W,J835),"")</f>
        <v/>
      </c>
      <c r="P835" s="24" t="str">
        <f>IF(M835&lt;&gt;"",IF(O835="",SUMIFS(JPK_KR!AL:AL,JPK_KR!W:W,N835),SUMIFS(JPK_KR!BF:BF,JPK_KR!BE:BE,N835,JPK_KR!BG:BG,O835)),"")</f>
        <v/>
      </c>
      <c r="Q835" s="126" t="str">
        <f>IF(M835&lt;&gt;"",IF(O835="",SUMIFS(JPK_KR!AM:AM,JPK_KR!W:W,N835),SUMIFS(JPK_KR!BI:BI,JPK_KR!BH:BH,N835,JPK_KR!BJ:BJ,O835)),"")</f>
        <v/>
      </c>
      <c r="U835" s="24" t="str">
        <f>IF(R835&lt;&gt;"",SUMIFS(JPK_KR!AL:AL,JPK_KR!W:W,S835),"")</f>
        <v/>
      </c>
      <c r="V835" s="126" t="str">
        <f>IF(R835&lt;&gt;"",SUMIFS(JPK_KR!AM:AM,JPK_KR!W:W,S835),"")</f>
        <v/>
      </c>
    </row>
    <row r="836" spans="3:22" x14ac:dyDescent="0.3">
      <c r="C836" s="24" t="str">
        <f>IF(A836&lt;&gt;"",SUMIFS(JPK_KR!AL:AL,JPK_KR!W:W,B836),"")</f>
        <v/>
      </c>
      <c r="D836" s="126" t="str">
        <f>IF(A836&lt;&gt;"",SUMIFS(JPK_KR!AM:AM,JPK_KR!W:W,B836),"")</f>
        <v/>
      </c>
      <c r="G836" s="24" t="str">
        <f>IF(E836&lt;&gt;"",SUMIFS(JPK_KR!AL:AL,JPK_KR!W:W,F836),"")</f>
        <v/>
      </c>
      <c r="H836" s="126" t="str">
        <f>IF(E836&lt;&gt;"",SUMIFS(JPK_KR!AM:AM,JPK_KR!W:W,F836),"")</f>
        <v/>
      </c>
      <c r="K836" s="24" t="str">
        <f>IF(I836&lt;&gt;"",SUMIFS(JPK_KR!AL:AL,JPK_KR!W:W,J836),"")</f>
        <v/>
      </c>
      <c r="L836" s="126" t="str">
        <f>IF(I836&lt;&gt;"",SUMIFS(JPK_KR!AM:AM,JPK_KR!W:W,J836),"")</f>
        <v/>
      </c>
      <c r="P836" s="24" t="str">
        <f>IF(M836&lt;&gt;"",IF(O836="",SUMIFS(JPK_KR!AL:AL,JPK_KR!W:W,N836),SUMIFS(JPK_KR!BF:BF,JPK_KR!BE:BE,N836,JPK_KR!BG:BG,O836)),"")</f>
        <v/>
      </c>
      <c r="Q836" s="126" t="str">
        <f>IF(M836&lt;&gt;"",IF(O836="",SUMIFS(JPK_KR!AM:AM,JPK_KR!W:W,N836),SUMIFS(JPK_KR!BI:BI,JPK_KR!BH:BH,N836,JPK_KR!BJ:BJ,O836)),"")</f>
        <v/>
      </c>
      <c r="U836" s="24" t="str">
        <f>IF(R836&lt;&gt;"",SUMIFS(JPK_KR!AL:AL,JPK_KR!W:W,S836),"")</f>
        <v/>
      </c>
      <c r="V836" s="126" t="str">
        <f>IF(R836&lt;&gt;"",SUMIFS(JPK_KR!AM:AM,JPK_KR!W:W,S836),"")</f>
        <v/>
      </c>
    </row>
    <row r="837" spans="3:22" x14ac:dyDescent="0.3">
      <c r="C837" s="24" t="str">
        <f>IF(A837&lt;&gt;"",SUMIFS(JPK_KR!AL:AL,JPK_KR!W:W,B837),"")</f>
        <v/>
      </c>
      <c r="D837" s="126" t="str">
        <f>IF(A837&lt;&gt;"",SUMIFS(JPK_KR!AM:AM,JPK_KR!W:W,B837),"")</f>
        <v/>
      </c>
      <c r="G837" s="24" t="str">
        <f>IF(E837&lt;&gt;"",SUMIFS(JPK_KR!AL:AL,JPK_KR!W:W,F837),"")</f>
        <v/>
      </c>
      <c r="H837" s="126" t="str">
        <f>IF(E837&lt;&gt;"",SUMIFS(JPK_KR!AM:AM,JPK_KR!W:W,F837),"")</f>
        <v/>
      </c>
      <c r="K837" s="24" t="str">
        <f>IF(I837&lt;&gt;"",SUMIFS(JPK_KR!AL:AL,JPK_KR!W:W,J837),"")</f>
        <v/>
      </c>
      <c r="L837" s="126" t="str">
        <f>IF(I837&lt;&gt;"",SUMIFS(JPK_KR!AM:AM,JPK_KR!W:W,J837),"")</f>
        <v/>
      </c>
      <c r="P837" s="24" t="str">
        <f>IF(M837&lt;&gt;"",IF(O837="",SUMIFS(JPK_KR!AL:AL,JPK_KR!W:W,N837),SUMIFS(JPK_KR!BF:BF,JPK_KR!BE:BE,N837,JPK_KR!BG:BG,O837)),"")</f>
        <v/>
      </c>
      <c r="Q837" s="126" t="str">
        <f>IF(M837&lt;&gt;"",IF(O837="",SUMIFS(JPK_KR!AM:AM,JPK_KR!W:W,N837),SUMIFS(JPK_KR!BI:BI,JPK_KR!BH:BH,N837,JPK_KR!BJ:BJ,O837)),"")</f>
        <v/>
      </c>
      <c r="U837" s="24" t="str">
        <f>IF(R837&lt;&gt;"",SUMIFS(JPK_KR!AL:AL,JPK_KR!W:W,S837),"")</f>
        <v/>
      </c>
      <c r="V837" s="126" t="str">
        <f>IF(R837&lt;&gt;"",SUMIFS(JPK_KR!AM:AM,JPK_KR!W:W,S837),"")</f>
        <v/>
      </c>
    </row>
    <row r="838" spans="3:22" x14ac:dyDescent="0.3">
      <c r="C838" s="24" t="str">
        <f>IF(A838&lt;&gt;"",SUMIFS(JPK_KR!AL:AL,JPK_KR!W:W,B838),"")</f>
        <v/>
      </c>
      <c r="D838" s="126" t="str">
        <f>IF(A838&lt;&gt;"",SUMIFS(JPK_KR!AM:AM,JPK_KR!W:W,B838),"")</f>
        <v/>
      </c>
      <c r="G838" s="24" t="str">
        <f>IF(E838&lt;&gt;"",SUMIFS(JPK_KR!AL:AL,JPK_KR!W:W,F838),"")</f>
        <v/>
      </c>
      <c r="H838" s="126" t="str">
        <f>IF(E838&lt;&gt;"",SUMIFS(JPK_KR!AM:AM,JPK_KR!W:W,F838),"")</f>
        <v/>
      </c>
      <c r="K838" s="24" t="str">
        <f>IF(I838&lt;&gt;"",SUMIFS(JPK_KR!AL:AL,JPK_KR!W:W,J838),"")</f>
        <v/>
      </c>
      <c r="L838" s="126" t="str">
        <f>IF(I838&lt;&gt;"",SUMIFS(JPK_KR!AM:AM,JPK_KR!W:W,J838),"")</f>
        <v/>
      </c>
      <c r="P838" s="24" t="str">
        <f>IF(M838&lt;&gt;"",IF(O838="",SUMIFS(JPK_KR!AL:AL,JPK_KR!W:W,N838),SUMIFS(JPK_KR!BF:BF,JPK_KR!BE:BE,N838,JPK_KR!BG:BG,O838)),"")</f>
        <v/>
      </c>
      <c r="Q838" s="126" t="str">
        <f>IF(M838&lt;&gt;"",IF(O838="",SUMIFS(JPK_KR!AM:AM,JPK_KR!W:W,N838),SUMIFS(JPK_KR!BI:BI,JPK_KR!BH:BH,N838,JPK_KR!BJ:BJ,O838)),"")</f>
        <v/>
      </c>
      <c r="U838" s="24" t="str">
        <f>IF(R838&lt;&gt;"",SUMIFS(JPK_KR!AL:AL,JPK_KR!W:W,S838),"")</f>
        <v/>
      </c>
      <c r="V838" s="126" t="str">
        <f>IF(R838&lt;&gt;"",SUMIFS(JPK_KR!AM:AM,JPK_KR!W:W,S838),"")</f>
        <v/>
      </c>
    </row>
    <row r="839" spans="3:22" x14ac:dyDescent="0.3">
      <c r="C839" s="24" t="str">
        <f>IF(A839&lt;&gt;"",SUMIFS(JPK_KR!AL:AL,JPK_KR!W:W,B839),"")</f>
        <v/>
      </c>
      <c r="D839" s="126" t="str">
        <f>IF(A839&lt;&gt;"",SUMIFS(JPK_KR!AM:AM,JPK_KR!W:W,B839),"")</f>
        <v/>
      </c>
      <c r="G839" s="24" t="str">
        <f>IF(E839&lt;&gt;"",SUMIFS(JPK_KR!AL:AL,JPK_KR!W:W,F839),"")</f>
        <v/>
      </c>
      <c r="H839" s="126" t="str">
        <f>IF(E839&lt;&gt;"",SUMIFS(JPK_KR!AM:AM,JPK_KR!W:W,F839),"")</f>
        <v/>
      </c>
      <c r="K839" s="24" t="str">
        <f>IF(I839&lt;&gt;"",SUMIFS(JPK_KR!AL:AL,JPK_KR!W:W,J839),"")</f>
        <v/>
      </c>
      <c r="L839" s="126" t="str">
        <f>IF(I839&lt;&gt;"",SUMIFS(JPK_KR!AM:AM,JPK_KR!W:W,J839),"")</f>
        <v/>
      </c>
      <c r="P839" s="24" t="str">
        <f>IF(M839&lt;&gt;"",IF(O839="",SUMIFS(JPK_KR!AL:AL,JPK_KR!W:W,N839),SUMIFS(JPK_KR!BF:BF,JPK_KR!BE:BE,N839,JPK_KR!BG:BG,O839)),"")</f>
        <v/>
      </c>
      <c r="Q839" s="126" t="str">
        <f>IF(M839&lt;&gt;"",IF(O839="",SUMIFS(JPK_KR!AM:AM,JPK_KR!W:W,N839),SUMIFS(JPK_KR!BI:BI,JPK_KR!BH:BH,N839,JPK_KR!BJ:BJ,O839)),"")</f>
        <v/>
      </c>
      <c r="U839" s="24" t="str">
        <f>IF(R839&lt;&gt;"",SUMIFS(JPK_KR!AL:AL,JPK_KR!W:W,S839),"")</f>
        <v/>
      </c>
      <c r="V839" s="126" t="str">
        <f>IF(R839&lt;&gt;"",SUMIFS(JPK_KR!AM:AM,JPK_KR!W:W,S839),"")</f>
        <v/>
      </c>
    </row>
    <row r="840" spans="3:22" x14ac:dyDescent="0.3">
      <c r="C840" s="24" t="str">
        <f>IF(A840&lt;&gt;"",SUMIFS(JPK_KR!AL:AL,JPK_KR!W:W,B840),"")</f>
        <v/>
      </c>
      <c r="D840" s="126" t="str">
        <f>IF(A840&lt;&gt;"",SUMIFS(JPK_KR!AM:AM,JPK_KR!W:W,B840),"")</f>
        <v/>
      </c>
      <c r="G840" s="24" t="str">
        <f>IF(E840&lt;&gt;"",SUMIFS(JPK_KR!AL:AL,JPK_KR!W:W,F840),"")</f>
        <v/>
      </c>
      <c r="H840" s="126" t="str">
        <f>IF(E840&lt;&gt;"",SUMIFS(JPK_KR!AM:AM,JPK_KR!W:W,F840),"")</f>
        <v/>
      </c>
      <c r="K840" s="24" t="str">
        <f>IF(I840&lt;&gt;"",SUMIFS(JPK_KR!AL:AL,JPK_KR!W:W,J840),"")</f>
        <v/>
      </c>
      <c r="L840" s="126" t="str">
        <f>IF(I840&lt;&gt;"",SUMIFS(JPK_KR!AM:AM,JPK_KR!W:W,J840),"")</f>
        <v/>
      </c>
      <c r="P840" s="24" t="str">
        <f>IF(M840&lt;&gt;"",IF(O840="",SUMIFS(JPK_KR!AL:AL,JPK_KR!W:W,N840),SUMIFS(JPK_KR!BF:BF,JPK_KR!BE:BE,N840,JPK_KR!BG:BG,O840)),"")</f>
        <v/>
      </c>
      <c r="Q840" s="126" t="str">
        <f>IF(M840&lt;&gt;"",IF(O840="",SUMIFS(JPK_KR!AM:AM,JPK_KR!W:W,N840),SUMIFS(JPK_KR!BI:BI,JPK_KR!BH:BH,N840,JPK_KR!BJ:BJ,O840)),"")</f>
        <v/>
      </c>
      <c r="U840" s="24" t="str">
        <f>IF(R840&lt;&gt;"",SUMIFS(JPK_KR!AL:AL,JPK_KR!W:W,S840),"")</f>
        <v/>
      </c>
      <c r="V840" s="126" t="str">
        <f>IF(R840&lt;&gt;"",SUMIFS(JPK_KR!AM:AM,JPK_KR!W:W,S840),"")</f>
        <v/>
      </c>
    </row>
    <row r="841" spans="3:22" x14ac:dyDescent="0.3">
      <c r="C841" s="24" t="str">
        <f>IF(A841&lt;&gt;"",SUMIFS(JPK_KR!AL:AL,JPK_KR!W:W,B841),"")</f>
        <v/>
      </c>
      <c r="D841" s="126" t="str">
        <f>IF(A841&lt;&gt;"",SUMIFS(JPK_KR!AM:AM,JPK_KR!W:W,B841),"")</f>
        <v/>
      </c>
      <c r="G841" s="24" t="str">
        <f>IF(E841&lt;&gt;"",SUMIFS(JPK_KR!AL:AL,JPK_KR!W:W,F841),"")</f>
        <v/>
      </c>
      <c r="H841" s="126" t="str">
        <f>IF(E841&lt;&gt;"",SUMIFS(JPK_KR!AM:AM,JPK_KR!W:W,F841),"")</f>
        <v/>
      </c>
      <c r="K841" s="24" t="str">
        <f>IF(I841&lt;&gt;"",SUMIFS(JPK_KR!AL:AL,JPK_KR!W:W,J841),"")</f>
        <v/>
      </c>
      <c r="L841" s="126" t="str">
        <f>IF(I841&lt;&gt;"",SUMIFS(JPK_KR!AM:AM,JPK_KR!W:W,J841),"")</f>
        <v/>
      </c>
      <c r="P841" s="24" t="str">
        <f>IF(M841&lt;&gt;"",IF(O841="",SUMIFS(JPK_KR!AL:AL,JPK_KR!W:W,N841),SUMIFS(JPK_KR!BF:BF,JPK_KR!BE:BE,N841,JPK_KR!BG:BG,O841)),"")</f>
        <v/>
      </c>
      <c r="Q841" s="126" t="str">
        <f>IF(M841&lt;&gt;"",IF(O841="",SUMIFS(JPK_KR!AM:AM,JPK_KR!W:W,N841),SUMIFS(JPK_KR!BI:BI,JPK_KR!BH:BH,N841,JPK_KR!BJ:BJ,O841)),"")</f>
        <v/>
      </c>
      <c r="U841" s="24" t="str">
        <f>IF(R841&lt;&gt;"",SUMIFS(JPK_KR!AL:AL,JPK_KR!W:W,S841),"")</f>
        <v/>
      </c>
      <c r="V841" s="126" t="str">
        <f>IF(R841&lt;&gt;"",SUMIFS(JPK_KR!AM:AM,JPK_KR!W:W,S841),"")</f>
        <v/>
      </c>
    </row>
    <row r="842" spans="3:22" x14ac:dyDescent="0.3">
      <c r="C842" s="24" t="str">
        <f>IF(A842&lt;&gt;"",SUMIFS(JPK_KR!AL:AL,JPK_KR!W:W,B842),"")</f>
        <v/>
      </c>
      <c r="D842" s="126" t="str">
        <f>IF(A842&lt;&gt;"",SUMIFS(JPK_KR!AM:AM,JPK_KR!W:W,B842),"")</f>
        <v/>
      </c>
      <c r="G842" s="24" t="str">
        <f>IF(E842&lt;&gt;"",SUMIFS(JPK_KR!AL:AL,JPK_KR!W:W,F842),"")</f>
        <v/>
      </c>
      <c r="H842" s="126" t="str">
        <f>IF(E842&lt;&gt;"",SUMIFS(JPK_KR!AM:AM,JPK_KR!W:W,F842),"")</f>
        <v/>
      </c>
      <c r="K842" s="24" t="str">
        <f>IF(I842&lt;&gt;"",SUMIFS(JPK_KR!AL:AL,JPK_KR!W:W,J842),"")</f>
        <v/>
      </c>
      <c r="L842" s="126" t="str">
        <f>IF(I842&lt;&gt;"",SUMIFS(JPK_KR!AM:AM,JPK_KR!W:W,J842),"")</f>
        <v/>
      </c>
      <c r="P842" s="24" t="str">
        <f>IF(M842&lt;&gt;"",IF(O842="",SUMIFS(JPK_KR!AL:AL,JPK_KR!W:W,N842),SUMIFS(JPK_KR!BF:BF,JPK_KR!BE:BE,N842,JPK_KR!BG:BG,O842)),"")</f>
        <v/>
      </c>
      <c r="Q842" s="126" t="str">
        <f>IF(M842&lt;&gt;"",IF(O842="",SUMIFS(JPK_KR!AM:AM,JPK_KR!W:W,N842),SUMIFS(JPK_KR!BI:BI,JPK_KR!BH:BH,N842,JPK_KR!BJ:BJ,O842)),"")</f>
        <v/>
      </c>
      <c r="U842" s="24" t="str">
        <f>IF(R842&lt;&gt;"",SUMIFS(JPK_KR!AL:AL,JPK_KR!W:W,S842),"")</f>
        <v/>
      </c>
      <c r="V842" s="126" t="str">
        <f>IF(R842&lt;&gt;"",SUMIFS(JPK_KR!AM:AM,JPK_KR!W:W,S842),"")</f>
        <v/>
      </c>
    </row>
    <row r="843" spans="3:22" x14ac:dyDescent="0.3">
      <c r="C843" s="24" t="str">
        <f>IF(A843&lt;&gt;"",SUMIFS(JPK_KR!AL:AL,JPK_KR!W:W,B843),"")</f>
        <v/>
      </c>
      <c r="D843" s="126" t="str">
        <f>IF(A843&lt;&gt;"",SUMIFS(JPK_KR!AM:AM,JPK_KR!W:W,B843),"")</f>
        <v/>
      </c>
      <c r="G843" s="24" t="str">
        <f>IF(E843&lt;&gt;"",SUMIFS(JPK_KR!AL:AL,JPK_KR!W:W,F843),"")</f>
        <v/>
      </c>
      <c r="H843" s="126" t="str">
        <f>IF(E843&lt;&gt;"",SUMIFS(JPK_KR!AM:AM,JPK_KR!W:W,F843),"")</f>
        <v/>
      </c>
      <c r="K843" s="24" t="str">
        <f>IF(I843&lt;&gt;"",SUMIFS(JPK_KR!AL:AL,JPK_KR!W:W,J843),"")</f>
        <v/>
      </c>
      <c r="L843" s="126" t="str">
        <f>IF(I843&lt;&gt;"",SUMIFS(JPK_KR!AM:AM,JPK_KR!W:W,J843),"")</f>
        <v/>
      </c>
      <c r="P843" s="24" t="str">
        <f>IF(M843&lt;&gt;"",IF(O843="",SUMIFS(JPK_KR!AL:AL,JPK_KR!W:W,N843),SUMIFS(JPK_KR!BF:BF,JPK_KR!BE:BE,N843,JPK_KR!BG:BG,O843)),"")</f>
        <v/>
      </c>
      <c r="Q843" s="126" t="str">
        <f>IF(M843&lt;&gt;"",IF(O843="",SUMIFS(JPK_KR!AM:AM,JPK_KR!W:W,N843),SUMIFS(JPK_KR!BI:BI,JPK_KR!BH:BH,N843,JPK_KR!BJ:BJ,O843)),"")</f>
        <v/>
      </c>
      <c r="U843" s="24" t="str">
        <f>IF(R843&lt;&gt;"",SUMIFS(JPK_KR!AL:AL,JPK_KR!W:W,S843),"")</f>
        <v/>
      </c>
      <c r="V843" s="126" t="str">
        <f>IF(R843&lt;&gt;"",SUMIFS(JPK_KR!AM:AM,JPK_KR!W:W,S843),"")</f>
        <v/>
      </c>
    </row>
    <row r="844" spans="3:22" x14ac:dyDescent="0.3">
      <c r="C844" s="24" t="str">
        <f>IF(A844&lt;&gt;"",SUMIFS(JPK_KR!AL:AL,JPK_KR!W:W,B844),"")</f>
        <v/>
      </c>
      <c r="D844" s="126" t="str">
        <f>IF(A844&lt;&gt;"",SUMIFS(JPK_KR!AM:AM,JPK_KR!W:W,B844),"")</f>
        <v/>
      </c>
      <c r="G844" s="24" t="str">
        <f>IF(E844&lt;&gt;"",SUMIFS(JPK_KR!AL:AL,JPK_KR!W:W,F844),"")</f>
        <v/>
      </c>
      <c r="H844" s="126" t="str">
        <f>IF(E844&lt;&gt;"",SUMIFS(JPK_KR!AM:AM,JPK_KR!W:W,F844),"")</f>
        <v/>
      </c>
      <c r="K844" s="24" t="str">
        <f>IF(I844&lt;&gt;"",SUMIFS(JPK_KR!AL:AL,JPK_KR!W:W,J844),"")</f>
        <v/>
      </c>
      <c r="L844" s="126" t="str">
        <f>IF(I844&lt;&gt;"",SUMIFS(JPK_KR!AM:AM,JPK_KR!W:W,J844),"")</f>
        <v/>
      </c>
      <c r="P844" s="24" t="str">
        <f>IF(M844&lt;&gt;"",IF(O844="",SUMIFS(JPK_KR!AL:AL,JPK_KR!W:W,N844),SUMIFS(JPK_KR!BF:BF,JPK_KR!BE:BE,N844,JPK_KR!BG:BG,O844)),"")</f>
        <v/>
      </c>
      <c r="Q844" s="126" t="str">
        <f>IF(M844&lt;&gt;"",IF(O844="",SUMIFS(JPK_KR!AM:AM,JPK_KR!W:W,N844),SUMIFS(JPK_KR!BI:BI,JPK_KR!BH:BH,N844,JPK_KR!BJ:BJ,O844)),"")</f>
        <v/>
      </c>
      <c r="U844" s="24" t="str">
        <f>IF(R844&lt;&gt;"",SUMIFS(JPK_KR!AL:AL,JPK_KR!W:W,S844),"")</f>
        <v/>
      </c>
      <c r="V844" s="126" t="str">
        <f>IF(R844&lt;&gt;"",SUMIFS(JPK_KR!AM:AM,JPK_KR!W:W,S844),"")</f>
        <v/>
      </c>
    </row>
    <row r="845" spans="3:22" x14ac:dyDescent="0.3">
      <c r="C845" s="24" t="str">
        <f>IF(A845&lt;&gt;"",SUMIFS(JPK_KR!AL:AL,JPK_KR!W:W,B845),"")</f>
        <v/>
      </c>
      <c r="D845" s="126" t="str">
        <f>IF(A845&lt;&gt;"",SUMIFS(JPK_KR!AM:AM,JPK_KR!W:W,B845),"")</f>
        <v/>
      </c>
      <c r="G845" s="24" t="str">
        <f>IF(E845&lt;&gt;"",SUMIFS(JPK_KR!AL:AL,JPK_KR!W:W,F845),"")</f>
        <v/>
      </c>
      <c r="H845" s="126" t="str">
        <f>IF(E845&lt;&gt;"",SUMIFS(JPK_KR!AM:AM,JPK_KR!W:W,F845),"")</f>
        <v/>
      </c>
      <c r="K845" s="24" t="str">
        <f>IF(I845&lt;&gt;"",SUMIFS(JPK_KR!AL:AL,JPK_KR!W:W,J845),"")</f>
        <v/>
      </c>
      <c r="L845" s="126" t="str">
        <f>IF(I845&lt;&gt;"",SUMIFS(JPK_KR!AM:AM,JPK_KR!W:W,J845),"")</f>
        <v/>
      </c>
      <c r="P845" s="24" t="str">
        <f>IF(M845&lt;&gt;"",IF(O845="",SUMIFS(JPK_KR!AL:AL,JPK_KR!W:W,N845),SUMIFS(JPK_KR!BF:BF,JPK_KR!BE:BE,N845,JPK_KR!BG:BG,O845)),"")</f>
        <v/>
      </c>
      <c r="Q845" s="126" t="str">
        <f>IF(M845&lt;&gt;"",IF(O845="",SUMIFS(JPK_KR!AM:AM,JPK_KR!W:W,N845),SUMIFS(JPK_KR!BI:BI,JPK_KR!BH:BH,N845,JPK_KR!BJ:BJ,O845)),"")</f>
        <v/>
      </c>
      <c r="U845" s="24" t="str">
        <f>IF(R845&lt;&gt;"",SUMIFS(JPK_KR!AL:AL,JPK_KR!W:W,S845),"")</f>
        <v/>
      </c>
      <c r="V845" s="126" t="str">
        <f>IF(R845&lt;&gt;"",SUMIFS(JPK_KR!AM:AM,JPK_KR!W:W,S845),"")</f>
        <v/>
      </c>
    </row>
    <row r="846" spans="3:22" x14ac:dyDescent="0.3">
      <c r="C846" s="24" t="str">
        <f>IF(A846&lt;&gt;"",SUMIFS(JPK_KR!AL:AL,JPK_KR!W:W,B846),"")</f>
        <v/>
      </c>
      <c r="D846" s="126" t="str">
        <f>IF(A846&lt;&gt;"",SUMIFS(JPK_KR!AM:AM,JPK_KR!W:W,B846),"")</f>
        <v/>
      </c>
      <c r="G846" s="24" t="str">
        <f>IF(E846&lt;&gt;"",SUMIFS(JPK_KR!AL:AL,JPK_KR!W:W,F846),"")</f>
        <v/>
      </c>
      <c r="H846" s="126" t="str">
        <f>IF(E846&lt;&gt;"",SUMIFS(JPK_KR!AM:AM,JPK_KR!W:W,F846),"")</f>
        <v/>
      </c>
      <c r="K846" s="24" t="str">
        <f>IF(I846&lt;&gt;"",SUMIFS(JPK_KR!AL:AL,JPK_KR!W:W,J846),"")</f>
        <v/>
      </c>
      <c r="L846" s="126" t="str">
        <f>IF(I846&lt;&gt;"",SUMIFS(JPK_KR!AM:AM,JPK_KR!W:W,J846),"")</f>
        <v/>
      </c>
      <c r="P846" s="24" t="str">
        <f>IF(M846&lt;&gt;"",IF(O846="",SUMIFS(JPK_KR!AL:AL,JPK_KR!W:W,N846),SUMIFS(JPK_KR!BF:BF,JPK_KR!BE:BE,N846,JPK_KR!BG:BG,O846)),"")</f>
        <v/>
      </c>
      <c r="Q846" s="126" t="str">
        <f>IF(M846&lt;&gt;"",IF(O846="",SUMIFS(JPK_KR!AM:AM,JPK_KR!W:W,N846),SUMIFS(JPK_KR!BI:BI,JPK_KR!BH:BH,N846,JPK_KR!BJ:BJ,O846)),"")</f>
        <v/>
      </c>
      <c r="U846" s="24" t="str">
        <f>IF(R846&lt;&gt;"",SUMIFS(JPK_KR!AL:AL,JPK_KR!W:W,S846),"")</f>
        <v/>
      </c>
      <c r="V846" s="126" t="str">
        <f>IF(R846&lt;&gt;"",SUMIFS(JPK_KR!AM:AM,JPK_KR!W:W,S846),"")</f>
        <v/>
      </c>
    </row>
    <row r="847" spans="3:22" x14ac:dyDescent="0.3">
      <c r="C847" s="24" t="str">
        <f>IF(A847&lt;&gt;"",SUMIFS(JPK_KR!AL:AL,JPK_KR!W:W,B847),"")</f>
        <v/>
      </c>
      <c r="D847" s="126" t="str">
        <f>IF(A847&lt;&gt;"",SUMIFS(JPK_KR!AM:AM,JPK_KR!W:W,B847),"")</f>
        <v/>
      </c>
      <c r="G847" s="24" t="str">
        <f>IF(E847&lt;&gt;"",SUMIFS(JPK_KR!AL:AL,JPK_KR!W:W,F847),"")</f>
        <v/>
      </c>
      <c r="H847" s="126" t="str">
        <f>IF(E847&lt;&gt;"",SUMIFS(JPK_KR!AM:AM,JPK_KR!W:W,F847),"")</f>
        <v/>
      </c>
      <c r="K847" s="24" t="str">
        <f>IF(I847&lt;&gt;"",SUMIFS(JPK_KR!AL:AL,JPK_KR!W:W,J847),"")</f>
        <v/>
      </c>
      <c r="L847" s="126" t="str">
        <f>IF(I847&lt;&gt;"",SUMIFS(JPK_KR!AM:AM,JPK_KR!W:W,J847),"")</f>
        <v/>
      </c>
      <c r="P847" s="24" t="str">
        <f>IF(M847&lt;&gt;"",IF(O847="",SUMIFS(JPK_KR!AL:AL,JPK_KR!W:W,N847),SUMIFS(JPK_KR!BF:BF,JPK_KR!BE:BE,N847,JPK_KR!BG:BG,O847)),"")</f>
        <v/>
      </c>
      <c r="Q847" s="126" t="str">
        <f>IF(M847&lt;&gt;"",IF(O847="",SUMIFS(JPK_KR!AM:AM,JPK_KR!W:W,N847),SUMIFS(JPK_KR!BI:BI,JPK_KR!BH:BH,N847,JPK_KR!BJ:BJ,O847)),"")</f>
        <v/>
      </c>
      <c r="U847" s="24" t="str">
        <f>IF(R847&lt;&gt;"",SUMIFS(JPK_KR!AL:AL,JPK_KR!W:W,S847),"")</f>
        <v/>
      </c>
      <c r="V847" s="126" t="str">
        <f>IF(R847&lt;&gt;"",SUMIFS(JPK_KR!AM:AM,JPK_KR!W:W,S847),"")</f>
        <v/>
      </c>
    </row>
    <row r="848" spans="3:22" x14ac:dyDescent="0.3">
      <c r="C848" s="24" t="str">
        <f>IF(A848&lt;&gt;"",SUMIFS(JPK_KR!AL:AL,JPK_KR!W:W,B848),"")</f>
        <v/>
      </c>
      <c r="D848" s="126" t="str">
        <f>IF(A848&lt;&gt;"",SUMIFS(JPK_KR!AM:AM,JPK_KR!W:W,B848),"")</f>
        <v/>
      </c>
      <c r="G848" s="24" t="str">
        <f>IF(E848&lt;&gt;"",SUMIFS(JPK_KR!AL:AL,JPK_KR!W:W,F848),"")</f>
        <v/>
      </c>
      <c r="H848" s="126" t="str">
        <f>IF(E848&lt;&gt;"",SUMIFS(JPK_KR!AM:AM,JPK_KR!W:W,F848),"")</f>
        <v/>
      </c>
      <c r="K848" s="24" t="str">
        <f>IF(I848&lt;&gt;"",SUMIFS(JPK_KR!AL:AL,JPK_KR!W:W,J848),"")</f>
        <v/>
      </c>
      <c r="L848" s="126" t="str">
        <f>IF(I848&lt;&gt;"",SUMIFS(JPK_KR!AM:AM,JPK_KR!W:W,J848),"")</f>
        <v/>
      </c>
      <c r="P848" s="24" t="str">
        <f>IF(M848&lt;&gt;"",IF(O848="",SUMIFS(JPK_KR!AL:AL,JPK_KR!W:W,N848),SUMIFS(JPK_KR!BF:BF,JPK_KR!BE:BE,N848,JPK_KR!BG:BG,O848)),"")</f>
        <v/>
      </c>
      <c r="Q848" s="126" t="str">
        <f>IF(M848&lt;&gt;"",IF(O848="",SUMIFS(JPK_KR!AM:AM,JPK_KR!W:W,N848),SUMIFS(JPK_KR!BI:BI,JPK_KR!BH:BH,N848,JPK_KR!BJ:BJ,O848)),"")</f>
        <v/>
      </c>
      <c r="U848" s="24" t="str">
        <f>IF(R848&lt;&gt;"",SUMIFS(JPK_KR!AL:AL,JPK_KR!W:W,S848),"")</f>
        <v/>
      </c>
      <c r="V848" s="126" t="str">
        <f>IF(R848&lt;&gt;"",SUMIFS(JPK_KR!AM:AM,JPK_KR!W:W,S848),"")</f>
        <v/>
      </c>
    </row>
    <row r="849" spans="3:22" x14ac:dyDescent="0.3">
      <c r="C849" s="24" t="str">
        <f>IF(A849&lt;&gt;"",SUMIFS(JPK_KR!AL:AL,JPK_KR!W:W,B849),"")</f>
        <v/>
      </c>
      <c r="D849" s="126" t="str">
        <f>IF(A849&lt;&gt;"",SUMIFS(JPK_KR!AM:AM,JPK_KR!W:W,B849),"")</f>
        <v/>
      </c>
      <c r="G849" s="24" t="str">
        <f>IF(E849&lt;&gt;"",SUMIFS(JPK_KR!AL:AL,JPK_KR!W:W,F849),"")</f>
        <v/>
      </c>
      <c r="H849" s="126" t="str">
        <f>IF(E849&lt;&gt;"",SUMIFS(JPK_KR!AM:AM,JPK_KR!W:W,F849),"")</f>
        <v/>
      </c>
      <c r="K849" s="24" t="str">
        <f>IF(I849&lt;&gt;"",SUMIFS(JPK_KR!AL:AL,JPK_KR!W:W,J849),"")</f>
        <v/>
      </c>
      <c r="L849" s="126" t="str">
        <f>IF(I849&lt;&gt;"",SUMIFS(JPK_KR!AM:AM,JPK_KR!W:W,J849),"")</f>
        <v/>
      </c>
      <c r="P849" s="24" t="str">
        <f>IF(M849&lt;&gt;"",IF(O849="",SUMIFS(JPK_KR!AL:AL,JPK_KR!W:W,N849),SUMIFS(JPK_KR!BF:BF,JPK_KR!BE:BE,N849,JPK_KR!BG:BG,O849)),"")</f>
        <v/>
      </c>
      <c r="Q849" s="126" t="str">
        <f>IF(M849&lt;&gt;"",IF(O849="",SUMIFS(JPK_KR!AM:AM,JPK_KR!W:W,N849),SUMIFS(JPK_KR!BI:BI,JPK_KR!BH:BH,N849,JPK_KR!BJ:BJ,O849)),"")</f>
        <v/>
      </c>
      <c r="U849" s="24" t="str">
        <f>IF(R849&lt;&gt;"",SUMIFS(JPK_KR!AL:AL,JPK_KR!W:W,S849),"")</f>
        <v/>
      </c>
      <c r="V849" s="126" t="str">
        <f>IF(R849&lt;&gt;"",SUMIFS(JPK_KR!AM:AM,JPK_KR!W:W,S849),"")</f>
        <v/>
      </c>
    </row>
    <row r="850" spans="3:22" x14ac:dyDescent="0.3">
      <c r="C850" s="24" t="str">
        <f>IF(A850&lt;&gt;"",SUMIFS(JPK_KR!AL:AL,JPK_KR!W:W,B850),"")</f>
        <v/>
      </c>
      <c r="D850" s="126" t="str">
        <f>IF(A850&lt;&gt;"",SUMIFS(JPK_KR!AM:AM,JPK_KR!W:W,B850),"")</f>
        <v/>
      </c>
      <c r="G850" s="24" t="str">
        <f>IF(E850&lt;&gt;"",SUMIFS(JPK_KR!AL:AL,JPK_KR!W:W,F850),"")</f>
        <v/>
      </c>
      <c r="H850" s="126" t="str">
        <f>IF(E850&lt;&gt;"",SUMIFS(JPK_KR!AM:AM,JPK_KR!W:W,F850),"")</f>
        <v/>
      </c>
      <c r="K850" s="24" t="str">
        <f>IF(I850&lt;&gt;"",SUMIFS(JPK_KR!AL:AL,JPK_KR!W:W,J850),"")</f>
        <v/>
      </c>
      <c r="L850" s="126" t="str">
        <f>IF(I850&lt;&gt;"",SUMIFS(JPK_KR!AM:AM,JPK_KR!W:W,J850),"")</f>
        <v/>
      </c>
      <c r="P850" s="24" t="str">
        <f>IF(M850&lt;&gt;"",IF(O850="",SUMIFS(JPK_KR!AL:AL,JPK_KR!W:W,N850),SUMIFS(JPK_KR!BF:BF,JPK_KR!BE:BE,N850,JPK_KR!BG:BG,O850)),"")</f>
        <v/>
      </c>
      <c r="Q850" s="126" t="str">
        <f>IF(M850&lt;&gt;"",IF(O850="",SUMIFS(JPK_KR!AM:AM,JPK_KR!W:W,N850),SUMIFS(JPK_KR!BI:BI,JPK_KR!BH:BH,N850,JPK_KR!BJ:BJ,O850)),"")</f>
        <v/>
      </c>
      <c r="U850" s="24" t="str">
        <f>IF(R850&lt;&gt;"",SUMIFS(JPK_KR!AL:AL,JPK_KR!W:W,S850),"")</f>
        <v/>
      </c>
      <c r="V850" s="126" t="str">
        <f>IF(R850&lt;&gt;"",SUMIFS(JPK_KR!AM:AM,JPK_KR!W:W,S850),"")</f>
        <v/>
      </c>
    </row>
    <row r="851" spans="3:22" x14ac:dyDescent="0.3">
      <c r="C851" s="24" t="str">
        <f>IF(A851&lt;&gt;"",SUMIFS(JPK_KR!AL:AL,JPK_KR!W:W,B851),"")</f>
        <v/>
      </c>
      <c r="D851" s="126" t="str">
        <f>IF(A851&lt;&gt;"",SUMIFS(JPK_KR!AM:AM,JPK_KR!W:W,B851),"")</f>
        <v/>
      </c>
      <c r="G851" s="24" t="str">
        <f>IF(E851&lt;&gt;"",SUMIFS(JPK_KR!AL:AL,JPK_KR!W:W,F851),"")</f>
        <v/>
      </c>
      <c r="H851" s="126" t="str">
        <f>IF(E851&lt;&gt;"",SUMIFS(JPK_KR!AM:AM,JPK_KR!W:W,F851),"")</f>
        <v/>
      </c>
      <c r="K851" s="24" t="str">
        <f>IF(I851&lt;&gt;"",SUMIFS(JPK_KR!AL:AL,JPK_KR!W:W,J851),"")</f>
        <v/>
      </c>
      <c r="L851" s="126" t="str">
        <f>IF(I851&lt;&gt;"",SUMIFS(JPK_KR!AM:AM,JPK_KR!W:W,J851),"")</f>
        <v/>
      </c>
      <c r="P851" s="24" t="str">
        <f>IF(M851&lt;&gt;"",IF(O851="",SUMIFS(JPK_KR!AL:AL,JPK_KR!W:W,N851),SUMIFS(JPK_KR!BF:BF,JPK_KR!BE:BE,N851,JPK_KR!BG:BG,O851)),"")</f>
        <v/>
      </c>
      <c r="Q851" s="126" t="str">
        <f>IF(M851&lt;&gt;"",IF(O851="",SUMIFS(JPK_KR!AM:AM,JPK_KR!W:W,N851),SUMIFS(JPK_KR!BI:BI,JPK_KR!BH:BH,N851,JPK_KR!BJ:BJ,O851)),"")</f>
        <v/>
      </c>
      <c r="U851" s="24" t="str">
        <f>IF(R851&lt;&gt;"",SUMIFS(JPK_KR!AL:AL,JPK_KR!W:W,S851),"")</f>
        <v/>
      </c>
      <c r="V851" s="126" t="str">
        <f>IF(R851&lt;&gt;"",SUMIFS(JPK_KR!AM:AM,JPK_KR!W:W,S851),"")</f>
        <v/>
      </c>
    </row>
    <row r="852" spans="3:22" x14ac:dyDescent="0.3">
      <c r="C852" s="24" t="str">
        <f>IF(A852&lt;&gt;"",SUMIFS(JPK_KR!AL:AL,JPK_KR!W:W,B852),"")</f>
        <v/>
      </c>
      <c r="D852" s="126" t="str">
        <f>IF(A852&lt;&gt;"",SUMIFS(JPK_KR!AM:AM,JPK_KR!W:W,B852),"")</f>
        <v/>
      </c>
      <c r="G852" s="24" t="str">
        <f>IF(E852&lt;&gt;"",SUMIFS(JPK_KR!AL:AL,JPK_KR!W:W,F852),"")</f>
        <v/>
      </c>
      <c r="H852" s="126" t="str">
        <f>IF(E852&lt;&gt;"",SUMIFS(JPK_KR!AM:AM,JPK_KR!W:W,F852),"")</f>
        <v/>
      </c>
      <c r="K852" s="24" t="str">
        <f>IF(I852&lt;&gt;"",SUMIFS(JPK_KR!AL:AL,JPK_KR!W:W,J852),"")</f>
        <v/>
      </c>
      <c r="L852" s="126" t="str">
        <f>IF(I852&lt;&gt;"",SUMIFS(JPK_KR!AM:AM,JPK_KR!W:W,J852),"")</f>
        <v/>
      </c>
      <c r="P852" s="24" t="str">
        <f>IF(M852&lt;&gt;"",IF(O852="",SUMIFS(JPK_KR!AL:AL,JPK_KR!W:W,N852),SUMIFS(JPK_KR!BF:BF,JPK_KR!BE:BE,N852,JPK_KR!BG:BG,O852)),"")</f>
        <v/>
      </c>
      <c r="Q852" s="126" t="str">
        <f>IF(M852&lt;&gt;"",IF(O852="",SUMIFS(JPK_KR!AM:AM,JPK_KR!W:W,N852),SUMIFS(JPK_KR!BI:BI,JPK_KR!BH:BH,N852,JPK_KR!BJ:BJ,O852)),"")</f>
        <v/>
      </c>
      <c r="U852" s="24" t="str">
        <f>IF(R852&lt;&gt;"",SUMIFS(JPK_KR!AL:AL,JPK_KR!W:W,S852),"")</f>
        <v/>
      </c>
      <c r="V852" s="126" t="str">
        <f>IF(R852&lt;&gt;"",SUMIFS(JPK_KR!AM:AM,JPK_KR!W:W,S852),"")</f>
        <v/>
      </c>
    </row>
    <row r="853" spans="3:22" x14ac:dyDescent="0.3">
      <c r="C853" s="24" t="str">
        <f>IF(A853&lt;&gt;"",SUMIFS(JPK_KR!AL:AL,JPK_KR!W:W,B853),"")</f>
        <v/>
      </c>
      <c r="D853" s="126" t="str">
        <f>IF(A853&lt;&gt;"",SUMIFS(JPK_KR!AM:AM,JPK_KR!W:W,B853),"")</f>
        <v/>
      </c>
      <c r="G853" s="24" t="str">
        <f>IF(E853&lt;&gt;"",SUMIFS(JPK_KR!AL:AL,JPK_KR!W:W,F853),"")</f>
        <v/>
      </c>
      <c r="H853" s="126" t="str">
        <f>IF(E853&lt;&gt;"",SUMIFS(JPK_KR!AM:AM,JPK_KR!W:W,F853),"")</f>
        <v/>
      </c>
      <c r="K853" s="24" t="str">
        <f>IF(I853&lt;&gt;"",SUMIFS(JPK_KR!AL:AL,JPK_KR!W:W,J853),"")</f>
        <v/>
      </c>
      <c r="L853" s="126" t="str">
        <f>IF(I853&lt;&gt;"",SUMIFS(JPK_KR!AM:AM,JPK_KR!W:W,J853),"")</f>
        <v/>
      </c>
      <c r="P853" s="24" t="str">
        <f>IF(M853&lt;&gt;"",IF(O853="",SUMIFS(JPK_KR!AL:AL,JPK_KR!W:W,N853),SUMIFS(JPK_KR!BF:BF,JPK_KR!BE:BE,N853,JPK_KR!BG:BG,O853)),"")</f>
        <v/>
      </c>
      <c r="Q853" s="126" t="str">
        <f>IF(M853&lt;&gt;"",IF(O853="",SUMIFS(JPK_KR!AM:AM,JPK_KR!W:W,N853),SUMIFS(JPK_KR!BI:BI,JPK_KR!BH:BH,N853,JPK_KR!BJ:BJ,O853)),"")</f>
        <v/>
      </c>
      <c r="U853" s="24" t="str">
        <f>IF(R853&lt;&gt;"",SUMIFS(JPK_KR!AL:AL,JPK_KR!W:W,S853),"")</f>
        <v/>
      </c>
      <c r="V853" s="126" t="str">
        <f>IF(R853&lt;&gt;"",SUMIFS(JPK_KR!AM:AM,JPK_KR!W:W,S853),"")</f>
        <v/>
      </c>
    </row>
    <row r="854" spans="3:22" x14ac:dyDescent="0.3">
      <c r="C854" s="24" t="str">
        <f>IF(A854&lt;&gt;"",SUMIFS(JPK_KR!AL:AL,JPK_KR!W:W,B854),"")</f>
        <v/>
      </c>
      <c r="D854" s="126" t="str">
        <f>IF(A854&lt;&gt;"",SUMIFS(JPK_KR!AM:AM,JPK_KR!W:W,B854),"")</f>
        <v/>
      </c>
      <c r="G854" s="24" t="str">
        <f>IF(E854&lt;&gt;"",SUMIFS(JPK_KR!AL:AL,JPK_KR!W:W,F854),"")</f>
        <v/>
      </c>
      <c r="H854" s="126" t="str">
        <f>IF(E854&lt;&gt;"",SUMIFS(JPK_KR!AM:AM,JPK_KR!W:W,F854),"")</f>
        <v/>
      </c>
      <c r="K854" s="24" t="str">
        <f>IF(I854&lt;&gt;"",SUMIFS(JPK_KR!AL:AL,JPK_KR!W:W,J854),"")</f>
        <v/>
      </c>
      <c r="L854" s="126" t="str">
        <f>IF(I854&lt;&gt;"",SUMIFS(JPK_KR!AM:AM,JPK_KR!W:W,J854),"")</f>
        <v/>
      </c>
      <c r="P854" s="24" t="str">
        <f>IF(M854&lt;&gt;"",IF(O854="",SUMIFS(JPK_KR!AL:AL,JPK_KR!W:W,N854),SUMIFS(JPK_KR!BF:BF,JPK_KR!BE:BE,N854,JPK_KR!BG:BG,O854)),"")</f>
        <v/>
      </c>
      <c r="Q854" s="126" t="str">
        <f>IF(M854&lt;&gt;"",IF(O854="",SUMIFS(JPK_KR!AM:AM,JPK_KR!W:W,N854),SUMIFS(JPK_KR!BI:BI,JPK_KR!BH:BH,N854,JPK_KR!BJ:BJ,O854)),"")</f>
        <v/>
      </c>
      <c r="U854" s="24" t="str">
        <f>IF(R854&lt;&gt;"",SUMIFS(JPK_KR!AL:AL,JPK_KR!W:W,S854),"")</f>
        <v/>
      </c>
      <c r="V854" s="126" t="str">
        <f>IF(R854&lt;&gt;"",SUMIFS(JPK_KR!AM:AM,JPK_KR!W:W,S854),"")</f>
        <v/>
      </c>
    </row>
    <row r="855" spans="3:22" x14ac:dyDescent="0.3">
      <c r="C855" s="24" t="str">
        <f>IF(A855&lt;&gt;"",SUMIFS(JPK_KR!AL:AL,JPK_KR!W:W,B855),"")</f>
        <v/>
      </c>
      <c r="D855" s="126" t="str">
        <f>IF(A855&lt;&gt;"",SUMIFS(JPK_KR!AM:AM,JPK_KR!W:W,B855),"")</f>
        <v/>
      </c>
      <c r="G855" s="24" t="str">
        <f>IF(E855&lt;&gt;"",SUMIFS(JPK_KR!AL:AL,JPK_KR!W:W,F855),"")</f>
        <v/>
      </c>
      <c r="H855" s="126" t="str">
        <f>IF(E855&lt;&gt;"",SUMIFS(JPK_KR!AM:AM,JPK_KR!W:W,F855),"")</f>
        <v/>
      </c>
      <c r="K855" s="24" t="str">
        <f>IF(I855&lt;&gt;"",SUMIFS(JPK_KR!AL:AL,JPK_KR!W:W,J855),"")</f>
        <v/>
      </c>
      <c r="L855" s="126" t="str">
        <f>IF(I855&lt;&gt;"",SUMIFS(JPK_KR!AM:AM,JPK_KR!W:W,J855),"")</f>
        <v/>
      </c>
      <c r="P855" s="24" t="str">
        <f>IF(M855&lt;&gt;"",IF(O855="",SUMIFS(JPK_KR!AL:AL,JPK_KR!W:W,N855),SUMIFS(JPK_KR!BF:BF,JPK_KR!BE:BE,N855,JPK_KR!BG:BG,O855)),"")</f>
        <v/>
      </c>
      <c r="Q855" s="126" t="str">
        <f>IF(M855&lt;&gt;"",IF(O855="",SUMIFS(JPK_KR!AM:AM,JPK_KR!W:W,N855),SUMIFS(JPK_KR!BI:BI,JPK_KR!BH:BH,N855,JPK_KR!BJ:BJ,O855)),"")</f>
        <v/>
      </c>
      <c r="U855" s="24" t="str">
        <f>IF(R855&lt;&gt;"",SUMIFS(JPK_KR!AL:AL,JPK_KR!W:W,S855),"")</f>
        <v/>
      </c>
      <c r="V855" s="126" t="str">
        <f>IF(R855&lt;&gt;"",SUMIFS(JPK_KR!AM:AM,JPK_KR!W:W,S855),"")</f>
        <v/>
      </c>
    </row>
    <row r="856" spans="3:22" x14ac:dyDescent="0.3">
      <c r="C856" s="24" t="str">
        <f>IF(A856&lt;&gt;"",SUMIFS(JPK_KR!AL:AL,JPK_KR!W:W,B856),"")</f>
        <v/>
      </c>
      <c r="D856" s="126" t="str">
        <f>IF(A856&lt;&gt;"",SUMIFS(JPK_KR!AM:AM,JPK_KR!W:W,B856),"")</f>
        <v/>
      </c>
      <c r="G856" s="24" t="str">
        <f>IF(E856&lt;&gt;"",SUMIFS(JPK_KR!AL:AL,JPK_KR!W:W,F856),"")</f>
        <v/>
      </c>
      <c r="H856" s="126" t="str">
        <f>IF(E856&lt;&gt;"",SUMIFS(JPK_KR!AM:AM,JPK_KR!W:W,F856),"")</f>
        <v/>
      </c>
      <c r="K856" s="24" t="str">
        <f>IF(I856&lt;&gt;"",SUMIFS(JPK_KR!AL:AL,JPK_KR!W:W,J856),"")</f>
        <v/>
      </c>
      <c r="L856" s="126" t="str">
        <f>IF(I856&lt;&gt;"",SUMIFS(JPK_KR!AM:AM,JPK_KR!W:W,J856),"")</f>
        <v/>
      </c>
      <c r="P856" s="24" t="str">
        <f>IF(M856&lt;&gt;"",IF(O856="",SUMIFS(JPK_KR!AL:AL,JPK_KR!W:W,N856),SUMIFS(JPK_KR!BF:BF,JPK_KR!BE:BE,N856,JPK_KR!BG:BG,O856)),"")</f>
        <v/>
      </c>
      <c r="Q856" s="126" t="str">
        <f>IF(M856&lt;&gt;"",IF(O856="",SUMIFS(JPK_KR!AM:AM,JPK_KR!W:W,N856),SUMIFS(JPK_KR!BI:BI,JPK_KR!BH:BH,N856,JPK_KR!BJ:BJ,O856)),"")</f>
        <v/>
      </c>
      <c r="U856" s="24" t="str">
        <f>IF(R856&lt;&gt;"",SUMIFS(JPK_KR!AL:AL,JPK_KR!W:W,S856),"")</f>
        <v/>
      </c>
      <c r="V856" s="126" t="str">
        <f>IF(R856&lt;&gt;"",SUMIFS(JPK_KR!AM:AM,JPK_KR!W:W,S856),"")</f>
        <v/>
      </c>
    </row>
    <row r="857" spans="3:22" x14ac:dyDescent="0.3">
      <c r="C857" s="24" t="str">
        <f>IF(A857&lt;&gt;"",SUMIFS(JPK_KR!AL:AL,JPK_KR!W:W,B857),"")</f>
        <v/>
      </c>
      <c r="D857" s="126" t="str">
        <f>IF(A857&lt;&gt;"",SUMIFS(JPK_KR!AM:AM,JPK_KR!W:W,B857),"")</f>
        <v/>
      </c>
      <c r="G857" s="24" t="str">
        <f>IF(E857&lt;&gt;"",SUMIFS(JPK_KR!AL:AL,JPK_KR!W:W,F857),"")</f>
        <v/>
      </c>
      <c r="H857" s="126" t="str">
        <f>IF(E857&lt;&gt;"",SUMIFS(JPK_KR!AM:AM,JPK_KR!W:W,F857),"")</f>
        <v/>
      </c>
      <c r="K857" s="24" t="str">
        <f>IF(I857&lt;&gt;"",SUMIFS(JPK_KR!AL:AL,JPK_KR!W:W,J857),"")</f>
        <v/>
      </c>
      <c r="L857" s="126" t="str">
        <f>IF(I857&lt;&gt;"",SUMIFS(JPK_KR!AM:AM,JPK_KR!W:W,J857),"")</f>
        <v/>
      </c>
      <c r="P857" s="24" t="str">
        <f>IF(M857&lt;&gt;"",IF(O857="",SUMIFS(JPK_KR!AL:AL,JPK_KR!W:W,N857),SUMIFS(JPK_KR!BF:BF,JPK_KR!BE:BE,N857,JPK_KR!BG:BG,O857)),"")</f>
        <v/>
      </c>
      <c r="Q857" s="126" t="str">
        <f>IF(M857&lt;&gt;"",IF(O857="",SUMIFS(JPK_KR!AM:AM,JPK_KR!W:W,N857),SUMIFS(JPK_KR!BI:BI,JPK_KR!BH:BH,N857,JPK_KR!BJ:BJ,O857)),"")</f>
        <v/>
      </c>
      <c r="U857" s="24" t="str">
        <f>IF(R857&lt;&gt;"",SUMIFS(JPK_KR!AL:AL,JPK_KR!W:W,S857),"")</f>
        <v/>
      </c>
      <c r="V857" s="126" t="str">
        <f>IF(R857&lt;&gt;"",SUMIFS(JPK_KR!AM:AM,JPK_KR!W:W,S857),"")</f>
        <v/>
      </c>
    </row>
    <row r="858" spans="3:22" x14ac:dyDescent="0.3">
      <c r="C858" s="24" t="str">
        <f>IF(A858&lt;&gt;"",SUMIFS(JPK_KR!AL:AL,JPK_KR!W:W,B858),"")</f>
        <v/>
      </c>
      <c r="D858" s="126" t="str">
        <f>IF(A858&lt;&gt;"",SUMIFS(JPK_KR!AM:AM,JPK_KR!W:W,B858),"")</f>
        <v/>
      </c>
      <c r="G858" s="24" t="str">
        <f>IF(E858&lt;&gt;"",SUMIFS(JPK_KR!AL:AL,JPK_KR!W:W,F858),"")</f>
        <v/>
      </c>
      <c r="H858" s="126" t="str">
        <f>IF(E858&lt;&gt;"",SUMIFS(JPK_KR!AM:AM,JPK_KR!W:W,F858),"")</f>
        <v/>
      </c>
      <c r="K858" s="24" t="str">
        <f>IF(I858&lt;&gt;"",SUMIFS(JPK_KR!AL:AL,JPK_KR!W:W,J858),"")</f>
        <v/>
      </c>
      <c r="L858" s="126" t="str">
        <f>IF(I858&lt;&gt;"",SUMIFS(JPK_KR!AM:AM,JPK_KR!W:W,J858),"")</f>
        <v/>
      </c>
      <c r="P858" s="24" t="str">
        <f>IF(M858&lt;&gt;"",IF(O858="",SUMIFS(JPK_KR!AL:AL,JPK_KR!W:W,N858),SUMIFS(JPK_KR!BF:BF,JPK_KR!BE:BE,N858,JPK_KR!BG:BG,O858)),"")</f>
        <v/>
      </c>
      <c r="Q858" s="126" t="str">
        <f>IF(M858&lt;&gt;"",IF(O858="",SUMIFS(JPK_KR!AM:AM,JPK_KR!W:W,N858),SUMIFS(JPK_KR!BI:BI,JPK_KR!BH:BH,N858,JPK_KR!BJ:BJ,O858)),"")</f>
        <v/>
      </c>
      <c r="U858" s="24" t="str">
        <f>IF(R858&lt;&gt;"",SUMIFS(JPK_KR!AL:AL,JPK_KR!W:W,S858),"")</f>
        <v/>
      </c>
      <c r="V858" s="126" t="str">
        <f>IF(R858&lt;&gt;"",SUMIFS(JPK_KR!AM:AM,JPK_KR!W:W,S858),"")</f>
        <v/>
      </c>
    </row>
    <row r="859" spans="3:22" x14ac:dyDescent="0.3">
      <c r="C859" s="24" t="str">
        <f>IF(A859&lt;&gt;"",SUMIFS(JPK_KR!AL:AL,JPK_KR!W:W,B859),"")</f>
        <v/>
      </c>
      <c r="D859" s="126" t="str">
        <f>IF(A859&lt;&gt;"",SUMIFS(JPK_KR!AM:AM,JPK_KR!W:W,B859),"")</f>
        <v/>
      </c>
      <c r="G859" s="24" t="str">
        <f>IF(E859&lt;&gt;"",SUMIFS(JPK_KR!AL:AL,JPK_KR!W:W,F859),"")</f>
        <v/>
      </c>
      <c r="H859" s="126" t="str">
        <f>IF(E859&lt;&gt;"",SUMIFS(JPK_KR!AM:AM,JPK_KR!W:W,F859),"")</f>
        <v/>
      </c>
      <c r="K859" s="24" t="str">
        <f>IF(I859&lt;&gt;"",SUMIFS(JPK_KR!AL:AL,JPK_KR!W:W,J859),"")</f>
        <v/>
      </c>
      <c r="L859" s="126" t="str">
        <f>IF(I859&lt;&gt;"",SUMIFS(JPK_KR!AM:AM,JPK_KR!W:W,J859),"")</f>
        <v/>
      </c>
      <c r="P859" s="24" t="str">
        <f>IF(M859&lt;&gt;"",IF(O859="",SUMIFS(JPK_KR!AL:AL,JPK_KR!W:W,N859),SUMIFS(JPK_KR!BF:BF,JPK_KR!BE:BE,N859,JPK_KR!BG:BG,O859)),"")</f>
        <v/>
      </c>
      <c r="Q859" s="126" t="str">
        <f>IF(M859&lt;&gt;"",IF(O859="",SUMIFS(JPK_KR!AM:AM,JPK_KR!W:W,N859),SUMIFS(JPK_KR!BI:BI,JPK_KR!BH:BH,N859,JPK_KR!BJ:BJ,O859)),"")</f>
        <v/>
      </c>
      <c r="U859" s="24" t="str">
        <f>IF(R859&lt;&gt;"",SUMIFS(JPK_KR!AL:AL,JPK_KR!W:W,S859),"")</f>
        <v/>
      </c>
      <c r="V859" s="126" t="str">
        <f>IF(R859&lt;&gt;"",SUMIFS(JPK_KR!AM:AM,JPK_KR!W:W,S859),"")</f>
        <v/>
      </c>
    </row>
    <row r="860" spans="3:22" x14ac:dyDescent="0.3">
      <c r="C860" s="24" t="str">
        <f>IF(A860&lt;&gt;"",SUMIFS(JPK_KR!AL:AL,JPK_KR!W:W,B860),"")</f>
        <v/>
      </c>
      <c r="D860" s="126" t="str">
        <f>IF(A860&lt;&gt;"",SUMIFS(JPK_KR!AM:AM,JPK_KR!W:W,B860),"")</f>
        <v/>
      </c>
      <c r="G860" s="24" t="str">
        <f>IF(E860&lt;&gt;"",SUMIFS(JPK_KR!AL:AL,JPK_KR!W:W,F860),"")</f>
        <v/>
      </c>
      <c r="H860" s="126" t="str">
        <f>IF(E860&lt;&gt;"",SUMIFS(JPK_KR!AM:AM,JPK_KR!W:W,F860),"")</f>
        <v/>
      </c>
      <c r="K860" s="24" t="str">
        <f>IF(I860&lt;&gt;"",SUMIFS(JPK_KR!AL:AL,JPK_KR!W:W,J860),"")</f>
        <v/>
      </c>
      <c r="L860" s="126" t="str">
        <f>IF(I860&lt;&gt;"",SUMIFS(JPK_KR!AM:AM,JPK_KR!W:W,J860),"")</f>
        <v/>
      </c>
      <c r="P860" s="24" t="str">
        <f>IF(M860&lt;&gt;"",IF(O860="",SUMIFS(JPK_KR!AL:AL,JPK_KR!W:W,N860),SUMIFS(JPK_KR!BF:BF,JPK_KR!BE:BE,N860,JPK_KR!BG:BG,O860)),"")</f>
        <v/>
      </c>
      <c r="Q860" s="126" t="str">
        <f>IF(M860&lt;&gt;"",IF(O860="",SUMIFS(JPK_KR!AM:AM,JPK_KR!W:W,N860),SUMIFS(JPK_KR!BI:BI,JPK_KR!BH:BH,N860,JPK_KR!BJ:BJ,O860)),"")</f>
        <v/>
      </c>
      <c r="U860" s="24" t="str">
        <f>IF(R860&lt;&gt;"",SUMIFS(JPK_KR!AL:AL,JPK_KR!W:W,S860),"")</f>
        <v/>
      </c>
      <c r="V860" s="126" t="str">
        <f>IF(R860&lt;&gt;"",SUMIFS(JPK_KR!AM:AM,JPK_KR!W:W,S860),"")</f>
        <v/>
      </c>
    </row>
    <row r="861" spans="3:22" x14ac:dyDescent="0.3">
      <c r="C861" s="24" t="str">
        <f>IF(A861&lt;&gt;"",SUMIFS(JPK_KR!AL:AL,JPK_KR!W:W,B861),"")</f>
        <v/>
      </c>
      <c r="D861" s="126" t="str">
        <f>IF(A861&lt;&gt;"",SUMIFS(JPK_KR!AM:AM,JPK_KR!W:W,B861),"")</f>
        <v/>
      </c>
      <c r="G861" s="24" t="str">
        <f>IF(E861&lt;&gt;"",SUMIFS(JPK_KR!AL:AL,JPK_KR!W:W,F861),"")</f>
        <v/>
      </c>
      <c r="H861" s="126" t="str">
        <f>IF(E861&lt;&gt;"",SUMIFS(JPK_KR!AM:AM,JPK_KR!W:W,F861),"")</f>
        <v/>
      </c>
      <c r="K861" s="24" t="str">
        <f>IF(I861&lt;&gt;"",SUMIFS(JPK_KR!AL:AL,JPK_KR!W:W,J861),"")</f>
        <v/>
      </c>
      <c r="L861" s="126" t="str">
        <f>IF(I861&lt;&gt;"",SUMIFS(JPK_KR!AM:AM,JPK_KR!W:W,J861),"")</f>
        <v/>
      </c>
      <c r="P861" s="24" t="str">
        <f>IF(M861&lt;&gt;"",IF(O861="",SUMIFS(JPK_KR!AL:AL,JPK_KR!W:W,N861),SUMIFS(JPK_KR!BF:BF,JPK_KR!BE:BE,N861,JPK_KR!BG:BG,O861)),"")</f>
        <v/>
      </c>
      <c r="Q861" s="126" t="str">
        <f>IF(M861&lt;&gt;"",IF(O861="",SUMIFS(JPK_KR!AM:AM,JPK_KR!W:W,N861),SUMIFS(JPK_KR!BI:BI,JPK_KR!BH:BH,N861,JPK_KR!BJ:BJ,O861)),"")</f>
        <v/>
      </c>
      <c r="U861" s="24" t="str">
        <f>IF(R861&lt;&gt;"",SUMIFS(JPK_KR!AL:AL,JPK_KR!W:W,S861),"")</f>
        <v/>
      </c>
      <c r="V861" s="126" t="str">
        <f>IF(R861&lt;&gt;"",SUMIFS(JPK_KR!AM:AM,JPK_KR!W:W,S861),"")</f>
        <v/>
      </c>
    </row>
    <row r="862" spans="3:22" x14ac:dyDescent="0.3">
      <c r="C862" s="24" t="str">
        <f>IF(A862&lt;&gt;"",SUMIFS(JPK_KR!AL:AL,JPK_KR!W:W,B862),"")</f>
        <v/>
      </c>
      <c r="D862" s="126" t="str">
        <f>IF(A862&lt;&gt;"",SUMIFS(JPK_KR!AM:AM,JPK_KR!W:W,B862),"")</f>
        <v/>
      </c>
      <c r="G862" s="24" t="str">
        <f>IF(E862&lt;&gt;"",SUMIFS(JPK_KR!AL:AL,JPK_KR!W:W,F862),"")</f>
        <v/>
      </c>
      <c r="H862" s="126" t="str">
        <f>IF(E862&lt;&gt;"",SUMIFS(JPK_KR!AM:AM,JPK_KR!W:W,F862),"")</f>
        <v/>
      </c>
      <c r="K862" s="24" t="str">
        <f>IF(I862&lt;&gt;"",SUMIFS(JPK_KR!AL:AL,JPK_KR!W:W,J862),"")</f>
        <v/>
      </c>
      <c r="L862" s="126" t="str">
        <f>IF(I862&lt;&gt;"",SUMIFS(JPK_KR!AM:AM,JPK_KR!W:W,J862),"")</f>
        <v/>
      </c>
      <c r="P862" s="24" t="str">
        <f>IF(M862&lt;&gt;"",IF(O862="",SUMIFS(JPK_KR!AL:AL,JPK_KR!W:W,N862),SUMIFS(JPK_KR!BF:BF,JPK_KR!BE:BE,N862,JPK_KR!BG:BG,O862)),"")</f>
        <v/>
      </c>
      <c r="Q862" s="126" t="str">
        <f>IF(M862&lt;&gt;"",IF(O862="",SUMIFS(JPK_KR!AM:AM,JPK_KR!W:W,N862),SUMIFS(JPK_KR!BI:BI,JPK_KR!BH:BH,N862,JPK_KR!BJ:BJ,O862)),"")</f>
        <v/>
      </c>
      <c r="U862" s="24" t="str">
        <f>IF(R862&lt;&gt;"",SUMIFS(JPK_KR!AL:AL,JPK_KR!W:W,S862),"")</f>
        <v/>
      </c>
      <c r="V862" s="126" t="str">
        <f>IF(R862&lt;&gt;"",SUMIFS(JPK_KR!AM:AM,JPK_KR!W:W,S862),"")</f>
        <v/>
      </c>
    </row>
    <row r="863" spans="3:22" x14ac:dyDescent="0.3">
      <c r="C863" s="24" t="str">
        <f>IF(A863&lt;&gt;"",SUMIFS(JPK_KR!AL:AL,JPK_KR!W:W,B863),"")</f>
        <v/>
      </c>
      <c r="D863" s="126" t="str">
        <f>IF(A863&lt;&gt;"",SUMIFS(JPK_KR!AM:AM,JPK_KR!W:W,B863),"")</f>
        <v/>
      </c>
      <c r="G863" s="24" t="str">
        <f>IF(E863&lt;&gt;"",SUMIFS(JPK_KR!AL:AL,JPK_KR!W:W,F863),"")</f>
        <v/>
      </c>
      <c r="H863" s="126" t="str">
        <f>IF(E863&lt;&gt;"",SUMIFS(JPK_KR!AM:AM,JPK_KR!W:W,F863),"")</f>
        <v/>
      </c>
      <c r="K863" s="24" t="str">
        <f>IF(I863&lt;&gt;"",SUMIFS(JPK_KR!AL:AL,JPK_KR!W:W,J863),"")</f>
        <v/>
      </c>
      <c r="L863" s="126" t="str">
        <f>IF(I863&lt;&gt;"",SUMIFS(JPK_KR!AM:AM,JPK_KR!W:W,J863),"")</f>
        <v/>
      </c>
      <c r="P863" s="24" t="str">
        <f>IF(M863&lt;&gt;"",IF(O863="",SUMIFS(JPK_KR!AL:AL,JPK_KR!W:W,N863),SUMIFS(JPK_KR!BF:BF,JPK_KR!BE:BE,N863,JPK_KR!BG:BG,O863)),"")</f>
        <v/>
      </c>
      <c r="Q863" s="126" t="str">
        <f>IF(M863&lt;&gt;"",IF(O863="",SUMIFS(JPK_KR!AM:AM,JPK_KR!W:W,N863),SUMIFS(JPK_KR!BI:BI,JPK_KR!BH:BH,N863,JPK_KR!BJ:BJ,O863)),"")</f>
        <v/>
      </c>
      <c r="U863" s="24" t="str">
        <f>IF(R863&lt;&gt;"",SUMIFS(JPK_KR!AL:AL,JPK_KR!W:W,S863),"")</f>
        <v/>
      </c>
      <c r="V863" s="126" t="str">
        <f>IF(R863&lt;&gt;"",SUMIFS(JPK_KR!AM:AM,JPK_KR!W:W,S863),"")</f>
        <v/>
      </c>
    </row>
    <row r="864" spans="3:22" x14ac:dyDescent="0.3">
      <c r="C864" s="24" t="str">
        <f>IF(A864&lt;&gt;"",SUMIFS(JPK_KR!AL:AL,JPK_KR!W:W,B864),"")</f>
        <v/>
      </c>
      <c r="D864" s="126" t="str">
        <f>IF(A864&lt;&gt;"",SUMIFS(JPK_KR!AM:AM,JPK_KR!W:W,B864),"")</f>
        <v/>
      </c>
      <c r="G864" s="24" t="str">
        <f>IF(E864&lt;&gt;"",SUMIFS(JPK_KR!AL:AL,JPK_KR!W:W,F864),"")</f>
        <v/>
      </c>
      <c r="H864" s="126" t="str">
        <f>IF(E864&lt;&gt;"",SUMIFS(JPK_KR!AM:AM,JPK_KR!W:W,F864),"")</f>
        <v/>
      </c>
      <c r="K864" s="24" t="str">
        <f>IF(I864&lt;&gt;"",SUMIFS(JPK_KR!AL:AL,JPK_KR!W:W,J864),"")</f>
        <v/>
      </c>
      <c r="L864" s="126" t="str">
        <f>IF(I864&lt;&gt;"",SUMIFS(JPK_KR!AM:AM,JPK_KR!W:W,J864),"")</f>
        <v/>
      </c>
      <c r="P864" s="24" t="str">
        <f>IF(M864&lt;&gt;"",IF(O864="",SUMIFS(JPK_KR!AL:AL,JPK_KR!W:W,N864),SUMIFS(JPK_KR!BF:BF,JPK_KR!BE:BE,N864,JPK_KR!BG:BG,O864)),"")</f>
        <v/>
      </c>
      <c r="Q864" s="126" t="str">
        <f>IF(M864&lt;&gt;"",IF(O864="",SUMIFS(JPK_KR!AM:AM,JPK_KR!W:W,N864),SUMIFS(JPK_KR!BI:BI,JPK_KR!BH:BH,N864,JPK_KR!BJ:BJ,O864)),"")</f>
        <v/>
      </c>
      <c r="U864" s="24" t="str">
        <f>IF(R864&lt;&gt;"",SUMIFS(JPK_KR!AL:AL,JPK_KR!W:W,S864),"")</f>
        <v/>
      </c>
      <c r="V864" s="126" t="str">
        <f>IF(R864&lt;&gt;"",SUMIFS(JPK_KR!AM:AM,JPK_KR!W:W,S864),"")</f>
        <v/>
      </c>
    </row>
    <row r="865" spans="3:22" x14ac:dyDescent="0.3">
      <c r="C865" s="24" t="str">
        <f>IF(A865&lt;&gt;"",SUMIFS(JPK_KR!AL:AL,JPK_KR!W:W,B865),"")</f>
        <v/>
      </c>
      <c r="D865" s="126" t="str">
        <f>IF(A865&lt;&gt;"",SUMIFS(JPK_KR!AM:AM,JPK_KR!W:W,B865),"")</f>
        <v/>
      </c>
      <c r="G865" s="24" t="str">
        <f>IF(E865&lt;&gt;"",SUMIFS(JPK_KR!AL:AL,JPK_KR!W:W,F865),"")</f>
        <v/>
      </c>
      <c r="H865" s="126" t="str">
        <f>IF(E865&lt;&gt;"",SUMIFS(JPK_KR!AM:AM,JPK_KR!W:W,F865),"")</f>
        <v/>
      </c>
      <c r="K865" s="24" t="str">
        <f>IF(I865&lt;&gt;"",SUMIFS(JPK_KR!AL:AL,JPK_KR!W:W,J865),"")</f>
        <v/>
      </c>
      <c r="L865" s="126" t="str">
        <f>IF(I865&lt;&gt;"",SUMIFS(JPK_KR!AM:AM,JPK_KR!W:W,J865),"")</f>
        <v/>
      </c>
      <c r="P865" s="24" t="str">
        <f>IF(M865&lt;&gt;"",IF(O865="",SUMIFS(JPK_KR!AL:AL,JPK_KR!W:W,N865),SUMIFS(JPK_KR!BF:BF,JPK_KR!BE:BE,N865,JPK_KR!BG:BG,O865)),"")</f>
        <v/>
      </c>
      <c r="Q865" s="126" t="str">
        <f>IF(M865&lt;&gt;"",IF(O865="",SUMIFS(JPK_KR!AM:AM,JPK_KR!W:W,N865),SUMIFS(JPK_KR!BI:BI,JPK_KR!BH:BH,N865,JPK_KR!BJ:BJ,O865)),"")</f>
        <v/>
      </c>
      <c r="U865" s="24" t="str">
        <f>IF(R865&lt;&gt;"",SUMIFS(JPK_KR!AL:AL,JPK_KR!W:W,S865),"")</f>
        <v/>
      </c>
      <c r="V865" s="126" t="str">
        <f>IF(R865&lt;&gt;"",SUMIFS(JPK_KR!AM:AM,JPK_KR!W:W,S865),"")</f>
        <v/>
      </c>
    </row>
    <row r="866" spans="3:22" x14ac:dyDescent="0.3">
      <c r="C866" s="24" t="str">
        <f>IF(A866&lt;&gt;"",SUMIFS(JPK_KR!AL:AL,JPK_KR!W:W,B866),"")</f>
        <v/>
      </c>
      <c r="D866" s="126" t="str">
        <f>IF(A866&lt;&gt;"",SUMIFS(JPK_KR!AM:AM,JPK_KR!W:W,B866),"")</f>
        <v/>
      </c>
      <c r="G866" s="24" t="str">
        <f>IF(E866&lt;&gt;"",SUMIFS(JPK_KR!AL:AL,JPK_KR!W:W,F866),"")</f>
        <v/>
      </c>
      <c r="H866" s="126" t="str">
        <f>IF(E866&lt;&gt;"",SUMIFS(JPK_KR!AM:AM,JPK_KR!W:W,F866),"")</f>
        <v/>
      </c>
      <c r="K866" s="24" t="str">
        <f>IF(I866&lt;&gt;"",SUMIFS(JPK_KR!AL:AL,JPK_KR!W:W,J866),"")</f>
        <v/>
      </c>
      <c r="L866" s="126" t="str">
        <f>IF(I866&lt;&gt;"",SUMIFS(JPK_KR!AM:AM,JPK_KR!W:W,J866),"")</f>
        <v/>
      </c>
      <c r="P866" s="24" t="str">
        <f>IF(M866&lt;&gt;"",IF(O866="",SUMIFS(JPK_KR!AL:AL,JPK_KR!W:W,N866),SUMIFS(JPK_KR!BF:BF,JPK_KR!BE:BE,N866,JPK_KR!BG:BG,O866)),"")</f>
        <v/>
      </c>
      <c r="Q866" s="126" t="str">
        <f>IF(M866&lt;&gt;"",IF(O866="",SUMIFS(JPK_KR!AM:AM,JPK_KR!W:W,N866),SUMIFS(JPK_KR!BI:BI,JPK_KR!BH:BH,N866,JPK_KR!BJ:BJ,O866)),"")</f>
        <v/>
      </c>
      <c r="U866" s="24" t="str">
        <f>IF(R866&lt;&gt;"",SUMIFS(JPK_KR!AL:AL,JPK_KR!W:W,S866),"")</f>
        <v/>
      </c>
      <c r="V866" s="126" t="str">
        <f>IF(R866&lt;&gt;"",SUMIFS(JPK_KR!AM:AM,JPK_KR!W:W,S866),"")</f>
        <v/>
      </c>
    </row>
    <row r="867" spans="3:22" x14ac:dyDescent="0.3">
      <c r="C867" s="24" t="str">
        <f>IF(A867&lt;&gt;"",SUMIFS(JPK_KR!AL:AL,JPK_KR!W:W,B867),"")</f>
        <v/>
      </c>
      <c r="D867" s="126" t="str">
        <f>IF(A867&lt;&gt;"",SUMIFS(JPK_KR!AM:AM,JPK_KR!W:W,B867),"")</f>
        <v/>
      </c>
      <c r="G867" s="24" t="str">
        <f>IF(E867&lt;&gt;"",SUMIFS(JPK_KR!AL:AL,JPK_KR!W:W,F867),"")</f>
        <v/>
      </c>
      <c r="H867" s="126" t="str">
        <f>IF(E867&lt;&gt;"",SUMIFS(JPK_KR!AM:AM,JPK_KR!W:W,F867),"")</f>
        <v/>
      </c>
      <c r="K867" s="24" t="str">
        <f>IF(I867&lt;&gt;"",SUMIFS(JPK_KR!AL:AL,JPK_KR!W:W,J867),"")</f>
        <v/>
      </c>
      <c r="L867" s="126" t="str">
        <f>IF(I867&lt;&gt;"",SUMIFS(JPK_KR!AM:AM,JPK_KR!W:W,J867),"")</f>
        <v/>
      </c>
      <c r="P867" s="24" t="str">
        <f>IF(M867&lt;&gt;"",IF(O867="",SUMIFS(JPK_KR!AL:AL,JPK_KR!W:W,N867),SUMIFS(JPK_KR!BF:BF,JPK_KR!BE:BE,N867,JPK_KR!BG:BG,O867)),"")</f>
        <v/>
      </c>
      <c r="Q867" s="126" t="str">
        <f>IF(M867&lt;&gt;"",IF(O867="",SUMIFS(JPK_KR!AM:AM,JPK_KR!W:W,N867),SUMIFS(JPK_KR!BI:BI,JPK_KR!BH:BH,N867,JPK_KR!BJ:BJ,O867)),"")</f>
        <v/>
      </c>
      <c r="U867" s="24" t="str">
        <f>IF(R867&lt;&gt;"",SUMIFS(JPK_KR!AL:AL,JPK_KR!W:W,S867),"")</f>
        <v/>
      </c>
      <c r="V867" s="126" t="str">
        <f>IF(R867&lt;&gt;"",SUMIFS(JPK_KR!AM:AM,JPK_KR!W:W,S867),"")</f>
        <v/>
      </c>
    </row>
    <row r="868" spans="3:22" x14ac:dyDescent="0.3">
      <c r="C868" s="24" t="str">
        <f>IF(A868&lt;&gt;"",SUMIFS(JPK_KR!AL:AL,JPK_KR!W:W,B868),"")</f>
        <v/>
      </c>
      <c r="D868" s="126" t="str">
        <f>IF(A868&lt;&gt;"",SUMIFS(JPK_KR!AM:AM,JPK_KR!W:W,B868),"")</f>
        <v/>
      </c>
      <c r="G868" s="24" t="str">
        <f>IF(E868&lt;&gt;"",SUMIFS(JPK_KR!AL:AL,JPK_KR!W:W,F868),"")</f>
        <v/>
      </c>
      <c r="H868" s="126" t="str">
        <f>IF(E868&lt;&gt;"",SUMIFS(JPK_KR!AM:AM,JPK_KR!W:W,F868),"")</f>
        <v/>
      </c>
      <c r="K868" s="24" t="str">
        <f>IF(I868&lt;&gt;"",SUMIFS(JPK_KR!AL:AL,JPK_KR!W:W,J868),"")</f>
        <v/>
      </c>
      <c r="L868" s="126" t="str">
        <f>IF(I868&lt;&gt;"",SUMIFS(JPK_KR!AM:AM,JPK_KR!W:W,J868),"")</f>
        <v/>
      </c>
      <c r="P868" s="24" t="str">
        <f>IF(M868&lt;&gt;"",IF(O868="",SUMIFS(JPK_KR!AL:AL,JPK_KR!W:W,N868),SUMIFS(JPK_KR!BF:BF,JPK_KR!BE:BE,N868,JPK_KR!BG:BG,O868)),"")</f>
        <v/>
      </c>
      <c r="Q868" s="126" t="str">
        <f>IF(M868&lt;&gt;"",IF(O868="",SUMIFS(JPK_KR!AM:AM,JPK_KR!W:W,N868),SUMIFS(JPK_KR!BI:BI,JPK_KR!BH:BH,N868,JPK_KR!BJ:BJ,O868)),"")</f>
        <v/>
      </c>
      <c r="U868" s="24" t="str">
        <f>IF(R868&lt;&gt;"",SUMIFS(JPK_KR!AL:AL,JPK_KR!W:W,S868),"")</f>
        <v/>
      </c>
      <c r="V868" s="126" t="str">
        <f>IF(R868&lt;&gt;"",SUMIFS(JPK_KR!AM:AM,JPK_KR!W:W,S868),"")</f>
        <v/>
      </c>
    </row>
    <row r="869" spans="3:22" x14ac:dyDescent="0.3">
      <c r="C869" s="24" t="str">
        <f>IF(A869&lt;&gt;"",SUMIFS(JPK_KR!AL:AL,JPK_KR!W:W,B869),"")</f>
        <v/>
      </c>
      <c r="D869" s="126" t="str">
        <f>IF(A869&lt;&gt;"",SUMIFS(JPK_KR!AM:AM,JPK_KR!W:W,B869),"")</f>
        <v/>
      </c>
      <c r="G869" s="24" t="str">
        <f>IF(E869&lt;&gt;"",SUMIFS(JPK_KR!AL:AL,JPK_KR!W:W,F869),"")</f>
        <v/>
      </c>
      <c r="H869" s="126" t="str">
        <f>IF(E869&lt;&gt;"",SUMIFS(JPK_KR!AM:AM,JPK_KR!W:W,F869),"")</f>
        <v/>
      </c>
      <c r="K869" s="24" t="str">
        <f>IF(I869&lt;&gt;"",SUMIFS(JPK_KR!AL:AL,JPK_KR!W:W,J869),"")</f>
        <v/>
      </c>
      <c r="L869" s="126" t="str">
        <f>IF(I869&lt;&gt;"",SUMIFS(JPK_KR!AM:AM,JPK_KR!W:W,J869),"")</f>
        <v/>
      </c>
      <c r="P869" s="24" t="str">
        <f>IF(M869&lt;&gt;"",IF(O869="",SUMIFS(JPK_KR!AL:AL,JPK_KR!W:W,N869),SUMIFS(JPK_KR!BF:BF,JPK_KR!BE:BE,N869,JPK_KR!BG:BG,O869)),"")</f>
        <v/>
      </c>
      <c r="Q869" s="126" t="str">
        <f>IF(M869&lt;&gt;"",IF(O869="",SUMIFS(JPK_KR!AM:AM,JPK_KR!W:W,N869),SUMIFS(JPK_KR!BI:BI,JPK_KR!BH:BH,N869,JPK_KR!BJ:BJ,O869)),"")</f>
        <v/>
      </c>
      <c r="U869" s="24" t="str">
        <f>IF(R869&lt;&gt;"",SUMIFS(JPK_KR!AL:AL,JPK_KR!W:W,S869),"")</f>
        <v/>
      </c>
      <c r="V869" s="126" t="str">
        <f>IF(R869&lt;&gt;"",SUMIFS(JPK_KR!AM:AM,JPK_KR!W:W,S869),"")</f>
        <v/>
      </c>
    </row>
    <row r="870" spans="3:22" x14ac:dyDescent="0.3">
      <c r="C870" s="24" t="str">
        <f>IF(A870&lt;&gt;"",SUMIFS(JPK_KR!AL:AL,JPK_KR!W:W,B870),"")</f>
        <v/>
      </c>
      <c r="D870" s="126" t="str">
        <f>IF(A870&lt;&gt;"",SUMIFS(JPK_KR!AM:AM,JPK_KR!W:W,B870),"")</f>
        <v/>
      </c>
      <c r="G870" s="24" t="str">
        <f>IF(E870&lt;&gt;"",SUMIFS(JPK_KR!AL:AL,JPK_KR!W:W,F870),"")</f>
        <v/>
      </c>
      <c r="H870" s="126" t="str">
        <f>IF(E870&lt;&gt;"",SUMIFS(JPK_KR!AM:AM,JPK_KR!W:W,F870),"")</f>
        <v/>
      </c>
      <c r="K870" s="24" t="str">
        <f>IF(I870&lt;&gt;"",SUMIFS(JPK_KR!AL:AL,JPK_KR!W:W,J870),"")</f>
        <v/>
      </c>
      <c r="L870" s="126" t="str">
        <f>IF(I870&lt;&gt;"",SUMIFS(JPK_KR!AM:AM,JPK_KR!W:W,J870),"")</f>
        <v/>
      </c>
      <c r="P870" s="24" t="str">
        <f>IF(M870&lt;&gt;"",IF(O870="",SUMIFS(JPK_KR!AL:AL,JPK_KR!W:W,N870),SUMIFS(JPK_KR!BF:BF,JPK_KR!BE:BE,N870,JPK_KR!BG:BG,O870)),"")</f>
        <v/>
      </c>
      <c r="Q870" s="126" t="str">
        <f>IF(M870&lt;&gt;"",IF(O870="",SUMIFS(JPK_KR!AM:AM,JPK_KR!W:W,N870),SUMIFS(JPK_KR!BI:BI,JPK_KR!BH:BH,N870,JPK_KR!BJ:BJ,O870)),"")</f>
        <v/>
      </c>
      <c r="U870" s="24" t="str">
        <f>IF(R870&lt;&gt;"",SUMIFS(JPK_KR!AL:AL,JPK_KR!W:W,S870),"")</f>
        <v/>
      </c>
      <c r="V870" s="126" t="str">
        <f>IF(R870&lt;&gt;"",SUMIFS(JPK_KR!AM:AM,JPK_KR!W:W,S870),"")</f>
        <v/>
      </c>
    </row>
    <row r="871" spans="3:22" x14ac:dyDescent="0.3">
      <c r="C871" s="24" t="str">
        <f>IF(A871&lt;&gt;"",SUMIFS(JPK_KR!AL:AL,JPK_KR!W:W,B871),"")</f>
        <v/>
      </c>
      <c r="D871" s="126" t="str">
        <f>IF(A871&lt;&gt;"",SUMIFS(JPK_KR!AM:AM,JPK_KR!W:W,B871),"")</f>
        <v/>
      </c>
      <c r="G871" s="24" t="str">
        <f>IF(E871&lt;&gt;"",SUMIFS(JPK_KR!AL:AL,JPK_KR!W:W,F871),"")</f>
        <v/>
      </c>
      <c r="H871" s="126" t="str">
        <f>IF(E871&lt;&gt;"",SUMIFS(JPK_KR!AM:AM,JPK_KR!W:W,F871),"")</f>
        <v/>
      </c>
      <c r="K871" s="24" t="str">
        <f>IF(I871&lt;&gt;"",SUMIFS(JPK_KR!AL:AL,JPK_KR!W:W,J871),"")</f>
        <v/>
      </c>
      <c r="L871" s="126" t="str">
        <f>IF(I871&lt;&gt;"",SUMIFS(JPK_KR!AM:AM,JPK_KR!W:W,J871),"")</f>
        <v/>
      </c>
      <c r="P871" s="24" t="str">
        <f>IF(M871&lt;&gt;"",IF(O871="",SUMIFS(JPK_KR!AL:AL,JPK_KR!W:W,N871),SUMIFS(JPK_KR!BF:BF,JPK_KR!BE:BE,N871,JPK_KR!BG:BG,O871)),"")</f>
        <v/>
      </c>
      <c r="Q871" s="126" t="str">
        <f>IF(M871&lt;&gt;"",IF(O871="",SUMIFS(JPK_KR!AM:AM,JPK_KR!W:W,N871),SUMIFS(JPK_KR!BI:BI,JPK_KR!BH:BH,N871,JPK_KR!BJ:BJ,O871)),"")</f>
        <v/>
      </c>
      <c r="U871" s="24" t="str">
        <f>IF(R871&lt;&gt;"",SUMIFS(JPK_KR!AL:AL,JPK_KR!W:W,S871),"")</f>
        <v/>
      </c>
      <c r="V871" s="126" t="str">
        <f>IF(R871&lt;&gt;"",SUMIFS(JPK_KR!AM:AM,JPK_KR!W:W,S871),"")</f>
        <v/>
      </c>
    </row>
    <row r="872" spans="3:22" x14ac:dyDescent="0.3">
      <c r="C872" s="24" t="str">
        <f>IF(A872&lt;&gt;"",SUMIFS(JPK_KR!AL:AL,JPK_KR!W:W,B872),"")</f>
        <v/>
      </c>
      <c r="D872" s="126" t="str">
        <f>IF(A872&lt;&gt;"",SUMIFS(JPK_KR!AM:AM,JPK_KR!W:W,B872),"")</f>
        <v/>
      </c>
      <c r="G872" s="24" t="str">
        <f>IF(E872&lt;&gt;"",SUMIFS(JPK_KR!AL:AL,JPK_KR!W:W,F872),"")</f>
        <v/>
      </c>
      <c r="H872" s="126" t="str">
        <f>IF(E872&lt;&gt;"",SUMIFS(JPK_KR!AM:AM,JPK_KR!W:W,F872),"")</f>
        <v/>
      </c>
      <c r="K872" s="24" t="str">
        <f>IF(I872&lt;&gt;"",SUMIFS(JPK_KR!AL:AL,JPK_KR!W:W,J872),"")</f>
        <v/>
      </c>
      <c r="L872" s="126" t="str">
        <f>IF(I872&lt;&gt;"",SUMIFS(JPK_KR!AM:AM,JPK_KR!W:W,J872),"")</f>
        <v/>
      </c>
      <c r="P872" s="24" t="str">
        <f>IF(M872&lt;&gt;"",IF(O872="",SUMIFS(JPK_KR!AL:AL,JPK_KR!W:W,N872),SUMIFS(JPK_KR!BF:BF,JPK_KR!BE:BE,N872,JPK_KR!BG:BG,O872)),"")</f>
        <v/>
      </c>
      <c r="Q872" s="126" t="str">
        <f>IF(M872&lt;&gt;"",IF(O872="",SUMIFS(JPK_KR!AM:AM,JPK_KR!W:W,N872),SUMIFS(JPK_KR!BI:BI,JPK_KR!BH:BH,N872,JPK_KR!BJ:BJ,O872)),"")</f>
        <v/>
      </c>
      <c r="U872" s="24" t="str">
        <f>IF(R872&lt;&gt;"",SUMIFS(JPK_KR!AL:AL,JPK_KR!W:W,S872),"")</f>
        <v/>
      </c>
      <c r="V872" s="126" t="str">
        <f>IF(R872&lt;&gt;"",SUMIFS(JPK_KR!AM:AM,JPK_KR!W:W,S872),"")</f>
        <v/>
      </c>
    </row>
    <row r="873" spans="3:22" x14ac:dyDescent="0.3">
      <c r="C873" s="24" t="str">
        <f>IF(A873&lt;&gt;"",SUMIFS(JPK_KR!AL:AL,JPK_KR!W:W,B873),"")</f>
        <v/>
      </c>
      <c r="D873" s="126" t="str">
        <f>IF(A873&lt;&gt;"",SUMIFS(JPK_KR!AM:AM,JPK_KR!W:W,B873),"")</f>
        <v/>
      </c>
      <c r="G873" s="24" t="str">
        <f>IF(E873&lt;&gt;"",SUMIFS(JPK_KR!AL:AL,JPK_KR!W:W,F873),"")</f>
        <v/>
      </c>
      <c r="H873" s="126" t="str">
        <f>IF(E873&lt;&gt;"",SUMIFS(JPK_KR!AM:AM,JPK_KR!W:W,F873),"")</f>
        <v/>
      </c>
      <c r="K873" s="24" t="str">
        <f>IF(I873&lt;&gt;"",SUMIFS(JPK_KR!AL:AL,JPK_KR!W:W,J873),"")</f>
        <v/>
      </c>
      <c r="L873" s="126" t="str">
        <f>IF(I873&lt;&gt;"",SUMIFS(JPK_KR!AM:AM,JPK_KR!W:W,J873),"")</f>
        <v/>
      </c>
      <c r="P873" s="24" t="str">
        <f>IF(M873&lt;&gt;"",IF(O873="",SUMIFS(JPK_KR!AL:AL,JPK_KR!W:W,N873),SUMIFS(JPK_KR!BF:BF,JPK_KR!BE:BE,N873,JPK_KR!BG:BG,O873)),"")</f>
        <v/>
      </c>
      <c r="Q873" s="126" t="str">
        <f>IF(M873&lt;&gt;"",IF(O873="",SUMIFS(JPK_KR!AM:AM,JPK_KR!W:W,N873),SUMIFS(JPK_KR!BI:BI,JPK_KR!BH:BH,N873,JPK_KR!BJ:BJ,O873)),"")</f>
        <v/>
      </c>
      <c r="U873" s="24" t="str">
        <f>IF(R873&lt;&gt;"",SUMIFS(JPK_KR!AL:AL,JPK_KR!W:W,S873),"")</f>
        <v/>
      </c>
      <c r="V873" s="126" t="str">
        <f>IF(R873&lt;&gt;"",SUMIFS(JPK_KR!AM:AM,JPK_KR!W:W,S873),"")</f>
        <v/>
      </c>
    </row>
    <row r="874" spans="3:22" x14ac:dyDescent="0.3">
      <c r="C874" s="24" t="str">
        <f>IF(A874&lt;&gt;"",SUMIFS(JPK_KR!AL:AL,JPK_KR!W:W,B874),"")</f>
        <v/>
      </c>
      <c r="D874" s="126" t="str">
        <f>IF(A874&lt;&gt;"",SUMIFS(JPK_KR!AM:AM,JPK_KR!W:W,B874),"")</f>
        <v/>
      </c>
      <c r="G874" s="24" t="str">
        <f>IF(E874&lt;&gt;"",SUMIFS(JPK_KR!AL:AL,JPK_KR!W:W,F874),"")</f>
        <v/>
      </c>
      <c r="H874" s="126" t="str">
        <f>IF(E874&lt;&gt;"",SUMIFS(JPK_KR!AM:AM,JPK_KR!W:W,F874),"")</f>
        <v/>
      </c>
      <c r="K874" s="24" t="str">
        <f>IF(I874&lt;&gt;"",SUMIFS(JPK_KR!AL:AL,JPK_KR!W:W,J874),"")</f>
        <v/>
      </c>
      <c r="L874" s="126" t="str">
        <f>IF(I874&lt;&gt;"",SUMIFS(JPK_KR!AM:AM,JPK_KR!W:W,J874),"")</f>
        <v/>
      </c>
      <c r="P874" s="24" t="str">
        <f>IF(M874&lt;&gt;"",IF(O874="",SUMIFS(JPK_KR!AL:AL,JPK_KR!W:W,N874),SUMIFS(JPK_KR!BF:BF,JPK_KR!BE:BE,N874,JPK_KR!BG:BG,O874)),"")</f>
        <v/>
      </c>
      <c r="Q874" s="126" t="str">
        <f>IF(M874&lt;&gt;"",IF(O874="",SUMIFS(JPK_KR!AM:AM,JPK_KR!W:W,N874),SUMIFS(JPK_KR!BI:BI,JPK_KR!BH:BH,N874,JPK_KR!BJ:BJ,O874)),"")</f>
        <v/>
      </c>
      <c r="U874" s="24" t="str">
        <f>IF(R874&lt;&gt;"",SUMIFS(JPK_KR!AL:AL,JPK_KR!W:W,S874),"")</f>
        <v/>
      </c>
      <c r="V874" s="126" t="str">
        <f>IF(R874&lt;&gt;"",SUMIFS(JPK_KR!AM:AM,JPK_KR!W:W,S874),"")</f>
        <v/>
      </c>
    </row>
    <row r="875" spans="3:22" x14ac:dyDescent="0.3">
      <c r="C875" s="24" t="str">
        <f>IF(A875&lt;&gt;"",SUMIFS(JPK_KR!AL:AL,JPK_KR!W:W,B875),"")</f>
        <v/>
      </c>
      <c r="D875" s="126" t="str">
        <f>IF(A875&lt;&gt;"",SUMIFS(JPK_KR!AM:AM,JPK_KR!W:W,B875),"")</f>
        <v/>
      </c>
      <c r="G875" s="24" t="str">
        <f>IF(E875&lt;&gt;"",SUMIFS(JPK_KR!AL:AL,JPK_KR!W:W,F875),"")</f>
        <v/>
      </c>
      <c r="H875" s="126" t="str">
        <f>IF(E875&lt;&gt;"",SUMIFS(JPK_KR!AM:AM,JPK_KR!W:W,F875),"")</f>
        <v/>
      </c>
      <c r="K875" s="24" t="str">
        <f>IF(I875&lt;&gt;"",SUMIFS(JPK_KR!AL:AL,JPK_KR!W:W,J875),"")</f>
        <v/>
      </c>
      <c r="L875" s="126" t="str">
        <f>IF(I875&lt;&gt;"",SUMIFS(JPK_KR!AM:AM,JPK_KR!W:W,J875),"")</f>
        <v/>
      </c>
      <c r="P875" s="24" t="str">
        <f>IF(M875&lt;&gt;"",IF(O875="",SUMIFS(JPK_KR!AL:AL,JPK_KR!W:W,N875),SUMIFS(JPK_KR!BF:BF,JPK_KR!BE:BE,N875,JPK_KR!BG:BG,O875)),"")</f>
        <v/>
      </c>
      <c r="Q875" s="126" t="str">
        <f>IF(M875&lt;&gt;"",IF(O875="",SUMIFS(JPK_KR!AM:AM,JPK_KR!W:W,N875),SUMIFS(JPK_KR!BI:BI,JPK_KR!BH:BH,N875,JPK_KR!BJ:BJ,O875)),"")</f>
        <v/>
      </c>
      <c r="U875" s="24" t="str">
        <f>IF(R875&lt;&gt;"",SUMIFS(JPK_KR!AL:AL,JPK_KR!W:W,S875),"")</f>
        <v/>
      </c>
      <c r="V875" s="126" t="str">
        <f>IF(R875&lt;&gt;"",SUMIFS(JPK_KR!AM:AM,JPK_KR!W:W,S875),"")</f>
        <v/>
      </c>
    </row>
    <row r="876" spans="3:22" x14ac:dyDescent="0.3">
      <c r="C876" s="24" t="str">
        <f>IF(A876&lt;&gt;"",SUMIFS(JPK_KR!AL:AL,JPK_KR!W:W,B876),"")</f>
        <v/>
      </c>
      <c r="D876" s="126" t="str">
        <f>IF(A876&lt;&gt;"",SUMIFS(JPK_KR!AM:AM,JPK_KR!W:W,B876),"")</f>
        <v/>
      </c>
      <c r="G876" s="24" t="str">
        <f>IF(E876&lt;&gt;"",SUMIFS(JPK_KR!AL:AL,JPK_KR!W:W,F876),"")</f>
        <v/>
      </c>
      <c r="H876" s="126" t="str">
        <f>IF(E876&lt;&gt;"",SUMIFS(JPK_KR!AM:AM,JPK_KR!W:W,F876),"")</f>
        <v/>
      </c>
      <c r="K876" s="24" t="str">
        <f>IF(I876&lt;&gt;"",SUMIFS(JPK_KR!AL:AL,JPK_KR!W:W,J876),"")</f>
        <v/>
      </c>
      <c r="L876" s="126" t="str">
        <f>IF(I876&lt;&gt;"",SUMIFS(JPK_KR!AM:AM,JPK_KR!W:W,J876),"")</f>
        <v/>
      </c>
      <c r="P876" s="24" t="str">
        <f>IF(M876&lt;&gt;"",IF(O876="",SUMIFS(JPK_KR!AL:AL,JPK_KR!W:W,N876),SUMIFS(JPK_KR!BF:BF,JPK_KR!BE:BE,N876,JPK_KR!BG:BG,O876)),"")</f>
        <v/>
      </c>
      <c r="Q876" s="126" t="str">
        <f>IF(M876&lt;&gt;"",IF(O876="",SUMIFS(JPK_KR!AM:AM,JPK_KR!W:W,N876),SUMIFS(JPK_KR!BI:BI,JPK_KR!BH:BH,N876,JPK_KR!BJ:BJ,O876)),"")</f>
        <v/>
      </c>
      <c r="U876" s="24" t="str">
        <f>IF(R876&lt;&gt;"",SUMIFS(JPK_KR!AL:AL,JPK_KR!W:W,S876),"")</f>
        <v/>
      </c>
      <c r="V876" s="126" t="str">
        <f>IF(R876&lt;&gt;"",SUMIFS(JPK_KR!AM:AM,JPK_KR!W:W,S876),"")</f>
        <v/>
      </c>
    </row>
    <row r="877" spans="3:22" x14ac:dyDescent="0.3">
      <c r="C877" s="24" t="str">
        <f>IF(A877&lt;&gt;"",SUMIFS(JPK_KR!AL:AL,JPK_KR!W:W,B877),"")</f>
        <v/>
      </c>
      <c r="D877" s="126" t="str">
        <f>IF(A877&lt;&gt;"",SUMIFS(JPK_KR!AM:AM,JPK_KR!W:W,B877),"")</f>
        <v/>
      </c>
      <c r="G877" s="24" t="str">
        <f>IF(E877&lt;&gt;"",SUMIFS(JPK_KR!AL:AL,JPK_KR!W:W,F877),"")</f>
        <v/>
      </c>
      <c r="H877" s="126" t="str">
        <f>IF(E877&lt;&gt;"",SUMIFS(JPK_KR!AM:AM,JPK_KR!W:W,F877),"")</f>
        <v/>
      </c>
      <c r="K877" s="24" t="str">
        <f>IF(I877&lt;&gt;"",SUMIFS(JPK_KR!AL:AL,JPK_KR!W:W,J877),"")</f>
        <v/>
      </c>
      <c r="L877" s="126" t="str">
        <f>IF(I877&lt;&gt;"",SUMIFS(JPK_KR!AM:AM,JPK_KR!W:W,J877),"")</f>
        <v/>
      </c>
      <c r="P877" s="24" t="str">
        <f>IF(M877&lt;&gt;"",IF(O877="",SUMIFS(JPK_KR!AL:AL,JPK_KR!W:W,N877),SUMIFS(JPK_KR!BF:BF,JPK_KR!BE:BE,N877,JPK_KR!BG:BG,O877)),"")</f>
        <v/>
      </c>
      <c r="Q877" s="126" t="str">
        <f>IF(M877&lt;&gt;"",IF(O877="",SUMIFS(JPK_KR!AM:AM,JPK_KR!W:W,N877),SUMIFS(JPK_KR!BI:BI,JPK_KR!BH:BH,N877,JPK_KR!BJ:BJ,O877)),"")</f>
        <v/>
      </c>
      <c r="U877" s="24" t="str">
        <f>IF(R877&lt;&gt;"",SUMIFS(JPK_KR!AL:AL,JPK_KR!W:W,S877),"")</f>
        <v/>
      </c>
      <c r="V877" s="126" t="str">
        <f>IF(R877&lt;&gt;"",SUMIFS(JPK_KR!AM:AM,JPK_KR!W:W,S877),"")</f>
        <v/>
      </c>
    </row>
    <row r="878" spans="3:22" x14ac:dyDescent="0.3">
      <c r="C878" s="24" t="str">
        <f>IF(A878&lt;&gt;"",SUMIFS(JPK_KR!AL:AL,JPK_KR!W:W,B878),"")</f>
        <v/>
      </c>
      <c r="D878" s="126" t="str">
        <f>IF(A878&lt;&gt;"",SUMIFS(JPK_KR!AM:AM,JPK_KR!W:W,B878),"")</f>
        <v/>
      </c>
      <c r="G878" s="24" t="str">
        <f>IF(E878&lt;&gt;"",SUMIFS(JPK_KR!AL:AL,JPK_KR!W:W,F878),"")</f>
        <v/>
      </c>
      <c r="H878" s="126" t="str">
        <f>IF(E878&lt;&gt;"",SUMIFS(JPK_KR!AM:AM,JPK_KR!W:W,F878),"")</f>
        <v/>
      </c>
      <c r="K878" s="24" t="str">
        <f>IF(I878&lt;&gt;"",SUMIFS(JPK_KR!AL:AL,JPK_KR!W:W,J878),"")</f>
        <v/>
      </c>
      <c r="L878" s="126" t="str">
        <f>IF(I878&lt;&gt;"",SUMIFS(JPK_KR!AM:AM,JPK_KR!W:W,J878),"")</f>
        <v/>
      </c>
      <c r="P878" s="24" t="str">
        <f>IF(M878&lt;&gt;"",IF(O878="",SUMIFS(JPK_KR!AL:AL,JPK_KR!W:W,N878),SUMIFS(JPK_KR!BF:BF,JPK_KR!BE:BE,N878,JPK_KR!BG:BG,O878)),"")</f>
        <v/>
      </c>
      <c r="Q878" s="126" t="str">
        <f>IF(M878&lt;&gt;"",IF(O878="",SUMIFS(JPK_KR!AM:AM,JPK_KR!W:W,N878),SUMIFS(JPK_KR!BI:BI,JPK_KR!BH:BH,N878,JPK_KR!BJ:BJ,O878)),"")</f>
        <v/>
      </c>
      <c r="U878" s="24" t="str">
        <f>IF(R878&lt;&gt;"",SUMIFS(JPK_KR!AL:AL,JPK_KR!W:W,S878),"")</f>
        <v/>
      </c>
      <c r="V878" s="126" t="str">
        <f>IF(R878&lt;&gt;"",SUMIFS(JPK_KR!AM:AM,JPK_KR!W:W,S878),"")</f>
        <v/>
      </c>
    </row>
    <row r="879" spans="3:22" x14ac:dyDescent="0.3">
      <c r="C879" s="24" t="str">
        <f>IF(A879&lt;&gt;"",SUMIFS(JPK_KR!AL:AL,JPK_KR!W:W,B879),"")</f>
        <v/>
      </c>
      <c r="D879" s="126" t="str">
        <f>IF(A879&lt;&gt;"",SUMIFS(JPK_KR!AM:AM,JPK_KR!W:W,B879),"")</f>
        <v/>
      </c>
      <c r="G879" s="24" t="str">
        <f>IF(E879&lt;&gt;"",SUMIFS(JPK_KR!AL:AL,JPK_KR!W:W,F879),"")</f>
        <v/>
      </c>
      <c r="H879" s="126" t="str">
        <f>IF(E879&lt;&gt;"",SUMIFS(JPK_KR!AM:AM,JPK_KR!W:W,F879),"")</f>
        <v/>
      </c>
      <c r="K879" s="24" t="str">
        <f>IF(I879&lt;&gt;"",SUMIFS(JPK_KR!AL:AL,JPK_KR!W:W,J879),"")</f>
        <v/>
      </c>
      <c r="L879" s="126" t="str">
        <f>IF(I879&lt;&gt;"",SUMIFS(JPK_KR!AM:AM,JPK_KR!W:W,J879),"")</f>
        <v/>
      </c>
      <c r="P879" s="24" t="str">
        <f>IF(M879&lt;&gt;"",IF(O879="",SUMIFS(JPK_KR!AL:AL,JPK_KR!W:W,N879),SUMIFS(JPK_KR!BF:BF,JPK_KR!BE:BE,N879,JPK_KR!BG:BG,O879)),"")</f>
        <v/>
      </c>
      <c r="Q879" s="126" t="str">
        <f>IF(M879&lt;&gt;"",IF(O879="",SUMIFS(JPK_KR!AM:AM,JPK_KR!W:W,N879),SUMIFS(JPK_KR!BI:BI,JPK_KR!BH:BH,N879,JPK_KR!BJ:BJ,O879)),"")</f>
        <v/>
      </c>
      <c r="U879" s="24" t="str">
        <f>IF(R879&lt;&gt;"",SUMIFS(JPK_KR!AL:AL,JPK_KR!W:W,S879),"")</f>
        <v/>
      </c>
      <c r="V879" s="126" t="str">
        <f>IF(R879&lt;&gt;"",SUMIFS(JPK_KR!AM:AM,JPK_KR!W:W,S879),"")</f>
        <v/>
      </c>
    </row>
    <row r="880" spans="3:22" x14ac:dyDescent="0.3">
      <c r="C880" s="24" t="str">
        <f>IF(A880&lt;&gt;"",SUMIFS(JPK_KR!AL:AL,JPK_KR!W:W,B880),"")</f>
        <v/>
      </c>
      <c r="D880" s="126" t="str">
        <f>IF(A880&lt;&gt;"",SUMIFS(JPK_KR!AM:AM,JPK_KR!W:W,B880),"")</f>
        <v/>
      </c>
      <c r="G880" s="24" t="str">
        <f>IF(E880&lt;&gt;"",SUMIFS(JPK_KR!AL:AL,JPK_KR!W:W,F880),"")</f>
        <v/>
      </c>
      <c r="H880" s="126" t="str">
        <f>IF(E880&lt;&gt;"",SUMIFS(JPK_KR!AM:AM,JPK_KR!W:W,F880),"")</f>
        <v/>
      </c>
      <c r="K880" s="24" t="str">
        <f>IF(I880&lt;&gt;"",SUMIFS(JPK_KR!AL:AL,JPK_KR!W:W,J880),"")</f>
        <v/>
      </c>
      <c r="L880" s="126" t="str">
        <f>IF(I880&lt;&gt;"",SUMIFS(JPK_KR!AM:AM,JPK_KR!W:W,J880),"")</f>
        <v/>
      </c>
      <c r="P880" s="24" t="str">
        <f>IF(M880&lt;&gt;"",IF(O880="",SUMIFS(JPK_KR!AL:AL,JPK_KR!W:W,N880),SUMIFS(JPK_KR!BF:BF,JPK_KR!BE:BE,N880,JPK_KR!BG:BG,O880)),"")</f>
        <v/>
      </c>
      <c r="Q880" s="126" t="str">
        <f>IF(M880&lt;&gt;"",IF(O880="",SUMIFS(JPK_KR!AM:AM,JPK_KR!W:W,N880),SUMIFS(JPK_KR!BI:BI,JPK_KR!BH:BH,N880,JPK_KR!BJ:BJ,O880)),"")</f>
        <v/>
      </c>
      <c r="U880" s="24" t="str">
        <f>IF(R880&lt;&gt;"",SUMIFS(JPK_KR!AL:AL,JPK_KR!W:W,S880),"")</f>
        <v/>
      </c>
      <c r="V880" s="126" t="str">
        <f>IF(R880&lt;&gt;"",SUMIFS(JPK_KR!AM:AM,JPK_KR!W:W,S880),"")</f>
        <v/>
      </c>
    </row>
    <row r="881" spans="3:22" x14ac:dyDescent="0.3">
      <c r="C881" s="24" t="str">
        <f>IF(A881&lt;&gt;"",SUMIFS(JPK_KR!AL:AL,JPK_KR!W:W,B881),"")</f>
        <v/>
      </c>
      <c r="D881" s="126" t="str">
        <f>IF(A881&lt;&gt;"",SUMIFS(JPK_KR!AM:AM,JPK_KR!W:W,B881),"")</f>
        <v/>
      </c>
      <c r="G881" s="24" t="str">
        <f>IF(E881&lt;&gt;"",SUMIFS(JPK_KR!AL:AL,JPK_KR!W:W,F881),"")</f>
        <v/>
      </c>
      <c r="H881" s="126" t="str">
        <f>IF(E881&lt;&gt;"",SUMIFS(JPK_KR!AM:AM,JPK_KR!W:W,F881),"")</f>
        <v/>
      </c>
      <c r="K881" s="24" t="str">
        <f>IF(I881&lt;&gt;"",SUMIFS(JPK_KR!AL:AL,JPK_KR!W:W,J881),"")</f>
        <v/>
      </c>
      <c r="L881" s="126" t="str">
        <f>IF(I881&lt;&gt;"",SUMIFS(JPK_KR!AM:AM,JPK_KR!W:W,J881),"")</f>
        <v/>
      </c>
      <c r="P881" s="24" t="str">
        <f>IF(M881&lt;&gt;"",IF(O881="",SUMIFS(JPK_KR!AL:AL,JPK_KR!W:W,N881),SUMIFS(JPK_KR!BF:BF,JPK_KR!BE:BE,N881,JPK_KR!BG:BG,O881)),"")</f>
        <v/>
      </c>
      <c r="Q881" s="126" t="str">
        <f>IF(M881&lt;&gt;"",IF(O881="",SUMIFS(JPK_KR!AM:AM,JPK_KR!W:W,N881),SUMIFS(JPK_KR!BI:BI,JPK_KR!BH:BH,N881,JPK_KR!BJ:BJ,O881)),"")</f>
        <v/>
      </c>
      <c r="U881" s="24" t="str">
        <f>IF(R881&lt;&gt;"",SUMIFS(JPK_KR!AL:AL,JPK_KR!W:W,S881),"")</f>
        <v/>
      </c>
      <c r="V881" s="126" t="str">
        <f>IF(R881&lt;&gt;"",SUMIFS(JPK_KR!AM:AM,JPK_KR!W:W,S881),"")</f>
        <v/>
      </c>
    </row>
    <row r="882" spans="3:22" x14ac:dyDescent="0.3">
      <c r="C882" s="24" t="str">
        <f>IF(A882&lt;&gt;"",SUMIFS(JPK_KR!AL:AL,JPK_KR!W:W,B882),"")</f>
        <v/>
      </c>
      <c r="D882" s="126" t="str">
        <f>IF(A882&lt;&gt;"",SUMIFS(JPK_KR!AM:AM,JPK_KR!W:W,B882),"")</f>
        <v/>
      </c>
      <c r="G882" s="24" t="str">
        <f>IF(E882&lt;&gt;"",SUMIFS(JPK_KR!AL:AL,JPK_KR!W:W,F882),"")</f>
        <v/>
      </c>
      <c r="H882" s="126" t="str">
        <f>IF(E882&lt;&gt;"",SUMIFS(JPK_KR!AM:AM,JPK_KR!W:W,F882),"")</f>
        <v/>
      </c>
      <c r="K882" s="24" t="str">
        <f>IF(I882&lt;&gt;"",SUMIFS(JPK_KR!AL:AL,JPK_KR!W:W,J882),"")</f>
        <v/>
      </c>
      <c r="L882" s="126" t="str">
        <f>IF(I882&lt;&gt;"",SUMIFS(JPK_KR!AM:AM,JPK_KR!W:W,J882),"")</f>
        <v/>
      </c>
      <c r="P882" s="24" t="str">
        <f>IF(M882&lt;&gt;"",IF(O882="",SUMIFS(JPK_KR!AL:AL,JPK_KR!W:W,N882),SUMIFS(JPK_KR!BF:BF,JPK_KR!BE:BE,N882,JPK_KR!BG:BG,O882)),"")</f>
        <v/>
      </c>
      <c r="Q882" s="126" t="str">
        <f>IF(M882&lt;&gt;"",IF(O882="",SUMIFS(JPK_KR!AM:AM,JPK_KR!W:W,N882),SUMIFS(JPK_KR!BI:BI,JPK_KR!BH:BH,N882,JPK_KR!BJ:BJ,O882)),"")</f>
        <v/>
      </c>
      <c r="U882" s="24" t="str">
        <f>IF(R882&lt;&gt;"",SUMIFS(JPK_KR!AL:AL,JPK_KR!W:W,S882),"")</f>
        <v/>
      </c>
      <c r="V882" s="126" t="str">
        <f>IF(R882&lt;&gt;"",SUMIFS(JPK_KR!AM:AM,JPK_KR!W:W,S882),"")</f>
        <v/>
      </c>
    </row>
    <row r="883" spans="3:22" x14ac:dyDescent="0.3">
      <c r="C883" s="24" t="str">
        <f>IF(A883&lt;&gt;"",SUMIFS(JPK_KR!AL:AL,JPK_KR!W:W,B883),"")</f>
        <v/>
      </c>
      <c r="D883" s="126" t="str">
        <f>IF(A883&lt;&gt;"",SUMIFS(JPK_KR!AM:AM,JPK_KR!W:W,B883),"")</f>
        <v/>
      </c>
      <c r="G883" s="24" t="str">
        <f>IF(E883&lt;&gt;"",SUMIFS(JPK_KR!AL:AL,JPK_KR!W:W,F883),"")</f>
        <v/>
      </c>
      <c r="H883" s="126" t="str">
        <f>IF(E883&lt;&gt;"",SUMIFS(JPK_KR!AM:AM,JPK_KR!W:W,F883),"")</f>
        <v/>
      </c>
      <c r="K883" s="24" t="str">
        <f>IF(I883&lt;&gt;"",SUMIFS(JPK_KR!AL:AL,JPK_KR!W:W,J883),"")</f>
        <v/>
      </c>
      <c r="L883" s="126" t="str">
        <f>IF(I883&lt;&gt;"",SUMIFS(JPK_KR!AM:AM,JPK_KR!W:W,J883),"")</f>
        <v/>
      </c>
      <c r="P883" s="24" t="str">
        <f>IF(M883&lt;&gt;"",IF(O883="",SUMIFS(JPK_KR!AL:AL,JPK_KR!W:W,N883),SUMIFS(JPK_KR!BF:BF,JPK_KR!BE:BE,N883,JPK_KR!BG:BG,O883)),"")</f>
        <v/>
      </c>
      <c r="Q883" s="126" t="str">
        <f>IF(M883&lt;&gt;"",IF(O883="",SUMIFS(JPK_KR!AM:AM,JPK_KR!W:W,N883),SUMIFS(JPK_KR!BI:BI,JPK_KR!BH:BH,N883,JPK_KR!BJ:BJ,O883)),"")</f>
        <v/>
      </c>
      <c r="U883" s="24" t="str">
        <f>IF(R883&lt;&gt;"",SUMIFS(JPK_KR!AL:AL,JPK_KR!W:W,S883),"")</f>
        <v/>
      </c>
      <c r="V883" s="126" t="str">
        <f>IF(R883&lt;&gt;"",SUMIFS(JPK_KR!AM:AM,JPK_KR!W:W,S883),"")</f>
        <v/>
      </c>
    </row>
    <row r="884" spans="3:22" x14ac:dyDescent="0.3">
      <c r="C884" s="24" t="str">
        <f>IF(A884&lt;&gt;"",SUMIFS(JPK_KR!AL:AL,JPK_KR!W:W,B884),"")</f>
        <v/>
      </c>
      <c r="D884" s="126" t="str">
        <f>IF(A884&lt;&gt;"",SUMIFS(JPK_KR!AM:AM,JPK_KR!W:W,B884),"")</f>
        <v/>
      </c>
      <c r="G884" s="24" t="str">
        <f>IF(E884&lt;&gt;"",SUMIFS(JPK_KR!AL:AL,JPK_KR!W:W,F884),"")</f>
        <v/>
      </c>
      <c r="H884" s="126" t="str">
        <f>IF(E884&lt;&gt;"",SUMIFS(JPK_KR!AM:AM,JPK_KR!W:W,F884),"")</f>
        <v/>
      </c>
      <c r="K884" s="24" t="str">
        <f>IF(I884&lt;&gt;"",SUMIFS(JPK_KR!AL:AL,JPK_KR!W:W,J884),"")</f>
        <v/>
      </c>
      <c r="L884" s="126" t="str">
        <f>IF(I884&lt;&gt;"",SUMIFS(JPK_KR!AM:AM,JPK_KR!W:W,J884),"")</f>
        <v/>
      </c>
      <c r="P884" s="24" t="str">
        <f>IF(M884&lt;&gt;"",IF(O884="",SUMIFS(JPK_KR!AL:AL,JPK_KR!W:W,N884),SUMIFS(JPK_KR!BF:BF,JPK_KR!BE:BE,N884,JPK_KR!BG:BG,O884)),"")</f>
        <v/>
      </c>
      <c r="Q884" s="126" t="str">
        <f>IF(M884&lt;&gt;"",IF(O884="",SUMIFS(JPK_KR!AM:AM,JPK_KR!W:W,N884),SUMIFS(JPK_KR!BI:BI,JPK_KR!BH:BH,N884,JPK_KR!BJ:BJ,O884)),"")</f>
        <v/>
      </c>
      <c r="U884" s="24" t="str">
        <f>IF(R884&lt;&gt;"",SUMIFS(JPK_KR!AL:AL,JPK_KR!W:W,S884),"")</f>
        <v/>
      </c>
      <c r="V884" s="126" t="str">
        <f>IF(R884&lt;&gt;"",SUMIFS(JPK_KR!AM:AM,JPK_KR!W:W,S884),"")</f>
        <v/>
      </c>
    </row>
    <row r="885" spans="3:22" x14ac:dyDescent="0.3">
      <c r="C885" s="24" t="str">
        <f>IF(A885&lt;&gt;"",SUMIFS(JPK_KR!AL:AL,JPK_KR!W:W,B885),"")</f>
        <v/>
      </c>
      <c r="D885" s="126" t="str">
        <f>IF(A885&lt;&gt;"",SUMIFS(JPK_KR!AM:AM,JPK_KR!W:W,B885),"")</f>
        <v/>
      </c>
      <c r="G885" s="24" t="str">
        <f>IF(E885&lt;&gt;"",SUMIFS(JPK_KR!AL:AL,JPK_KR!W:W,F885),"")</f>
        <v/>
      </c>
      <c r="H885" s="126" t="str">
        <f>IF(E885&lt;&gt;"",SUMIFS(JPK_KR!AM:AM,JPK_KR!W:W,F885),"")</f>
        <v/>
      </c>
      <c r="K885" s="24" t="str">
        <f>IF(I885&lt;&gt;"",SUMIFS(JPK_KR!AL:AL,JPK_KR!W:W,J885),"")</f>
        <v/>
      </c>
      <c r="L885" s="126" t="str">
        <f>IF(I885&lt;&gt;"",SUMIFS(JPK_KR!AM:AM,JPK_KR!W:W,J885),"")</f>
        <v/>
      </c>
      <c r="P885" s="24" t="str">
        <f>IF(M885&lt;&gt;"",IF(O885="",SUMIFS(JPK_KR!AL:AL,JPK_KR!W:W,N885),SUMIFS(JPK_KR!BF:BF,JPK_KR!BE:BE,N885,JPK_KR!BG:BG,O885)),"")</f>
        <v/>
      </c>
      <c r="Q885" s="126" t="str">
        <f>IF(M885&lt;&gt;"",IF(O885="",SUMIFS(JPK_KR!AM:AM,JPK_KR!W:W,N885),SUMIFS(JPK_KR!BI:BI,JPK_KR!BH:BH,N885,JPK_KR!BJ:BJ,O885)),"")</f>
        <v/>
      </c>
      <c r="U885" s="24" t="str">
        <f>IF(R885&lt;&gt;"",SUMIFS(JPK_KR!AL:AL,JPK_KR!W:W,S885),"")</f>
        <v/>
      </c>
      <c r="V885" s="126" t="str">
        <f>IF(R885&lt;&gt;"",SUMIFS(JPK_KR!AM:AM,JPK_KR!W:W,S885),"")</f>
        <v/>
      </c>
    </row>
    <row r="886" spans="3:22" x14ac:dyDescent="0.3">
      <c r="C886" s="24" t="str">
        <f>IF(A886&lt;&gt;"",SUMIFS(JPK_KR!AL:AL,JPK_KR!W:W,B886),"")</f>
        <v/>
      </c>
      <c r="D886" s="126" t="str">
        <f>IF(A886&lt;&gt;"",SUMIFS(JPK_KR!AM:AM,JPK_KR!W:W,B886),"")</f>
        <v/>
      </c>
      <c r="G886" s="24" t="str">
        <f>IF(E886&lt;&gt;"",SUMIFS(JPK_KR!AL:AL,JPK_KR!W:W,F886),"")</f>
        <v/>
      </c>
      <c r="H886" s="126" t="str">
        <f>IF(E886&lt;&gt;"",SUMIFS(JPK_KR!AM:AM,JPK_KR!W:W,F886),"")</f>
        <v/>
      </c>
      <c r="K886" s="24" t="str">
        <f>IF(I886&lt;&gt;"",SUMIFS(JPK_KR!AL:AL,JPK_KR!W:W,J886),"")</f>
        <v/>
      </c>
      <c r="L886" s="126" t="str">
        <f>IF(I886&lt;&gt;"",SUMIFS(JPK_KR!AM:AM,JPK_KR!W:W,J886),"")</f>
        <v/>
      </c>
      <c r="P886" s="24" t="str">
        <f>IF(M886&lt;&gt;"",IF(O886="",SUMIFS(JPK_KR!AL:AL,JPK_KR!W:W,N886),SUMIFS(JPK_KR!BF:BF,JPK_KR!BE:BE,N886,JPK_KR!BG:BG,O886)),"")</f>
        <v/>
      </c>
      <c r="Q886" s="126" t="str">
        <f>IF(M886&lt;&gt;"",IF(O886="",SUMIFS(JPK_KR!AM:AM,JPK_KR!W:W,N886),SUMIFS(JPK_KR!BI:BI,JPK_KR!BH:BH,N886,JPK_KR!BJ:BJ,O886)),"")</f>
        <v/>
      </c>
      <c r="U886" s="24" t="str">
        <f>IF(R886&lt;&gt;"",SUMIFS(JPK_KR!AL:AL,JPK_KR!W:W,S886),"")</f>
        <v/>
      </c>
      <c r="V886" s="126" t="str">
        <f>IF(R886&lt;&gt;"",SUMIFS(JPK_KR!AM:AM,JPK_KR!W:W,S886),"")</f>
        <v/>
      </c>
    </row>
    <row r="887" spans="3:22" x14ac:dyDescent="0.3">
      <c r="C887" s="24" t="str">
        <f>IF(A887&lt;&gt;"",SUMIFS(JPK_KR!AL:AL,JPK_KR!W:W,B887),"")</f>
        <v/>
      </c>
      <c r="D887" s="126" t="str">
        <f>IF(A887&lt;&gt;"",SUMIFS(JPK_KR!AM:AM,JPK_KR!W:W,B887),"")</f>
        <v/>
      </c>
      <c r="G887" s="24" t="str">
        <f>IF(E887&lt;&gt;"",SUMIFS(JPK_KR!AL:AL,JPK_KR!W:W,F887),"")</f>
        <v/>
      </c>
      <c r="H887" s="126" t="str">
        <f>IF(E887&lt;&gt;"",SUMIFS(JPK_KR!AM:AM,JPK_KR!W:W,F887),"")</f>
        <v/>
      </c>
      <c r="K887" s="24" t="str">
        <f>IF(I887&lt;&gt;"",SUMIFS(JPK_KR!AL:AL,JPK_KR!W:W,J887),"")</f>
        <v/>
      </c>
      <c r="L887" s="126" t="str">
        <f>IF(I887&lt;&gt;"",SUMIFS(JPK_KR!AM:AM,JPK_KR!W:W,J887),"")</f>
        <v/>
      </c>
      <c r="P887" s="24" t="str">
        <f>IF(M887&lt;&gt;"",IF(O887="",SUMIFS(JPK_KR!AL:AL,JPK_KR!W:W,N887),SUMIFS(JPK_KR!BF:BF,JPK_KR!BE:BE,N887,JPK_KR!BG:BG,O887)),"")</f>
        <v/>
      </c>
      <c r="Q887" s="126" t="str">
        <f>IF(M887&lt;&gt;"",IF(O887="",SUMIFS(JPK_KR!AM:AM,JPK_KR!W:W,N887),SUMIFS(JPK_KR!BI:BI,JPK_KR!BH:BH,N887,JPK_KR!BJ:BJ,O887)),"")</f>
        <v/>
      </c>
      <c r="U887" s="24" t="str">
        <f>IF(R887&lt;&gt;"",SUMIFS(JPK_KR!AL:AL,JPK_KR!W:W,S887),"")</f>
        <v/>
      </c>
      <c r="V887" s="126" t="str">
        <f>IF(R887&lt;&gt;"",SUMIFS(JPK_KR!AM:AM,JPK_KR!W:W,S887),"")</f>
        <v/>
      </c>
    </row>
    <row r="888" spans="3:22" x14ac:dyDescent="0.3">
      <c r="C888" s="24" t="str">
        <f>IF(A888&lt;&gt;"",SUMIFS(JPK_KR!AL:AL,JPK_KR!W:W,B888),"")</f>
        <v/>
      </c>
      <c r="D888" s="126" t="str">
        <f>IF(A888&lt;&gt;"",SUMIFS(JPK_KR!AM:AM,JPK_KR!W:W,B888),"")</f>
        <v/>
      </c>
      <c r="G888" s="24" t="str">
        <f>IF(E888&lt;&gt;"",SUMIFS(JPK_KR!AL:AL,JPK_KR!W:W,F888),"")</f>
        <v/>
      </c>
      <c r="H888" s="126" t="str">
        <f>IF(E888&lt;&gt;"",SUMIFS(JPK_KR!AM:AM,JPK_KR!W:W,F888),"")</f>
        <v/>
      </c>
      <c r="K888" s="24" t="str">
        <f>IF(I888&lt;&gt;"",SUMIFS(JPK_KR!AL:AL,JPK_KR!W:W,J888),"")</f>
        <v/>
      </c>
      <c r="L888" s="126" t="str">
        <f>IF(I888&lt;&gt;"",SUMIFS(JPK_KR!AM:AM,JPK_KR!W:W,J888),"")</f>
        <v/>
      </c>
      <c r="P888" s="24" t="str">
        <f>IF(M888&lt;&gt;"",IF(O888="",SUMIFS(JPK_KR!AL:AL,JPK_KR!W:W,N888),SUMIFS(JPK_KR!BF:BF,JPK_KR!BE:BE,N888,JPK_KR!BG:BG,O888)),"")</f>
        <v/>
      </c>
      <c r="Q888" s="126" t="str">
        <f>IF(M888&lt;&gt;"",IF(O888="",SUMIFS(JPK_KR!AM:AM,JPK_KR!W:W,N888),SUMIFS(JPK_KR!BI:BI,JPK_KR!BH:BH,N888,JPK_KR!BJ:BJ,O888)),"")</f>
        <v/>
      </c>
      <c r="U888" s="24" t="str">
        <f>IF(R888&lt;&gt;"",SUMIFS(JPK_KR!AL:AL,JPK_KR!W:W,S888),"")</f>
        <v/>
      </c>
      <c r="V888" s="126" t="str">
        <f>IF(R888&lt;&gt;"",SUMIFS(JPK_KR!AM:AM,JPK_KR!W:W,S888),"")</f>
        <v/>
      </c>
    </row>
    <row r="889" spans="3:22" x14ac:dyDescent="0.3">
      <c r="C889" s="24" t="str">
        <f>IF(A889&lt;&gt;"",SUMIFS(JPK_KR!AL:AL,JPK_KR!W:W,B889),"")</f>
        <v/>
      </c>
      <c r="D889" s="126" t="str">
        <f>IF(A889&lt;&gt;"",SUMIFS(JPK_KR!AM:AM,JPK_KR!W:W,B889),"")</f>
        <v/>
      </c>
      <c r="G889" s="24" t="str">
        <f>IF(E889&lt;&gt;"",SUMIFS(JPK_KR!AL:AL,JPK_KR!W:W,F889),"")</f>
        <v/>
      </c>
      <c r="H889" s="126" t="str">
        <f>IF(E889&lt;&gt;"",SUMIFS(JPK_KR!AM:AM,JPK_KR!W:W,F889),"")</f>
        <v/>
      </c>
      <c r="K889" s="24" t="str">
        <f>IF(I889&lt;&gt;"",SUMIFS(JPK_KR!AL:AL,JPK_KR!W:W,J889),"")</f>
        <v/>
      </c>
      <c r="L889" s="126" t="str">
        <f>IF(I889&lt;&gt;"",SUMIFS(JPK_KR!AM:AM,JPK_KR!W:W,J889),"")</f>
        <v/>
      </c>
      <c r="P889" s="24" t="str">
        <f>IF(M889&lt;&gt;"",IF(O889="",SUMIFS(JPK_KR!AL:AL,JPK_KR!W:W,N889),SUMIFS(JPK_KR!BF:BF,JPK_KR!BE:BE,N889,JPK_KR!BG:BG,O889)),"")</f>
        <v/>
      </c>
      <c r="Q889" s="126" t="str">
        <f>IF(M889&lt;&gt;"",IF(O889="",SUMIFS(JPK_KR!AM:AM,JPK_KR!W:W,N889),SUMIFS(JPK_KR!BI:BI,JPK_KR!BH:BH,N889,JPK_KR!BJ:BJ,O889)),"")</f>
        <v/>
      </c>
      <c r="U889" s="24" t="str">
        <f>IF(R889&lt;&gt;"",SUMIFS(JPK_KR!AL:AL,JPK_KR!W:W,S889),"")</f>
        <v/>
      </c>
      <c r="V889" s="126" t="str">
        <f>IF(R889&lt;&gt;"",SUMIFS(JPK_KR!AM:AM,JPK_KR!W:W,S889),"")</f>
        <v/>
      </c>
    </row>
    <row r="890" spans="3:22" x14ac:dyDescent="0.3">
      <c r="C890" s="24" t="str">
        <f>IF(A890&lt;&gt;"",SUMIFS(JPK_KR!AL:AL,JPK_KR!W:W,B890),"")</f>
        <v/>
      </c>
      <c r="D890" s="126" t="str">
        <f>IF(A890&lt;&gt;"",SUMIFS(JPK_KR!AM:AM,JPK_KR!W:W,B890),"")</f>
        <v/>
      </c>
      <c r="G890" s="24" t="str">
        <f>IF(E890&lt;&gt;"",SUMIFS(JPK_KR!AL:AL,JPK_KR!W:W,F890),"")</f>
        <v/>
      </c>
      <c r="H890" s="126" t="str">
        <f>IF(E890&lt;&gt;"",SUMIFS(JPK_KR!AM:AM,JPK_KR!W:W,F890),"")</f>
        <v/>
      </c>
      <c r="K890" s="24" t="str">
        <f>IF(I890&lt;&gt;"",SUMIFS(JPK_KR!AL:AL,JPK_KR!W:W,J890),"")</f>
        <v/>
      </c>
      <c r="L890" s="126" t="str">
        <f>IF(I890&lt;&gt;"",SUMIFS(JPK_KR!AM:AM,JPK_KR!W:W,J890),"")</f>
        <v/>
      </c>
      <c r="P890" s="24" t="str">
        <f>IF(M890&lt;&gt;"",IF(O890="",SUMIFS(JPK_KR!AL:AL,JPK_KR!W:W,N890),SUMIFS(JPK_KR!BF:BF,JPK_KR!BE:BE,N890,JPK_KR!BG:BG,O890)),"")</f>
        <v/>
      </c>
      <c r="Q890" s="126" t="str">
        <f>IF(M890&lt;&gt;"",IF(O890="",SUMIFS(JPK_KR!AM:AM,JPK_KR!W:W,N890),SUMIFS(JPK_KR!BI:BI,JPK_KR!BH:BH,N890,JPK_KR!BJ:BJ,O890)),"")</f>
        <v/>
      </c>
      <c r="U890" s="24" t="str">
        <f>IF(R890&lt;&gt;"",SUMIFS(JPK_KR!AL:AL,JPK_KR!W:W,S890),"")</f>
        <v/>
      </c>
      <c r="V890" s="126" t="str">
        <f>IF(R890&lt;&gt;"",SUMIFS(JPK_KR!AM:AM,JPK_KR!W:W,S890),"")</f>
        <v/>
      </c>
    </row>
    <row r="891" spans="3:22" x14ac:dyDescent="0.3">
      <c r="C891" s="24" t="str">
        <f>IF(A891&lt;&gt;"",SUMIFS(JPK_KR!AL:AL,JPK_KR!W:W,B891),"")</f>
        <v/>
      </c>
      <c r="D891" s="126" t="str">
        <f>IF(A891&lt;&gt;"",SUMIFS(JPK_KR!AM:AM,JPK_KR!W:W,B891),"")</f>
        <v/>
      </c>
      <c r="G891" s="24" t="str">
        <f>IF(E891&lt;&gt;"",SUMIFS(JPK_KR!AL:AL,JPK_KR!W:W,F891),"")</f>
        <v/>
      </c>
      <c r="H891" s="126" t="str">
        <f>IF(E891&lt;&gt;"",SUMIFS(JPK_KR!AM:AM,JPK_KR!W:W,F891),"")</f>
        <v/>
      </c>
      <c r="K891" s="24" t="str">
        <f>IF(I891&lt;&gt;"",SUMIFS(JPK_KR!AL:AL,JPK_KR!W:W,J891),"")</f>
        <v/>
      </c>
      <c r="L891" s="126" t="str">
        <f>IF(I891&lt;&gt;"",SUMIFS(JPK_KR!AM:AM,JPK_KR!W:W,J891),"")</f>
        <v/>
      </c>
      <c r="P891" s="24" t="str">
        <f>IF(M891&lt;&gt;"",IF(O891="",SUMIFS(JPK_KR!AL:AL,JPK_KR!W:W,N891),SUMIFS(JPK_KR!BF:BF,JPK_KR!BE:BE,N891,JPK_KR!BG:BG,O891)),"")</f>
        <v/>
      </c>
      <c r="Q891" s="126" t="str">
        <f>IF(M891&lt;&gt;"",IF(O891="",SUMIFS(JPK_KR!AM:AM,JPK_KR!W:W,N891),SUMIFS(JPK_KR!BI:BI,JPK_KR!BH:BH,N891,JPK_KR!BJ:BJ,O891)),"")</f>
        <v/>
      </c>
      <c r="U891" s="24" t="str">
        <f>IF(R891&lt;&gt;"",SUMIFS(JPK_KR!AL:AL,JPK_KR!W:W,S891),"")</f>
        <v/>
      </c>
      <c r="V891" s="126" t="str">
        <f>IF(R891&lt;&gt;"",SUMIFS(JPK_KR!AM:AM,JPK_KR!W:W,S891),"")</f>
        <v/>
      </c>
    </row>
    <row r="892" spans="3:22" x14ac:dyDescent="0.3">
      <c r="C892" s="24" t="str">
        <f>IF(A892&lt;&gt;"",SUMIFS(JPK_KR!AL:AL,JPK_KR!W:W,B892),"")</f>
        <v/>
      </c>
      <c r="D892" s="126" t="str">
        <f>IF(A892&lt;&gt;"",SUMIFS(JPK_KR!AM:AM,JPK_KR!W:W,B892),"")</f>
        <v/>
      </c>
      <c r="G892" s="24" t="str">
        <f>IF(E892&lt;&gt;"",SUMIFS(JPK_KR!AL:AL,JPK_KR!W:W,F892),"")</f>
        <v/>
      </c>
      <c r="H892" s="126" t="str">
        <f>IF(E892&lt;&gt;"",SUMIFS(JPK_KR!AM:AM,JPK_KR!W:W,F892),"")</f>
        <v/>
      </c>
      <c r="K892" s="24" t="str">
        <f>IF(I892&lt;&gt;"",SUMIFS(JPK_KR!AL:AL,JPK_KR!W:W,J892),"")</f>
        <v/>
      </c>
      <c r="L892" s="126" t="str">
        <f>IF(I892&lt;&gt;"",SUMIFS(JPK_KR!AM:AM,JPK_KR!W:W,J892),"")</f>
        <v/>
      </c>
      <c r="P892" s="24" t="str">
        <f>IF(M892&lt;&gt;"",IF(O892="",SUMIFS(JPK_KR!AL:AL,JPK_KR!W:W,N892),SUMIFS(JPK_KR!BF:BF,JPK_KR!BE:BE,N892,JPK_KR!BG:BG,O892)),"")</f>
        <v/>
      </c>
      <c r="Q892" s="126" t="str">
        <f>IF(M892&lt;&gt;"",IF(O892="",SUMIFS(JPK_KR!AM:AM,JPK_KR!W:W,N892),SUMIFS(JPK_KR!BI:BI,JPK_KR!BH:BH,N892,JPK_KR!BJ:BJ,O892)),"")</f>
        <v/>
      </c>
      <c r="U892" s="24" t="str">
        <f>IF(R892&lt;&gt;"",SUMIFS(JPK_KR!AL:AL,JPK_KR!W:W,S892),"")</f>
        <v/>
      </c>
      <c r="V892" s="126" t="str">
        <f>IF(R892&lt;&gt;"",SUMIFS(JPK_KR!AM:AM,JPK_KR!W:W,S892),"")</f>
        <v/>
      </c>
    </row>
    <row r="893" spans="3:22" x14ac:dyDescent="0.3">
      <c r="C893" s="24" t="str">
        <f>IF(A893&lt;&gt;"",SUMIFS(JPK_KR!AL:AL,JPK_KR!W:W,B893),"")</f>
        <v/>
      </c>
      <c r="D893" s="126" t="str">
        <f>IF(A893&lt;&gt;"",SUMIFS(JPK_KR!AM:AM,JPK_KR!W:W,B893),"")</f>
        <v/>
      </c>
      <c r="G893" s="24" t="str">
        <f>IF(E893&lt;&gt;"",SUMIFS(JPK_KR!AL:AL,JPK_KR!W:W,F893),"")</f>
        <v/>
      </c>
      <c r="H893" s="126" t="str">
        <f>IF(E893&lt;&gt;"",SUMIFS(JPK_KR!AM:AM,JPK_KR!W:W,F893),"")</f>
        <v/>
      </c>
      <c r="K893" s="24" t="str">
        <f>IF(I893&lt;&gt;"",SUMIFS(JPK_KR!AL:AL,JPK_KR!W:W,J893),"")</f>
        <v/>
      </c>
      <c r="L893" s="126" t="str">
        <f>IF(I893&lt;&gt;"",SUMIFS(JPK_KR!AM:AM,JPK_KR!W:W,J893),"")</f>
        <v/>
      </c>
      <c r="P893" s="24" t="str">
        <f>IF(M893&lt;&gt;"",IF(O893="",SUMIFS(JPK_KR!AL:AL,JPK_KR!W:W,N893),SUMIFS(JPK_KR!BF:BF,JPK_KR!BE:BE,N893,JPK_KR!BG:BG,O893)),"")</f>
        <v/>
      </c>
      <c r="Q893" s="126" t="str">
        <f>IF(M893&lt;&gt;"",IF(O893="",SUMIFS(JPK_KR!AM:AM,JPK_KR!W:W,N893),SUMIFS(JPK_KR!BI:BI,JPK_KR!BH:BH,N893,JPK_KR!BJ:BJ,O893)),"")</f>
        <v/>
      </c>
      <c r="U893" s="24" t="str">
        <f>IF(R893&lt;&gt;"",SUMIFS(JPK_KR!AL:AL,JPK_KR!W:W,S893),"")</f>
        <v/>
      </c>
      <c r="V893" s="126" t="str">
        <f>IF(R893&lt;&gt;"",SUMIFS(JPK_KR!AM:AM,JPK_KR!W:W,S893),"")</f>
        <v/>
      </c>
    </row>
    <row r="894" spans="3:22" x14ac:dyDescent="0.3">
      <c r="C894" s="24" t="str">
        <f>IF(A894&lt;&gt;"",SUMIFS(JPK_KR!AL:AL,JPK_KR!W:W,B894),"")</f>
        <v/>
      </c>
      <c r="D894" s="126" t="str">
        <f>IF(A894&lt;&gt;"",SUMIFS(JPK_KR!AM:AM,JPK_KR!W:W,B894),"")</f>
        <v/>
      </c>
      <c r="G894" s="24" t="str">
        <f>IF(E894&lt;&gt;"",SUMIFS(JPK_KR!AL:AL,JPK_KR!W:W,F894),"")</f>
        <v/>
      </c>
      <c r="H894" s="126" t="str">
        <f>IF(E894&lt;&gt;"",SUMIFS(JPK_KR!AM:AM,JPK_KR!W:W,F894),"")</f>
        <v/>
      </c>
      <c r="K894" s="24" t="str">
        <f>IF(I894&lt;&gt;"",SUMIFS(JPK_KR!AL:AL,JPK_KR!W:W,J894),"")</f>
        <v/>
      </c>
      <c r="L894" s="126" t="str">
        <f>IF(I894&lt;&gt;"",SUMIFS(JPK_KR!AM:AM,JPK_KR!W:W,J894),"")</f>
        <v/>
      </c>
      <c r="P894" s="24" t="str">
        <f>IF(M894&lt;&gt;"",IF(O894="",SUMIFS(JPK_KR!AL:AL,JPK_KR!W:W,N894),SUMIFS(JPK_KR!BF:BF,JPK_KR!BE:BE,N894,JPK_KR!BG:BG,O894)),"")</f>
        <v/>
      </c>
      <c r="Q894" s="126" t="str">
        <f>IF(M894&lt;&gt;"",IF(O894="",SUMIFS(JPK_KR!AM:AM,JPK_KR!W:W,N894),SUMIFS(JPK_KR!BI:BI,JPK_KR!BH:BH,N894,JPK_KR!BJ:BJ,O894)),"")</f>
        <v/>
      </c>
      <c r="U894" s="24" t="str">
        <f>IF(R894&lt;&gt;"",SUMIFS(JPK_KR!AL:AL,JPK_KR!W:W,S894),"")</f>
        <v/>
      </c>
      <c r="V894" s="126" t="str">
        <f>IF(R894&lt;&gt;"",SUMIFS(JPK_KR!AM:AM,JPK_KR!W:W,S894),"")</f>
        <v/>
      </c>
    </row>
    <row r="895" spans="3:22" x14ac:dyDescent="0.3">
      <c r="C895" s="24" t="str">
        <f>IF(A895&lt;&gt;"",SUMIFS(JPK_KR!AL:AL,JPK_KR!W:W,B895),"")</f>
        <v/>
      </c>
      <c r="D895" s="126" t="str">
        <f>IF(A895&lt;&gt;"",SUMIFS(JPK_KR!AM:AM,JPK_KR!W:W,B895),"")</f>
        <v/>
      </c>
      <c r="G895" s="24" t="str">
        <f>IF(E895&lt;&gt;"",SUMIFS(JPK_KR!AL:AL,JPK_KR!W:W,F895),"")</f>
        <v/>
      </c>
      <c r="H895" s="126" t="str">
        <f>IF(E895&lt;&gt;"",SUMIFS(JPK_KR!AM:AM,JPK_KR!W:W,F895),"")</f>
        <v/>
      </c>
      <c r="K895" s="24" t="str">
        <f>IF(I895&lt;&gt;"",SUMIFS(JPK_KR!AL:AL,JPK_KR!W:W,J895),"")</f>
        <v/>
      </c>
      <c r="L895" s="126" t="str">
        <f>IF(I895&lt;&gt;"",SUMIFS(JPK_KR!AM:AM,JPK_KR!W:W,J895),"")</f>
        <v/>
      </c>
      <c r="P895" s="24" t="str">
        <f>IF(M895&lt;&gt;"",IF(O895="",SUMIFS(JPK_KR!AL:AL,JPK_KR!W:W,N895),SUMIFS(JPK_KR!BF:BF,JPK_KR!BE:BE,N895,JPK_KR!BG:BG,O895)),"")</f>
        <v/>
      </c>
      <c r="Q895" s="126" t="str">
        <f>IF(M895&lt;&gt;"",IF(O895="",SUMIFS(JPK_KR!AM:AM,JPK_KR!W:W,N895),SUMIFS(JPK_KR!BI:BI,JPK_KR!BH:BH,N895,JPK_KR!BJ:BJ,O895)),"")</f>
        <v/>
      </c>
      <c r="U895" s="24" t="str">
        <f>IF(R895&lt;&gt;"",SUMIFS(JPK_KR!AL:AL,JPK_KR!W:W,S895),"")</f>
        <v/>
      </c>
      <c r="V895" s="126" t="str">
        <f>IF(R895&lt;&gt;"",SUMIFS(JPK_KR!AM:AM,JPK_KR!W:W,S895),"")</f>
        <v/>
      </c>
    </row>
    <row r="896" spans="3:22" x14ac:dyDescent="0.3">
      <c r="C896" s="24" t="str">
        <f>IF(A896&lt;&gt;"",SUMIFS(JPK_KR!AL:AL,JPK_KR!W:W,B896),"")</f>
        <v/>
      </c>
      <c r="D896" s="126" t="str">
        <f>IF(A896&lt;&gt;"",SUMIFS(JPK_KR!AM:AM,JPK_KR!W:W,B896),"")</f>
        <v/>
      </c>
      <c r="G896" s="24" t="str">
        <f>IF(E896&lt;&gt;"",SUMIFS(JPK_KR!AL:AL,JPK_KR!W:W,F896),"")</f>
        <v/>
      </c>
      <c r="H896" s="126" t="str">
        <f>IF(E896&lt;&gt;"",SUMIFS(JPK_KR!AM:AM,JPK_KR!W:W,F896),"")</f>
        <v/>
      </c>
      <c r="K896" s="24" t="str">
        <f>IF(I896&lt;&gt;"",SUMIFS(JPK_KR!AL:AL,JPK_KR!W:W,J896),"")</f>
        <v/>
      </c>
      <c r="L896" s="126" t="str">
        <f>IF(I896&lt;&gt;"",SUMIFS(JPK_KR!AM:AM,JPK_KR!W:W,J896),"")</f>
        <v/>
      </c>
      <c r="P896" s="24" t="str">
        <f>IF(M896&lt;&gt;"",IF(O896="",SUMIFS(JPK_KR!AL:AL,JPK_KR!W:W,N896),SUMIFS(JPK_KR!BF:BF,JPK_KR!BE:BE,N896,JPK_KR!BG:BG,O896)),"")</f>
        <v/>
      </c>
      <c r="Q896" s="126" t="str">
        <f>IF(M896&lt;&gt;"",IF(O896="",SUMIFS(JPK_KR!AM:AM,JPK_KR!W:W,N896),SUMIFS(JPK_KR!BI:BI,JPK_KR!BH:BH,N896,JPK_KR!BJ:BJ,O896)),"")</f>
        <v/>
      </c>
      <c r="U896" s="24" t="str">
        <f>IF(R896&lt;&gt;"",SUMIFS(JPK_KR!AL:AL,JPK_KR!W:W,S896),"")</f>
        <v/>
      </c>
      <c r="V896" s="126" t="str">
        <f>IF(R896&lt;&gt;"",SUMIFS(JPK_KR!AM:AM,JPK_KR!W:W,S896),"")</f>
        <v/>
      </c>
    </row>
    <row r="897" spans="3:22" x14ac:dyDescent="0.3">
      <c r="C897" s="24" t="str">
        <f>IF(A897&lt;&gt;"",SUMIFS(JPK_KR!AL:AL,JPK_KR!W:W,B897),"")</f>
        <v/>
      </c>
      <c r="D897" s="126" t="str">
        <f>IF(A897&lt;&gt;"",SUMIFS(JPK_KR!AM:AM,JPK_KR!W:W,B897),"")</f>
        <v/>
      </c>
      <c r="G897" s="24" t="str">
        <f>IF(E897&lt;&gt;"",SUMIFS(JPK_KR!AL:AL,JPK_KR!W:W,F897),"")</f>
        <v/>
      </c>
      <c r="H897" s="126" t="str">
        <f>IF(E897&lt;&gt;"",SUMIFS(JPK_KR!AM:AM,JPK_KR!W:W,F897),"")</f>
        <v/>
      </c>
      <c r="K897" s="24" t="str">
        <f>IF(I897&lt;&gt;"",SUMIFS(JPK_KR!AL:AL,JPK_KR!W:W,J897),"")</f>
        <v/>
      </c>
      <c r="L897" s="126" t="str">
        <f>IF(I897&lt;&gt;"",SUMIFS(JPK_KR!AM:AM,JPK_KR!W:W,J897),"")</f>
        <v/>
      </c>
      <c r="P897" s="24" t="str">
        <f>IF(M897&lt;&gt;"",IF(O897="",SUMIFS(JPK_KR!AL:AL,JPK_KR!W:W,N897),SUMIFS(JPK_KR!BF:BF,JPK_KR!BE:BE,N897,JPK_KR!BG:BG,O897)),"")</f>
        <v/>
      </c>
      <c r="Q897" s="126" t="str">
        <f>IF(M897&lt;&gt;"",IF(O897="",SUMIFS(JPK_KR!AM:AM,JPK_KR!W:W,N897),SUMIFS(JPK_KR!BI:BI,JPK_KR!BH:BH,N897,JPK_KR!BJ:BJ,O897)),"")</f>
        <v/>
      </c>
      <c r="U897" s="24" t="str">
        <f>IF(R897&lt;&gt;"",SUMIFS(JPK_KR!AL:AL,JPK_KR!W:W,S897),"")</f>
        <v/>
      </c>
      <c r="V897" s="126" t="str">
        <f>IF(R897&lt;&gt;"",SUMIFS(JPK_KR!AM:AM,JPK_KR!W:W,S897),"")</f>
        <v/>
      </c>
    </row>
    <row r="898" spans="3:22" x14ac:dyDescent="0.3">
      <c r="C898" s="24" t="str">
        <f>IF(A898&lt;&gt;"",SUMIFS(JPK_KR!AL:AL,JPK_KR!W:W,B898),"")</f>
        <v/>
      </c>
      <c r="D898" s="126" t="str">
        <f>IF(A898&lt;&gt;"",SUMIFS(JPK_KR!AM:AM,JPK_KR!W:W,B898),"")</f>
        <v/>
      </c>
      <c r="G898" s="24" t="str">
        <f>IF(E898&lt;&gt;"",SUMIFS(JPK_KR!AL:AL,JPK_KR!W:W,F898),"")</f>
        <v/>
      </c>
      <c r="H898" s="126" t="str">
        <f>IF(E898&lt;&gt;"",SUMIFS(JPK_KR!AM:AM,JPK_KR!W:W,F898),"")</f>
        <v/>
      </c>
      <c r="K898" s="24" t="str">
        <f>IF(I898&lt;&gt;"",SUMIFS(JPK_KR!AL:AL,JPK_KR!W:W,J898),"")</f>
        <v/>
      </c>
      <c r="L898" s="126" t="str">
        <f>IF(I898&lt;&gt;"",SUMIFS(JPK_KR!AM:AM,JPK_KR!W:W,J898),"")</f>
        <v/>
      </c>
      <c r="P898" s="24" t="str">
        <f>IF(M898&lt;&gt;"",IF(O898="",SUMIFS(JPK_KR!AL:AL,JPK_KR!W:W,N898),SUMIFS(JPK_KR!BF:BF,JPK_KR!BE:BE,N898,JPK_KR!BG:BG,O898)),"")</f>
        <v/>
      </c>
      <c r="Q898" s="126" t="str">
        <f>IF(M898&lt;&gt;"",IF(O898="",SUMIFS(JPK_KR!AM:AM,JPK_KR!W:W,N898),SUMIFS(JPK_KR!BI:BI,JPK_KR!BH:BH,N898,JPK_KR!BJ:BJ,O898)),"")</f>
        <v/>
      </c>
      <c r="U898" s="24" t="str">
        <f>IF(R898&lt;&gt;"",SUMIFS(JPK_KR!AL:AL,JPK_KR!W:W,S898),"")</f>
        <v/>
      </c>
      <c r="V898" s="126" t="str">
        <f>IF(R898&lt;&gt;"",SUMIFS(JPK_KR!AM:AM,JPK_KR!W:W,S898),"")</f>
        <v/>
      </c>
    </row>
    <row r="899" spans="3:22" x14ac:dyDescent="0.3">
      <c r="C899" s="24" t="str">
        <f>IF(A899&lt;&gt;"",SUMIFS(JPK_KR!AL:AL,JPK_KR!W:W,B899),"")</f>
        <v/>
      </c>
      <c r="D899" s="126" t="str">
        <f>IF(A899&lt;&gt;"",SUMIFS(JPK_KR!AM:AM,JPK_KR!W:W,B899),"")</f>
        <v/>
      </c>
      <c r="G899" s="24" t="str">
        <f>IF(E899&lt;&gt;"",SUMIFS(JPK_KR!AL:AL,JPK_KR!W:W,F899),"")</f>
        <v/>
      </c>
      <c r="H899" s="126" t="str">
        <f>IF(E899&lt;&gt;"",SUMIFS(JPK_KR!AM:AM,JPK_KR!W:W,F899),"")</f>
        <v/>
      </c>
      <c r="K899" s="24" t="str">
        <f>IF(I899&lt;&gt;"",SUMIFS(JPK_KR!AL:AL,JPK_KR!W:W,J899),"")</f>
        <v/>
      </c>
      <c r="L899" s="126" t="str">
        <f>IF(I899&lt;&gt;"",SUMIFS(JPK_KR!AM:AM,JPK_KR!W:W,J899),"")</f>
        <v/>
      </c>
      <c r="P899" s="24" t="str">
        <f>IF(M899&lt;&gt;"",IF(O899="",SUMIFS(JPK_KR!AL:AL,JPK_KR!W:W,N899),SUMIFS(JPK_KR!BF:BF,JPK_KR!BE:BE,N899,JPK_KR!BG:BG,O899)),"")</f>
        <v/>
      </c>
      <c r="Q899" s="126" t="str">
        <f>IF(M899&lt;&gt;"",IF(O899="",SUMIFS(JPK_KR!AM:AM,JPK_KR!W:W,N899),SUMIFS(JPK_KR!BI:BI,JPK_KR!BH:BH,N899,JPK_KR!BJ:BJ,O899)),"")</f>
        <v/>
      </c>
      <c r="U899" s="24" t="str">
        <f>IF(R899&lt;&gt;"",SUMIFS(JPK_KR!AL:AL,JPK_KR!W:W,S899),"")</f>
        <v/>
      </c>
      <c r="V899" s="126" t="str">
        <f>IF(R899&lt;&gt;"",SUMIFS(JPK_KR!AM:AM,JPK_KR!W:W,S899),"")</f>
        <v/>
      </c>
    </row>
    <row r="900" spans="3:22" x14ac:dyDescent="0.3">
      <c r="C900" s="24" t="str">
        <f>IF(A900&lt;&gt;"",SUMIFS(JPK_KR!AL:AL,JPK_KR!W:W,B900),"")</f>
        <v/>
      </c>
      <c r="D900" s="126" t="str">
        <f>IF(A900&lt;&gt;"",SUMIFS(JPK_KR!AM:AM,JPK_KR!W:W,B900),"")</f>
        <v/>
      </c>
      <c r="G900" s="24" t="str">
        <f>IF(E900&lt;&gt;"",SUMIFS(JPK_KR!AL:AL,JPK_KR!W:W,F900),"")</f>
        <v/>
      </c>
      <c r="H900" s="126" t="str">
        <f>IF(E900&lt;&gt;"",SUMIFS(JPK_KR!AM:AM,JPK_KR!W:W,F900),"")</f>
        <v/>
      </c>
      <c r="K900" s="24" t="str">
        <f>IF(I900&lt;&gt;"",SUMIFS(JPK_KR!AL:AL,JPK_KR!W:W,J900),"")</f>
        <v/>
      </c>
      <c r="L900" s="126" t="str">
        <f>IF(I900&lt;&gt;"",SUMIFS(JPK_KR!AM:AM,JPK_KR!W:W,J900),"")</f>
        <v/>
      </c>
      <c r="P900" s="24" t="str">
        <f>IF(M900&lt;&gt;"",IF(O900="",SUMIFS(JPK_KR!AL:AL,JPK_KR!W:W,N900),SUMIFS(JPK_KR!BF:BF,JPK_KR!BE:BE,N900,JPK_KR!BG:BG,O900)),"")</f>
        <v/>
      </c>
      <c r="Q900" s="126" t="str">
        <f>IF(M900&lt;&gt;"",IF(O900="",SUMIFS(JPK_KR!AM:AM,JPK_KR!W:W,N900),SUMIFS(JPK_KR!BI:BI,JPK_KR!BH:BH,N900,JPK_KR!BJ:BJ,O900)),"")</f>
        <v/>
      </c>
      <c r="U900" s="24" t="str">
        <f>IF(R900&lt;&gt;"",SUMIFS(JPK_KR!AL:AL,JPK_KR!W:W,S900),"")</f>
        <v/>
      </c>
      <c r="V900" s="126" t="str">
        <f>IF(R900&lt;&gt;"",SUMIFS(JPK_KR!AM:AM,JPK_KR!W:W,S900),"")</f>
        <v/>
      </c>
    </row>
    <row r="901" spans="3:22" x14ac:dyDescent="0.3">
      <c r="C901" s="24" t="str">
        <f>IF(A901&lt;&gt;"",SUMIFS(JPK_KR!AL:AL,JPK_KR!W:W,B901),"")</f>
        <v/>
      </c>
      <c r="D901" s="126" t="str">
        <f>IF(A901&lt;&gt;"",SUMIFS(JPK_KR!AM:AM,JPK_KR!W:W,B901),"")</f>
        <v/>
      </c>
      <c r="G901" s="24" t="str">
        <f>IF(E901&lt;&gt;"",SUMIFS(JPK_KR!AL:AL,JPK_KR!W:W,F901),"")</f>
        <v/>
      </c>
      <c r="H901" s="126" t="str">
        <f>IF(E901&lt;&gt;"",SUMIFS(JPK_KR!AM:AM,JPK_KR!W:W,F901),"")</f>
        <v/>
      </c>
      <c r="K901" s="24" t="str">
        <f>IF(I901&lt;&gt;"",SUMIFS(JPK_KR!AL:AL,JPK_KR!W:W,J901),"")</f>
        <v/>
      </c>
      <c r="L901" s="126" t="str">
        <f>IF(I901&lt;&gt;"",SUMIFS(JPK_KR!AM:AM,JPK_KR!W:W,J901),"")</f>
        <v/>
      </c>
      <c r="P901" s="24" t="str">
        <f>IF(M901&lt;&gt;"",IF(O901="",SUMIFS(JPK_KR!AL:AL,JPK_KR!W:W,N901),SUMIFS(JPK_KR!BF:BF,JPK_KR!BE:BE,N901,JPK_KR!BG:BG,O901)),"")</f>
        <v/>
      </c>
      <c r="Q901" s="126" t="str">
        <f>IF(M901&lt;&gt;"",IF(O901="",SUMIFS(JPK_KR!AM:AM,JPK_KR!W:W,N901),SUMIFS(JPK_KR!BI:BI,JPK_KR!BH:BH,N901,JPK_KR!BJ:BJ,O901)),"")</f>
        <v/>
      </c>
      <c r="U901" s="24" t="str">
        <f>IF(R901&lt;&gt;"",SUMIFS(JPK_KR!AL:AL,JPK_KR!W:W,S901),"")</f>
        <v/>
      </c>
      <c r="V901" s="126" t="str">
        <f>IF(R901&lt;&gt;"",SUMIFS(JPK_KR!AM:AM,JPK_KR!W:W,S901),"")</f>
        <v/>
      </c>
    </row>
    <row r="902" spans="3:22" x14ac:dyDescent="0.3">
      <c r="C902" s="24" t="str">
        <f>IF(A902&lt;&gt;"",SUMIFS(JPK_KR!AL:AL,JPK_KR!W:W,B902),"")</f>
        <v/>
      </c>
      <c r="D902" s="126" t="str">
        <f>IF(A902&lt;&gt;"",SUMIFS(JPK_KR!AM:AM,JPK_KR!W:W,B902),"")</f>
        <v/>
      </c>
      <c r="G902" s="24" t="str">
        <f>IF(E902&lt;&gt;"",SUMIFS(JPK_KR!AL:AL,JPK_KR!W:W,F902),"")</f>
        <v/>
      </c>
      <c r="H902" s="126" t="str">
        <f>IF(E902&lt;&gt;"",SUMIFS(JPK_KR!AM:AM,JPK_KR!W:W,F902),"")</f>
        <v/>
      </c>
      <c r="K902" s="24" t="str">
        <f>IF(I902&lt;&gt;"",SUMIFS(JPK_KR!AL:AL,JPK_KR!W:W,J902),"")</f>
        <v/>
      </c>
      <c r="L902" s="126" t="str">
        <f>IF(I902&lt;&gt;"",SUMIFS(JPK_KR!AM:AM,JPK_KR!W:W,J902),"")</f>
        <v/>
      </c>
      <c r="P902" s="24" t="str">
        <f>IF(M902&lt;&gt;"",IF(O902="",SUMIFS(JPK_KR!AL:AL,JPK_KR!W:W,N902),SUMIFS(JPK_KR!BF:BF,JPK_KR!BE:BE,N902,JPK_KR!BG:BG,O902)),"")</f>
        <v/>
      </c>
      <c r="Q902" s="126" t="str">
        <f>IF(M902&lt;&gt;"",IF(O902="",SUMIFS(JPK_KR!AM:AM,JPK_KR!W:W,N902),SUMIFS(JPK_KR!BI:BI,JPK_KR!BH:BH,N902,JPK_KR!BJ:BJ,O902)),"")</f>
        <v/>
      </c>
      <c r="U902" s="24" t="str">
        <f>IF(R902&lt;&gt;"",SUMIFS(JPK_KR!AL:AL,JPK_KR!W:W,S902),"")</f>
        <v/>
      </c>
      <c r="V902" s="126" t="str">
        <f>IF(R902&lt;&gt;"",SUMIFS(JPK_KR!AM:AM,JPK_KR!W:W,S902),"")</f>
        <v/>
      </c>
    </row>
    <row r="903" spans="3:22" x14ac:dyDescent="0.3">
      <c r="C903" s="24" t="str">
        <f>IF(A903&lt;&gt;"",SUMIFS(JPK_KR!AL:AL,JPK_KR!W:W,B903),"")</f>
        <v/>
      </c>
      <c r="D903" s="126" t="str">
        <f>IF(A903&lt;&gt;"",SUMIFS(JPK_KR!AM:AM,JPK_KR!W:W,B903),"")</f>
        <v/>
      </c>
      <c r="G903" s="24" t="str">
        <f>IF(E903&lt;&gt;"",SUMIFS(JPK_KR!AL:AL,JPK_KR!W:W,F903),"")</f>
        <v/>
      </c>
      <c r="H903" s="126" t="str">
        <f>IF(E903&lt;&gt;"",SUMIFS(JPK_KR!AM:AM,JPK_KR!W:W,F903),"")</f>
        <v/>
      </c>
      <c r="K903" s="24" t="str">
        <f>IF(I903&lt;&gt;"",SUMIFS(JPK_KR!AL:AL,JPK_KR!W:W,J903),"")</f>
        <v/>
      </c>
      <c r="L903" s="126" t="str">
        <f>IF(I903&lt;&gt;"",SUMIFS(JPK_KR!AM:AM,JPK_KR!W:W,J903),"")</f>
        <v/>
      </c>
      <c r="P903" s="24" t="str">
        <f>IF(M903&lt;&gt;"",IF(O903="",SUMIFS(JPK_KR!AL:AL,JPK_KR!W:W,N903),SUMIFS(JPK_KR!BF:BF,JPK_KR!BE:BE,N903,JPK_KR!BG:BG,O903)),"")</f>
        <v/>
      </c>
      <c r="Q903" s="126" t="str">
        <f>IF(M903&lt;&gt;"",IF(O903="",SUMIFS(JPK_KR!AM:AM,JPK_KR!W:W,N903),SUMIFS(JPK_KR!BI:BI,JPK_KR!BH:BH,N903,JPK_KR!BJ:BJ,O903)),"")</f>
        <v/>
      </c>
      <c r="U903" s="24" t="str">
        <f>IF(R903&lt;&gt;"",SUMIFS(JPK_KR!AL:AL,JPK_KR!W:W,S903),"")</f>
        <v/>
      </c>
      <c r="V903" s="126" t="str">
        <f>IF(R903&lt;&gt;"",SUMIFS(JPK_KR!AM:AM,JPK_KR!W:W,S903),"")</f>
        <v/>
      </c>
    </row>
    <row r="904" spans="3:22" x14ac:dyDescent="0.3">
      <c r="C904" s="24" t="str">
        <f>IF(A904&lt;&gt;"",SUMIFS(JPK_KR!AL:AL,JPK_KR!W:W,B904),"")</f>
        <v/>
      </c>
      <c r="D904" s="126" t="str">
        <f>IF(A904&lt;&gt;"",SUMIFS(JPK_KR!AM:AM,JPK_KR!W:W,B904),"")</f>
        <v/>
      </c>
      <c r="G904" s="24" t="str">
        <f>IF(E904&lt;&gt;"",SUMIFS(JPK_KR!AL:AL,JPK_KR!W:W,F904),"")</f>
        <v/>
      </c>
      <c r="H904" s="126" t="str">
        <f>IF(E904&lt;&gt;"",SUMIFS(JPK_KR!AM:AM,JPK_KR!W:W,F904),"")</f>
        <v/>
      </c>
      <c r="K904" s="24" t="str">
        <f>IF(I904&lt;&gt;"",SUMIFS(JPK_KR!AL:AL,JPK_KR!W:W,J904),"")</f>
        <v/>
      </c>
      <c r="L904" s="126" t="str">
        <f>IF(I904&lt;&gt;"",SUMIFS(JPK_KR!AM:AM,JPK_KR!W:W,J904),"")</f>
        <v/>
      </c>
      <c r="P904" s="24" t="str">
        <f>IF(M904&lt;&gt;"",IF(O904="",SUMIFS(JPK_KR!AL:AL,JPK_KR!W:W,N904),SUMIFS(JPK_KR!BF:BF,JPK_KR!BE:BE,N904,JPK_KR!BG:BG,O904)),"")</f>
        <v/>
      </c>
      <c r="Q904" s="126" t="str">
        <f>IF(M904&lt;&gt;"",IF(O904="",SUMIFS(JPK_KR!AM:AM,JPK_KR!W:W,N904),SUMIFS(JPK_KR!BI:BI,JPK_KR!BH:BH,N904,JPK_KR!BJ:BJ,O904)),"")</f>
        <v/>
      </c>
      <c r="U904" s="24" t="str">
        <f>IF(R904&lt;&gt;"",SUMIFS(JPK_KR!AL:AL,JPK_KR!W:W,S904),"")</f>
        <v/>
      </c>
      <c r="V904" s="126" t="str">
        <f>IF(R904&lt;&gt;"",SUMIFS(JPK_KR!AM:AM,JPK_KR!W:W,S904),"")</f>
        <v/>
      </c>
    </row>
    <row r="905" spans="3:22" x14ac:dyDescent="0.3">
      <c r="C905" s="24" t="str">
        <f>IF(A905&lt;&gt;"",SUMIFS(JPK_KR!AL:AL,JPK_KR!W:W,B905),"")</f>
        <v/>
      </c>
      <c r="D905" s="126" t="str">
        <f>IF(A905&lt;&gt;"",SUMIFS(JPK_KR!AM:AM,JPK_KR!W:W,B905),"")</f>
        <v/>
      </c>
      <c r="G905" s="24" t="str">
        <f>IF(E905&lt;&gt;"",SUMIFS(JPK_KR!AL:AL,JPK_KR!W:W,F905),"")</f>
        <v/>
      </c>
      <c r="H905" s="126" t="str">
        <f>IF(E905&lt;&gt;"",SUMIFS(JPK_KR!AM:AM,JPK_KR!W:W,F905),"")</f>
        <v/>
      </c>
      <c r="K905" s="24" t="str">
        <f>IF(I905&lt;&gt;"",SUMIFS(JPK_KR!AL:AL,JPK_KR!W:W,J905),"")</f>
        <v/>
      </c>
      <c r="L905" s="126" t="str">
        <f>IF(I905&lt;&gt;"",SUMIFS(JPK_KR!AM:AM,JPK_KR!W:W,J905),"")</f>
        <v/>
      </c>
      <c r="P905" s="24" t="str">
        <f>IF(M905&lt;&gt;"",IF(O905="",SUMIFS(JPK_KR!AL:AL,JPK_KR!W:W,N905),SUMIFS(JPK_KR!BF:BF,JPK_KR!BE:BE,N905,JPK_KR!BG:BG,O905)),"")</f>
        <v/>
      </c>
      <c r="Q905" s="126" t="str">
        <f>IF(M905&lt;&gt;"",IF(O905="",SUMIFS(JPK_KR!AM:AM,JPK_KR!W:W,N905),SUMIFS(JPK_KR!BI:BI,JPK_KR!BH:BH,N905,JPK_KR!BJ:BJ,O905)),"")</f>
        <v/>
      </c>
      <c r="U905" s="24" t="str">
        <f>IF(R905&lt;&gt;"",SUMIFS(JPK_KR!AL:AL,JPK_KR!W:W,S905),"")</f>
        <v/>
      </c>
      <c r="V905" s="126" t="str">
        <f>IF(R905&lt;&gt;"",SUMIFS(JPK_KR!AM:AM,JPK_KR!W:W,S905),"")</f>
        <v/>
      </c>
    </row>
    <row r="906" spans="3:22" x14ac:dyDescent="0.3">
      <c r="C906" s="24" t="str">
        <f>IF(A906&lt;&gt;"",SUMIFS(JPK_KR!AL:AL,JPK_KR!W:W,B906),"")</f>
        <v/>
      </c>
      <c r="D906" s="126" t="str">
        <f>IF(A906&lt;&gt;"",SUMIFS(JPK_KR!AM:AM,JPK_KR!W:W,B906),"")</f>
        <v/>
      </c>
      <c r="G906" s="24" t="str">
        <f>IF(E906&lt;&gt;"",SUMIFS(JPK_KR!AL:AL,JPK_KR!W:W,F906),"")</f>
        <v/>
      </c>
      <c r="H906" s="126" t="str">
        <f>IF(E906&lt;&gt;"",SUMIFS(JPK_KR!AM:AM,JPK_KR!W:W,F906),"")</f>
        <v/>
      </c>
      <c r="K906" s="24" t="str">
        <f>IF(I906&lt;&gt;"",SUMIFS(JPK_KR!AL:AL,JPK_KR!W:W,J906),"")</f>
        <v/>
      </c>
      <c r="L906" s="126" t="str">
        <f>IF(I906&lt;&gt;"",SUMIFS(JPK_KR!AM:AM,JPK_KR!W:W,J906),"")</f>
        <v/>
      </c>
      <c r="P906" s="24" t="str">
        <f>IF(M906&lt;&gt;"",IF(O906="",SUMIFS(JPK_KR!AL:AL,JPK_KR!W:W,N906),SUMIFS(JPK_KR!BF:BF,JPK_KR!BE:BE,N906,JPK_KR!BG:BG,O906)),"")</f>
        <v/>
      </c>
      <c r="Q906" s="126" t="str">
        <f>IF(M906&lt;&gt;"",IF(O906="",SUMIFS(JPK_KR!AM:AM,JPK_KR!W:W,N906),SUMIFS(JPK_KR!BI:BI,JPK_KR!BH:BH,N906,JPK_KR!BJ:BJ,O906)),"")</f>
        <v/>
      </c>
      <c r="U906" s="24" t="str">
        <f>IF(R906&lt;&gt;"",SUMIFS(JPK_KR!AL:AL,JPK_KR!W:W,S906),"")</f>
        <v/>
      </c>
      <c r="V906" s="126" t="str">
        <f>IF(R906&lt;&gt;"",SUMIFS(JPK_KR!AM:AM,JPK_KR!W:W,S906),"")</f>
        <v/>
      </c>
    </row>
    <row r="907" spans="3:22" x14ac:dyDescent="0.3">
      <c r="C907" s="24" t="str">
        <f>IF(A907&lt;&gt;"",SUMIFS(JPK_KR!AL:AL,JPK_KR!W:W,B907),"")</f>
        <v/>
      </c>
      <c r="D907" s="126" t="str">
        <f>IF(A907&lt;&gt;"",SUMIFS(JPK_KR!AM:AM,JPK_KR!W:W,B907),"")</f>
        <v/>
      </c>
      <c r="G907" s="24" t="str">
        <f>IF(E907&lt;&gt;"",SUMIFS(JPK_KR!AL:AL,JPK_KR!W:W,F907),"")</f>
        <v/>
      </c>
      <c r="H907" s="126" t="str">
        <f>IF(E907&lt;&gt;"",SUMIFS(JPK_KR!AM:AM,JPK_KR!W:W,F907),"")</f>
        <v/>
      </c>
      <c r="K907" s="24" t="str">
        <f>IF(I907&lt;&gt;"",SUMIFS(JPK_KR!AL:AL,JPK_KR!W:W,J907),"")</f>
        <v/>
      </c>
      <c r="L907" s="126" t="str">
        <f>IF(I907&lt;&gt;"",SUMIFS(JPK_KR!AM:AM,JPK_KR!W:W,J907),"")</f>
        <v/>
      </c>
      <c r="P907" s="24" t="str">
        <f>IF(M907&lt;&gt;"",IF(O907="",SUMIFS(JPK_KR!AL:AL,JPK_KR!W:W,N907),SUMIFS(JPK_KR!BF:BF,JPK_KR!BE:BE,N907,JPK_KR!BG:BG,O907)),"")</f>
        <v/>
      </c>
      <c r="Q907" s="126" t="str">
        <f>IF(M907&lt;&gt;"",IF(O907="",SUMIFS(JPK_KR!AM:AM,JPK_KR!W:W,N907),SUMIFS(JPK_KR!BI:BI,JPK_KR!BH:BH,N907,JPK_KR!BJ:BJ,O907)),"")</f>
        <v/>
      </c>
      <c r="U907" s="24" t="str">
        <f>IF(R907&lt;&gt;"",SUMIFS(JPK_KR!AL:AL,JPK_KR!W:W,S907),"")</f>
        <v/>
      </c>
      <c r="V907" s="126" t="str">
        <f>IF(R907&lt;&gt;"",SUMIFS(JPK_KR!AM:AM,JPK_KR!W:W,S907),"")</f>
        <v/>
      </c>
    </row>
    <row r="908" spans="3:22" x14ac:dyDescent="0.3">
      <c r="C908" s="24" t="str">
        <f>IF(A908&lt;&gt;"",SUMIFS(JPK_KR!AL:AL,JPK_KR!W:W,B908),"")</f>
        <v/>
      </c>
      <c r="D908" s="126" t="str">
        <f>IF(A908&lt;&gt;"",SUMIFS(JPK_KR!AM:AM,JPK_KR!W:W,B908),"")</f>
        <v/>
      </c>
      <c r="G908" s="24" t="str">
        <f>IF(E908&lt;&gt;"",SUMIFS(JPK_KR!AL:AL,JPK_KR!W:W,F908),"")</f>
        <v/>
      </c>
      <c r="H908" s="126" t="str">
        <f>IF(E908&lt;&gt;"",SUMIFS(JPK_KR!AM:AM,JPK_KR!W:W,F908),"")</f>
        <v/>
      </c>
      <c r="K908" s="24" t="str">
        <f>IF(I908&lt;&gt;"",SUMIFS(JPK_KR!AL:AL,JPK_KR!W:W,J908),"")</f>
        <v/>
      </c>
      <c r="L908" s="126" t="str">
        <f>IF(I908&lt;&gt;"",SUMIFS(JPK_KR!AM:AM,JPK_KR!W:W,J908),"")</f>
        <v/>
      </c>
      <c r="P908" s="24" t="str">
        <f>IF(M908&lt;&gt;"",IF(O908="",SUMIFS(JPK_KR!AL:AL,JPK_KR!W:W,N908),SUMIFS(JPK_KR!BF:BF,JPK_KR!BE:BE,N908,JPK_KR!BG:BG,O908)),"")</f>
        <v/>
      </c>
      <c r="Q908" s="126" t="str">
        <f>IF(M908&lt;&gt;"",IF(O908="",SUMIFS(JPK_KR!AM:AM,JPK_KR!W:W,N908),SUMIFS(JPK_KR!BI:BI,JPK_KR!BH:BH,N908,JPK_KR!BJ:BJ,O908)),"")</f>
        <v/>
      </c>
      <c r="U908" s="24" t="str">
        <f>IF(R908&lt;&gt;"",SUMIFS(JPK_KR!AL:AL,JPK_KR!W:W,S908),"")</f>
        <v/>
      </c>
      <c r="V908" s="126" t="str">
        <f>IF(R908&lt;&gt;"",SUMIFS(JPK_KR!AM:AM,JPK_KR!W:W,S908),"")</f>
        <v/>
      </c>
    </row>
    <row r="909" spans="3:22" x14ac:dyDescent="0.3">
      <c r="C909" s="24" t="str">
        <f>IF(A909&lt;&gt;"",SUMIFS(JPK_KR!AL:AL,JPK_KR!W:W,B909),"")</f>
        <v/>
      </c>
      <c r="D909" s="126" t="str">
        <f>IF(A909&lt;&gt;"",SUMIFS(JPK_KR!AM:AM,JPK_KR!W:W,B909),"")</f>
        <v/>
      </c>
      <c r="G909" s="24" t="str">
        <f>IF(E909&lt;&gt;"",SUMIFS(JPK_KR!AL:AL,JPK_KR!W:W,F909),"")</f>
        <v/>
      </c>
      <c r="H909" s="126" t="str">
        <f>IF(E909&lt;&gt;"",SUMIFS(JPK_KR!AM:AM,JPK_KR!W:W,F909),"")</f>
        <v/>
      </c>
      <c r="K909" s="24" t="str">
        <f>IF(I909&lt;&gt;"",SUMIFS(JPK_KR!AL:AL,JPK_KR!W:W,J909),"")</f>
        <v/>
      </c>
      <c r="L909" s="126" t="str">
        <f>IF(I909&lt;&gt;"",SUMIFS(JPK_KR!AM:AM,JPK_KR!W:W,J909),"")</f>
        <v/>
      </c>
      <c r="P909" s="24" t="str">
        <f>IF(M909&lt;&gt;"",IF(O909="",SUMIFS(JPK_KR!AL:AL,JPK_KR!W:W,N909),SUMIFS(JPK_KR!BF:BF,JPK_KR!BE:BE,N909,JPK_KR!BG:BG,O909)),"")</f>
        <v/>
      </c>
      <c r="Q909" s="126" t="str">
        <f>IF(M909&lt;&gt;"",IF(O909="",SUMIFS(JPK_KR!AM:AM,JPK_KR!W:W,N909),SUMIFS(JPK_KR!BI:BI,JPK_KR!BH:BH,N909,JPK_KR!BJ:BJ,O909)),"")</f>
        <v/>
      </c>
      <c r="U909" s="24" t="str">
        <f>IF(R909&lt;&gt;"",SUMIFS(JPK_KR!AL:AL,JPK_KR!W:W,S909),"")</f>
        <v/>
      </c>
      <c r="V909" s="126" t="str">
        <f>IF(R909&lt;&gt;"",SUMIFS(JPK_KR!AM:AM,JPK_KR!W:W,S909),"")</f>
        <v/>
      </c>
    </row>
    <row r="910" spans="3:22" x14ac:dyDescent="0.3">
      <c r="C910" s="24" t="str">
        <f>IF(A910&lt;&gt;"",SUMIFS(JPK_KR!AL:AL,JPK_KR!W:W,B910),"")</f>
        <v/>
      </c>
      <c r="D910" s="126" t="str">
        <f>IF(A910&lt;&gt;"",SUMIFS(JPK_KR!AM:AM,JPK_KR!W:W,B910),"")</f>
        <v/>
      </c>
      <c r="G910" s="24" t="str">
        <f>IF(E910&lt;&gt;"",SUMIFS(JPK_KR!AL:AL,JPK_KR!W:W,F910),"")</f>
        <v/>
      </c>
      <c r="H910" s="126" t="str">
        <f>IF(E910&lt;&gt;"",SUMIFS(JPK_KR!AM:AM,JPK_KR!W:W,F910),"")</f>
        <v/>
      </c>
      <c r="K910" s="24" t="str">
        <f>IF(I910&lt;&gt;"",SUMIFS(JPK_KR!AL:AL,JPK_KR!W:W,J910),"")</f>
        <v/>
      </c>
      <c r="L910" s="126" t="str">
        <f>IF(I910&lt;&gt;"",SUMIFS(JPK_KR!AM:AM,JPK_KR!W:W,J910),"")</f>
        <v/>
      </c>
      <c r="P910" s="24" t="str">
        <f>IF(M910&lt;&gt;"",IF(O910="",SUMIFS(JPK_KR!AL:AL,JPK_KR!W:W,N910),SUMIFS(JPK_KR!BF:BF,JPK_KR!BE:BE,N910,JPK_KR!BG:BG,O910)),"")</f>
        <v/>
      </c>
      <c r="Q910" s="126" t="str">
        <f>IF(M910&lt;&gt;"",IF(O910="",SUMIFS(JPK_KR!AM:AM,JPK_KR!W:W,N910),SUMIFS(JPK_KR!BI:BI,JPK_KR!BH:BH,N910,JPK_KR!BJ:BJ,O910)),"")</f>
        <v/>
      </c>
      <c r="U910" s="24" t="str">
        <f>IF(R910&lt;&gt;"",SUMIFS(JPK_KR!AL:AL,JPK_KR!W:W,S910),"")</f>
        <v/>
      </c>
      <c r="V910" s="126" t="str">
        <f>IF(R910&lt;&gt;"",SUMIFS(JPK_KR!AM:AM,JPK_KR!W:W,S910),"")</f>
        <v/>
      </c>
    </row>
    <row r="911" spans="3:22" x14ac:dyDescent="0.3">
      <c r="C911" s="24" t="str">
        <f>IF(A911&lt;&gt;"",SUMIFS(JPK_KR!AL:AL,JPK_KR!W:W,B911),"")</f>
        <v/>
      </c>
      <c r="D911" s="126" t="str">
        <f>IF(A911&lt;&gt;"",SUMIFS(JPK_KR!AM:AM,JPK_KR!W:W,B911),"")</f>
        <v/>
      </c>
      <c r="G911" s="24" t="str">
        <f>IF(E911&lt;&gt;"",SUMIFS(JPK_KR!AL:AL,JPK_KR!W:W,F911),"")</f>
        <v/>
      </c>
      <c r="H911" s="126" t="str">
        <f>IF(E911&lt;&gt;"",SUMIFS(JPK_KR!AM:AM,JPK_KR!W:W,F911),"")</f>
        <v/>
      </c>
      <c r="K911" s="24" t="str">
        <f>IF(I911&lt;&gt;"",SUMIFS(JPK_KR!AL:AL,JPK_KR!W:W,J911),"")</f>
        <v/>
      </c>
      <c r="L911" s="126" t="str">
        <f>IF(I911&lt;&gt;"",SUMIFS(JPK_KR!AM:AM,JPK_KR!W:W,J911),"")</f>
        <v/>
      </c>
      <c r="P911" s="24" t="str">
        <f>IF(M911&lt;&gt;"",IF(O911="",SUMIFS(JPK_KR!AL:AL,JPK_KR!W:W,N911),SUMIFS(JPK_KR!BF:BF,JPK_KR!BE:BE,N911,JPK_KR!BG:BG,O911)),"")</f>
        <v/>
      </c>
      <c r="Q911" s="126" t="str">
        <f>IF(M911&lt;&gt;"",IF(O911="",SUMIFS(JPK_KR!AM:AM,JPK_KR!W:W,N911),SUMIFS(JPK_KR!BI:BI,JPK_KR!BH:BH,N911,JPK_KR!BJ:BJ,O911)),"")</f>
        <v/>
      </c>
      <c r="U911" s="24" t="str">
        <f>IF(R911&lt;&gt;"",SUMIFS(JPK_KR!AL:AL,JPK_KR!W:W,S911),"")</f>
        <v/>
      </c>
      <c r="V911" s="126" t="str">
        <f>IF(R911&lt;&gt;"",SUMIFS(JPK_KR!AM:AM,JPK_KR!W:W,S911),"")</f>
        <v/>
      </c>
    </row>
    <row r="912" spans="3:22" x14ac:dyDescent="0.3">
      <c r="C912" s="24" t="str">
        <f>IF(A912&lt;&gt;"",SUMIFS(JPK_KR!AL:AL,JPK_KR!W:W,B912),"")</f>
        <v/>
      </c>
      <c r="D912" s="126" t="str">
        <f>IF(A912&lt;&gt;"",SUMIFS(JPK_KR!AM:AM,JPK_KR!W:W,B912),"")</f>
        <v/>
      </c>
      <c r="G912" s="24" t="str">
        <f>IF(E912&lt;&gt;"",SUMIFS(JPK_KR!AL:AL,JPK_KR!W:W,F912),"")</f>
        <v/>
      </c>
      <c r="H912" s="126" t="str">
        <f>IF(E912&lt;&gt;"",SUMIFS(JPK_KR!AM:AM,JPK_KR!W:W,F912),"")</f>
        <v/>
      </c>
      <c r="K912" s="24" t="str">
        <f>IF(I912&lt;&gt;"",SUMIFS(JPK_KR!AL:AL,JPK_KR!W:W,J912),"")</f>
        <v/>
      </c>
      <c r="L912" s="126" t="str">
        <f>IF(I912&lt;&gt;"",SUMIFS(JPK_KR!AM:AM,JPK_KR!W:W,J912),"")</f>
        <v/>
      </c>
      <c r="P912" s="24" t="str">
        <f>IF(M912&lt;&gt;"",IF(O912="",SUMIFS(JPK_KR!AL:AL,JPK_KR!W:W,N912),SUMIFS(JPK_KR!BF:BF,JPK_KR!BE:BE,N912,JPK_KR!BG:BG,O912)),"")</f>
        <v/>
      </c>
      <c r="Q912" s="126" t="str">
        <f>IF(M912&lt;&gt;"",IF(O912="",SUMIFS(JPK_KR!AM:AM,JPK_KR!W:W,N912),SUMIFS(JPK_KR!BI:BI,JPK_KR!BH:BH,N912,JPK_KR!BJ:BJ,O912)),"")</f>
        <v/>
      </c>
      <c r="U912" s="24" t="str">
        <f>IF(R912&lt;&gt;"",SUMIFS(JPK_KR!AL:AL,JPK_KR!W:W,S912),"")</f>
        <v/>
      </c>
      <c r="V912" s="126" t="str">
        <f>IF(R912&lt;&gt;"",SUMIFS(JPK_KR!AM:AM,JPK_KR!W:W,S912),"")</f>
        <v/>
      </c>
    </row>
    <row r="913" spans="3:22" x14ac:dyDescent="0.3">
      <c r="C913" s="24" t="str">
        <f>IF(A913&lt;&gt;"",SUMIFS(JPK_KR!AL:AL,JPK_KR!W:W,B913),"")</f>
        <v/>
      </c>
      <c r="D913" s="126" t="str">
        <f>IF(A913&lt;&gt;"",SUMIFS(JPK_KR!AM:AM,JPK_KR!W:W,B913),"")</f>
        <v/>
      </c>
      <c r="G913" s="24" t="str">
        <f>IF(E913&lt;&gt;"",SUMIFS(JPK_KR!AL:AL,JPK_KR!W:W,F913),"")</f>
        <v/>
      </c>
      <c r="H913" s="126" t="str">
        <f>IF(E913&lt;&gt;"",SUMIFS(JPK_KR!AM:AM,JPK_KR!W:W,F913),"")</f>
        <v/>
      </c>
      <c r="K913" s="24" t="str">
        <f>IF(I913&lt;&gt;"",SUMIFS(JPK_KR!AL:AL,JPK_KR!W:W,J913),"")</f>
        <v/>
      </c>
      <c r="L913" s="126" t="str">
        <f>IF(I913&lt;&gt;"",SUMIFS(JPK_KR!AM:AM,JPK_KR!W:W,J913),"")</f>
        <v/>
      </c>
      <c r="P913" s="24" t="str">
        <f>IF(M913&lt;&gt;"",IF(O913="",SUMIFS(JPK_KR!AL:AL,JPK_KR!W:W,N913),SUMIFS(JPK_KR!BF:BF,JPK_KR!BE:BE,N913,JPK_KR!BG:BG,O913)),"")</f>
        <v/>
      </c>
      <c r="Q913" s="126" t="str">
        <f>IF(M913&lt;&gt;"",IF(O913="",SUMIFS(JPK_KR!AM:AM,JPK_KR!W:W,N913),SUMIFS(JPK_KR!BI:BI,JPK_KR!BH:BH,N913,JPK_KR!BJ:BJ,O913)),"")</f>
        <v/>
      </c>
      <c r="U913" s="24" t="str">
        <f>IF(R913&lt;&gt;"",SUMIFS(JPK_KR!AL:AL,JPK_KR!W:W,S913),"")</f>
        <v/>
      </c>
      <c r="V913" s="126" t="str">
        <f>IF(R913&lt;&gt;"",SUMIFS(JPK_KR!AM:AM,JPK_KR!W:W,S913),"")</f>
        <v/>
      </c>
    </row>
    <row r="914" spans="3:22" x14ac:dyDescent="0.3">
      <c r="C914" s="24" t="str">
        <f>IF(A914&lt;&gt;"",SUMIFS(JPK_KR!AL:AL,JPK_KR!W:W,B914),"")</f>
        <v/>
      </c>
      <c r="D914" s="126" t="str">
        <f>IF(A914&lt;&gt;"",SUMIFS(JPK_KR!AM:AM,JPK_KR!W:W,B914),"")</f>
        <v/>
      </c>
      <c r="G914" s="24" t="str">
        <f>IF(E914&lt;&gt;"",SUMIFS(JPK_KR!AL:AL,JPK_KR!W:W,F914),"")</f>
        <v/>
      </c>
      <c r="H914" s="126" t="str">
        <f>IF(E914&lt;&gt;"",SUMIFS(JPK_KR!AM:AM,JPK_KR!W:W,F914),"")</f>
        <v/>
      </c>
      <c r="K914" s="24" t="str">
        <f>IF(I914&lt;&gt;"",SUMIFS(JPK_KR!AL:AL,JPK_KR!W:W,J914),"")</f>
        <v/>
      </c>
      <c r="L914" s="126" t="str">
        <f>IF(I914&lt;&gt;"",SUMIFS(JPK_KR!AM:AM,JPK_KR!W:W,J914),"")</f>
        <v/>
      </c>
      <c r="P914" s="24" t="str">
        <f>IF(M914&lt;&gt;"",IF(O914="",SUMIFS(JPK_KR!AL:AL,JPK_KR!W:W,N914),SUMIFS(JPK_KR!BF:BF,JPK_KR!BE:BE,N914,JPK_KR!BG:BG,O914)),"")</f>
        <v/>
      </c>
      <c r="Q914" s="126" t="str">
        <f>IF(M914&lt;&gt;"",IF(O914="",SUMIFS(JPK_KR!AM:AM,JPK_KR!W:W,N914),SUMIFS(JPK_KR!BI:BI,JPK_KR!BH:BH,N914,JPK_KR!BJ:BJ,O914)),"")</f>
        <v/>
      </c>
      <c r="U914" s="24" t="str">
        <f>IF(R914&lt;&gt;"",SUMIFS(JPK_KR!AL:AL,JPK_KR!W:W,S914),"")</f>
        <v/>
      </c>
      <c r="V914" s="126" t="str">
        <f>IF(R914&lt;&gt;"",SUMIFS(JPK_KR!AM:AM,JPK_KR!W:W,S914),"")</f>
        <v/>
      </c>
    </row>
    <row r="915" spans="3:22" x14ac:dyDescent="0.3">
      <c r="C915" s="24" t="str">
        <f>IF(A915&lt;&gt;"",SUMIFS(JPK_KR!AL:AL,JPK_KR!W:W,B915),"")</f>
        <v/>
      </c>
      <c r="D915" s="126" t="str">
        <f>IF(A915&lt;&gt;"",SUMIFS(JPK_KR!AM:AM,JPK_KR!W:W,B915),"")</f>
        <v/>
      </c>
      <c r="G915" s="24" t="str">
        <f>IF(E915&lt;&gt;"",SUMIFS(JPK_KR!AL:AL,JPK_KR!W:W,F915),"")</f>
        <v/>
      </c>
      <c r="H915" s="126" t="str">
        <f>IF(E915&lt;&gt;"",SUMIFS(JPK_KR!AM:AM,JPK_KR!W:W,F915),"")</f>
        <v/>
      </c>
      <c r="K915" s="24" t="str">
        <f>IF(I915&lt;&gt;"",SUMIFS(JPK_KR!AL:AL,JPK_KR!W:W,J915),"")</f>
        <v/>
      </c>
      <c r="L915" s="126" t="str">
        <f>IF(I915&lt;&gt;"",SUMIFS(JPK_KR!AM:AM,JPK_KR!W:W,J915),"")</f>
        <v/>
      </c>
      <c r="P915" s="24" t="str">
        <f>IF(M915&lt;&gt;"",IF(O915="",SUMIFS(JPK_KR!AL:AL,JPK_KR!W:W,N915),SUMIFS(JPK_KR!BF:BF,JPK_KR!BE:BE,N915,JPK_KR!BG:BG,O915)),"")</f>
        <v/>
      </c>
      <c r="Q915" s="126" t="str">
        <f>IF(M915&lt;&gt;"",IF(O915="",SUMIFS(JPK_KR!AM:AM,JPK_KR!W:W,N915),SUMIFS(JPK_KR!BI:BI,JPK_KR!BH:BH,N915,JPK_KR!BJ:BJ,O915)),"")</f>
        <v/>
      </c>
      <c r="U915" s="24" t="str">
        <f>IF(R915&lt;&gt;"",SUMIFS(JPK_KR!AL:AL,JPK_KR!W:W,S915),"")</f>
        <v/>
      </c>
      <c r="V915" s="126" t="str">
        <f>IF(R915&lt;&gt;"",SUMIFS(JPK_KR!AM:AM,JPK_KR!W:W,S915),"")</f>
        <v/>
      </c>
    </row>
    <row r="916" spans="3:22" x14ac:dyDescent="0.3">
      <c r="C916" s="24" t="str">
        <f>IF(A916&lt;&gt;"",SUMIFS(JPK_KR!AL:AL,JPK_KR!W:W,B916),"")</f>
        <v/>
      </c>
      <c r="D916" s="126" t="str">
        <f>IF(A916&lt;&gt;"",SUMIFS(JPK_KR!AM:AM,JPK_KR!W:W,B916),"")</f>
        <v/>
      </c>
      <c r="G916" s="24" t="str">
        <f>IF(E916&lt;&gt;"",SUMIFS(JPK_KR!AL:AL,JPK_KR!W:W,F916),"")</f>
        <v/>
      </c>
      <c r="H916" s="126" t="str">
        <f>IF(E916&lt;&gt;"",SUMIFS(JPK_KR!AM:AM,JPK_KR!W:W,F916),"")</f>
        <v/>
      </c>
      <c r="K916" s="24" t="str">
        <f>IF(I916&lt;&gt;"",SUMIFS(JPK_KR!AL:AL,JPK_KR!W:W,J916),"")</f>
        <v/>
      </c>
      <c r="L916" s="126" t="str">
        <f>IF(I916&lt;&gt;"",SUMIFS(JPK_KR!AM:AM,JPK_KR!W:W,J916),"")</f>
        <v/>
      </c>
      <c r="P916" s="24" t="str">
        <f>IF(M916&lt;&gt;"",IF(O916="",SUMIFS(JPK_KR!AL:AL,JPK_KR!W:W,N916),SUMIFS(JPK_KR!BF:BF,JPK_KR!BE:BE,N916,JPK_KR!BG:BG,O916)),"")</f>
        <v/>
      </c>
      <c r="Q916" s="126" t="str">
        <f>IF(M916&lt;&gt;"",IF(O916="",SUMIFS(JPK_KR!AM:AM,JPK_KR!W:W,N916),SUMIFS(JPK_KR!BI:BI,JPK_KR!BH:BH,N916,JPK_KR!BJ:BJ,O916)),"")</f>
        <v/>
      </c>
      <c r="U916" s="24" t="str">
        <f>IF(R916&lt;&gt;"",SUMIFS(JPK_KR!AL:AL,JPK_KR!W:W,S916),"")</f>
        <v/>
      </c>
      <c r="V916" s="126" t="str">
        <f>IF(R916&lt;&gt;"",SUMIFS(JPK_KR!AM:AM,JPK_KR!W:W,S916),"")</f>
        <v/>
      </c>
    </row>
    <row r="917" spans="3:22" x14ac:dyDescent="0.3">
      <c r="C917" s="24" t="str">
        <f>IF(A917&lt;&gt;"",SUMIFS(JPK_KR!AL:AL,JPK_KR!W:W,B917),"")</f>
        <v/>
      </c>
      <c r="D917" s="126" t="str">
        <f>IF(A917&lt;&gt;"",SUMIFS(JPK_KR!AM:AM,JPK_KR!W:W,B917),"")</f>
        <v/>
      </c>
      <c r="G917" s="24" t="str">
        <f>IF(E917&lt;&gt;"",SUMIFS(JPK_KR!AL:AL,JPK_KR!W:W,F917),"")</f>
        <v/>
      </c>
      <c r="H917" s="126" t="str">
        <f>IF(E917&lt;&gt;"",SUMIFS(JPK_KR!AM:AM,JPK_KR!W:W,F917),"")</f>
        <v/>
      </c>
      <c r="K917" s="24" t="str">
        <f>IF(I917&lt;&gt;"",SUMIFS(JPK_KR!AL:AL,JPK_KR!W:W,J917),"")</f>
        <v/>
      </c>
      <c r="L917" s="126" t="str">
        <f>IF(I917&lt;&gt;"",SUMIFS(JPK_KR!AM:AM,JPK_KR!W:W,J917),"")</f>
        <v/>
      </c>
      <c r="P917" s="24" t="str">
        <f>IF(M917&lt;&gt;"",IF(O917="",SUMIFS(JPK_KR!AL:AL,JPK_KR!W:W,N917),SUMIFS(JPK_KR!BF:BF,JPK_KR!BE:BE,N917,JPK_KR!BG:BG,O917)),"")</f>
        <v/>
      </c>
      <c r="Q917" s="126" t="str">
        <f>IF(M917&lt;&gt;"",IF(O917="",SUMIFS(JPK_KR!AM:AM,JPK_KR!W:W,N917),SUMIFS(JPK_KR!BI:BI,JPK_KR!BH:BH,N917,JPK_KR!BJ:BJ,O917)),"")</f>
        <v/>
      </c>
      <c r="U917" s="24" t="str">
        <f>IF(R917&lt;&gt;"",SUMIFS(JPK_KR!AL:AL,JPK_KR!W:W,S917),"")</f>
        <v/>
      </c>
      <c r="V917" s="126" t="str">
        <f>IF(R917&lt;&gt;"",SUMIFS(JPK_KR!AM:AM,JPK_KR!W:W,S917),"")</f>
        <v/>
      </c>
    </row>
    <row r="918" spans="3:22" x14ac:dyDescent="0.3">
      <c r="C918" s="24" t="str">
        <f>IF(A918&lt;&gt;"",SUMIFS(JPK_KR!AL:AL,JPK_KR!W:W,B918),"")</f>
        <v/>
      </c>
      <c r="D918" s="126" t="str">
        <f>IF(A918&lt;&gt;"",SUMIFS(JPK_KR!AM:AM,JPK_KR!W:W,B918),"")</f>
        <v/>
      </c>
      <c r="G918" s="24" t="str">
        <f>IF(E918&lt;&gt;"",SUMIFS(JPK_KR!AL:AL,JPK_KR!W:W,F918),"")</f>
        <v/>
      </c>
      <c r="H918" s="126" t="str">
        <f>IF(E918&lt;&gt;"",SUMIFS(JPK_KR!AM:AM,JPK_KR!W:W,F918),"")</f>
        <v/>
      </c>
      <c r="K918" s="24" t="str">
        <f>IF(I918&lt;&gt;"",SUMIFS(JPK_KR!AL:AL,JPK_KR!W:W,J918),"")</f>
        <v/>
      </c>
      <c r="L918" s="126" t="str">
        <f>IF(I918&lt;&gt;"",SUMIFS(JPK_KR!AM:AM,JPK_KR!W:W,J918),"")</f>
        <v/>
      </c>
      <c r="P918" s="24" t="str">
        <f>IF(M918&lt;&gt;"",IF(O918="",SUMIFS(JPK_KR!AL:AL,JPK_KR!W:W,N918),SUMIFS(JPK_KR!BF:BF,JPK_KR!BE:BE,N918,JPK_KR!BG:BG,O918)),"")</f>
        <v/>
      </c>
      <c r="Q918" s="126" t="str">
        <f>IF(M918&lt;&gt;"",IF(O918="",SUMIFS(JPK_KR!AM:AM,JPK_KR!W:W,N918),SUMIFS(JPK_KR!BI:BI,JPK_KR!BH:BH,N918,JPK_KR!BJ:BJ,O918)),"")</f>
        <v/>
      </c>
      <c r="U918" s="24" t="str">
        <f>IF(R918&lt;&gt;"",SUMIFS(JPK_KR!AL:AL,JPK_KR!W:W,S918),"")</f>
        <v/>
      </c>
      <c r="V918" s="126" t="str">
        <f>IF(R918&lt;&gt;"",SUMIFS(JPK_KR!AM:AM,JPK_KR!W:W,S918),"")</f>
        <v/>
      </c>
    </row>
    <row r="919" spans="3:22" x14ac:dyDescent="0.3">
      <c r="C919" s="24" t="str">
        <f>IF(A919&lt;&gt;"",SUMIFS(JPK_KR!AL:AL,JPK_KR!W:W,B919),"")</f>
        <v/>
      </c>
      <c r="D919" s="126" t="str">
        <f>IF(A919&lt;&gt;"",SUMIFS(JPK_KR!AM:AM,JPK_KR!W:W,B919),"")</f>
        <v/>
      </c>
      <c r="G919" s="24" t="str">
        <f>IF(E919&lt;&gt;"",SUMIFS(JPK_KR!AL:AL,JPK_KR!W:W,F919),"")</f>
        <v/>
      </c>
      <c r="H919" s="126" t="str">
        <f>IF(E919&lt;&gt;"",SUMIFS(JPK_KR!AM:AM,JPK_KR!W:W,F919),"")</f>
        <v/>
      </c>
      <c r="K919" s="24" t="str">
        <f>IF(I919&lt;&gt;"",SUMIFS(JPK_KR!AL:AL,JPK_KR!W:W,J919),"")</f>
        <v/>
      </c>
      <c r="L919" s="126" t="str">
        <f>IF(I919&lt;&gt;"",SUMIFS(JPK_KR!AM:AM,JPK_KR!W:W,J919),"")</f>
        <v/>
      </c>
      <c r="P919" s="24" t="str">
        <f>IF(M919&lt;&gt;"",IF(O919="",SUMIFS(JPK_KR!AL:AL,JPK_KR!W:W,N919),SUMIFS(JPK_KR!BF:BF,JPK_KR!BE:BE,N919,JPK_KR!BG:BG,O919)),"")</f>
        <v/>
      </c>
      <c r="Q919" s="126" t="str">
        <f>IF(M919&lt;&gt;"",IF(O919="",SUMIFS(JPK_KR!AM:AM,JPK_KR!W:W,N919),SUMIFS(JPK_KR!BI:BI,JPK_KR!BH:BH,N919,JPK_KR!BJ:BJ,O919)),"")</f>
        <v/>
      </c>
      <c r="U919" s="24" t="str">
        <f>IF(R919&lt;&gt;"",SUMIFS(JPK_KR!AL:AL,JPK_KR!W:W,S919),"")</f>
        <v/>
      </c>
      <c r="V919" s="126" t="str">
        <f>IF(R919&lt;&gt;"",SUMIFS(JPK_KR!AM:AM,JPK_KR!W:W,S919),"")</f>
        <v/>
      </c>
    </row>
    <row r="920" spans="3:22" x14ac:dyDescent="0.3">
      <c r="C920" s="24" t="str">
        <f>IF(A920&lt;&gt;"",SUMIFS(JPK_KR!AL:AL,JPK_KR!W:W,B920),"")</f>
        <v/>
      </c>
      <c r="D920" s="126" t="str">
        <f>IF(A920&lt;&gt;"",SUMIFS(JPK_KR!AM:AM,JPK_KR!W:W,B920),"")</f>
        <v/>
      </c>
      <c r="G920" s="24" t="str">
        <f>IF(E920&lt;&gt;"",SUMIFS(JPK_KR!AL:AL,JPK_KR!W:W,F920),"")</f>
        <v/>
      </c>
      <c r="H920" s="126" t="str">
        <f>IF(E920&lt;&gt;"",SUMIFS(JPK_KR!AM:AM,JPK_KR!W:W,F920),"")</f>
        <v/>
      </c>
      <c r="K920" s="24" t="str">
        <f>IF(I920&lt;&gt;"",SUMIFS(JPK_KR!AL:AL,JPK_KR!W:W,J920),"")</f>
        <v/>
      </c>
      <c r="L920" s="126" t="str">
        <f>IF(I920&lt;&gt;"",SUMIFS(JPK_KR!AM:AM,JPK_KR!W:W,J920),"")</f>
        <v/>
      </c>
      <c r="P920" s="24" t="str">
        <f>IF(M920&lt;&gt;"",IF(O920="",SUMIFS(JPK_KR!AL:AL,JPK_KR!W:W,N920),SUMIFS(JPK_KR!BF:BF,JPK_KR!BE:BE,N920,JPK_KR!BG:BG,O920)),"")</f>
        <v/>
      </c>
      <c r="Q920" s="126" t="str">
        <f>IF(M920&lt;&gt;"",IF(O920="",SUMIFS(JPK_KR!AM:AM,JPK_KR!W:W,N920),SUMIFS(JPK_KR!BI:BI,JPK_KR!BH:BH,N920,JPK_KR!BJ:BJ,O920)),"")</f>
        <v/>
      </c>
      <c r="U920" s="24" t="str">
        <f>IF(R920&lt;&gt;"",SUMIFS(JPK_KR!AL:AL,JPK_KR!W:W,S920),"")</f>
        <v/>
      </c>
      <c r="V920" s="126" t="str">
        <f>IF(R920&lt;&gt;"",SUMIFS(JPK_KR!AM:AM,JPK_KR!W:W,S920),"")</f>
        <v/>
      </c>
    </row>
    <row r="921" spans="3:22" x14ac:dyDescent="0.3">
      <c r="C921" s="24" t="str">
        <f>IF(A921&lt;&gt;"",SUMIFS(JPK_KR!AL:AL,JPK_KR!W:W,B921),"")</f>
        <v/>
      </c>
      <c r="D921" s="126" t="str">
        <f>IF(A921&lt;&gt;"",SUMIFS(JPK_KR!AM:AM,JPK_KR!W:W,B921),"")</f>
        <v/>
      </c>
      <c r="G921" s="24" t="str">
        <f>IF(E921&lt;&gt;"",SUMIFS(JPK_KR!AL:AL,JPK_KR!W:W,F921),"")</f>
        <v/>
      </c>
      <c r="H921" s="126" t="str">
        <f>IF(E921&lt;&gt;"",SUMIFS(JPK_KR!AM:AM,JPK_KR!W:W,F921),"")</f>
        <v/>
      </c>
      <c r="K921" s="24" t="str">
        <f>IF(I921&lt;&gt;"",SUMIFS(JPK_KR!AL:AL,JPK_KR!W:W,J921),"")</f>
        <v/>
      </c>
      <c r="L921" s="126" t="str">
        <f>IF(I921&lt;&gt;"",SUMIFS(JPK_KR!AM:AM,JPK_KR!W:W,J921),"")</f>
        <v/>
      </c>
      <c r="P921" s="24" t="str">
        <f>IF(M921&lt;&gt;"",IF(O921="",SUMIFS(JPK_KR!AL:AL,JPK_KR!W:W,N921),SUMIFS(JPK_KR!BF:BF,JPK_KR!BE:BE,N921,JPK_KR!BG:BG,O921)),"")</f>
        <v/>
      </c>
      <c r="Q921" s="126" t="str">
        <f>IF(M921&lt;&gt;"",IF(O921="",SUMIFS(JPK_KR!AM:AM,JPK_KR!W:W,N921),SUMIFS(JPK_KR!BI:BI,JPK_KR!BH:BH,N921,JPK_KR!BJ:BJ,O921)),"")</f>
        <v/>
      </c>
      <c r="U921" s="24" t="str">
        <f>IF(R921&lt;&gt;"",SUMIFS(JPK_KR!AL:AL,JPK_KR!W:W,S921),"")</f>
        <v/>
      </c>
      <c r="V921" s="126" t="str">
        <f>IF(R921&lt;&gt;"",SUMIFS(JPK_KR!AM:AM,JPK_KR!W:W,S921),"")</f>
        <v/>
      </c>
    </row>
    <row r="922" spans="3:22" x14ac:dyDescent="0.3">
      <c r="C922" s="24" t="str">
        <f>IF(A922&lt;&gt;"",SUMIFS(JPK_KR!AL:AL,JPK_KR!W:W,B922),"")</f>
        <v/>
      </c>
      <c r="D922" s="126" t="str">
        <f>IF(A922&lt;&gt;"",SUMIFS(JPK_KR!AM:AM,JPK_KR!W:W,B922),"")</f>
        <v/>
      </c>
      <c r="G922" s="24" t="str">
        <f>IF(E922&lt;&gt;"",SUMIFS(JPK_KR!AL:AL,JPK_KR!W:W,F922),"")</f>
        <v/>
      </c>
      <c r="H922" s="126" t="str">
        <f>IF(E922&lt;&gt;"",SUMIFS(JPK_KR!AM:AM,JPK_KR!W:W,F922),"")</f>
        <v/>
      </c>
      <c r="K922" s="24" t="str">
        <f>IF(I922&lt;&gt;"",SUMIFS(JPK_KR!AL:AL,JPK_KR!W:W,J922),"")</f>
        <v/>
      </c>
      <c r="L922" s="126" t="str">
        <f>IF(I922&lt;&gt;"",SUMIFS(JPK_KR!AM:AM,JPK_KR!W:W,J922),"")</f>
        <v/>
      </c>
      <c r="P922" s="24" t="str">
        <f>IF(M922&lt;&gt;"",IF(O922="",SUMIFS(JPK_KR!AL:AL,JPK_KR!W:W,N922),SUMIFS(JPK_KR!BF:BF,JPK_KR!BE:BE,N922,JPK_KR!BG:BG,O922)),"")</f>
        <v/>
      </c>
      <c r="Q922" s="126" t="str">
        <f>IF(M922&lt;&gt;"",IF(O922="",SUMIFS(JPK_KR!AM:AM,JPK_KR!W:W,N922),SUMIFS(JPK_KR!BI:BI,JPK_KR!BH:BH,N922,JPK_KR!BJ:BJ,O922)),"")</f>
        <v/>
      </c>
      <c r="U922" s="24" t="str">
        <f>IF(R922&lt;&gt;"",SUMIFS(JPK_KR!AL:AL,JPK_KR!W:W,S922),"")</f>
        <v/>
      </c>
      <c r="V922" s="126" t="str">
        <f>IF(R922&lt;&gt;"",SUMIFS(JPK_KR!AM:AM,JPK_KR!W:W,S922),"")</f>
        <v/>
      </c>
    </row>
    <row r="923" spans="3:22" x14ac:dyDescent="0.3">
      <c r="C923" s="24" t="str">
        <f>IF(A923&lt;&gt;"",SUMIFS(JPK_KR!AL:AL,JPK_KR!W:W,B923),"")</f>
        <v/>
      </c>
      <c r="D923" s="126" t="str">
        <f>IF(A923&lt;&gt;"",SUMIFS(JPK_KR!AM:AM,JPK_KR!W:W,B923),"")</f>
        <v/>
      </c>
      <c r="G923" s="24" t="str">
        <f>IF(E923&lt;&gt;"",SUMIFS(JPK_KR!AL:AL,JPK_KR!W:W,F923),"")</f>
        <v/>
      </c>
      <c r="H923" s="126" t="str">
        <f>IF(E923&lt;&gt;"",SUMIFS(JPK_KR!AM:AM,JPK_KR!W:W,F923),"")</f>
        <v/>
      </c>
      <c r="K923" s="24" t="str">
        <f>IF(I923&lt;&gt;"",SUMIFS(JPK_KR!AL:AL,JPK_KR!W:W,J923),"")</f>
        <v/>
      </c>
      <c r="L923" s="126" t="str">
        <f>IF(I923&lt;&gt;"",SUMIFS(JPK_KR!AM:AM,JPK_KR!W:W,J923),"")</f>
        <v/>
      </c>
      <c r="P923" s="24" t="str">
        <f>IF(M923&lt;&gt;"",IF(O923="",SUMIFS(JPK_KR!AL:AL,JPK_KR!W:W,N923),SUMIFS(JPK_KR!BF:BF,JPK_KR!BE:BE,N923,JPK_KR!BG:BG,O923)),"")</f>
        <v/>
      </c>
      <c r="Q923" s="126" t="str">
        <f>IF(M923&lt;&gt;"",IF(O923="",SUMIFS(JPK_KR!AM:AM,JPK_KR!W:W,N923),SUMIFS(JPK_KR!BI:BI,JPK_KR!BH:BH,N923,JPK_KR!BJ:BJ,O923)),"")</f>
        <v/>
      </c>
      <c r="U923" s="24" t="str">
        <f>IF(R923&lt;&gt;"",SUMIFS(JPK_KR!AL:AL,JPK_KR!W:W,S923),"")</f>
        <v/>
      </c>
      <c r="V923" s="126" t="str">
        <f>IF(R923&lt;&gt;"",SUMIFS(JPK_KR!AM:AM,JPK_KR!W:W,S923),"")</f>
        <v/>
      </c>
    </row>
    <row r="924" spans="3:22" x14ac:dyDescent="0.3">
      <c r="C924" s="24" t="str">
        <f>IF(A924&lt;&gt;"",SUMIFS(JPK_KR!AL:AL,JPK_KR!W:W,B924),"")</f>
        <v/>
      </c>
      <c r="D924" s="126" t="str">
        <f>IF(A924&lt;&gt;"",SUMIFS(JPK_KR!AM:AM,JPK_KR!W:W,B924),"")</f>
        <v/>
      </c>
      <c r="G924" s="24" t="str">
        <f>IF(E924&lt;&gt;"",SUMIFS(JPK_KR!AL:AL,JPK_KR!W:W,F924),"")</f>
        <v/>
      </c>
      <c r="H924" s="126" t="str">
        <f>IF(E924&lt;&gt;"",SUMIFS(JPK_KR!AM:AM,JPK_KR!W:W,F924),"")</f>
        <v/>
      </c>
      <c r="K924" s="24" t="str">
        <f>IF(I924&lt;&gt;"",SUMIFS(JPK_KR!AL:AL,JPK_KR!W:W,J924),"")</f>
        <v/>
      </c>
      <c r="L924" s="126" t="str">
        <f>IF(I924&lt;&gt;"",SUMIFS(JPK_KR!AM:AM,JPK_KR!W:W,J924),"")</f>
        <v/>
      </c>
      <c r="P924" s="24" t="str">
        <f>IF(M924&lt;&gt;"",IF(O924="",SUMIFS(JPK_KR!AL:AL,JPK_KR!W:W,N924),SUMIFS(JPK_KR!BF:BF,JPK_KR!BE:BE,N924,JPK_KR!BG:BG,O924)),"")</f>
        <v/>
      </c>
      <c r="Q924" s="126" t="str">
        <f>IF(M924&lt;&gt;"",IF(O924="",SUMIFS(JPK_KR!AM:AM,JPK_KR!W:W,N924),SUMIFS(JPK_KR!BI:BI,JPK_KR!BH:BH,N924,JPK_KR!BJ:BJ,O924)),"")</f>
        <v/>
      </c>
      <c r="U924" s="24" t="str">
        <f>IF(R924&lt;&gt;"",SUMIFS(JPK_KR!AL:AL,JPK_KR!W:W,S924),"")</f>
        <v/>
      </c>
      <c r="V924" s="126" t="str">
        <f>IF(R924&lt;&gt;"",SUMIFS(JPK_KR!AM:AM,JPK_KR!W:W,S924),"")</f>
        <v/>
      </c>
    </row>
    <row r="925" spans="3:22" x14ac:dyDescent="0.3">
      <c r="C925" s="24" t="str">
        <f>IF(A925&lt;&gt;"",SUMIFS(JPK_KR!AL:AL,JPK_KR!W:W,B925),"")</f>
        <v/>
      </c>
      <c r="D925" s="126" t="str">
        <f>IF(A925&lt;&gt;"",SUMIFS(JPK_KR!AM:AM,JPK_KR!W:W,B925),"")</f>
        <v/>
      </c>
      <c r="G925" s="24" t="str">
        <f>IF(E925&lt;&gt;"",SUMIFS(JPK_KR!AL:AL,JPK_KR!W:W,F925),"")</f>
        <v/>
      </c>
      <c r="H925" s="126" t="str">
        <f>IF(E925&lt;&gt;"",SUMIFS(JPK_KR!AM:AM,JPK_KR!W:W,F925),"")</f>
        <v/>
      </c>
      <c r="K925" s="24" t="str">
        <f>IF(I925&lt;&gt;"",SUMIFS(JPK_KR!AL:AL,JPK_KR!W:W,J925),"")</f>
        <v/>
      </c>
      <c r="L925" s="126" t="str">
        <f>IF(I925&lt;&gt;"",SUMIFS(JPK_KR!AM:AM,JPK_KR!W:W,J925),"")</f>
        <v/>
      </c>
      <c r="P925" s="24" t="str">
        <f>IF(M925&lt;&gt;"",IF(O925="",SUMIFS(JPK_KR!AL:AL,JPK_KR!W:W,N925),SUMIFS(JPK_KR!BF:BF,JPK_KR!BE:BE,N925,JPK_KR!BG:BG,O925)),"")</f>
        <v/>
      </c>
      <c r="Q925" s="126" t="str">
        <f>IF(M925&lt;&gt;"",IF(O925="",SUMIFS(JPK_KR!AM:AM,JPK_KR!W:W,N925),SUMIFS(JPK_KR!BI:BI,JPK_KR!BH:BH,N925,JPK_KR!BJ:BJ,O925)),"")</f>
        <v/>
      </c>
      <c r="U925" s="24" t="str">
        <f>IF(R925&lt;&gt;"",SUMIFS(JPK_KR!AL:AL,JPK_KR!W:W,S925),"")</f>
        <v/>
      </c>
      <c r="V925" s="126" t="str">
        <f>IF(R925&lt;&gt;"",SUMIFS(JPK_KR!AM:AM,JPK_KR!W:W,S925),"")</f>
        <v/>
      </c>
    </row>
    <row r="926" spans="3:22" x14ac:dyDescent="0.3">
      <c r="C926" s="24" t="str">
        <f>IF(A926&lt;&gt;"",SUMIFS(JPK_KR!AL:AL,JPK_KR!W:W,B926),"")</f>
        <v/>
      </c>
      <c r="D926" s="126" t="str">
        <f>IF(A926&lt;&gt;"",SUMIFS(JPK_KR!AM:AM,JPK_KR!W:W,B926),"")</f>
        <v/>
      </c>
      <c r="G926" s="24" t="str">
        <f>IF(E926&lt;&gt;"",SUMIFS(JPK_KR!AL:AL,JPK_KR!W:W,F926),"")</f>
        <v/>
      </c>
      <c r="H926" s="126" t="str">
        <f>IF(E926&lt;&gt;"",SUMIFS(JPK_KR!AM:AM,JPK_KR!W:W,F926),"")</f>
        <v/>
      </c>
      <c r="K926" s="24" t="str">
        <f>IF(I926&lt;&gt;"",SUMIFS(JPK_KR!AL:AL,JPK_KR!W:W,J926),"")</f>
        <v/>
      </c>
      <c r="L926" s="126" t="str">
        <f>IF(I926&lt;&gt;"",SUMIFS(JPK_KR!AM:AM,JPK_KR!W:W,J926),"")</f>
        <v/>
      </c>
      <c r="P926" s="24" t="str">
        <f>IF(M926&lt;&gt;"",IF(O926="",SUMIFS(JPK_KR!AL:AL,JPK_KR!W:W,N926),SUMIFS(JPK_KR!BF:BF,JPK_KR!BE:BE,N926,JPK_KR!BG:BG,O926)),"")</f>
        <v/>
      </c>
      <c r="Q926" s="126" t="str">
        <f>IF(M926&lt;&gt;"",IF(O926="",SUMIFS(JPK_KR!AM:AM,JPK_KR!W:W,N926),SUMIFS(JPK_KR!BI:BI,JPK_KR!BH:BH,N926,JPK_KR!BJ:BJ,O926)),"")</f>
        <v/>
      </c>
      <c r="U926" s="24" t="str">
        <f>IF(R926&lt;&gt;"",SUMIFS(JPK_KR!AL:AL,JPK_KR!W:W,S926),"")</f>
        <v/>
      </c>
      <c r="V926" s="126" t="str">
        <f>IF(R926&lt;&gt;"",SUMIFS(JPK_KR!AM:AM,JPK_KR!W:W,S926),"")</f>
        <v/>
      </c>
    </row>
    <row r="927" spans="3:22" x14ac:dyDescent="0.3">
      <c r="C927" s="24" t="str">
        <f>IF(A927&lt;&gt;"",SUMIFS(JPK_KR!AL:AL,JPK_KR!W:W,B927),"")</f>
        <v/>
      </c>
      <c r="D927" s="126" t="str">
        <f>IF(A927&lt;&gt;"",SUMIFS(JPK_KR!AM:AM,JPK_KR!W:W,B927),"")</f>
        <v/>
      </c>
      <c r="G927" s="24" t="str">
        <f>IF(E927&lt;&gt;"",SUMIFS(JPK_KR!AL:AL,JPK_KR!W:W,F927),"")</f>
        <v/>
      </c>
      <c r="H927" s="126" t="str">
        <f>IF(E927&lt;&gt;"",SUMIFS(JPK_KR!AM:AM,JPK_KR!W:W,F927),"")</f>
        <v/>
      </c>
      <c r="K927" s="24" t="str">
        <f>IF(I927&lt;&gt;"",SUMIFS(JPK_KR!AL:AL,JPK_KR!W:W,J927),"")</f>
        <v/>
      </c>
      <c r="L927" s="126" t="str">
        <f>IF(I927&lt;&gt;"",SUMIFS(JPK_KR!AM:AM,JPK_KR!W:W,J927),"")</f>
        <v/>
      </c>
      <c r="P927" s="24" t="str">
        <f>IF(M927&lt;&gt;"",IF(O927="",SUMIFS(JPK_KR!AL:AL,JPK_KR!W:W,N927),SUMIFS(JPK_KR!BF:BF,JPK_KR!BE:BE,N927,JPK_KR!BG:BG,O927)),"")</f>
        <v/>
      </c>
      <c r="Q927" s="126" t="str">
        <f>IF(M927&lt;&gt;"",IF(O927="",SUMIFS(JPK_KR!AM:AM,JPK_KR!W:W,N927),SUMIFS(JPK_KR!BI:BI,JPK_KR!BH:BH,N927,JPK_KR!BJ:BJ,O927)),"")</f>
        <v/>
      </c>
      <c r="U927" s="24" t="str">
        <f>IF(R927&lt;&gt;"",SUMIFS(JPK_KR!AL:AL,JPK_KR!W:W,S927),"")</f>
        <v/>
      </c>
      <c r="V927" s="126" t="str">
        <f>IF(R927&lt;&gt;"",SUMIFS(JPK_KR!AM:AM,JPK_KR!W:W,S927),"")</f>
        <v/>
      </c>
    </row>
    <row r="928" spans="3:22" x14ac:dyDescent="0.3">
      <c r="C928" s="24" t="str">
        <f>IF(A928&lt;&gt;"",SUMIFS(JPK_KR!AL:AL,JPK_KR!W:W,B928),"")</f>
        <v/>
      </c>
      <c r="D928" s="126" t="str">
        <f>IF(A928&lt;&gt;"",SUMIFS(JPK_KR!AM:AM,JPK_KR!W:W,B928),"")</f>
        <v/>
      </c>
      <c r="G928" s="24" t="str">
        <f>IF(E928&lt;&gt;"",SUMIFS(JPK_KR!AL:AL,JPK_KR!W:W,F928),"")</f>
        <v/>
      </c>
      <c r="H928" s="126" t="str">
        <f>IF(E928&lt;&gt;"",SUMIFS(JPK_KR!AM:AM,JPK_KR!W:W,F928),"")</f>
        <v/>
      </c>
      <c r="K928" s="24" t="str">
        <f>IF(I928&lt;&gt;"",SUMIFS(JPK_KR!AL:AL,JPK_KR!W:W,J928),"")</f>
        <v/>
      </c>
      <c r="L928" s="126" t="str">
        <f>IF(I928&lt;&gt;"",SUMIFS(JPK_KR!AM:AM,JPK_KR!W:W,J928),"")</f>
        <v/>
      </c>
      <c r="P928" s="24" t="str">
        <f>IF(M928&lt;&gt;"",IF(O928="",SUMIFS(JPK_KR!AL:AL,JPK_KR!W:W,N928),SUMIFS(JPK_KR!BF:BF,JPK_KR!BE:BE,N928,JPK_KR!BG:BG,O928)),"")</f>
        <v/>
      </c>
      <c r="Q928" s="126" t="str">
        <f>IF(M928&lt;&gt;"",IF(O928="",SUMIFS(JPK_KR!AM:AM,JPK_KR!W:W,N928),SUMIFS(JPK_KR!BI:BI,JPK_KR!BH:BH,N928,JPK_KR!BJ:BJ,O928)),"")</f>
        <v/>
      </c>
      <c r="U928" s="24" t="str">
        <f>IF(R928&lt;&gt;"",SUMIFS(JPK_KR!AL:AL,JPK_KR!W:W,S928),"")</f>
        <v/>
      </c>
      <c r="V928" s="126" t="str">
        <f>IF(R928&lt;&gt;"",SUMIFS(JPK_KR!AM:AM,JPK_KR!W:W,S928),"")</f>
        <v/>
      </c>
    </row>
    <row r="929" spans="3:22" x14ac:dyDescent="0.3">
      <c r="C929" s="24" t="str">
        <f>IF(A929&lt;&gt;"",SUMIFS(JPK_KR!AL:AL,JPK_KR!W:W,B929),"")</f>
        <v/>
      </c>
      <c r="D929" s="126" t="str">
        <f>IF(A929&lt;&gt;"",SUMIFS(JPK_KR!AM:AM,JPK_KR!W:W,B929),"")</f>
        <v/>
      </c>
      <c r="G929" s="24" t="str">
        <f>IF(E929&lt;&gt;"",SUMIFS(JPK_KR!AL:AL,JPK_KR!W:W,F929),"")</f>
        <v/>
      </c>
      <c r="H929" s="126" t="str">
        <f>IF(E929&lt;&gt;"",SUMIFS(JPK_KR!AM:AM,JPK_KR!W:W,F929),"")</f>
        <v/>
      </c>
      <c r="K929" s="24" t="str">
        <f>IF(I929&lt;&gt;"",SUMIFS(JPK_KR!AL:AL,JPK_KR!W:W,J929),"")</f>
        <v/>
      </c>
      <c r="L929" s="126" t="str">
        <f>IF(I929&lt;&gt;"",SUMIFS(JPK_KR!AM:AM,JPK_KR!W:W,J929),"")</f>
        <v/>
      </c>
      <c r="P929" s="24" t="str">
        <f>IF(M929&lt;&gt;"",IF(O929="",SUMIFS(JPK_KR!AL:AL,JPK_KR!W:W,N929),SUMIFS(JPK_KR!BF:BF,JPK_KR!BE:BE,N929,JPK_KR!BG:BG,O929)),"")</f>
        <v/>
      </c>
      <c r="Q929" s="126" t="str">
        <f>IF(M929&lt;&gt;"",IF(O929="",SUMIFS(JPK_KR!AM:AM,JPK_KR!W:W,N929),SUMIFS(JPK_KR!BI:BI,JPK_KR!BH:BH,N929,JPK_KR!BJ:BJ,O929)),"")</f>
        <v/>
      </c>
      <c r="U929" s="24" t="str">
        <f>IF(R929&lt;&gt;"",SUMIFS(JPK_KR!AL:AL,JPK_KR!W:W,S929),"")</f>
        <v/>
      </c>
      <c r="V929" s="126" t="str">
        <f>IF(R929&lt;&gt;"",SUMIFS(JPK_KR!AM:AM,JPK_KR!W:W,S929),"")</f>
        <v/>
      </c>
    </row>
    <row r="930" spans="3:22" x14ac:dyDescent="0.3">
      <c r="C930" s="24" t="str">
        <f>IF(A930&lt;&gt;"",SUMIFS(JPK_KR!AL:AL,JPK_KR!W:W,B930),"")</f>
        <v/>
      </c>
      <c r="D930" s="126" t="str">
        <f>IF(A930&lt;&gt;"",SUMIFS(JPK_KR!AM:AM,JPK_KR!W:W,B930),"")</f>
        <v/>
      </c>
      <c r="G930" s="24" t="str">
        <f>IF(E930&lt;&gt;"",SUMIFS(JPK_KR!AL:AL,JPK_KR!W:W,F930),"")</f>
        <v/>
      </c>
      <c r="H930" s="126" t="str">
        <f>IF(E930&lt;&gt;"",SUMIFS(JPK_KR!AM:AM,JPK_KR!W:W,F930),"")</f>
        <v/>
      </c>
      <c r="K930" s="24" t="str">
        <f>IF(I930&lt;&gt;"",SUMIFS(JPK_KR!AL:AL,JPK_KR!W:W,J930),"")</f>
        <v/>
      </c>
      <c r="L930" s="126" t="str">
        <f>IF(I930&lt;&gt;"",SUMIFS(JPK_KR!AM:AM,JPK_KR!W:W,J930),"")</f>
        <v/>
      </c>
      <c r="P930" s="24" t="str">
        <f>IF(M930&lt;&gt;"",IF(O930="",SUMIFS(JPK_KR!AL:AL,JPK_KR!W:W,N930),SUMIFS(JPK_KR!BF:BF,JPK_KR!BE:BE,N930,JPK_KR!BG:BG,O930)),"")</f>
        <v/>
      </c>
      <c r="Q930" s="126" t="str">
        <f>IF(M930&lt;&gt;"",IF(O930="",SUMIFS(JPK_KR!AM:AM,JPK_KR!W:W,N930),SUMIFS(JPK_KR!BI:BI,JPK_KR!BH:BH,N930,JPK_KR!BJ:BJ,O930)),"")</f>
        <v/>
      </c>
      <c r="U930" s="24" t="str">
        <f>IF(R930&lt;&gt;"",SUMIFS(JPK_KR!AL:AL,JPK_KR!W:W,S930),"")</f>
        <v/>
      </c>
      <c r="V930" s="126" t="str">
        <f>IF(R930&lt;&gt;"",SUMIFS(JPK_KR!AM:AM,JPK_KR!W:W,S930),"")</f>
        <v/>
      </c>
    </row>
    <row r="931" spans="3:22" x14ac:dyDescent="0.3">
      <c r="C931" s="24" t="str">
        <f>IF(A931&lt;&gt;"",SUMIFS(JPK_KR!AL:AL,JPK_KR!W:W,B931),"")</f>
        <v/>
      </c>
      <c r="D931" s="126" t="str">
        <f>IF(A931&lt;&gt;"",SUMIFS(JPK_KR!AM:AM,JPK_KR!W:W,B931),"")</f>
        <v/>
      </c>
      <c r="G931" s="24" t="str">
        <f>IF(E931&lt;&gt;"",SUMIFS(JPK_KR!AL:AL,JPK_KR!W:W,F931),"")</f>
        <v/>
      </c>
      <c r="H931" s="126" t="str">
        <f>IF(E931&lt;&gt;"",SUMIFS(JPK_KR!AM:AM,JPK_KR!W:W,F931),"")</f>
        <v/>
      </c>
      <c r="K931" s="24" t="str">
        <f>IF(I931&lt;&gt;"",SUMIFS(JPK_KR!AL:AL,JPK_KR!W:W,J931),"")</f>
        <v/>
      </c>
      <c r="L931" s="126" t="str">
        <f>IF(I931&lt;&gt;"",SUMIFS(JPK_KR!AM:AM,JPK_KR!W:W,J931),"")</f>
        <v/>
      </c>
      <c r="P931" s="24" t="str">
        <f>IF(M931&lt;&gt;"",IF(O931="",SUMIFS(JPK_KR!AL:AL,JPK_KR!W:W,N931),SUMIFS(JPK_KR!BF:BF,JPK_KR!BE:BE,N931,JPK_KR!BG:BG,O931)),"")</f>
        <v/>
      </c>
      <c r="Q931" s="126" t="str">
        <f>IF(M931&lt;&gt;"",IF(O931="",SUMIFS(JPK_KR!AM:AM,JPK_KR!W:W,N931),SUMIFS(JPK_KR!BI:BI,JPK_KR!BH:BH,N931,JPK_KR!BJ:BJ,O931)),"")</f>
        <v/>
      </c>
      <c r="U931" s="24" t="str">
        <f>IF(R931&lt;&gt;"",SUMIFS(JPK_KR!AL:AL,JPK_KR!W:W,S931),"")</f>
        <v/>
      </c>
      <c r="V931" s="126" t="str">
        <f>IF(R931&lt;&gt;"",SUMIFS(JPK_KR!AM:AM,JPK_KR!W:W,S931),"")</f>
        <v/>
      </c>
    </row>
    <row r="932" spans="3:22" x14ac:dyDescent="0.3">
      <c r="C932" s="24" t="str">
        <f>IF(A932&lt;&gt;"",SUMIFS(JPK_KR!AL:AL,JPK_KR!W:W,B932),"")</f>
        <v/>
      </c>
      <c r="D932" s="126" t="str">
        <f>IF(A932&lt;&gt;"",SUMIFS(JPK_KR!AM:AM,JPK_KR!W:W,B932),"")</f>
        <v/>
      </c>
      <c r="G932" s="24" t="str">
        <f>IF(E932&lt;&gt;"",SUMIFS(JPK_KR!AL:AL,JPK_KR!W:W,F932),"")</f>
        <v/>
      </c>
      <c r="H932" s="126" t="str">
        <f>IF(E932&lt;&gt;"",SUMIFS(JPK_KR!AM:AM,JPK_KR!W:W,F932),"")</f>
        <v/>
      </c>
      <c r="K932" s="24" t="str">
        <f>IF(I932&lt;&gt;"",SUMIFS(JPK_KR!AL:AL,JPK_KR!W:W,J932),"")</f>
        <v/>
      </c>
      <c r="L932" s="126" t="str">
        <f>IF(I932&lt;&gt;"",SUMIFS(JPK_KR!AM:AM,JPK_KR!W:W,J932),"")</f>
        <v/>
      </c>
      <c r="P932" s="24" t="str">
        <f>IF(M932&lt;&gt;"",IF(O932="",SUMIFS(JPK_KR!AL:AL,JPK_KR!W:W,N932),SUMIFS(JPK_KR!BF:BF,JPK_KR!BE:BE,N932,JPK_KR!BG:BG,O932)),"")</f>
        <v/>
      </c>
      <c r="Q932" s="126" t="str">
        <f>IF(M932&lt;&gt;"",IF(O932="",SUMIFS(JPK_KR!AM:AM,JPK_KR!W:W,N932),SUMIFS(JPK_KR!BI:BI,JPK_KR!BH:BH,N932,JPK_KR!BJ:BJ,O932)),"")</f>
        <v/>
      </c>
      <c r="U932" s="24" t="str">
        <f>IF(R932&lt;&gt;"",SUMIFS(JPK_KR!AL:AL,JPK_KR!W:W,S932),"")</f>
        <v/>
      </c>
      <c r="V932" s="126" t="str">
        <f>IF(R932&lt;&gt;"",SUMIFS(JPK_KR!AM:AM,JPK_KR!W:W,S932),"")</f>
        <v/>
      </c>
    </row>
    <row r="933" spans="3:22" x14ac:dyDescent="0.3">
      <c r="C933" s="24" t="str">
        <f>IF(A933&lt;&gt;"",SUMIFS(JPK_KR!AL:AL,JPK_KR!W:W,B933),"")</f>
        <v/>
      </c>
      <c r="D933" s="126" t="str">
        <f>IF(A933&lt;&gt;"",SUMIFS(JPK_KR!AM:AM,JPK_KR!W:W,B933),"")</f>
        <v/>
      </c>
      <c r="G933" s="24" t="str">
        <f>IF(E933&lt;&gt;"",SUMIFS(JPK_KR!AL:AL,JPK_KR!W:W,F933),"")</f>
        <v/>
      </c>
      <c r="H933" s="126" t="str">
        <f>IF(E933&lt;&gt;"",SUMIFS(JPK_KR!AM:AM,JPK_KR!W:W,F933),"")</f>
        <v/>
      </c>
      <c r="K933" s="24" t="str">
        <f>IF(I933&lt;&gt;"",SUMIFS(JPK_KR!AL:AL,JPK_KR!W:W,J933),"")</f>
        <v/>
      </c>
      <c r="L933" s="126" t="str">
        <f>IF(I933&lt;&gt;"",SUMIFS(JPK_KR!AM:AM,JPK_KR!W:W,J933),"")</f>
        <v/>
      </c>
      <c r="P933" s="24" t="str">
        <f>IF(M933&lt;&gt;"",IF(O933="",SUMIFS(JPK_KR!AL:AL,JPK_KR!W:W,N933),SUMIFS(JPK_KR!BF:BF,JPK_KR!BE:BE,N933,JPK_KR!BG:BG,O933)),"")</f>
        <v/>
      </c>
      <c r="Q933" s="126" t="str">
        <f>IF(M933&lt;&gt;"",IF(O933="",SUMIFS(JPK_KR!AM:AM,JPK_KR!W:W,N933),SUMIFS(JPK_KR!BI:BI,JPK_KR!BH:BH,N933,JPK_KR!BJ:BJ,O933)),"")</f>
        <v/>
      </c>
      <c r="U933" s="24" t="str">
        <f>IF(R933&lt;&gt;"",SUMIFS(JPK_KR!AL:AL,JPK_KR!W:W,S933),"")</f>
        <v/>
      </c>
      <c r="V933" s="126" t="str">
        <f>IF(R933&lt;&gt;"",SUMIFS(JPK_KR!AM:AM,JPK_KR!W:W,S933),"")</f>
        <v/>
      </c>
    </row>
    <row r="934" spans="3:22" x14ac:dyDescent="0.3">
      <c r="C934" s="24" t="str">
        <f>IF(A934&lt;&gt;"",SUMIFS(JPK_KR!AL:AL,JPK_KR!W:W,B934),"")</f>
        <v/>
      </c>
      <c r="D934" s="126" t="str">
        <f>IF(A934&lt;&gt;"",SUMIFS(JPK_KR!AM:AM,JPK_KR!W:W,B934),"")</f>
        <v/>
      </c>
      <c r="G934" s="24" t="str">
        <f>IF(E934&lt;&gt;"",SUMIFS(JPK_KR!AL:AL,JPK_KR!W:W,F934),"")</f>
        <v/>
      </c>
      <c r="H934" s="126" t="str">
        <f>IF(E934&lt;&gt;"",SUMIFS(JPK_KR!AM:AM,JPK_KR!W:W,F934),"")</f>
        <v/>
      </c>
      <c r="K934" s="24" t="str">
        <f>IF(I934&lt;&gt;"",SUMIFS(JPK_KR!AL:AL,JPK_KR!W:W,J934),"")</f>
        <v/>
      </c>
      <c r="L934" s="126" t="str">
        <f>IF(I934&lt;&gt;"",SUMIFS(JPK_KR!AM:AM,JPK_KR!W:W,J934),"")</f>
        <v/>
      </c>
      <c r="P934" s="24" t="str">
        <f>IF(M934&lt;&gt;"",IF(O934="",SUMIFS(JPK_KR!AL:AL,JPK_KR!W:W,N934),SUMIFS(JPK_KR!BF:BF,JPK_KR!BE:BE,N934,JPK_KR!BG:BG,O934)),"")</f>
        <v/>
      </c>
      <c r="Q934" s="126" t="str">
        <f>IF(M934&lt;&gt;"",IF(O934="",SUMIFS(JPK_KR!AM:AM,JPK_KR!W:W,N934),SUMIFS(JPK_KR!BI:BI,JPK_KR!BH:BH,N934,JPK_KR!BJ:BJ,O934)),"")</f>
        <v/>
      </c>
      <c r="U934" s="24" t="str">
        <f>IF(R934&lt;&gt;"",SUMIFS(JPK_KR!AL:AL,JPK_KR!W:W,S934),"")</f>
        <v/>
      </c>
      <c r="V934" s="126" t="str">
        <f>IF(R934&lt;&gt;"",SUMIFS(JPK_KR!AM:AM,JPK_KR!W:W,S934),"")</f>
        <v/>
      </c>
    </row>
    <row r="935" spans="3:22" x14ac:dyDescent="0.3">
      <c r="C935" s="24" t="str">
        <f>IF(A935&lt;&gt;"",SUMIFS(JPK_KR!AL:AL,JPK_KR!W:W,B935),"")</f>
        <v/>
      </c>
      <c r="D935" s="126" t="str">
        <f>IF(A935&lt;&gt;"",SUMIFS(JPK_KR!AM:AM,JPK_KR!W:W,B935),"")</f>
        <v/>
      </c>
      <c r="G935" s="24" t="str">
        <f>IF(E935&lt;&gt;"",SUMIFS(JPK_KR!AL:AL,JPK_KR!W:W,F935),"")</f>
        <v/>
      </c>
      <c r="H935" s="126" t="str">
        <f>IF(E935&lt;&gt;"",SUMIFS(JPK_KR!AM:AM,JPK_KR!W:W,F935),"")</f>
        <v/>
      </c>
      <c r="K935" s="24" t="str">
        <f>IF(I935&lt;&gt;"",SUMIFS(JPK_KR!AL:AL,JPK_KR!W:W,J935),"")</f>
        <v/>
      </c>
      <c r="L935" s="126" t="str">
        <f>IF(I935&lt;&gt;"",SUMIFS(JPK_KR!AM:AM,JPK_KR!W:W,J935),"")</f>
        <v/>
      </c>
      <c r="P935" s="24" t="str">
        <f>IF(M935&lt;&gt;"",IF(O935="",SUMIFS(JPK_KR!AL:AL,JPK_KR!W:W,N935),SUMIFS(JPK_KR!BF:BF,JPK_KR!BE:BE,N935,JPK_KR!BG:BG,O935)),"")</f>
        <v/>
      </c>
      <c r="Q935" s="126" t="str">
        <f>IF(M935&lt;&gt;"",IF(O935="",SUMIFS(JPK_KR!AM:AM,JPK_KR!W:W,N935),SUMIFS(JPK_KR!BI:BI,JPK_KR!BH:BH,N935,JPK_KR!BJ:BJ,O935)),"")</f>
        <v/>
      </c>
      <c r="U935" s="24" t="str">
        <f>IF(R935&lt;&gt;"",SUMIFS(JPK_KR!AL:AL,JPK_KR!W:W,S935),"")</f>
        <v/>
      </c>
      <c r="V935" s="126" t="str">
        <f>IF(R935&lt;&gt;"",SUMIFS(JPK_KR!AM:AM,JPK_KR!W:W,S935),"")</f>
        <v/>
      </c>
    </row>
    <row r="936" spans="3:22" x14ac:dyDescent="0.3">
      <c r="C936" s="24" t="str">
        <f>IF(A936&lt;&gt;"",SUMIFS(JPK_KR!AL:AL,JPK_KR!W:W,B936),"")</f>
        <v/>
      </c>
      <c r="D936" s="126" t="str">
        <f>IF(A936&lt;&gt;"",SUMIFS(JPK_KR!AM:AM,JPK_KR!W:W,B936),"")</f>
        <v/>
      </c>
      <c r="G936" s="24" t="str">
        <f>IF(E936&lt;&gt;"",SUMIFS(JPK_KR!AL:AL,JPK_KR!W:W,F936),"")</f>
        <v/>
      </c>
      <c r="H936" s="126" t="str">
        <f>IF(E936&lt;&gt;"",SUMIFS(JPK_KR!AM:AM,JPK_KR!W:W,F936),"")</f>
        <v/>
      </c>
      <c r="K936" s="24" t="str">
        <f>IF(I936&lt;&gt;"",SUMIFS(JPK_KR!AL:AL,JPK_KR!W:W,J936),"")</f>
        <v/>
      </c>
      <c r="L936" s="126" t="str">
        <f>IF(I936&lt;&gt;"",SUMIFS(JPK_KR!AM:AM,JPK_KR!W:W,J936),"")</f>
        <v/>
      </c>
      <c r="P936" s="24" t="str">
        <f>IF(M936&lt;&gt;"",IF(O936="",SUMIFS(JPK_KR!AL:AL,JPK_KR!W:W,N936),SUMIFS(JPK_KR!BF:BF,JPK_KR!BE:BE,N936,JPK_KR!BG:BG,O936)),"")</f>
        <v/>
      </c>
      <c r="Q936" s="126" t="str">
        <f>IF(M936&lt;&gt;"",IF(O936="",SUMIFS(JPK_KR!AM:AM,JPK_KR!W:W,N936),SUMIFS(JPK_KR!BI:BI,JPK_KR!BH:BH,N936,JPK_KR!BJ:BJ,O936)),"")</f>
        <v/>
      </c>
      <c r="U936" s="24" t="str">
        <f>IF(R936&lt;&gt;"",SUMIFS(JPK_KR!AL:AL,JPK_KR!W:W,S936),"")</f>
        <v/>
      </c>
      <c r="V936" s="126" t="str">
        <f>IF(R936&lt;&gt;"",SUMIFS(JPK_KR!AM:AM,JPK_KR!W:W,S936),"")</f>
        <v/>
      </c>
    </row>
    <row r="937" spans="3:22" x14ac:dyDescent="0.3">
      <c r="C937" s="24" t="str">
        <f>IF(A937&lt;&gt;"",SUMIFS(JPK_KR!AL:AL,JPK_KR!W:W,B937),"")</f>
        <v/>
      </c>
      <c r="D937" s="126" t="str">
        <f>IF(A937&lt;&gt;"",SUMIFS(JPK_KR!AM:AM,JPK_KR!W:W,B937),"")</f>
        <v/>
      </c>
      <c r="G937" s="24" t="str">
        <f>IF(E937&lt;&gt;"",SUMIFS(JPK_KR!AL:AL,JPK_KR!W:W,F937),"")</f>
        <v/>
      </c>
      <c r="H937" s="126" t="str">
        <f>IF(E937&lt;&gt;"",SUMIFS(JPK_KR!AM:AM,JPK_KR!W:W,F937),"")</f>
        <v/>
      </c>
      <c r="K937" s="24" t="str">
        <f>IF(I937&lt;&gt;"",SUMIFS(JPK_KR!AL:AL,JPK_KR!W:W,J937),"")</f>
        <v/>
      </c>
      <c r="L937" s="126" t="str">
        <f>IF(I937&lt;&gt;"",SUMIFS(JPK_KR!AM:AM,JPK_KR!W:W,J937),"")</f>
        <v/>
      </c>
      <c r="P937" s="24" t="str">
        <f>IF(M937&lt;&gt;"",IF(O937="",SUMIFS(JPK_KR!AL:AL,JPK_KR!W:W,N937),SUMIFS(JPK_KR!BF:BF,JPK_KR!BE:BE,N937,JPK_KR!BG:BG,O937)),"")</f>
        <v/>
      </c>
      <c r="Q937" s="126" t="str">
        <f>IF(M937&lt;&gt;"",IF(O937="",SUMIFS(JPK_KR!AM:AM,JPK_KR!W:W,N937),SUMIFS(JPK_KR!BI:BI,JPK_KR!BH:BH,N937,JPK_KR!BJ:BJ,O937)),"")</f>
        <v/>
      </c>
      <c r="U937" s="24" t="str">
        <f>IF(R937&lt;&gt;"",SUMIFS(JPK_KR!AL:AL,JPK_KR!W:W,S937),"")</f>
        <v/>
      </c>
      <c r="V937" s="126" t="str">
        <f>IF(R937&lt;&gt;"",SUMIFS(JPK_KR!AM:AM,JPK_KR!W:W,S937),"")</f>
        <v/>
      </c>
    </row>
    <row r="938" spans="3:22" x14ac:dyDescent="0.3">
      <c r="C938" s="24" t="str">
        <f>IF(A938&lt;&gt;"",SUMIFS(JPK_KR!AL:AL,JPK_KR!W:W,B938),"")</f>
        <v/>
      </c>
      <c r="D938" s="126" t="str">
        <f>IF(A938&lt;&gt;"",SUMIFS(JPK_KR!AM:AM,JPK_KR!W:W,B938),"")</f>
        <v/>
      </c>
      <c r="G938" s="24" t="str">
        <f>IF(E938&lt;&gt;"",SUMIFS(JPK_KR!AL:AL,JPK_KR!W:W,F938),"")</f>
        <v/>
      </c>
      <c r="H938" s="126" t="str">
        <f>IF(E938&lt;&gt;"",SUMIFS(JPK_KR!AM:AM,JPK_KR!W:W,F938),"")</f>
        <v/>
      </c>
      <c r="K938" s="24" t="str">
        <f>IF(I938&lt;&gt;"",SUMIFS(JPK_KR!AL:AL,JPK_KR!W:W,J938),"")</f>
        <v/>
      </c>
      <c r="L938" s="126" t="str">
        <f>IF(I938&lt;&gt;"",SUMIFS(JPK_KR!AM:AM,JPK_KR!W:W,J938),"")</f>
        <v/>
      </c>
      <c r="P938" s="24" t="str">
        <f>IF(M938&lt;&gt;"",IF(O938="",SUMIFS(JPK_KR!AL:AL,JPK_KR!W:W,N938),SUMIFS(JPK_KR!BF:BF,JPK_KR!BE:BE,N938,JPK_KR!BG:BG,O938)),"")</f>
        <v/>
      </c>
      <c r="Q938" s="126" t="str">
        <f>IF(M938&lt;&gt;"",IF(O938="",SUMIFS(JPK_KR!AM:AM,JPK_KR!W:W,N938),SUMIFS(JPK_KR!BI:BI,JPK_KR!BH:BH,N938,JPK_KR!BJ:BJ,O938)),"")</f>
        <v/>
      </c>
      <c r="U938" s="24" t="str">
        <f>IF(R938&lt;&gt;"",SUMIFS(JPK_KR!AL:AL,JPK_KR!W:W,S938),"")</f>
        <v/>
      </c>
      <c r="V938" s="126" t="str">
        <f>IF(R938&lt;&gt;"",SUMIFS(JPK_KR!AM:AM,JPK_KR!W:W,S938),"")</f>
        <v/>
      </c>
    </row>
    <row r="939" spans="3:22" x14ac:dyDescent="0.3">
      <c r="C939" s="24" t="str">
        <f>IF(A939&lt;&gt;"",SUMIFS(JPK_KR!AL:AL,JPK_KR!W:W,B939),"")</f>
        <v/>
      </c>
      <c r="D939" s="126" t="str">
        <f>IF(A939&lt;&gt;"",SUMIFS(JPK_KR!AM:AM,JPK_KR!W:W,B939),"")</f>
        <v/>
      </c>
      <c r="G939" s="24" t="str">
        <f>IF(E939&lt;&gt;"",SUMIFS(JPK_KR!AL:AL,JPK_KR!W:W,F939),"")</f>
        <v/>
      </c>
      <c r="H939" s="126" t="str">
        <f>IF(E939&lt;&gt;"",SUMIFS(JPK_KR!AM:AM,JPK_KR!W:W,F939),"")</f>
        <v/>
      </c>
      <c r="K939" s="24" t="str">
        <f>IF(I939&lt;&gt;"",SUMIFS(JPK_KR!AL:AL,JPK_KR!W:W,J939),"")</f>
        <v/>
      </c>
      <c r="L939" s="126" t="str">
        <f>IF(I939&lt;&gt;"",SUMIFS(JPK_KR!AM:AM,JPK_KR!W:W,J939),"")</f>
        <v/>
      </c>
      <c r="P939" s="24" t="str">
        <f>IF(M939&lt;&gt;"",IF(O939="",SUMIFS(JPK_KR!AL:AL,JPK_KR!W:W,N939),SUMIFS(JPK_KR!BF:BF,JPK_KR!BE:BE,N939,JPK_KR!BG:BG,O939)),"")</f>
        <v/>
      </c>
      <c r="Q939" s="126" t="str">
        <f>IF(M939&lt;&gt;"",IF(O939="",SUMIFS(JPK_KR!AM:AM,JPK_KR!W:W,N939),SUMIFS(JPK_KR!BI:BI,JPK_KR!BH:BH,N939,JPK_KR!BJ:BJ,O939)),"")</f>
        <v/>
      </c>
      <c r="U939" s="24" t="str">
        <f>IF(R939&lt;&gt;"",SUMIFS(JPK_KR!AL:AL,JPK_KR!W:W,S939),"")</f>
        <v/>
      </c>
      <c r="V939" s="126" t="str">
        <f>IF(R939&lt;&gt;"",SUMIFS(JPK_KR!AM:AM,JPK_KR!W:W,S939),"")</f>
        <v/>
      </c>
    </row>
    <row r="940" spans="3:22" x14ac:dyDescent="0.3">
      <c r="C940" s="24" t="str">
        <f>IF(A940&lt;&gt;"",SUMIFS(JPK_KR!AL:AL,JPK_KR!W:W,B940),"")</f>
        <v/>
      </c>
      <c r="D940" s="126" t="str">
        <f>IF(A940&lt;&gt;"",SUMIFS(JPK_KR!AM:AM,JPK_KR!W:W,B940),"")</f>
        <v/>
      </c>
      <c r="G940" s="24" t="str">
        <f>IF(E940&lt;&gt;"",SUMIFS(JPK_KR!AL:AL,JPK_KR!W:W,F940),"")</f>
        <v/>
      </c>
      <c r="H940" s="126" t="str">
        <f>IF(E940&lt;&gt;"",SUMIFS(JPK_KR!AM:AM,JPK_KR!W:W,F940),"")</f>
        <v/>
      </c>
      <c r="K940" s="24" t="str">
        <f>IF(I940&lt;&gt;"",SUMIFS(JPK_KR!AL:AL,JPK_KR!W:W,J940),"")</f>
        <v/>
      </c>
      <c r="L940" s="126" t="str">
        <f>IF(I940&lt;&gt;"",SUMIFS(JPK_KR!AM:AM,JPK_KR!W:W,J940),"")</f>
        <v/>
      </c>
      <c r="P940" s="24" t="str">
        <f>IF(M940&lt;&gt;"",IF(O940="",SUMIFS(JPK_KR!AL:AL,JPK_KR!W:W,N940),SUMIFS(JPK_KR!BF:BF,JPK_KR!BE:BE,N940,JPK_KR!BG:BG,O940)),"")</f>
        <v/>
      </c>
      <c r="Q940" s="126" t="str">
        <f>IF(M940&lt;&gt;"",IF(O940="",SUMIFS(JPK_KR!AM:AM,JPK_KR!W:W,N940),SUMIFS(JPK_KR!BI:BI,JPK_KR!BH:BH,N940,JPK_KR!BJ:BJ,O940)),"")</f>
        <v/>
      </c>
      <c r="U940" s="24" t="str">
        <f>IF(R940&lt;&gt;"",SUMIFS(JPK_KR!AL:AL,JPK_KR!W:W,S940),"")</f>
        <v/>
      </c>
      <c r="V940" s="126" t="str">
        <f>IF(R940&lt;&gt;"",SUMIFS(JPK_KR!AM:AM,JPK_KR!W:W,S940),"")</f>
        <v/>
      </c>
    </row>
    <row r="941" spans="3:22" x14ac:dyDescent="0.3">
      <c r="C941" s="24" t="str">
        <f>IF(A941&lt;&gt;"",SUMIFS(JPK_KR!AL:AL,JPK_KR!W:W,B941),"")</f>
        <v/>
      </c>
      <c r="D941" s="126" t="str">
        <f>IF(A941&lt;&gt;"",SUMIFS(JPK_KR!AM:AM,JPK_KR!W:W,B941),"")</f>
        <v/>
      </c>
      <c r="G941" s="24" t="str">
        <f>IF(E941&lt;&gt;"",SUMIFS(JPK_KR!AL:AL,JPK_KR!W:W,F941),"")</f>
        <v/>
      </c>
      <c r="H941" s="126" t="str">
        <f>IF(E941&lt;&gt;"",SUMIFS(JPK_KR!AM:AM,JPK_KR!W:W,F941),"")</f>
        <v/>
      </c>
      <c r="K941" s="24" t="str">
        <f>IF(I941&lt;&gt;"",SUMIFS(JPK_KR!AL:AL,JPK_KR!W:W,J941),"")</f>
        <v/>
      </c>
      <c r="L941" s="126" t="str">
        <f>IF(I941&lt;&gt;"",SUMIFS(JPK_KR!AM:AM,JPK_KR!W:W,J941),"")</f>
        <v/>
      </c>
      <c r="P941" s="24" t="str">
        <f>IF(M941&lt;&gt;"",IF(O941="",SUMIFS(JPK_KR!AL:AL,JPK_KR!W:W,N941),SUMIFS(JPK_KR!BF:BF,JPK_KR!BE:BE,N941,JPK_KR!BG:BG,O941)),"")</f>
        <v/>
      </c>
      <c r="Q941" s="126" t="str">
        <f>IF(M941&lt;&gt;"",IF(O941="",SUMIFS(JPK_KR!AM:AM,JPK_KR!W:W,N941),SUMIFS(JPK_KR!BI:BI,JPK_KR!BH:BH,N941,JPK_KR!BJ:BJ,O941)),"")</f>
        <v/>
      </c>
      <c r="U941" s="24" t="str">
        <f>IF(R941&lt;&gt;"",SUMIFS(JPK_KR!AL:AL,JPK_KR!W:W,S941),"")</f>
        <v/>
      </c>
      <c r="V941" s="126" t="str">
        <f>IF(R941&lt;&gt;"",SUMIFS(JPK_KR!AM:AM,JPK_KR!W:W,S941),"")</f>
        <v/>
      </c>
    </row>
    <row r="942" spans="3:22" x14ac:dyDescent="0.3">
      <c r="C942" s="24" t="str">
        <f>IF(A942&lt;&gt;"",SUMIFS(JPK_KR!AL:AL,JPK_KR!W:W,B942),"")</f>
        <v/>
      </c>
      <c r="D942" s="126" t="str">
        <f>IF(A942&lt;&gt;"",SUMIFS(JPK_KR!AM:AM,JPK_KR!W:W,B942),"")</f>
        <v/>
      </c>
      <c r="G942" s="24" t="str">
        <f>IF(E942&lt;&gt;"",SUMIFS(JPK_KR!AL:AL,JPK_KR!W:W,F942),"")</f>
        <v/>
      </c>
      <c r="H942" s="126" t="str">
        <f>IF(E942&lt;&gt;"",SUMIFS(JPK_KR!AM:AM,JPK_KR!W:W,F942),"")</f>
        <v/>
      </c>
      <c r="K942" s="24" t="str">
        <f>IF(I942&lt;&gt;"",SUMIFS(JPK_KR!AL:AL,JPK_KR!W:W,J942),"")</f>
        <v/>
      </c>
      <c r="L942" s="126" t="str">
        <f>IF(I942&lt;&gt;"",SUMIFS(JPK_KR!AM:AM,JPK_KR!W:W,J942),"")</f>
        <v/>
      </c>
      <c r="P942" s="24" t="str">
        <f>IF(M942&lt;&gt;"",IF(O942="",SUMIFS(JPK_KR!AL:AL,JPK_KR!W:W,N942),SUMIFS(JPK_KR!BF:BF,JPK_KR!BE:BE,N942,JPK_KR!BG:BG,O942)),"")</f>
        <v/>
      </c>
      <c r="Q942" s="126" t="str">
        <f>IF(M942&lt;&gt;"",IF(O942="",SUMIFS(JPK_KR!AM:AM,JPK_KR!W:W,N942),SUMIFS(JPK_KR!BI:BI,JPK_KR!BH:BH,N942,JPK_KR!BJ:BJ,O942)),"")</f>
        <v/>
      </c>
      <c r="U942" s="24" t="str">
        <f>IF(R942&lt;&gt;"",SUMIFS(JPK_KR!AL:AL,JPK_KR!W:W,S942),"")</f>
        <v/>
      </c>
      <c r="V942" s="126" t="str">
        <f>IF(R942&lt;&gt;"",SUMIFS(JPK_KR!AM:AM,JPK_KR!W:W,S942),"")</f>
        <v/>
      </c>
    </row>
    <row r="943" spans="3:22" x14ac:dyDescent="0.3">
      <c r="C943" s="24" t="str">
        <f>IF(A943&lt;&gt;"",SUMIFS(JPK_KR!AL:AL,JPK_KR!W:W,B943),"")</f>
        <v/>
      </c>
      <c r="D943" s="126" t="str">
        <f>IF(A943&lt;&gt;"",SUMIFS(JPK_KR!AM:AM,JPK_KR!W:W,B943),"")</f>
        <v/>
      </c>
      <c r="G943" s="24" t="str">
        <f>IF(E943&lt;&gt;"",SUMIFS(JPK_KR!AL:AL,JPK_KR!W:W,F943),"")</f>
        <v/>
      </c>
      <c r="H943" s="126" t="str">
        <f>IF(E943&lt;&gt;"",SUMIFS(JPK_KR!AM:AM,JPK_KR!W:W,F943),"")</f>
        <v/>
      </c>
      <c r="K943" s="24" t="str">
        <f>IF(I943&lt;&gt;"",SUMIFS(JPK_KR!AL:AL,JPK_KR!W:W,J943),"")</f>
        <v/>
      </c>
      <c r="L943" s="126" t="str">
        <f>IF(I943&lt;&gt;"",SUMIFS(JPK_KR!AM:AM,JPK_KR!W:W,J943),"")</f>
        <v/>
      </c>
      <c r="P943" s="24" t="str">
        <f>IF(M943&lt;&gt;"",IF(O943="",SUMIFS(JPK_KR!AL:AL,JPK_KR!W:W,N943),SUMIFS(JPK_KR!BF:BF,JPK_KR!BE:BE,N943,JPK_KR!BG:BG,O943)),"")</f>
        <v/>
      </c>
      <c r="Q943" s="126" t="str">
        <f>IF(M943&lt;&gt;"",IF(O943="",SUMIFS(JPK_KR!AM:AM,JPK_KR!W:W,N943),SUMIFS(JPK_KR!BI:BI,JPK_KR!BH:BH,N943,JPK_KR!BJ:BJ,O943)),"")</f>
        <v/>
      </c>
      <c r="U943" s="24" t="str">
        <f>IF(R943&lt;&gt;"",SUMIFS(JPK_KR!AL:AL,JPK_KR!W:W,S943),"")</f>
        <v/>
      </c>
      <c r="V943" s="126" t="str">
        <f>IF(R943&lt;&gt;"",SUMIFS(JPK_KR!AM:AM,JPK_KR!W:W,S943),"")</f>
        <v/>
      </c>
    </row>
    <row r="944" spans="3:22" x14ac:dyDescent="0.3">
      <c r="C944" s="24" t="str">
        <f>IF(A944&lt;&gt;"",SUMIFS(JPK_KR!AL:AL,JPK_KR!W:W,B944),"")</f>
        <v/>
      </c>
      <c r="D944" s="126" t="str">
        <f>IF(A944&lt;&gt;"",SUMIFS(JPK_KR!AM:AM,JPK_KR!W:W,B944),"")</f>
        <v/>
      </c>
      <c r="G944" s="24" t="str">
        <f>IF(E944&lt;&gt;"",SUMIFS(JPK_KR!AL:AL,JPK_KR!W:W,F944),"")</f>
        <v/>
      </c>
      <c r="H944" s="126" t="str">
        <f>IF(E944&lt;&gt;"",SUMIFS(JPK_KR!AM:AM,JPK_KR!W:W,F944),"")</f>
        <v/>
      </c>
      <c r="K944" s="24" t="str">
        <f>IF(I944&lt;&gt;"",SUMIFS(JPK_KR!AL:AL,JPK_KR!W:W,J944),"")</f>
        <v/>
      </c>
      <c r="L944" s="126" t="str">
        <f>IF(I944&lt;&gt;"",SUMIFS(JPK_KR!AM:AM,JPK_KR!W:W,J944),"")</f>
        <v/>
      </c>
      <c r="P944" s="24" t="str">
        <f>IF(M944&lt;&gt;"",IF(O944="",SUMIFS(JPK_KR!AL:AL,JPK_KR!W:W,N944),SUMIFS(JPK_KR!BF:BF,JPK_KR!BE:BE,N944,JPK_KR!BG:BG,O944)),"")</f>
        <v/>
      </c>
      <c r="Q944" s="126" t="str">
        <f>IF(M944&lt;&gt;"",IF(O944="",SUMIFS(JPK_KR!AM:AM,JPK_KR!W:W,N944),SUMIFS(JPK_KR!BI:BI,JPK_KR!BH:BH,N944,JPK_KR!BJ:BJ,O944)),"")</f>
        <v/>
      </c>
      <c r="U944" s="24" t="str">
        <f>IF(R944&lt;&gt;"",SUMIFS(JPK_KR!AL:AL,JPK_KR!W:W,S944),"")</f>
        <v/>
      </c>
      <c r="V944" s="126" t="str">
        <f>IF(R944&lt;&gt;"",SUMIFS(JPK_KR!AM:AM,JPK_KR!W:W,S944),"")</f>
        <v/>
      </c>
    </row>
    <row r="945" spans="3:22" x14ac:dyDescent="0.3">
      <c r="C945" s="24" t="str">
        <f>IF(A945&lt;&gt;"",SUMIFS(JPK_KR!AL:AL,JPK_KR!W:W,B945),"")</f>
        <v/>
      </c>
      <c r="D945" s="126" t="str">
        <f>IF(A945&lt;&gt;"",SUMIFS(JPK_KR!AM:AM,JPK_KR!W:W,B945),"")</f>
        <v/>
      </c>
      <c r="G945" s="24" t="str">
        <f>IF(E945&lt;&gt;"",SUMIFS(JPK_KR!AL:AL,JPK_KR!W:W,F945),"")</f>
        <v/>
      </c>
      <c r="H945" s="126" t="str">
        <f>IF(E945&lt;&gt;"",SUMIFS(JPK_KR!AM:AM,JPK_KR!W:W,F945),"")</f>
        <v/>
      </c>
      <c r="K945" s="24" t="str">
        <f>IF(I945&lt;&gt;"",SUMIFS(JPK_KR!AL:AL,JPK_KR!W:W,J945),"")</f>
        <v/>
      </c>
      <c r="L945" s="126" t="str">
        <f>IF(I945&lt;&gt;"",SUMIFS(JPK_KR!AM:AM,JPK_KR!W:W,J945),"")</f>
        <v/>
      </c>
      <c r="P945" s="24" t="str">
        <f>IF(M945&lt;&gt;"",IF(O945="",SUMIFS(JPK_KR!AL:AL,JPK_KR!W:W,N945),SUMIFS(JPK_KR!BF:BF,JPK_KR!BE:BE,N945,JPK_KR!BG:BG,O945)),"")</f>
        <v/>
      </c>
      <c r="Q945" s="126" t="str">
        <f>IF(M945&lt;&gt;"",IF(O945="",SUMIFS(JPK_KR!AM:AM,JPK_KR!W:W,N945),SUMIFS(JPK_KR!BI:BI,JPK_KR!BH:BH,N945,JPK_KR!BJ:BJ,O945)),"")</f>
        <v/>
      </c>
      <c r="U945" s="24" t="str">
        <f>IF(R945&lt;&gt;"",SUMIFS(JPK_KR!AL:AL,JPK_KR!W:W,S945),"")</f>
        <v/>
      </c>
      <c r="V945" s="126" t="str">
        <f>IF(R945&lt;&gt;"",SUMIFS(JPK_KR!AM:AM,JPK_KR!W:W,S945),"")</f>
        <v/>
      </c>
    </row>
    <row r="946" spans="3:22" x14ac:dyDescent="0.3">
      <c r="C946" s="24" t="str">
        <f>IF(A946&lt;&gt;"",SUMIFS(JPK_KR!AL:AL,JPK_KR!W:W,B946),"")</f>
        <v/>
      </c>
      <c r="D946" s="126" t="str">
        <f>IF(A946&lt;&gt;"",SUMIFS(JPK_KR!AM:AM,JPK_KR!W:W,B946),"")</f>
        <v/>
      </c>
      <c r="G946" s="24" t="str">
        <f>IF(E946&lt;&gt;"",SUMIFS(JPK_KR!AL:AL,JPK_KR!W:W,F946),"")</f>
        <v/>
      </c>
      <c r="H946" s="126" t="str">
        <f>IF(E946&lt;&gt;"",SUMIFS(JPK_KR!AM:AM,JPK_KR!W:W,F946),"")</f>
        <v/>
      </c>
      <c r="K946" s="24" t="str">
        <f>IF(I946&lt;&gt;"",SUMIFS(JPK_KR!AL:AL,JPK_KR!W:W,J946),"")</f>
        <v/>
      </c>
      <c r="L946" s="126" t="str">
        <f>IF(I946&lt;&gt;"",SUMIFS(JPK_KR!AM:AM,JPK_KR!W:W,J946),"")</f>
        <v/>
      </c>
      <c r="P946" s="24" t="str">
        <f>IF(M946&lt;&gt;"",IF(O946="",SUMIFS(JPK_KR!AL:AL,JPK_KR!W:W,N946),SUMIFS(JPK_KR!BF:BF,JPK_KR!BE:BE,N946,JPK_KR!BG:BG,O946)),"")</f>
        <v/>
      </c>
      <c r="Q946" s="126" t="str">
        <f>IF(M946&lt;&gt;"",IF(O946="",SUMIFS(JPK_KR!AM:AM,JPK_KR!W:W,N946),SUMIFS(JPK_KR!BI:BI,JPK_KR!BH:BH,N946,JPK_KR!BJ:BJ,O946)),"")</f>
        <v/>
      </c>
      <c r="U946" s="24" t="str">
        <f>IF(R946&lt;&gt;"",SUMIFS(JPK_KR!AL:AL,JPK_KR!W:W,S946),"")</f>
        <v/>
      </c>
      <c r="V946" s="126" t="str">
        <f>IF(R946&lt;&gt;"",SUMIFS(JPK_KR!AM:AM,JPK_KR!W:W,S946),"")</f>
        <v/>
      </c>
    </row>
    <row r="947" spans="3:22" x14ac:dyDescent="0.3">
      <c r="C947" s="24" t="str">
        <f>IF(A947&lt;&gt;"",SUMIFS(JPK_KR!AL:AL,JPK_KR!W:W,B947),"")</f>
        <v/>
      </c>
      <c r="D947" s="126" t="str">
        <f>IF(A947&lt;&gt;"",SUMIFS(JPK_KR!AM:AM,JPK_KR!W:W,B947),"")</f>
        <v/>
      </c>
      <c r="G947" s="24" t="str">
        <f>IF(E947&lt;&gt;"",SUMIFS(JPK_KR!AL:AL,JPK_KR!W:W,F947),"")</f>
        <v/>
      </c>
      <c r="H947" s="126" t="str">
        <f>IF(E947&lt;&gt;"",SUMIFS(JPK_KR!AM:AM,JPK_KR!W:W,F947),"")</f>
        <v/>
      </c>
      <c r="K947" s="24" t="str">
        <f>IF(I947&lt;&gt;"",SUMIFS(JPK_KR!AL:AL,JPK_KR!W:W,J947),"")</f>
        <v/>
      </c>
      <c r="L947" s="126" t="str">
        <f>IF(I947&lt;&gt;"",SUMIFS(JPK_KR!AM:AM,JPK_KR!W:W,J947),"")</f>
        <v/>
      </c>
      <c r="P947" s="24" t="str">
        <f>IF(M947&lt;&gt;"",IF(O947="",SUMIFS(JPK_KR!AL:AL,JPK_KR!W:W,N947),SUMIFS(JPK_KR!BF:BF,JPK_KR!BE:BE,N947,JPK_KR!BG:BG,O947)),"")</f>
        <v/>
      </c>
      <c r="Q947" s="126" t="str">
        <f>IF(M947&lt;&gt;"",IF(O947="",SUMIFS(JPK_KR!AM:AM,JPK_KR!W:W,N947),SUMIFS(JPK_KR!BI:BI,JPK_KR!BH:BH,N947,JPK_KR!BJ:BJ,O947)),"")</f>
        <v/>
      </c>
      <c r="U947" s="24" t="str">
        <f>IF(R947&lt;&gt;"",SUMIFS(JPK_KR!AL:AL,JPK_KR!W:W,S947),"")</f>
        <v/>
      </c>
      <c r="V947" s="126" t="str">
        <f>IF(R947&lt;&gt;"",SUMIFS(JPK_KR!AM:AM,JPK_KR!W:W,S947),"")</f>
        <v/>
      </c>
    </row>
    <row r="948" spans="3:22" x14ac:dyDescent="0.3">
      <c r="C948" s="24" t="str">
        <f>IF(A948&lt;&gt;"",SUMIFS(JPK_KR!AL:AL,JPK_KR!W:W,B948),"")</f>
        <v/>
      </c>
      <c r="D948" s="126" t="str">
        <f>IF(A948&lt;&gt;"",SUMIFS(JPK_KR!AM:AM,JPK_KR!W:W,B948),"")</f>
        <v/>
      </c>
      <c r="G948" s="24" t="str">
        <f>IF(E948&lt;&gt;"",SUMIFS(JPK_KR!AL:AL,JPK_KR!W:W,F948),"")</f>
        <v/>
      </c>
      <c r="H948" s="126" t="str">
        <f>IF(E948&lt;&gt;"",SUMIFS(JPK_KR!AM:AM,JPK_KR!W:W,F948),"")</f>
        <v/>
      </c>
      <c r="K948" s="24" t="str">
        <f>IF(I948&lt;&gt;"",SUMIFS(JPK_KR!AL:AL,JPK_KR!W:W,J948),"")</f>
        <v/>
      </c>
      <c r="L948" s="126" t="str">
        <f>IF(I948&lt;&gt;"",SUMIFS(JPK_KR!AM:AM,JPK_KR!W:W,J948),"")</f>
        <v/>
      </c>
      <c r="P948" s="24" t="str">
        <f>IF(M948&lt;&gt;"",IF(O948="",SUMIFS(JPK_KR!AL:AL,JPK_KR!W:W,N948),SUMIFS(JPK_KR!BF:BF,JPK_KR!BE:BE,N948,JPK_KR!BG:BG,O948)),"")</f>
        <v/>
      </c>
      <c r="Q948" s="126" t="str">
        <f>IF(M948&lt;&gt;"",IF(O948="",SUMIFS(JPK_KR!AM:AM,JPK_KR!W:W,N948),SUMIFS(JPK_KR!BI:BI,JPK_KR!BH:BH,N948,JPK_KR!BJ:BJ,O948)),"")</f>
        <v/>
      </c>
      <c r="U948" s="24" t="str">
        <f>IF(R948&lt;&gt;"",SUMIFS(JPK_KR!AL:AL,JPK_KR!W:W,S948),"")</f>
        <v/>
      </c>
      <c r="V948" s="126" t="str">
        <f>IF(R948&lt;&gt;"",SUMIFS(JPK_KR!AM:AM,JPK_KR!W:W,S948),"")</f>
        <v/>
      </c>
    </row>
    <row r="949" spans="3:22" x14ac:dyDescent="0.3">
      <c r="C949" s="24" t="str">
        <f>IF(A949&lt;&gt;"",SUMIFS(JPK_KR!AL:AL,JPK_KR!W:W,B949),"")</f>
        <v/>
      </c>
      <c r="D949" s="126" t="str">
        <f>IF(A949&lt;&gt;"",SUMIFS(JPK_KR!AM:AM,JPK_KR!W:W,B949),"")</f>
        <v/>
      </c>
      <c r="G949" s="24" t="str">
        <f>IF(E949&lt;&gt;"",SUMIFS(JPK_KR!AL:AL,JPK_KR!W:W,F949),"")</f>
        <v/>
      </c>
      <c r="H949" s="126" t="str">
        <f>IF(E949&lt;&gt;"",SUMIFS(JPK_KR!AM:AM,JPK_KR!W:W,F949),"")</f>
        <v/>
      </c>
      <c r="K949" s="24" t="str">
        <f>IF(I949&lt;&gt;"",SUMIFS(JPK_KR!AL:AL,JPK_KR!W:W,J949),"")</f>
        <v/>
      </c>
      <c r="L949" s="126" t="str">
        <f>IF(I949&lt;&gt;"",SUMIFS(JPK_KR!AM:AM,JPK_KR!W:W,J949),"")</f>
        <v/>
      </c>
      <c r="P949" s="24" t="str">
        <f>IF(M949&lt;&gt;"",IF(O949="",SUMIFS(JPK_KR!AL:AL,JPK_KR!W:W,N949),SUMIFS(JPK_KR!BF:BF,JPK_KR!BE:BE,N949,JPK_KR!BG:BG,O949)),"")</f>
        <v/>
      </c>
      <c r="Q949" s="126" t="str">
        <f>IF(M949&lt;&gt;"",IF(O949="",SUMIFS(JPK_KR!AM:AM,JPK_KR!W:W,N949),SUMIFS(JPK_KR!BI:BI,JPK_KR!BH:BH,N949,JPK_KR!BJ:BJ,O949)),"")</f>
        <v/>
      </c>
      <c r="U949" s="24" t="str">
        <f>IF(R949&lt;&gt;"",SUMIFS(JPK_KR!AL:AL,JPK_KR!W:W,S949),"")</f>
        <v/>
      </c>
      <c r="V949" s="126" t="str">
        <f>IF(R949&lt;&gt;"",SUMIFS(JPK_KR!AM:AM,JPK_KR!W:W,S949),"")</f>
        <v/>
      </c>
    </row>
    <row r="950" spans="3:22" x14ac:dyDescent="0.3">
      <c r="C950" s="24" t="str">
        <f>IF(A950&lt;&gt;"",SUMIFS(JPK_KR!AL:AL,JPK_KR!W:W,B950),"")</f>
        <v/>
      </c>
      <c r="D950" s="126" t="str">
        <f>IF(A950&lt;&gt;"",SUMIFS(JPK_KR!AM:AM,JPK_KR!W:W,B950),"")</f>
        <v/>
      </c>
      <c r="G950" s="24" t="str">
        <f>IF(E950&lt;&gt;"",SUMIFS(JPK_KR!AL:AL,JPK_KR!W:W,F950),"")</f>
        <v/>
      </c>
      <c r="H950" s="126" t="str">
        <f>IF(E950&lt;&gt;"",SUMIFS(JPK_KR!AM:AM,JPK_KR!W:W,F950),"")</f>
        <v/>
      </c>
      <c r="K950" s="24" t="str">
        <f>IF(I950&lt;&gt;"",SUMIFS(JPK_KR!AL:AL,JPK_KR!W:W,J950),"")</f>
        <v/>
      </c>
      <c r="L950" s="126" t="str">
        <f>IF(I950&lt;&gt;"",SUMIFS(JPK_KR!AM:AM,JPK_KR!W:W,J950),"")</f>
        <v/>
      </c>
      <c r="P950" s="24" t="str">
        <f>IF(M950&lt;&gt;"",IF(O950="",SUMIFS(JPK_KR!AL:AL,JPK_KR!W:W,N950),SUMIFS(JPK_KR!BF:BF,JPK_KR!BE:BE,N950,JPK_KR!BG:BG,O950)),"")</f>
        <v/>
      </c>
      <c r="Q950" s="126" t="str">
        <f>IF(M950&lt;&gt;"",IF(O950="",SUMIFS(JPK_KR!AM:AM,JPK_KR!W:W,N950),SUMIFS(JPK_KR!BI:BI,JPK_KR!BH:BH,N950,JPK_KR!BJ:BJ,O950)),"")</f>
        <v/>
      </c>
      <c r="U950" s="24" t="str">
        <f>IF(R950&lt;&gt;"",SUMIFS(JPK_KR!AL:AL,JPK_KR!W:W,S950),"")</f>
        <v/>
      </c>
      <c r="V950" s="126" t="str">
        <f>IF(R950&lt;&gt;"",SUMIFS(JPK_KR!AM:AM,JPK_KR!W:W,S950),"")</f>
        <v/>
      </c>
    </row>
    <row r="951" spans="3:22" x14ac:dyDescent="0.3">
      <c r="C951" s="24" t="str">
        <f>IF(A951&lt;&gt;"",SUMIFS(JPK_KR!AL:AL,JPK_KR!W:W,B951),"")</f>
        <v/>
      </c>
      <c r="D951" s="126" t="str">
        <f>IF(A951&lt;&gt;"",SUMIFS(JPK_KR!AM:AM,JPK_KR!W:W,B951),"")</f>
        <v/>
      </c>
      <c r="G951" s="24" t="str">
        <f>IF(E951&lt;&gt;"",SUMIFS(JPK_KR!AL:AL,JPK_KR!W:W,F951),"")</f>
        <v/>
      </c>
      <c r="H951" s="126" t="str">
        <f>IF(E951&lt;&gt;"",SUMIFS(JPK_KR!AM:AM,JPK_KR!W:W,F951),"")</f>
        <v/>
      </c>
      <c r="K951" s="24" t="str">
        <f>IF(I951&lt;&gt;"",SUMIFS(JPK_KR!AL:AL,JPK_KR!W:W,J951),"")</f>
        <v/>
      </c>
      <c r="L951" s="126" t="str">
        <f>IF(I951&lt;&gt;"",SUMIFS(JPK_KR!AM:AM,JPK_KR!W:W,J951),"")</f>
        <v/>
      </c>
      <c r="P951" s="24" t="str">
        <f>IF(M951&lt;&gt;"",IF(O951="",SUMIFS(JPK_KR!AL:AL,JPK_KR!W:W,N951),SUMIFS(JPK_KR!BF:BF,JPK_KR!BE:BE,N951,JPK_KR!BG:BG,O951)),"")</f>
        <v/>
      </c>
      <c r="Q951" s="126" t="str">
        <f>IF(M951&lt;&gt;"",IF(O951="",SUMIFS(JPK_KR!AM:AM,JPK_KR!W:W,N951),SUMIFS(JPK_KR!BI:BI,JPK_KR!BH:BH,N951,JPK_KR!BJ:BJ,O951)),"")</f>
        <v/>
      </c>
      <c r="U951" s="24" t="str">
        <f>IF(R951&lt;&gt;"",SUMIFS(JPK_KR!AL:AL,JPK_KR!W:W,S951),"")</f>
        <v/>
      </c>
      <c r="V951" s="126" t="str">
        <f>IF(R951&lt;&gt;"",SUMIFS(JPK_KR!AM:AM,JPK_KR!W:W,S951),"")</f>
        <v/>
      </c>
    </row>
    <row r="952" spans="3:22" x14ac:dyDescent="0.3">
      <c r="C952" s="24" t="str">
        <f>IF(A952&lt;&gt;"",SUMIFS(JPK_KR!AL:AL,JPK_KR!W:W,B952),"")</f>
        <v/>
      </c>
      <c r="D952" s="126" t="str">
        <f>IF(A952&lt;&gt;"",SUMIFS(JPK_KR!AM:AM,JPK_KR!W:W,B952),"")</f>
        <v/>
      </c>
      <c r="G952" s="24" t="str">
        <f>IF(E952&lt;&gt;"",SUMIFS(JPK_KR!AL:AL,JPK_KR!W:W,F952),"")</f>
        <v/>
      </c>
      <c r="H952" s="126" t="str">
        <f>IF(E952&lt;&gt;"",SUMIFS(JPK_KR!AM:AM,JPK_KR!W:W,F952),"")</f>
        <v/>
      </c>
      <c r="K952" s="24" t="str">
        <f>IF(I952&lt;&gt;"",SUMIFS(JPK_KR!AL:AL,JPK_KR!W:W,J952),"")</f>
        <v/>
      </c>
      <c r="L952" s="126" t="str">
        <f>IF(I952&lt;&gt;"",SUMIFS(JPK_KR!AM:AM,JPK_KR!W:W,J952),"")</f>
        <v/>
      </c>
      <c r="P952" s="24" t="str">
        <f>IF(M952&lt;&gt;"",IF(O952="",SUMIFS(JPK_KR!AL:AL,JPK_KR!W:W,N952),SUMIFS(JPK_KR!BF:BF,JPK_KR!BE:BE,N952,JPK_KR!BG:BG,O952)),"")</f>
        <v/>
      </c>
      <c r="Q952" s="126" t="str">
        <f>IF(M952&lt;&gt;"",IF(O952="",SUMIFS(JPK_KR!AM:AM,JPK_KR!W:W,N952),SUMIFS(JPK_KR!BI:BI,JPK_KR!BH:BH,N952,JPK_KR!BJ:BJ,O952)),"")</f>
        <v/>
      </c>
      <c r="U952" s="24" t="str">
        <f>IF(R952&lt;&gt;"",SUMIFS(JPK_KR!AL:AL,JPK_KR!W:W,S952),"")</f>
        <v/>
      </c>
      <c r="V952" s="126" t="str">
        <f>IF(R952&lt;&gt;"",SUMIFS(JPK_KR!AM:AM,JPK_KR!W:W,S952),"")</f>
        <v/>
      </c>
    </row>
    <row r="953" spans="3:22" x14ac:dyDescent="0.3">
      <c r="C953" s="24" t="str">
        <f>IF(A953&lt;&gt;"",SUMIFS(JPK_KR!AL:AL,JPK_KR!W:W,B953),"")</f>
        <v/>
      </c>
      <c r="D953" s="126" t="str">
        <f>IF(A953&lt;&gt;"",SUMIFS(JPK_KR!AM:AM,JPK_KR!W:W,B953),"")</f>
        <v/>
      </c>
      <c r="G953" s="24" t="str">
        <f>IF(E953&lt;&gt;"",SUMIFS(JPK_KR!AL:AL,JPK_KR!W:W,F953),"")</f>
        <v/>
      </c>
      <c r="H953" s="126" t="str">
        <f>IF(E953&lt;&gt;"",SUMIFS(JPK_KR!AM:AM,JPK_KR!W:W,F953),"")</f>
        <v/>
      </c>
      <c r="K953" s="24" t="str">
        <f>IF(I953&lt;&gt;"",SUMIFS(JPK_KR!AL:AL,JPK_KR!W:W,J953),"")</f>
        <v/>
      </c>
      <c r="L953" s="126" t="str">
        <f>IF(I953&lt;&gt;"",SUMIFS(JPK_KR!AM:AM,JPK_KR!W:W,J953),"")</f>
        <v/>
      </c>
      <c r="P953" s="24" t="str">
        <f>IF(M953&lt;&gt;"",IF(O953="",SUMIFS(JPK_KR!AL:AL,JPK_KR!W:W,N953),SUMIFS(JPK_KR!BF:BF,JPK_KR!BE:BE,N953,JPK_KR!BG:BG,O953)),"")</f>
        <v/>
      </c>
      <c r="Q953" s="126" t="str">
        <f>IF(M953&lt;&gt;"",IF(O953="",SUMIFS(JPK_KR!AM:AM,JPK_KR!W:W,N953),SUMIFS(JPK_KR!BI:BI,JPK_KR!BH:BH,N953,JPK_KR!BJ:BJ,O953)),"")</f>
        <v/>
      </c>
      <c r="U953" s="24" t="str">
        <f>IF(R953&lt;&gt;"",SUMIFS(JPK_KR!AL:AL,JPK_KR!W:W,S953),"")</f>
        <v/>
      </c>
      <c r="V953" s="126" t="str">
        <f>IF(R953&lt;&gt;"",SUMIFS(JPK_KR!AM:AM,JPK_KR!W:W,S953),"")</f>
        <v/>
      </c>
    </row>
    <row r="954" spans="3:22" x14ac:dyDescent="0.3">
      <c r="C954" s="24" t="str">
        <f>IF(A954&lt;&gt;"",SUMIFS(JPK_KR!AL:AL,JPK_KR!W:W,B954),"")</f>
        <v/>
      </c>
      <c r="D954" s="126" t="str">
        <f>IF(A954&lt;&gt;"",SUMIFS(JPK_KR!AM:AM,JPK_KR!W:W,B954),"")</f>
        <v/>
      </c>
      <c r="G954" s="24" t="str">
        <f>IF(E954&lt;&gt;"",SUMIFS(JPK_KR!AL:AL,JPK_KR!W:W,F954),"")</f>
        <v/>
      </c>
      <c r="H954" s="126" t="str">
        <f>IF(E954&lt;&gt;"",SUMIFS(JPK_KR!AM:AM,JPK_KR!W:W,F954),"")</f>
        <v/>
      </c>
      <c r="K954" s="24" t="str">
        <f>IF(I954&lt;&gt;"",SUMIFS(JPK_KR!AL:AL,JPK_KR!W:W,J954),"")</f>
        <v/>
      </c>
      <c r="L954" s="126" t="str">
        <f>IF(I954&lt;&gt;"",SUMIFS(JPK_KR!AM:AM,JPK_KR!W:W,J954),"")</f>
        <v/>
      </c>
      <c r="P954" s="24" t="str">
        <f>IF(M954&lt;&gt;"",IF(O954="",SUMIFS(JPK_KR!AL:AL,JPK_KR!W:W,N954),SUMIFS(JPK_KR!BF:BF,JPK_KR!BE:BE,N954,JPK_KR!BG:BG,O954)),"")</f>
        <v/>
      </c>
      <c r="Q954" s="126" t="str">
        <f>IF(M954&lt;&gt;"",IF(O954="",SUMIFS(JPK_KR!AM:AM,JPK_KR!W:W,N954),SUMIFS(JPK_KR!BI:BI,JPK_KR!BH:BH,N954,JPK_KR!BJ:BJ,O954)),"")</f>
        <v/>
      </c>
      <c r="U954" s="24" t="str">
        <f>IF(R954&lt;&gt;"",SUMIFS(JPK_KR!AL:AL,JPK_KR!W:W,S954),"")</f>
        <v/>
      </c>
      <c r="V954" s="126" t="str">
        <f>IF(R954&lt;&gt;"",SUMIFS(JPK_KR!AM:AM,JPK_KR!W:W,S954),"")</f>
        <v/>
      </c>
    </row>
    <row r="955" spans="3:22" x14ac:dyDescent="0.3">
      <c r="C955" s="24" t="str">
        <f>IF(A955&lt;&gt;"",SUMIFS(JPK_KR!AL:AL,JPK_KR!W:W,B955),"")</f>
        <v/>
      </c>
      <c r="D955" s="126" t="str">
        <f>IF(A955&lt;&gt;"",SUMIFS(JPK_KR!AM:AM,JPK_KR!W:W,B955),"")</f>
        <v/>
      </c>
      <c r="G955" s="24" t="str">
        <f>IF(E955&lt;&gt;"",SUMIFS(JPK_KR!AL:AL,JPK_KR!W:W,F955),"")</f>
        <v/>
      </c>
      <c r="H955" s="126" t="str">
        <f>IF(E955&lt;&gt;"",SUMIFS(JPK_KR!AM:AM,JPK_KR!W:W,F955),"")</f>
        <v/>
      </c>
      <c r="K955" s="24" t="str">
        <f>IF(I955&lt;&gt;"",SUMIFS(JPK_KR!AL:AL,JPK_KR!W:W,J955),"")</f>
        <v/>
      </c>
      <c r="L955" s="126" t="str">
        <f>IF(I955&lt;&gt;"",SUMIFS(JPK_KR!AM:AM,JPK_KR!W:W,J955),"")</f>
        <v/>
      </c>
      <c r="P955" s="24" t="str">
        <f>IF(M955&lt;&gt;"",IF(O955="",SUMIFS(JPK_KR!AL:AL,JPK_KR!W:W,N955),SUMIFS(JPK_KR!BF:BF,JPK_KR!BE:BE,N955,JPK_KR!BG:BG,O955)),"")</f>
        <v/>
      </c>
      <c r="Q955" s="126" t="str">
        <f>IF(M955&lt;&gt;"",IF(O955="",SUMIFS(JPK_KR!AM:AM,JPK_KR!W:W,N955),SUMIFS(JPK_KR!BI:BI,JPK_KR!BH:BH,N955,JPK_KR!BJ:BJ,O955)),"")</f>
        <v/>
      </c>
      <c r="U955" s="24" t="str">
        <f>IF(R955&lt;&gt;"",SUMIFS(JPK_KR!AL:AL,JPK_KR!W:W,S955),"")</f>
        <v/>
      </c>
      <c r="V955" s="126" t="str">
        <f>IF(R955&lt;&gt;"",SUMIFS(JPK_KR!AM:AM,JPK_KR!W:W,S955),"")</f>
        <v/>
      </c>
    </row>
    <row r="956" spans="3:22" x14ac:dyDescent="0.3">
      <c r="C956" s="24" t="str">
        <f>IF(A956&lt;&gt;"",SUMIFS(JPK_KR!AL:AL,JPK_KR!W:W,B956),"")</f>
        <v/>
      </c>
      <c r="D956" s="126" t="str">
        <f>IF(A956&lt;&gt;"",SUMIFS(JPK_KR!AM:AM,JPK_KR!W:W,B956),"")</f>
        <v/>
      </c>
      <c r="G956" s="24" t="str">
        <f>IF(E956&lt;&gt;"",SUMIFS(JPK_KR!AL:AL,JPK_KR!W:W,F956),"")</f>
        <v/>
      </c>
      <c r="H956" s="126" t="str">
        <f>IF(E956&lt;&gt;"",SUMIFS(JPK_KR!AM:AM,JPK_KR!W:W,F956),"")</f>
        <v/>
      </c>
      <c r="K956" s="24" t="str">
        <f>IF(I956&lt;&gt;"",SUMIFS(JPK_KR!AL:AL,JPK_KR!W:W,J956),"")</f>
        <v/>
      </c>
      <c r="L956" s="126" t="str">
        <f>IF(I956&lt;&gt;"",SUMIFS(JPK_KR!AM:AM,JPK_KR!W:W,J956),"")</f>
        <v/>
      </c>
      <c r="P956" s="24" t="str">
        <f>IF(M956&lt;&gt;"",IF(O956="",SUMIFS(JPK_KR!AL:AL,JPK_KR!W:W,N956),SUMIFS(JPK_KR!BF:BF,JPK_KR!BE:BE,N956,JPK_KR!BG:BG,O956)),"")</f>
        <v/>
      </c>
      <c r="Q956" s="126" t="str">
        <f>IF(M956&lt;&gt;"",IF(O956="",SUMIFS(JPK_KR!AM:AM,JPK_KR!W:W,N956),SUMIFS(JPK_KR!BI:BI,JPK_KR!BH:BH,N956,JPK_KR!BJ:BJ,O956)),"")</f>
        <v/>
      </c>
      <c r="U956" s="24" t="str">
        <f>IF(R956&lt;&gt;"",SUMIFS(JPK_KR!AL:AL,JPK_KR!W:W,S956),"")</f>
        <v/>
      </c>
      <c r="V956" s="126" t="str">
        <f>IF(R956&lt;&gt;"",SUMIFS(JPK_KR!AM:AM,JPK_KR!W:W,S956),"")</f>
        <v/>
      </c>
    </row>
    <row r="957" spans="3:22" x14ac:dyDescent="0.3">
      <c r="C957" s="24" t="str">
        <f>IF(A957&lt;&gt;"",SUMIFS(JPK_KR!AL:AL,JPK_KR!W:W,B957),"")</f>
        <v/>
      </c>
      <c r="D957" s="126" t="str">
        <f>IF(A957&lt;&gt;"",SUMIFS(JPK_KR!AM:AM,JPK_KR!W:W,B957),"")</f>
        <v/>
      </c>
      <c r="G957" s="24" t="str">
        <f>IF(E957&lt;&gt;"",SUMIFS(JPK_KR!AL:AL,JPK_KR!W:W,F957),"")</f>
        <v/>
      </c>
      <c r="H957" s="126" t="str">
        <f>IF(E957&lt;&gt;"",SUMIFS(JPK_KR!AM:AM,JPK_KR!W:W,F957),"")</f>
        <v/>
      </c>
      <c r="K957" s="24" t="str">
        <f>IF(I957&lt;&gt;"",SUMIFS(JPK_KR!AL:AL,JPK_KR!W:W,J957),"")</f>
        <v/>
      </c>
      <c r="L957" s="126" t="str">
        <f>IF(I957&lt;&gt;"",SUMIFS(JPK_KR!AM:AM,JPK_KR!W:W,J957),"")</f>
        <v/>
      </c>
      <c r="P957" s="24" t="str">
        <f>IF(M957&lt;&gt;"",IF(O957="",SUMIFS(JPK_KR!AL:AL,JPK_KR!W:W,N957),SUMIFS(JPK_KR!BF:BF,JPK_KR!BE:BE,N957,JPK_KR!BG:BG,O957)),"")</f>
        <v/>
      </c>
      <c r="Q957" s="126" t="str">
        <f>IF(M957&lt;&gt;"",IF(O957="",SUMIFS(JPK_KR!AM:AM,JPK_KR!W:W,N957),SUMIFS(JPK_KR!BI:BI,JPK_KR!BH:BH,N957,JPK_KR!BJ:BJ,O957)),"")</f>
        <v/>
      </c>
      <c r="U957" s="24" t="str">
        <f>IF(R957&lt;&gt;"",SUMIFS(JPK_KR!AL:AL,JPK_KR!W:W,S957),"")</f>
        <v/>
      </c>
      <c r="V957" s="126" t="str">
        <f>IF(R957&lt;&gt;"",SUMIFS(JPK_KR!AM:AM,JPK_KR!W:W,S957),"")</f>
        <v/>
      </c>
    </row>
    <row r="958" spans="3:22" x14ac:dyDescent="0.3">
      <c r="C958" s="24" t="str">
        <f>IF(A958&lt;&gt;"",SUMIFS(JPK_KR!AL:AL,JPK_KR!W:W,B958),"")</f>
        <v/>
      </c>
      <c r="D958" s="126" t="str">
        <f>IF(A958&lt;&gt;"",SUMIFS(JPK_KR!AM:AM,JPK_KR!W:W,B958),"")</f>
        <v/>
      </c>
      <c r="G958" s="24" t="str">
        <f>IF(E958&lt;&gt;"",SUMIFS(JPK_KR!AL:AL,JPK_KR!W:W,F958),"")</f>
        <v/>
      </c>
      <c r="H958" s="126" t="str">
        <f>IF(E958&lt;&gt;"",SUMIFS(JPK_KR!AM:AM,JPK_KR!W:W,F958),"")</f>
        <v/>
      </c>
      <c r="K958" s="24" t="str">
        <f>IF(I958&lt;&gt;"",SUMIFS(JPK_KR!AL:AL,JPK_KR!W:W,J958),"")</f>
        <v/>
      </c>
      <c r="L958" s="126" t="str">
        <f>IF(I958&lt;&gt;"",SUMIFS(JPK_KR!AM:AM,JPK_KR!W:W,J958),"")</f>
        <v/>
      </c>
      <c r="P958" s="24" t="str">
        <f>IF(M958&lt;&gt;"",IF(O958="",SUMIFS(JPK_KR!AL:AL,JPK_KR!W:W,N958),SUMIFS(JPK_KR!BF:BF,JPK_KR!BE:BE,N958,JPK_KR!BG:BG,O958)),"")</f>
        <v/>
      </c>
      <c r="Q958" s="126" t="str">
        <f>IF(M958&lt;&gt;"",IF(O958="",SUMIFS(JPK_KR!AM:AM,JPK_KR!W:W,N958),SUMIFS(JPK_KR!BI:BI,JPK_KR!BH:BH,N958,JPK_KR!BJ:BJ,O958)),"")</f>
        <v/>
      </c>
      <c r="U958" s="24" t="str">
        <f>IF(R958&lt;&gt;"",SUMIFS(JPK_KR!AL:AL,JPK_KR!W:W,S958),"")</f>
        <v/>
      </c>
      <c r="V958" s="126" t="str">
        <f>IF(R958&lt;&gt;"",SUMIFS(JPK_KR!AM:AM,JPK_KR!W:W,S958),"")</f>
        <v/>
      </c>
    </row>
    <row r="959" spans="3:22" x14ac:dyDescent="0.3">
      <c r="C959" s="24" t="str">
        <f>IF(A959&lt;&gt;"",SUMIFS(JPK_KR!AL:AL,JPK_KR!W:W,B959),"")</f>
        <v/>
      </c>
      <c r="D959" s="126" t="str">
        <f>IF(A959&lt;&gt;"",SUMIFS(JPK_KR!AM:AM,JPK_KR!W:W,B959),"")</f>
        <v/>
      </c>
      <c r="G959" s="24" t="str">
        <f>IF(E959&lt;&gt;"",SUMIFS(JPK_KR!AL:AL,JPK_KR!W:W,F959),"")</f>
        <v/>
      </c>
      <c r="H959" s="126" t="str">
        <f>IF(E959&lt;&gt;"",SUMIFS(JPK_KR!AM:AM,JPK_KR!W:W,F959),"")</f>
        <v/>
      </c>
      <c r="K959" s="24" t="str">
        <f>IF(I959&lt;&gt;"",SUMIFS(JPK_KR!AL:AL,JPK_KR!W:W,J959),"")</f>
        <v/>
      </c>
      <c r="L959" s="126" t="str">
        <f>IF(I959&lt;&gt;"",SUMIFS(JPK_KR!AM:AM,JPK_KR!W:W,J959),"")</f>
        <v/>
      </c>
      <c r="P959" s="24" t="str">
        <f>IF(M959&lt;&gt;"",IF(O959="",SUMIFS(JPK_KR!AL:AL,JPK_KR!W:W,N959),SUMIFS(JPK_KR!BF:BF,JPK_KR!BE:BE,N959,JPK_KR!BG:BG,O959)),"")</f>
        <v/>
      </c>
      <c r="Q959" s="126" t="str">
        <f>IF(M959&lt;&gt;"",IF(O959="",SUMIFS(JPK_KR!AM:AM,JPK_KR!W:W,N959),SUMIFS(JPK_KR!BI:BI,JPK_KR!BH:BH,N959,JPK_KR!BJ:BJ,O959)),"")</f>
        <v/>
      </c>
      <c r="U959" s="24" t="str">
        <f>IF(R959&lt;&gt;"",SUMIFS(JPK_KR!AL:AL,JPK_KR!W:W,S959),"")</f>
        <v/>
      </c>
      <c r="V959" s="126" t="str">
        <f>IF(R959&lt;&gt;"",SUMIFS(JPK_KR!AM:AM,JPK_KR!W:W,S959),"")</f>
        <v/>
      </c>
    </row>
    <row r="960" spans="3:22" x14ac:dyDescent="0.3">
      <c r="C960" s="24" t="str">
        <f>IF(A960&lt;&gt;"",SUMIFS(JPK_KR!AL:AL,JPK_KR!W:W,B960),"")</f>
        <v/>
      </c>
      <c r="D960" s="126" t="str">
        <f>IF(A960&lt;&gt;"",SUMIFS(JPK_KR!AM:AM,JPK_KR!W:W,B960),"")</f>
        <v/>
      </c>
      <c r="G960" s="24" t="str">
        <f>IF(E960&lt;&gt;"",SUMIFS(JPK_KR!AL:AL,JPK_KR!W:W,F960),"")</f>
        <v/>
      </c>
      <c r="H960" s="126" t="str">
        <f>IF(E960&lt;&gt;"",SUMIFS(JPK_KR!AM:AM,JPK_KR!W:W,F960),"")</f>
        <v/>
      </c>
      <c r="K960" s="24" t="str">
        <f>IF(I960&lt;&gt;"",SUMIFS(JPK_KR!AL:AL,JPK_KR!W:W,J960),"")</f>
        <v/>
      </c>
      <c r="L960" s="126" t="str">
        <f>IF(I960&lt;&gt;"",SUMIFS(JPK_KR!AM:AM,JPK_KR!W:W,J960),"")</f>
        <v/>
      </c>
      <c r="P960" s="24" t="str">
        <f>IF(M960&lt;&gt;"",IF(O960="",SUMIFS(JPK_KR!AL:AL,JPK_KR!W:W,N960),SUMIFS(JPK_KR!BF:BF,JPK_KR!BE:BE,N960,JPK_KR!BG:BG,O960)),"")</f>
        <v/>
      </c>
      <c r="Q960" s="126" t="str">
        <f>IF(M960&lt;&gt;"",IF(O960="",SUMIFS(JPK_KR!AM:AM,JPK_KR!W:W,N960),SUMIFS(JPK_KR!BI:BI,JPK_KR!BH:BH,N960,JPK_KR!BJ:BJ,O960)),"")</f>
        <v/>
      </c>
      <c r="U960" s="24" t="str">
        <f>IF(R960&lt;&gt;"",SUMIFS(JPK_KR!AL:AL,JPK_KR!W:W,S960),"")</f>
        <v/>
      </c>
      <c r="V960" s="126" t="str">
        <f>IF(R960&lt;&gt;"",SUMIFS(JPK_KR!AM:AM,JPK_KR!W:W,S960),"")</f>
        <v/>
      </c>
    </row>
    <row r="961" spans="3:22" x14ac:dyDescent="0.3">
      <c r="C961" s="24" t="str">
        <f>IF(A961&lt;&gt;"",SUMIFS(JPK_KR!AL:AL,JPK_KR!W:W,B961),"")</f>
        <v/>
      </c>
      <c r="D961" s="126" t="str">
        <f>IF(A961&lt;&gt;"",SUMIFS(JPK_KR!AM:AM,JPK_KR!W:W,B961),"")</f>
        <v/>
      </c>
      <c r="G961" s="24" t="str">
        <f>IF(E961&lt;&gt;"",SUMIFS(JPK_KR!AL:AL,JPK_KR!W:W,F961),"")</f>
        <v/>
      </c>
      <c r="H961" s="126" t="str">
        <f>IF(E961&lt;&gt;"",SUMIFS(JPK_KR!AM:AM,JPK_KR!W:W,F961),"")</f>
        <v/>
      </c>
      <c r="K961" s="24" t="str">
        <f>IF(I961&lt;&gt;"",SUMIFS(JPK_KR!AL:AL,JPK_KR!W:W,J961),"")</f>
        <v/>
      </c>
      <c r="L961" s="126" t="str">
        <f>IF(I961&lt;&gt;"",SUMIFS(JPK_KR!AM:AM,JPK_KR!W:W,J961),"")</f>
        <v/>
      </c>
      <c r="P961" s="24" t="str">
        <f>IF(M961&lt;&gt;"",IF(O961="",SUMIFS(JPK_KR!AL:AL,JPK_KR!W:W,N961),SUMIFS(JPK_KR!BF:BF,JPK_KR!BE:BE,N961,JPK_KR!BG:BG,O961)),"")</f>
        <v/>
      </c>
      <c r="Q961" s="126" t="str">
        <f>IF(M961&lt;&gt;"",IF(O961="",SUMIFS(JPK_KR!AM:AM,JPK_KR!W:W,N961),SUMIFS(JPK_KR!BI:BI,JPK_KR!BH:BH,N961,JPK_KR!BJ:BJ,O961)),"")</f>
        <v/>
      </c>
      <c r="U961" s="24" t="str">
        <f>IF(R961&lt;&gt;"",SUMIFS(JPK_KR!AL:AL,JPK_KR!W:W,S961),"")</f>
        <v/>
      </c>
      <c r="V961" s="126" t="str">
        <f>IF(R961&lt;&gt;"",SUMIFS(JPK_KR!AM:AM,JPK_KR!W:W,S961),"")</f>
        <v/>
      </c>
    </row>
    <row r="962" spans="3:22" x14ac:dyDescent="0.3">
      <c r="C962" s="24" t="str">
        <f>IF(A962&lt;&gt;"",SUMIFS(JPK_KR!AL:AL,JPK_KR!W:W,B962),"")</f>
        <v/>
      </c>
      <c r="D962" s="126" t="str">
        <f>IF(A962&lt;&gt;"",SUMIFS(JPK_KR!AM:AM,JPK_KR!W:W,B962),"")</f>
        <v/>
      </c>
      <c r="G962" s="24" t="str">
        <f>IF(E962&lt;&gt;"",SUMIFS(JPK_KR!AL:AL,JPK_KR!W:W,F962),"")</f>
        <v/>
      </c>
      <c r="H962" s="126" t="str">
        <f>IF(E962&lt;&gt;"",SUMIFS(JPK_KR!AM:AM,JPK_KR!W:W,F962),"")</f>
        <v/>
      </c>
      <c r="K962" s="24" t="str">
        <f>IF(I962&lt;&gt;"",SUMIFS(JPK_KR!AL:AL,JPK_KR!W:W,J962),"")</f>
        <v/>
      </c>
      <c r="L962" s="126" t="str">
        <f>IF(I962&lt;&gt;"",SUMIFS(JPK_KR!AM:AM,JPK_KR!W:W,J962),"")</f>
        <v/>
      </c>
      <c r="P962" s="24" t="str">
        <f>IF(M962&lt;&gt;"",IF(O962="",SUMIFS(JPK_KR!AL:AL,JPK_KR!W:W,N962),SUMIFS(JPK_KR!BF:BF,JPK_KR!BE:BE,N962,JPK_KR!BG:BG,O962)),"")</f>
        <v/>
      </c>
      <c r="Q962" s="126" t="str">
        <f>IF(M962&lt;&gt;"",IF(O962="",SUMIFS(JPK_KR!AM:AM,JPK_KR!W:W,N962),SUMIFS(JPK_KR!BI:BI,JPK_KR!BH:BH,N962,JPK_KR!BJ:BJ,O962)),"")</f>
        <v/>
      </c>
      <c r="U962" s="24" t="str">
        <f>IF(R962&lt;&gt;"",SUMIFS(JPK_KR!AL:AL,JPK_KR!W:W,S962),"")</f>
        <v/>
      </c>
      <c r="V962" s="126" t="str">
        <f>IF(R962&lt;&gt;"",SUMIFS(JPK_KR!AM:AM,JPK_KR!W:W,S962),"")</f>
        <v/>
      </c>
    </row>
    <row r="963" spans="3:22" x14ac:dyDescent="0.3">
      <c r="C963" s="24" t="str">
        <f>IF(A963&lt;&gt;"",SUMIFS(JPK_KR!AL:AL,JPK_KR!W:W,B963),"")</f>
        <v/>
      </c>
      <c r="D963" s="126" t="str">
        <f>IF(A963&lt;&gt;"",SUMIFS(JPK_KR!AM:AM,JPK_KR!W:W,B963),"")</f>
        <v/>
      </c>
      <c r="G963" s="24" t="str">
        <f>IF(E963&lt;&gt;"",SUMIFS(JPK_KR!AL:AL,JPK_KR!W:W,F963),"")</f>
        <v/>
      </c>
      <c r="H963" s="126" t="str">
        <f>IF(E963&lt;&gt;"",SUMIFS(JPK_KR!AM:AM,JPK_KR!W:W,F963),"")</f>
        <v/>
      </c>
      <c r="K963" s="24" t="str">
        <f>IF(I963&lt;&gt;"",SUMIFS(JPK_KR!AL:AL,JPK_KR!W:W,J963),"")</f>
        <v/>
      </c>
      <c r="L963" s="126" t="str">
        <f>IF(I963&lt;&gt;"",SUMIFS(JPK_KR!AM:AM,JPK_KR!W:W,J963),"")</f>
        <v/>
      </c>
      <c r="P963" s="24" t="str">
        <f>IF(M963&lt;&gt;"",IF(O963="",SUMIFS(JPK_KR!AL:AL,JPK_KR!W:W,N963),SUMIFS(JPK_KR!BF:BF,JPK_KR!BE:BE,N963,JPK_KR!BG:BG,O963)),"")</f>
        <v/>
      </c>
      <c r="Q963" s="126" t="str">
        <f>IF(M963&lt;&gt;"",IF(O963="",SUMIFS(JPK_KR!AM:AM,JPK_KR!W:W,N963),SUMIFS(JPK_KR!BI:BI,JPK_KR!BH:BH,N963,JPK_KR!BJ:BJ,O963)),"")</f>
        <v/>
      </c>
      <c r="U963" s="24" t="str">
        <f>IF(R963&lt;&gt;"",SUMIFS(JPK_KR!AL:AL,JPK_KR!W:W,S963),"")</f>
        <v/>
      </c>
      <c r="V963" s="126" t="str">
        <f>IF(R963&lt;&gt;"",SUMIFS(JPK_KR!AM:AM,JPK_KR!W:W,S963),"")</f>
        <v/>
      </c>
    </row>
    <row r="964" spans="3:22" x14ac:dyDescent="0.3">
      <c r="C964" s="24" t="str">
        <f>IF(A964&lt;&gt;"",SUMIFS(JPK_KR!AL:AL,JPK_KR!W:W,B964),"")</f>
        <v/>
      </c>
      <c r="D964" s="126" t="str">
        <f>IF(A964&lt;&gt;"",SUMIFS(JPK_KR!AM:AM,JPK_KR!W:W,B964),"")</f>
        <v/>
      </c>
      <c r="G964" s="24" t="str">
        <f>IF(E964&lt;&gt;"",SUMIFS(JPK_KR!AL:AL,JPK_KR!W:W,F964),"")</f>
        <v/>
      </c>
      <c r="H964" s="126" t="str">
        <f>IF(E964&lt;&gt;"",SUMIFS(JPK_KR!AM:AM,JPK_KR!W:W,F964),"")</f>
        <v/>
      </c>
      <c r="K964" s="24" t="str">
        <f>IF(I964&lt;&gt;"",SUMIFS(JPK_KR!AL:AL,JPK_KR!W:W,J964),"")</f>
        <v/>
      </c>
      <c r="L964" s="126" t="str">
        <f>IF(I964&lt;&gt;"",SUMIFS(JPK_KR!AM:AM,JPK_KR!W:W,J964),"")</f>
        <v/>
      </c>
      <c r="P964" s="24" t="str">
        <f>IF(M964&lt;&gt;"",IF(O964="",SUMIFS(JPK_KR!AL:AL,JPK_KR!W:W,N964),SUMIFS(JPK_KR!BF:BF,JPK_KR!BE:BE,N964,JPK_KR!BG:BG,O964)),"")</f>
        <v/>
      </c>
      <c r="Q964" s="126" t="str">
        <f>IF(M964&lt;&gt;"",IF(O964="",SUMIFS(JPK_KR!AM:AM,JPK_KR!W:W,N964),SUMIFS(JPK_KR!BI:BI,JPK_KR!BH:BH,N964,JPK_KR!BJ:BJ,O964)),"")</f>
        <v/>
      </c>
      <c r="U964" s="24" t="str">
        <f>IF(R964&lt;&gt;"",SUMIFS(JPK_KR!AL:AL,JPK_KR!W:W,S964),"")</f>
        <v/>
      </c>
      <c r="V964" s="126" t="str">
        <f>IF(R964&lt;&gt;"",SUMIFS(JPK_KR!AM:AM,JPK_KR!W:W,S964),"")</f>
        <v/>
      </c>
    </row>
    <row r="965" spans="3:22" x14ac:dyDescent="0.3">
      <c r="C965" s="24" t="str">
        <f>IF(A965&lt;&gt;"",SUMIFS(JPK_KR!AL:AL,JPK_KR!W:W,B965),"")</f>
        <v/>
      </c>
      <c r="D965" s="126" t="str">
        <f>IF(A965&lt;&gt;"",SUMIFS(JPK_KR!AM:AM,JPK_KR!W:W,B965),"")</f>
        <v/>
      </c>
      <c r="G965" s="24" t="str">
        <f>IF(E965&lt;&gt;"",SUMIFS(JPK_KR!AL:AL,JPK_KR!W:W,F965),"")</f>
        <v/>
      </c>
      <c r="H965" s="126" t="str">
        <f>IF(E965&lt;&gt;"",SUMIFS(JPK_KR!AM:AM,JPK_KR!W:W,F965),"")</f>
        <v/>
      </c>
      <c r="K965" s="24" t="str">
        <f>IF(I965&lt;&gt;"",SUMIFS(JPK_KR!AL:AL,JPK_KR!W:W,J965),"")</f>
        <v/>
      </c>
      <c r="L965" s="126" t="str">
        <f>IF(I965&lt;&gt;"",SUMIFS(JPK_KR!AM:AM,JPK_KR!W:W,J965),"")</f>
        <v/>
      </c>
      <c r="P965" s="24" t="str">
        <f>IF(M965&lt;&gt;"",IF(O965="",SUMIFS(JPK_KR!AL:AL,JPK_KR!W:W,N965),SUMIFS(JPK_KR!BF:BF,JPK_KR!BE:BE,N965,JPK_KR!BG:BG,O965)),"")</f>
        <v/>
      </c>
      <c r="Q965" s="126" t="str">
        <f>IF(M965&lt;&gt;"",IF(O965="",SUMIFS(JPK_KR!AM:AM,JPK_KR!W:W,N965),SUMIFS(JPK_KR!BI:BI,JPK_KR!BH:BH,N965,JPK_KR!BJ:BJ,O965)),"")</f>
        <v/>
      </c>
      <c r="U965" s="24" t="str">
        <f>IF(R965&lt;&gt;"",SUMIFS(JPK_KR!AL:AL,JPK_KR!W:W,S965),"")</f>
        <v/>
      </c>
      <c r="V965" s="126" t="str">
        <f>IF(R965&lt;&gt;"",SUMIFS(JPK_KR!AM:AM,JPK_KR!W:W,S965),"")</f>
        <v/>
      </c>
    </row>
    <row r="966" spans="3:22" x14ac:dyDescent="0.3">
      <c r="C966" s="24" t="str">
        <f>IF(A966&lt;&gt;"",SUMIFS(JPK_KR!AL:AL,JPK_KR!W:W,B966),"")</f>
        <v/>
      </c>
      <c r="D966" s="126" t="str">
        <f>IF(A966&lt;&gt;"",SUMIFS(JPK_KR!AM:AM,JPK_KR!W:W,B966),"")</f>
        <v/>
      </c>
      <c r="G966" s="24" t="str">
        <f>IF(E966&lt;&gt;"",SUMIFS(JPK_KR!AL:AL,JPK_KR!W:W,F966),"")</f>
        <v/>
      </c>
      <c r="H966" s="126" t="str">
        <f>IF(E966&lt;&gt;"",SUMIFS(JPK_KR!AM:AM,JPK_KR!W:W,F966),"")</f>
        <v/>
      </c>
      <c r="K966" s="24" t="str">
        <f>IF(I966&lt;&gt;"",SUMIFS(JPK_KR!AL:AL,JPK_KR!W:W,J966),"")</f>
        <v/>
      </c>
      <c r="L966" s="126" t="str">
        <f>IF(I966&lt;&gt;"",SUMIFS(JPK_KR!AM:AM,JPK_KR!W:W,J966),"")</f>
        <v/>
      </c>
      <c r="P966" s="24" t="str">
        <f>IF(M966&lt;&gt;"",IF(O966="",SUMIFS(JPK_KR!AL:AL,JPK_KR!W:W,N966),SUMIFS(JPK_KR!BF:BF,JPK_KR!BE:BE,N966,JPK_KR!BG:BG,O966)),"")</f>
        <v/>
      </c>
      <c r="Q966" s="126" t="str">
        <f>IF(M966&lt;&gt;"",IF(O966="",SUMIFS(JPK_KR!AM:AM,JPK_KR!W:W,N966),SUMIFS(JPK_KR!BI:BI,JPK_KR!BH:BH,N966,JPK_KR!BJ:BJ,O966)),"")</f>
        <v/>
      </c>
      <c r="U966" s="24" t="str">
        <f>IF(R966&lt;&gt;"",SUMIFS(JPK_KR!AL:AL,JPK_KR!W:W,S966),"")</f>
        <v/>
      </c>
      <c r="V966" s="126" t="str">
        <f>IF(R966&lt;&gt;"",SUMIFS(JPK_KR!AM:AM,JPK_KR!W:W,S966),"")</f>
        <v/>
      </c>
    </row>
    <row r="967" spans="3:22" x14ac:dyDescent="0.3">
      <c r="C967" s="24" t="str">
        <f>IF(A967&lt;&gt;"",SUMIFS(JPK_KR!AL:AL,JPK_KR!W:W,B967),"")</f>
        <v/>
      </c>
      <c r="D967" s="126" t="str">
        <f>IF(A967&lt;&gt;"",SUMIFS(JPK_KR!AM:AM,JPK_KR!W:W,B967),"")</f>
        <v/>
      </c>
      <c r="G967" s="24" t="str">
        <f>IF(E967&lt;&gt;"",SUMIFS(JPK_KR!AL:AL,JPK_KR!W:W,F967),"")</f>
        <v/>
      </c>
      <c r="H967" s="126" t="str">
        <f>IF(E967&lt;&gt;"",SUMIFS(JPK_KR!AM:AM,JPK_KR!W:W,F967),"")</f>
        <v/>
      </c>
      <c r="K967" s="24" t="str">
        <f>IF(I967&lt;&gt;"",SUMIFS(JPK_KR!AL:AL,JPK_KR!W:W,J967),"")</f>
        <v/>
      </c>
      <c r="L967" s="126" t="str">
        <f>IF(I967&lt;&gt;"",SUMIFS(JPK_KR!AM:AM,JPK_KR!W:W,J967),"")</f>
        <v/>
      </c>
      <c r="P967" s="24" t="str">
        <f>IF(M967&lt;&gt;"",IF(O967="",SUMIFS(JPK_KR!AL:AL,JPK_KR!W:W,N967),SUMIFS(JPK_KR!BF:BF,JPK_KR!BE:BE,N967,JPK_KR!BG:BG,O967)),"")</f>
        <v/>
      </c>
      <c r="Q967" s="126" t="str">
        <f>IF(M967&lt;&gt;"",IF(O967="",SUMIFS(JPK_KR!AM:AM,JPK_KR!W:W,N967),SUMIFS(JPK_KR!BI:BI,JPK_KR!BH:BH,N967,JPK_KR!BJ:BJ,O967)),"")</f>
        <v/>
      </c>
      <c r="U967" s="24" t="str">
        <f>IF(R967&lt;&gt;"",SUMIFS(JPK_KR!AL:AL,JPK_KR!W:W,S967),"")</f>
        <v/>
      </c>
      <c r="V967" s="126" t="str">
        <f>IF(R967&lt;&gt;"",SUMIFS(JPK_KR!AM:AM,JPK_KR!W:W,S967),"")</f>
        <v/>
      </c>
    </row>
    <row r="968" spans="3:22" x14ac:dyDescent="0.3">
      <c r="C968" s="24" t="str">
        <f>IF(A968&lt;&gt;"",SUMIFS(JPK_KR!AL:AL,JPK_KR!W:W,B968),"")</f>
        <v/>
      </c>
      <c r="D968" s="126" t="str">
        <f>IF(A968&lt;&gt;"",SUMIFS(JPK_KR!AM:AM,JPK_KR!W:W,B968),"")</f>
        <v/>
      </c>
      <c r="G968" s="24" t="str">
        <f>IF(E968&lt;&gt;"",SUMIFS(JPK_KR!AL:AL,JPK_KR!W:W,F968),"")</f>
        <v/>
      </c>
      <c r="H968" s="126" t="str">
        <f>IF(E968&lt;&gt;"",SUMIFS(JPK_KR!AM:AM,JPK_KR!W:W,F968),"")</f>
        <v/>
      </c>
      <c r="K968" s="24" t="str">
        <f>IF(I968&lt;&gt;"",SUMIFS(JPK_KR!AL:AL,JPK_KR!W:W,J968),"")</f>
        <v/>
      </c>
      <c r="L968" s="126" t="str">
        <f>IF(I968&lt;&gt;"",SUMIFS(JPK_KR!AM:AM,JPK_KR!W:W,J968),"")</f>
        <v/>
      </c>
      <c r="P968" s="24" t="str">
        <f>IF(M968&lt;&gt;"",IF(O968="",SUMIFS(JPK_KR!AL:AL,JPK_KR!W:W,N968),SUMIFS(JPK_KR!BF:BF,JPK_KR!BE:BE,N968,JPK_KR!BG:BG,O968)),"")</f>
        <v/>
      </c>
      <c r="Q968" s="126" t="str">
        <f>IF(M968&lt;&gt;"",IF(O968="",SUMIFS(JPK_KR!AM:AM,JPK_KR!W:W,N968),SUMIFS(JPK_KR!BI:BI,JPK_KR!BH:BH,N968,JPK_KR!BJ:BJ,O968)),"")</f>
        <v/>
      </c>
      <c r="U968" s="24" t="str">
        <f>IF(R968&lt;&gt;"",SUMIFS(JPK_KR!AL:AL,JPK_KR!W:W,S968),"")</f>
        <v/>
      </c>
      <c r="V968" s="126" t="str">
        <f>IF(R968&lt;&gt;"",SUMIFS(JPK_KR!AM:AM,JPK_KR!W:W,S968),"")</f>
        <v/>
      </c>
    </row>
    <row r="969" spans="3:22" x14ac:dyDescent="0.3">
      <c r="C969" s="24" t="str">
        <f>IF(A969&lt;&gt;"",SUMIFS(JPK_KR!AL:AL,JPK_KR!W:W,B969),"")</f>
        <v/>
      </c>
      <c r="D969" s="126" t="str">
        <f>IF(A969&lt;&gt;"",SUMIFS(JPK_KR!AM:AM,JPK_KR!W:W,B969),"")</f>
        <v/>
      </c>
      <c r="G969" s="24" t="str">
        <f>IF(E969&lt;&gt;"",SUMIFS(JPK_KR!AL:AL,JPK_KR!W:W,F969),"")</f>
        <v/>
      </c>
      <c r="H969" s="126" t="str">
        <f>IF(E969&lt;&gt;"",SUMIFS(JPK_KR!AM:AM,JPK_KR!W:W,F969),"")</f>
        <v/>
      </c>
      <c r="K969" s="24" t="str">
        <f>IF(I969&lt;&gt;"",SUMIFS(JPK_KR!AL:AL,JPK_KR!W:W,J969),"")</f>
        <v/>
      </c>
      <c r="L969" s="126" t="str">
        <f>IF(I969&lt;&gt;"",SUMIFS(JPK_KR!AM:AM,JPK_KR!W:W,J969),"")</f>
        <v/>
      </c>
      <c r="P969" s="24" t="str">
        <f>IF(M969&lt;&gt;"",IF(O969="",SUMIFS(JPK_KR!AL:AL,JPK_KR!W:W,N969),SUMIFS(JPK_KR!BF:BF,JPK_KR!BE:BE,N969,JPK_KR!BG:BG,O969)),"")</f>
        <v/>
      </c>
      <c r="Q969" s="126" t="str">
        <f>IF(M969&lt;&gt;"",IF(O969="",SUMIFS(JPK_KR!AM:AM,JPK_KR!W:W,N969),SUMIFS(JPK_KR!BI:BI,JPK_KR!BH:BH,N969,JPK_KR!BJ:BJ,O969)),"")</f>
        <v/>
      </c>
      <c r="U969" s="24" t="str">
        <f>IF(R969&lt;&gt;"",SUMIFS(JPK_KR!AL:AL,JPK_KR!W:W,S969),"")</f>
        <v/>
      </c>
      <c r="V969" s="126" t="str">
        <f>IF(R969&lt;&gt;"",SUMIFS(JPK_KR!AM:AM,JPK_KR!W:W,S969),"")</f>
        <v/>
      </c>
    </row>
    <row r="970" spans="3:22" x14ac:dyDescent="0.3">
      <c r="C970" s="24" t="str">
        <f>IF(A970&lt;&gt;"",SUMIFS(JPK_KR!AL:AL,JPK_KR!W:W,B970),"")</f>
        <v/>
      </c>
      <c r="D970" s="126" t="str">
        <f>IF(A970&lt;&gt;"",SUMIFS(JPK_KR!AM:AM,JPK_KR!W:W,B970),"")</f>
        <v/>
      </c>
      <c r="G970" s="24" t="str">
        <f>IF(E970&lt;&gt;"",SUMIFS(JPK_KR!AL:AL,JPK_KR!W:W,F970),"")</f>
        <v/>
      </c>
      <c r="H970" s="126" t="str">
        <f>IF(E970&lt;&gt;"",SUMIFS(JPK_KR!AM:AM,JPK_KR!W:W,F970),"")</f>
        <v/>
      </c>
      <c r="K970" s="24" t="str">
        <f>IF(I970&lt;&gt;"",SUMIFS(JPK_KR!AL:AL,JPK_KR!W:W,J970),"")</f>
        <v/>
      </c>
      <c r="L970" s="126" t="str">
        <f>IF(I970&lt;&gt;"",SUMIFS(JPK_KR!AM:AM,JPK_KR!W:W,J970),"")</f>
        <v/>
      </c>
      <c r="P970" s="24" t="str">
        <f>IF(M970&lt;&gt;"",IF(O970="",SUMIFS(JPK_KR!AL:AL,JPK_KR!W:W,N970),SUMIFS(JPK_KR!BF:BF,JPK_KR!BE:BE,N970,JPK_KR!BG:BG,O970)),"")</f>
        <v/>
      </c>
      <c r="Q970" s="126" t="str">
        <f>IF(M970&lt;&gt;"",IF(O970="",SUMIFS(JPK_KR!AM:AM,JPK_KR!W:W,N970),SUMIFS(JPK_KR!BI:BI,JPK_KR!BH:BH,N970,JPK_KR!BJ:BJ,O970)),"")</f>
        <v/>
      </c>
      <c r="U970" s="24" t="str">
        <f>IF(R970&lt;&gt;"",SUMIFS(JPK_KR!AL:AL,JPK_KR!W:W,S970),"")</f>
        <v/>
      </c>
      <c r="V970" s="126" t="str">
        <f>IF(R970&lt;&gt;"",SUMIFS(JPK_KR!AM:AM,JPK_KR!W:W,S970),"")</f>
        <v/>
      </c>
    </row>
    <row r="971" spans="3:22" x14ac:dyDescent="0.3">
      <c r="C971" s="24" t="str">
        <f>IF(A971&lt;&gt;"",SUMIFS(JPK_KR!AL:AL,JPK_KR!W:W,B971),"")</f>
        <v/>
      </c>
      <c r="D971" s="126" t="str">
        <f>IF(A971&lt;&gt;"",SUMIFS(JPK_KR!AM:AM,JPK_KR!W:W,B971),"")</f>
        <v/>
      </c>
      <c r="G971" s="24" t="str">
        <f>IF(E971&lt;&gt;"",SUMIFS(JPK_KR!AL:AL,JPK_KR!W:W,F971),"")</f>
        <v/>
      </c>
      <c r="H971" s="126" t="str">
        <f>IF(E971&lt;&gt;"",SUMIFS(JPK_KR!AM:AM,JPK_KR!W:W,F971),"")</f>
        <v/>
      </c>
      <c r="K971" s="24" t="str">
        <f>IF(I971&lt;&gt;"",SUMIFS(JPK_KR!AL:AL,JPK_KR!W:W,J971),"")</f>
        <v/>
      </c>
      <c r="L971" s="126" t="str">
        <f>IF(I971&lt;&gt;"",SUMIFS(JPK_KR!AM:AM,JPK_KR!W:W,J971),"")</f>
        <v/>
      </c>
      <c r="P971" s="24" t="str">
        <f>IF(M971&lt;&gt;"",IF(O971="",SUMIFS(JPK_KR!AL:AL,JPK_KR!W:W,N971),SUMIFS(JPK_KR!BF:BF,JPK_KR!BE:BE,N971,JPK_KR!BG:BG,O971)),"")</f>
        <v/>
      </c>
      <c r="Q971" s="126" t="str">
        <f>IF(M971&lt;&gt;"",IF(O971="",SUMIFS(JPK_KR!AM:AM,JPK_KR!W:W,N971),SUMIFS(JPK_KR!BI:BI,JPK_KR!BH:BH,N971,JPK_KR!BJ:BJ,O971)),"")</f>
        <v/>
      </c>
      <c r="U971" s="24" t="str">
        <f>IF(R971&lt;&gt;"",SUMIFS(JPK_KR!AL:AL,JPK_KR!W:W,S971),"")</f>
        <v/>
      </c>
      <c r="V971" s="126" t="str">
        <f>IF(R971&lt;&gt;"",SUMIFS(JPK_KR!AM:AM,JPK_KR!W:W,S971),"")</f>
        <v/>
      </c>
    </row>
    <row r="972" spans="3:22" x14ac:dyDescent="0.3">
      <c r="C972" s="24" t="str">
        <f>IF(A972&lt;&gt;"",SUMIFS(JPK_KR!AL:AL,JPK_KR!W:W,B972),"")</f>
        <v/>
      </c>
      <c r="D972" s="126" t="str">
        <f>IF(A972&lt;&gt;"",SUMIFS(JPK_KR!AM:AM,JPK_KR!W:W,B972),"")</f>
        <v/>
      </c>
      <c r="G972" s="24" t="str">
        <f>IF(E972&lt;&gt;"",SUMIFS(JPK_KR!AL:AL,JPK_KR!W:W,F972),"")</f>
        <v/>
      </c>
      <c r="H972" s="126" t="str">
        <f>IF(E972&lt;&gt;"",SUMIFS(JPK_KR!AM:AM,JPK_KR!W:W,F972),"")</f>
        <v/>
      </c>
      <c r="K972" s="24" t="str">
        <f>IF(I972&lt;&gt;"",SUMIFS(JPK_KR!AL:AL,JPK_KR!W:W,J972),"")</f>
        <v/>
      </c>
      <c r="L972" s="126" t="str">
        <f>IF(I972&lt;&gt;"",SUMIFS(JPK_KR!AM:AM,JPK_KR!W:W,J972),"")</f>
        <v/>
      </c>
      <c r="P972" s="24" t="str">
        <f>IF(M972&lt;&gt;"",IF(O972="",SUMIFS(JPK_KR!AL:AL,JPK_KR!W:W,N972),SUMIFS(JPK_KR!BF:BF,JPK_KR!BE:BE,N972,JPK_KR!BG:BG,O972)),"")</f>
        <v/>
      </c>
      <c r="Q972" s="126" t="str">
        <f>IF(M972&lt;&gt;"",IF(O972="",SUMIFS(JPK_KR!AM:AM,JPK_KR!W:W,N972),SUMIFS(JPK_KR!BI:BI,JPK_KR!BH:BH,N972,JPK_KR!BJ:BJ,O972)),"")</f>
        <v/>
      </c>
      <c r="U972" s="24" t="str">
        <f>IF(R972&lt;&gt;"",SUMIFS(JPK_KR!AL:AL,JPK_KR!W:W,S972),"")</f>
        <v/>
      </c>
      <c r="V972" s="126" t="str">
        <f>IF(R972&lt;&gt;"",SUMIFS(JPK_KR!AM:AM,JPK_KR!W:W,S972),"")</f>
        <v/>
      </c>
    </row>
    <row r="973" spans="3:22" x14ac:dyDescent="0.3">
      <c r="C973" s="24" t="str">
        <f>IF(A973&lt;&gt;"",SUMIFS(JPK_KR!AL:AL,JPK_KR!W:W,B973),"")</f>
        <v/>
      </c>
      <c r="D973" s="126" t="str">
        <f>IF(A973&lt;&gt;"",SUMIFS(JPK_KR!AM:AM,JPK_KR!W:W,B973),"")</f>
        <v/>
      </c>
      <c r="G973" s="24" t="str">
        <f>IF(E973&lt;&gt;"",SUMIFS(JPK_KR!AL:AL,JPK_KR!W:W,F973),"")</f>
        <v/>
      </c>
      <c r="H973" s="126" t="str">
        <f>IF(E973&lt;&gt;"",SUMIFS(JPK_KR!AM:AM,JPK_KR!W:W,F973),"")</f>
        <v/>
      </c>
      <c r="K973" s="24" t="str">
        <f>IF(I973&lt;&gt;"",SUMIFS(JPK_KR!AL:AL,JPK_KR!W:W,J973),"")</f>
        <v/>
      </c>
      <c r="L973" s="126" t="str">
        <f>IF(I973&lt;&gt;"",SUMIFS(JPK_KR!AM:AM,JPK_KR!W:W,J973),"")</f>
        <v/>
      </c>
      <c r="P973" s="24" t="str">
        <f>IF(M973&lt;&gt;"",IF(O973="",SUMIFS(JPK_KR!AL:AL,JPK_KR!W:W,N973),SUMIFS(JPK_KR!BF:BF,JPK_KR!BE:BE,N973,JPK_KR!BG:BG,O973)),"")</f>
        <v/>
      </c>
      <c r="Q973" s="126" t="str">
        <f>IF(M973&lt;&gt;"",IF(O973="",SUMIFS(JPK_KR!AM:AM,JPK_KR!W:W,N973),SUMIFS(JPK_KR!BI:BI,JPK_KR!BH:BH,N973,JPK_KR!BJ:BJ,O973)),"")</f>
        <v/>
      </c>
      <c r="U973" s="24" t="str">
        <f>IF(R973&lt;&gt;"",SUMIFS(JPK_KR!AL:AL,JPK_KR!W:W,S973),"")</f>
        <v/>
      </c>
      <c r="V973" s="126" t="str">
        <f>IF(R973&lt;&gt;"",SUMIFS(JPK_KR!AM:AM,JPK_KR!W:W,S973),"")</f>
        <v/>
      </c>
    </row>
    <row r="974" spans="3:22" x14ac:dyDescent="0.3">
      <c r="C974" s="24" t="str">
        <f>IF(A974&lt;&gt;"",SUMIFS(JPK_KR!AL:AL,JPK_KR!W:W,B974),"")</f>
        <v/>
      </c>
      <c r="D974" s="126" t="str">
        <f>IF(A974&lt;&gt;"",SUMIFS(JPK_KR!AM:AM,JPK_KR!W:W,B974),"")</f>
        <v/>
      </c>
      <c r="G974" s="24" t="str">
        <f>IF(E974&lt;&gt;"",SUMIFS(JPK_KR!AL:AL,JPK_KR!W:W,F974),"")</f>
        <v/>
      </c>
      <c r="H974" s="126" t="str">
        <f>IF(E974&lt;&gt;"",SUMIFS(JPK_KR!AM:AM,JPK_KR!W:W,F974),"")</f>
        <v/>
      </c>
      <c r="K974" s="24" t="str">
        <f>IF(I974&lt;&gt;"",SUMIFS(JPK_KR!AL:AL,JPK_KR!W:W,J974),"")</f>
        <v/>
      </c>
      <c r="L974" s="126" t="str">
        <f>IF(I974&lt;&gt;"",SUMIFS(JPK_KR!AM:AM,JPK_KR!W:W,J974),"")</f>
        <v/>
      </c>
      <c r="P974" s="24" t="str">
        <f>IF(M974&lt;&gt;"",IF(O974="",SUMIFS(JPK_KR!AL:AL,JPK_KR!W:W,N974),SUMIFS(JPK_KR!BF:BF,JPK_KR!BE:BE,N974,JPK_KR!BG:BG,O974)),"")</f>
        <v/>
      </c>
      <c r="Q974" s="126" t="str">
        <f>IF(M974&lt;&gt;"",IF(O974="",SUMIFS(JPK_KR!AM:AM,JPK_KR!W:W,N974),SUMIFS(JPK_KR!BI:BI,JPK_KR!BH:BH,N974,JPK_KR!BJ:BJ,O974)),"")</f>
        <v/>
      </c>
      <c r="U974" s="24" t="str">
        <f>IF(R974&lt;&gt;"",SUMIFS(JPK_KR!AL:AL,JPK_KR!W:W,S974),"")</f>
        <v/>
      </c>
      <c r="V974" s="126" t="str">
        <f>IF(R974&lt;&gt;"",SUMIFS(JPK_KR!AM:AM,JPK_KR!W:W,S974),"")</f>
        <v/>
      </c>
    </row>
    <row r="975" spans="3:22" x14ac:dyDescent="0.3">
      <c r="C975" s="24" t="str">
        <f>IF(A975&lt;&gt;"",SUMIFS(JPK_KR!AL:AL,JPK_KR!W:W,B975),"")</f>
        <v/>
      </c>
      <c r="D975" s="126" t="str">
        <f>IF(A975&lt;&gt;"",SUMIFS(JPK_KR!AM:AM,JPK_KR!W:W,B975),"")</f>
        <v/>
      </c>
      <c r="G975" s="24" t="str">
        <f>IF(E975&lt;&gt;"",SUMIFS(JPK_KR!AL:AL,JPK_KR!W:W,F975),"")</f>
        <v/>
      </c>
      <c r="H975" s="126" t="str">
        <f>IF(E975&lt;&gt;"",SUMIFS(JPK_KR!AM:AM,JPK_KR!W:W,F975),"")</f>
        <v/>
      </c>
      <c r="K975" s="24" t="str">
        <f>IF(I975&lt;&gt;"",SUMIFS(JPK_KR!AL:AL,JPK_KR!W:W,J975),"")</f>
        <v/>
      </c>
      <c r="L975" s="126" t="str">
        <f>IF(I975&lt;&gt;"",SUMIFS(JPK_KR!AM:AM,JPK_KR!W:W,J975),"")</f>
        <v/>
      </c>
      <c r="P975" s="24" t="str">
        <f>IF(M975&lt;&gt;"",IF(O975="",SUMIFS(JPK_KR!AL:AL,JPK_KR!W:W,N975),SUMIFS(JPK_KR!BF:BF,JPK_KR!BE:BE,N975,JPK_KR!BG:BG,O975)),"")</f>
        <v/>
      </c>
      <c r="Q975" s="126" t="str">
        <f>IF(M975&lt;&gt;"",IF(O975="",SUMIFS(JPK_KR!AM:AM,JPK_KR!W:W,N975),SUMIFS(JPK_KR!BI:BI,JPK_KR!BH:BH,N975,JPK_KR!BJ:BJ,O975)),"")</f>
        <v/>
      </c>
      <c r="U975" s="24" t="str">
        <f>IF(R975&lt;&gt;"",SUMIFS(JPK_KR!AL:AL,JPK_KR!W:W,S975),"")</f>
        <v/>
      </c>
      <c r="V975" s="126" t="str">
        <f>IF(R975&lt;&gt;"",SUMIFS(JPK_KR!AM:AM,JPK_KR!W:W,S975),"")</f>
        <v/>
      </c>
    </row>
    <row r="976" spans="3:22" x14ac:dyDescent="0.3">
      <c r="C976" s="24" t="str">
        <f>IF(A976&lt;&gt;"",SUMIFS(JPK_KR!AL:AL,JPK_KR!W:W,B976),"")</f>
        <v/>
      </c>
      <c r="D976" s="126" t="str">
        <f>IF(A976&lt;&gt;"",SUMIFS(JPK_KR!AM:AM,JPK_KR!W:W,B976),"")</f>
        <v/>
      </c>
      <c r="G976" s="24" t="str">
        <f>IF(E976&lt;&gt;"",SUMIFS(JPK_KR!AL:AL,JPK_KR!W:W,F976),"")</f>
        <v/>
      </c>
      <c r="H976" s="126" t="str">
        <f>IF(E976&lt;&gt;"",SUMIFS(JPK_KR!AM:AM,JPK_KR!W:W,F976),"")</f>
        <v/>
      </c>
      <c r="K976" s="24" t="str">
        <f>IF(I976&lt;&gt;"",SUMIFS(JPK_KR!AL:AL,JPK_KR!W:W,J976),"")</f>
        <v/>
      </c>
      <c r="L976" s="126" t="str">
        <f>IF(I976&lt;&gt;"",SUMIFS(JPK_KR!AM:AM,JPK_KR!W:W,J976),"")</f>
        <v/>
      </c>
      <c r="P976" s="24" t="str">
        <f>IF(M976&lt;&gt;"",IF(O976="",SUMIFS(JPK_KR!AL:AL,JPK_KR!W:W,N976),SUMIFS(JPK_KR!BF:BF,JPK_KR!BE:BE,N976,JPK_KR!BG:BG,O976)),"")</f>
        <v/>
      </c>
      <c r="Q976" s="126" t="str">
        <f>IF(M976&lt;&gt;"",IF(O976="",SUMIFS(JPK_KR!AM:AM,JPK_KR!W:W,N976),SUMIFS(JPK_KR!BI:BI,JPK_KR!BH:BH,N976,JPK_KR!BJ:BJ,O976)),"")</f>
        <v/>
      </c>
      <c r="U976" s="24" t="str">
        <f>IF(R976&lt;&gt;"",SUMIFS(JPK_KR!AL:AL,JPK_KR!W:W,S976),"")</f>
        <v/>
      </c>
      <c r="V976" s="126" t="str">
        <f>IF(R976&lt;&gt;"",SUMIFS(JPK_KR!AM:AM,JPK_KR!W:W,S976),"")</f>
        <v/>
      </c>
    </row>
    <row r="977" spans="3:22" x14ac:dyDescent="0.3">
      <c r="C977" s="24" t="str">
        <f>IF(A977&lt;&gt;"",SUMIFS(JPK_KR!AL:AL,JPK_KR!W:W,B977),"")</f>
        <v/>
      </c>
      <c r="D977" s="126" t="str">
        <f>IF(A977&lt;&gt;"",SUMIFS(JPK_KR!AM:AM,JPK_KR!W:W,B977),"")</f>
        <v/>
      </c>
      <c r="G977" s="24" t="str">
        <f>IF(E977&lt;&gt;"",SUMIFS(JPK_KR!AL:AL,JPK_KR!W:W,F977),"")</f>
        <v/>
      </c>
      <c r="H977" s="126" t="str">
        <f>IF(E977&lt;&gt;"",SUMIFS(JPK_KR!AM:AM,JPK_KR!W:W,F977),"")</f>
        <v/>
      </c>
      <c r="K977" s="24" t="str">
        <f>IF(I977&lt;&gt;"",SUMIFS(JPK_KR!AL:AL,JPK_KR!W:W,J977),"")</f>
        <v/>
      </c>
      <c r="L977" s="126" t="str">
        <f>IF(I977&lt;&gt;"",SUMIFS(JPK_KR!AM:AM,JPK_KR!W:W,J977),"")</f>
        <v/>
      </c>
      <c r="P977" s="24" t="str">
        <f>IF(M977&lt;&gt;"",IF(O977="",SUMIFS(JPK_KR!AL:AL,JPK_KR!W:W,N977),SUMIFS(JPK_KR!BF:BF,JPK_KR!BE:BE,N977,JPK_KR!BG:BG,O977)),"")</f>
        <v/>
      </c>
      <c r="Q977" s="126" t="str">
        <f>IF(M977&lt;&gt;"",IF(O977="",SUMIFS(JPK_KR!AM:AM,JPK_KR!W:W,N977),SUMIFS(JPK_KR!BI:BI,JPK_KR!BH:BH,N977,JPK_KR!BJ:BJ,O977)),"")</f>
        <v/>
      </c>
      <c r="U977" s="24" t="str">
        <f>IF(R977&lt;&gt;"",SUMIFS(JPK_KR!AL:AL,JPK_KR!W:W,S977),"")</f>
        <v/>
      </c>
      <c r="V977" s="126" t="str">
        <f>IF(R977&lt;&gt;"",SUMIFS(JPK_KR!AM:AM,JPK_KR!W:W,S977),"")</f>
        <v/>
      </c>
    </row>
    <row r="978" spans="3:22" x14ac:dyDescent="0.3">
      <c r="C978" s="24" t="str">
        <f>IF(A978&lt;&gt;"",SUMIFS(JPK_KR!AL:AL,JPK_KR!W:W,B978),"")</f>
        <v/>
      </c>
      <c r="D978" s="126" t="str">
        <f>IF(A978&lt;&gt;"",SUMIFS(JPK_KR!AM:AM,JPK_KR!W:W,B978),"")</f>
        <v/>
      </c>
      <c r="G978" s="24" t="str">
        <f>IF(E978&lt;&gt;"",SUMIFS(JPK_KR!AL:AL,JPK_KR!W:W,F978),"")</f>
        <v/>
      </c>
      <c r="H978" s="126" t="str">
        <f>IF(E978&lt;&gt;"",SUMIFS(JPK_KR!AM:AM,JPK_KR!W:W,F978),"")</f>
        <v/>
      </c>
      <c r="K978" s="24" t="str">
        <f>IF(I978&lt;&gt;"",SUMIFS(JPK_KR!AL:AL,JPK_KR!W:W,J978),"")</f>
        <v/>
      </c>
      <c r="L978" s="126" t="str">
        <f>IF(I978&lt;&gt;"",SUMIFS(JPK_KR!AM:AM,JPK_KR!W:W,J978),"")</f>
        <v/>
      </c>
      <c r="P978" s="24" t="str">
        <f>IF(M978&lt;&gt;"",IF(O978="",SUMIFS(JPK_KR!AL:AL,JPK_KR!W:W,N978),SUMIFS(JPK_KR!BF:BF,JPK_KR!BE:BE,N978,JPK_KR!BG:BG,O978)),"")</f>
        <v/>
      </c>
      <c r="Q978" s="126" t="str">
        <f>IF(M978&lt;&gt;"",IF(O978="",SUMIFS(JPK_KR!AM:AM,JPK_KR!W:W,N978),SUMIFS(JPK_KR!BI:BI,JPK_KR!BH:BH,N978,JPK_KR!BJ:BJ,O978)),"")</f>
        <v/>
      </c>
      <c r="U978" s="24" t="str">
        <f>IF(R978&lt;&gt;"",SUMIFS(JPK_KR!AL:AL,JPK_KR!W:W,S978),"")</f>
        <v/>
      </c>
      <c r="V978" s="126" t="str">
        <f>IF(R978&lt;&gt;"",SUMIFS(JPK_KR!AM:AM,JPK_KR!W:W,S978),"")</f>
        <v/>
      </c>
    </row>
    <row r="979" spans="3:22" x14ac:dyDescent="0.3">
      <c r="C979" s="24" t="str">
        <f>IF(A979&lt;&gt;"",SUMIFS(JPK_KR!AL:AL,JPK_KR!W:W,B979),"")</f>
        <v/>
      </c>
      <c r="D979" s="126" t="str">
        <f>IF(A979&lt;&gt;"",SUMIFS(JPK_KR!AM:AM,JPK_KR!W:W,B979),"")</f>
        <v/>
      </c>
      <c r="G979" s="24" t="str">
        <f>IF(E979&lt;&gt;"",SUMIFS(JPK_KR!AL:AL,JPK_KR!W:W,F979),"")</f>
        <v/>
      </c>
      <c r="H979" s="126" t="str">
        <f>IF(E979&lt;&gt;"",SUMIFS(JPK_KR!AM:AM,JPK_KR!W:W,F979),"")</f>
        <v/>
      </c>
      <c r="K979" s="24" t="str">
        <f>IF(I979&lt;&gt;"",SUMIFS(JPK_KR!AL:AL,JPK_KR!W:W,J979),"")</f>
        <v/>
      </c>
      <c r="L979" s="126" t="str">
        <f>IF(I979&lt;&gt;"",SUMIFS(JPK_KR!AM:AM,JPK_KR!W:W,J979),"")</f>
        <v/>
      </c>
      <c r="P979" s="24" t="str">
        <f>IF(M979&lt;&gt;"",IF(O979="",SUMIFS(JPK_KR!AL:AL,JPK_KR!W:W,N979),SUMIFS(JPK_KR!BF:BF,JPK_KR!BE:BE,N979,JPK_KR!BG:BG,O979)),"")</f>
        <v/>
      </c>
      <c r="Q979" s="126" t="str">
        <f>IF(M979&lt;&gt;"",IF(O979="",SUMIFS(JPK_KR!AM:AM,JPK_KR!W:W,N979),SUMIFS(JPK_KR!BI:BI,JPK_KR!BH:BH,N979,JPK_KR!BJ:BJ,O979)),"")</f>
        <v/>
      </c>
      <c r="U979" s="24" t="str">
        <f>IF(R979&lt;&gt;"",SUMIFS(JPK_KR!AL:AL,JPK_KR!W:W,S979),"")</f>
        <v/>
      </c>
      <c r="V979" s="126" t="str">
        <f>IF(R979&lt;&gt;"",SUMIFS(JPK_KR!AM:AM,JPK_KR!W:W,S979),"")</f>
        <v/>
      </c>
    </row>
    <row r="980" spans="3:22" x14ac:dyDescent="0.3">
      <c r="C980" s="24" t="str">
        <f>IF(A980&lt;&gt;"",SUMIFS(JPK_KR!AL:AL,JPK_KR!W:W,B980),"")</f>
        <v/>
      </c>
      <c r="D980" s="126" t="str">
        <f>IF(A980&lt;&gt;"",SUMIFS(JPK_KR!AM:AM,JPK_KR!W:W,B980),"")</f>
        <v/>
      </c>
      <c r="G980" s="24" t="str">
        <f>IF(E980&lt;&gt;"",SUMIFS(JPK_KR!AL:AL,JPK_KR!W:W,F980),"")</f>
        <v/>
      </c>
      <c r="H980" s="126" t="str">
        <f>IF(E980&lt;&gt;"",SUMIFS(JPK_KR!AM:AM,JPK_KR!W:W,F980),"")</f>
        <v/>
      </c>
      <c r="K980" s="24" t="str">
        <f>IF(I980&lt;&gt;"",SUMIFS(JPK_KR!AL:AL,JPK_KR!W:W,J980),"")</f>
        <v/>
      </c>
      <c r="L980" s="126" t="str">
        <f>IF(I980&lt;&gt;"",SUMIFS(JPK_KR!AM:AM,JPK_KR!W:W,J980),"")</f>
        <v/>
      </c>
      <c r="P980" s="24" t="str">
        <f>IF(M980&lt;&gt;"",IF(O980="",SUMIFS(JPK_KR!AL:AL,JPK_KR!W:W,N980),SUMIFS(JPK_KR!BF:BF,JPK_KR!BE:BE,N980,JPK_KR!BG:BG,O980)),"")</f>
        <v/>
      </c>
      <c r="Q980" s="126" t="str">
        <f>IF(M980&lt;&gt;"",IF(O980="",SUMIFS(JPK_KR!AM:AM,JPK_KR!W:W,N980),SUMIFS(JPK_KR!BI:BI,JPK_KR!BH:BH,N980,JPK_KR!BJ:BJ,O980)),"")</f>
        <v/>
      </c>
      <c r="U980" s="24" t="str">
        <f>IF(R980&lt;&gt;"",SUMIFS(JPK_KR!AL:AL,JPK_KR!W:W,S980),"")</f>
        <v/>
      </c>
      <c r="V980" s="126" t="str">
        <f>IF(R980&lt;&gt;"",SUMIFS(JPK_KR!AM:AM,JPK_KR!W:W,S980),"")</f>
        <v/>
      </c>
    </row>
    <row r="981" spans="3:22" x14ac:dyDescent="0.3">
      <c r="C981" s="24" t="str">
        <f>IF(A981&lt;&gt;"",SUMIFS(JPK_KR!AL:AL,JPK_KR!W:W,B981),"")</f>
        <v/>
      </c>
      <c r="D981" s="126" t="str">
        <f>IF(A981&lt;&gt;"",SUMIFS(JPK_KR!AM:AM,JPK_KR!W:W,B981),"")</f>
        <v/>
      </c>
      <c r="G981" s="24" t="str">
        <f>IF(E981&lt;&gt;"",SUMIFS(JPK_KR!AL:AL,JPK_KR!W:W,F981),"")</f>
        <v/>
      </c>
      <c r="H981" s="126" t="str">
        <f>IF(E981&lt;&gt;"",SUMIFS(JPK_KR!AM:AM,JPK_KR!W:W,F981),"")</f>
        <v/>
      </c>
      <c r="K981" s="24" t="str">
        <f>IF(I981&lt;&gt;"",SUMIFS(JPK_KR!AL:AL,JPK_KR!W:W,J981),"")</f>
        <v/>
      </c>
      <c r="L981" s="126" t="str">
        <f>IF(I981&lt;&gt;"",SUMIFS(JPK_KR!AM:AM,JPK_KR!W:W,J981),"")</f>
        <v/>
      </c>
      <c r="P981" s="24" t="str">
        <f>IF(M981&lt;&gt;"",IF(O981="",SUMIFS(JPK_KR!AL:AL,JPK_KR!W:W,N981),SUMIFS(JPK_KR!BF:BF,JPK_KR!BE:BE,N981,JPK_KR!BG:BG,O981)),"")</f>
        <v/>
      </c>
      <c r="Q981" s="126" t="str">
        <f>IF(M981&lt;&gt;"",IF(O981="",SUMIFS(JPK_KR!AM:AM,JPK_KR!W:W,N981),SUMIFS(JPK_KR!BI:BI,JPK_KR!BH:BH,N981,JPK_KR!BJ:BJ,O981)),"")</f>
        <v/>
      </c>
      <c r="U981" s="24" t="str">
        <f>IF(R981&lt;&gt;"",SUMIFS(JPK_KR!AL:AL,JPK_KR!W:W,S981),"")</f>
        <v/>
      </c>
      <c r="V981" s="126" t="str">
        <f>IF(R981&lt;&gt;"",SUMIFS(JPK_KR!AM:AM,JPK_KR!W:W,S981),"")</f>
        <v/>
      </c>
    </row>
    <row r="982" spans="3:22" x14ac:dyDescent="0.3">
      <c r="C982" s="24" t="str">
        <f>IF(A982&lt;&gt;"",SUMIFS(JPK_KR!AL:AL,JPK_KR!W:W,B982),"")</f>
        <v/>
      </c>
      <c r="D982" s="126" t="str">
        <f>IF(A982&lt;&gt;"",SUMIFS(JPK_KR!AM:AM,JPK_KR!W:W,B982),"")</f>
        <v/>
      </c>
      <c r="G982" s="24" t="str">
        <f>IF(E982&lt;&gt;"",SUMIFS(JPK_KR!AL:AL,JPK_KR!W:W,F982),"")</f>
        <v/>
      </c>
      <c r="H982" s="126" t="str">
        <f>IF(E982&lt;&gt;"",SUMIFS(JPK_KR!AM:AM,JPK_KR!W:W,F982),"")</f>
        <v/>
      </c>
      <c r="K982" s="24" t="str">
        <f>IF(I982&lt;&gt;"",SUMIFS(JPK_KR!AL:AL,JPK_KR!W:W,J982),"")</f>
        <v/>
      </c>
      <c r="L982" s="126" t="str">
        <f>IF(I982&lt;&gt;"",SUMIFS(JPK_KR!AM:AM,JPK_KR!W:W,J982),"")</f>
        <v/>
      </c>
      <c r="P982" s="24" t="str">
        <f>IF(M982&lt;&gt;"",IF(O982="",SUMIFS(JPK_KR!AL:AL,JPK_KR!W:W,N982),SUMIFS(JPK_KR!BF:BF,JPK_KR!BE:BE,N982,JPK_KR!BG:BG,O982)),"")</f>
        <v/>
      </c>
      <c r="Q982" s="126" t="str">
        <f>IF(M982&lt;&gt;"",IF(O982="",SUMIFS(JPK_KR!AM:AM,JPK_KR!W:W,N982),SUMIFS(JPK_KR!BI:BI,JPK_KR!BH:BH,N982,JPK_KR!BJ:BJ,O982)),"")</f>
        <v/>
      </c>
      <c r="U982" s="24" t="str">
        <f>IF(R982&lt;&gt;"",SUMIFS(JPK_KR!AL:AL,JPK_KR!W:W,S982),"")</f>
        <v/>
      </c>
      <c r="V982" s="126" t="str">
        <f>IF(R982&lt;&gt;"",SUMIFS(JPK_KR!AM:AM,JPK_KR!W:W,S982),"")</f>
        <v/>
      </c>
    </row>
    <row r="983" spans="3:22" x14ac:dyDescent="0.3">
      <c r="C983" s="24" t="str">
        <f>IF(A983&lt;&gt;"",SUMIFS(JPK_KR!AL:AL,JPK_KR!W:W,B983),"")</f>
        <v/>
      </c>
      <c r="D983" s="126" t="str">
        <f>IF(A983&lt;&gt;"",SUMIFS(JPK_KR!AM:AM,JPK_KR!W:W,B983),"")</f>
        <v/>
      </c>
      <c r="G983" s="24" t="str">
        <f>IF(E983&lt;&gt;"",SUMIFS(JPK_KR!AL:AL,JPK_KR!W:W,F983),"")</f>
        <v/>
      </c>
      <c r="H983" s="126" t="str">
        <f>IF(E983&lt;&gt;"",SUMIFS(JPK_KR!AM:AM,JPK_KR!W:W,F983),"")</f>
        <v/>
      </c>
      <c r="K983" s="24" t="str">
        <f>IF(I983&lt;&gt;"",SUMIFS(JPK_KR!AL:AL,JPK_KR!W:W,J983),"")</f>
        <v/>
      </c>
      <c r="L983" s="126" t="str">
        <f>IF(I983&lt;&gt;"",SUMIFS(JPK_KR!AM:AM,JPK_KR!W:W,J983),"")</f>
        <v/>
      </c>
      <c r="P983" s="24" t="str">
        <f>IF(M983&lt;&gt;"",IF(O983="",SUMIFS(JPK_KR!AL:AL,JPK_KR!W:W,N983),SUMIFS(JPK_KR!BF:BF,JPK_KR!BE:BE,N983,JPK_KR!BG:BG,O983)),"")</f>
        <v/>
      </c>
      <c r="Q983" s="126" t="str">
        <f>IF(M983&lt;&gt;"",IF(O983="",SUMIFS(JPK_KR!AM:AM,JPK_KR!W:W,N983),SUMIFS(JPK_KR!BI:BI,JPK_KR!BH:BH,N983,JPK_KR!BJ:BJ,O983)),"")</f>
        <v/>
      </c>
      <c r="U983" s="24" t="str">
        <f>IF(R983&lt;&gt;"",SUMIFS(JPK_KR!AL:AL,JPK_KR!W:W,S983),"")</f>
        <v/>
      </c>
      <c r="V983" s="126" t="str">
        <f>IF(R983&lt;&gt;"",SUMIFS(JPK_KR!AM:AM,JPK_KR!W:W,S983),"")</f>
        <v/>
      </c>
    </row>
    <row r="984" spans="3:22" x14ac:dyDescent="0.3">
      <c r="C984" s="24" t="str">
        <f>IF(A984&lt;&gt;"",SUMIFS(JPK_KR!AL:AL,JPK_KR!W:W,B984),"")</f>
        <v/>
      </c>
      <c r="D984" s="126" t="str">
        <f>IF(A984&lt;&gt;"",SUMIFS(JPK_KR!AM:AM,JPK_KR!W:W,B984),"")</f>
        <v/>
      </c>
      <c r="G984" s="24" t="str">
        <f>IF(E984&lt;&gt;"",SUMIFS(JPK_KR!AL:AL,JPK_KR!W:W,F984),"")</f>
        <v/>
      </c>
      <c r="H984" s="126" t="str">
        <f>IF(E984&lt;&gt;"",SUMIFS(JPK_KR!AM:AM,JPK_KR!W:W,F984),"")</f>
        <v/>
      </c>
      <c r="K984" s="24" t="str">
        <f>IF(I984&lt;&gt;"",SUMIFS(JPK_KR!AL:AL,JPK_KR!W:W,J984),"")</f>
        <v/>
      </c>
      <c r="L984" s="126" t="str">
        <f>IF(I984&lt;&gt;"",SUMIFS(JPK_KR!AM:AM,JPK_KR!W:W,J984),"")</f>
        <v/>
      </c>
      <c r="P984" s="24" t="str">
        <f>IF(M984&lt;&gt;"",IF(O984="",SUMIFS(JPK_KR!AL:AL,JPK_KR!W:W,N984),SUMIFS(JPK_KR!BF:BF,JPK_KR!BE:BE,N984,JPK_KR!BG:BG,O984)),"")</f>
        <v/>
      </c>
      <c r="Q984" s="126" t="str">
        <f>IF(M984&lt;&gt;"",IF(O984="",SUMIFS(JPK_KR!AM:AM,JPK_KR!W:W,N984),SUMIFS(JPK_KR!BI:BI,JPK_KR!BH:BH,N984,JPK_KR!BJ:BJ,O984)),"")</f>
        <v/>
      </c>
      <c r="U984" s="24" t="str">
        <f>IF(R984&lt;&gt;"",SUMIFS(JPK_KR!AL:AL,JPK_KR!W:W,S984),"")</f>
        <v/>
      </c>
      <c r="V984" s="126" t="str">
        <f>IF(R984&lt;&gt;"",SUMIFS(JPK_KR!AM:AM,JPK_KR!W:W,S984),"")</f>
        <v/>
      </c>
    </row>
    <row r="985" spans="3:22" x14ac:dyDescent="0.3">
      <c r="C985" s="24" t="str">
        <f>IF(A985&lt;&gt;"",SUMIFS(JPK_KR!AL:AL,JPK_KR!W:W,B985),"")</f>
        <v/>
      </c>
      <c r="D985" s="126" t="str">
        <f>IF(A985&lt;&gt;"",SUMIFS(JPK_KR!AM:AM,JPK_KR!W:W,B985),"")</f>
        <v/>
      </c>
      <c r="G985" s="24" t="str">
        <f>IF(E985&lt;&gt;"",SUMIFS(JPK_KR!AL:AL,JPK_KR!W:W,F985),"")</f>
        <v/>
      </c>
      <c r="H985" s="126" t="str">
        <f>IF(E985&lt;&gt;"",SUMIFS(JPK_KR!AM:AM,JPK_KR!W:W,F985),"")</f>
        <v/>
      </c>
      <c r="K985" s="24" t="str">
        <f>IF(I985&lt;&gt;"",SUMIFS(JPK_KR!AL:AL,JPK_KR!W:W,J985),"")</f>
        <v/>
      </c>
      <c r="L985" s="126" t="str">
        <f>IF(I985&lt;&gt;"",SUMIFS(JPK_KR!AM:AM,JPK_KR!W:W,J985),"")</f>
        <v/>
      </c>
      <c r="P985" s="24" t="str">
        <f>IF(M985&lt;&gt;"",IF(O985="",SUMIFS(JPK_KR!AL:AL,JPK_KR!W:W,N985),SUMIFS(JPK_KR!BF:BF,JPK_KR!BE:BE,N985,JPK_KR!BG:BG,O985)),"")</f>
        <v/>
      </c>
      <c r="Q985" s="126" t="str">
        <f>IF(M985&lt;&gt;"",IF(O985="",SUMIFS(JPK_KR!AM:AM,JPK_KR!W:W,N985),SUMIFS(JPK_KR!BI:BI,JPK_KR!BH:BH,N985,JPK_KR!BJ:BJ,O985)),"")</f>
        <v/>
      </c>
      <c r="U985" s="24" t="str">
        <f>IF(R985&lt;&gt;"",SUMIFS(JPK_KR!AL:AL,JPK_KR!W:W,S985),"")</f>
        <v/>
      </c>
      <c r="V985" s="126" t="str">
        <f>IF(R985&lt;&gt;"",SUMIFS(JPK_KR!AM:AM,JPK_KR!W:W,S985),"")</f>
        <v/>
      </c>
    </row>
    <row r="986" spans="3:22" x14ac:dyDescent="0.3">
      <c r="C986" s="24" t="str">
        <f>IF(A986&lt;&gt;"",SUMIFS(JPK_KR!AL:AL,JPK_KR!W:W,B986),"")</f>
        <v/>
      </c>
      <c r="D986" s="126" t="str">
        <f>IF(A986&lt;&gt;"",SUMIFS(JPK_KR!AM:AM,JPK_KR!W:W,B986),"")</f>
        <v/>
      </c>
      <c r="G986" s="24" t="str">
        <f>IF(E986&lt;&gt;"",SUMIFS(JPK_KR!AL:AL,JPK_KR!W:W,F986),"")</f>
        <v/>
      </c>
      <c r="H986" s="126" t="str">
        <f>IF(E986&lt;&gt;"",SUMIFS(JPK_KR!AM:AM,JPK_KR!W:W,F986),"")</f>
        <v/>
      </c>
      <c r="K986" s="24" t="str">
        <f>IF(I986&lt;&gt;"",SUMIFS(JPK_KR!AL:AL,JPK_KR!W:W,J986),"")</f>
        <v/>
      </c>
      <c r="L986" s="126" t="str">
        <f>IF(I986&lt;&gt;"",SUMIFS(JPK_KR!AM:AM,JPK_KR!W:W,J986),"")</f>
        <v/>
      </c>
      <c r="P986" s="24" t="str">
        <f>IF(M986&lt;&gt;"",IF(O986="",SUMIFS(JPK_KR!AL:AL,JPK_KR!W:W,N986),SUMIFS(JPK_KR!BF:BF,JPK_KR!BE:BE,N986,JPK_KR!BG:BG,O986)),"")</f>
        <v/>
      </c>
      <c r="Q986" s="126" t="str">
        <f>IF(M986&lt;&gt;"",IF(O986="",SUMIFS(JPK_KR!AM:AM,JPK_KR!W:W,N986),SUMIFS(JPK_KR!BI:BI,JPK_KR!BH:BH,N986,JPK_KR!BJ:BJ,O986)),"")</f>
        <v/>
      </c>
      <c r="U986" s="24" t="str">
        <f>IF(R986&lt;&gt;"",SUMIFS(JPK_KR!AL:AL,JPK_KR!W:W,S986),"")</f>
        <v/>
      </c>
      <c r="V986" s="126" t="str">
        <f>IF(R986&lt;&gt;"",SUMIFS(JPK_KR!AM:AM,JPK_KR!W:W,S986),"")</f>
        <v/>
      </c>
    </row>
    <row r="987" spans="3:22" x14ac:dyDescent="0.3">
      <c r="C987" s="24" t="str">
        <f>IF(A987&lt;&gt;"",SUMIFS(JPK_KR!AL:AL,JPK_KR!W:W,B987),"")</f>
        <v/>
      </c>
      <c r="D987" s="126" t="str">
        <f>IF(A987&lt;&gt;"",SUMIFS(JPK_KR!AM:AM,JPK_KR!W:W,B987),"")</f>
        <v/>
      </c>
      <c r="G987" s="24" t="str">
        <f>IF(E987&lt;&gt;"",SUMIFS(JPK_KR!AL:AL,JPK_KR!W:W,F987),"")</f>
        <v/>
      </c>
      <c r="H987" s="126" t="str">
        <f>IF(E987&lt;&gt;"",SUMIFS(JPK_KR!AM:AM,JPK_KR!W:W,F987),"")</f>
        <v/>
      </c>
      <c r="K987" s="24" t="str">
        <f>IF(I987&lt;&gt;"",SUMIFS(JPK_KR!AL:AL,JPK_KR!W:W,J987),"")</f>
        <v/>
      </c>
      <c r="L987" s="126" t="str">
        <f>IF(I987&lt;&gt;"",SUMIFS(JPK_KR!AM:AM,JPK_KR!W:W,J987),"")</f>
        <v/>
      </c>
      <c r="P987" s="24" t="str">
        <f>IF(M987&lt;&gt;"",IF(O987="",SUMIFS(JPK_KR!AL:AL,JPK_KR!W:W,N987),SUMIFS(JPK_KR!BF:BF,JPK_KR!BE:BE,N987,JPK_KR!BG:BG,O987)),"")</f>
        <v/>
      </c>
      <c r="Q987" s="126" t="str">
        <f>IF(M987&lt;&gt;"",IF(O987="",SUMIFS(JPK_KR!AM:AM,JPK_KR!W:W,N987),SUMIFS(JPK_KR!BI:BI,JPK_KR!BH:BH,N987,JPK_KR!BJ:BJ,O987)),"")</f>
        <v/>
      </c>
      <c r="U987" s="24" t="str">
        <f>IF(R987&lt;&gt;"",SUMIFS(JPK_KR!AL:AL,JPK_KR!W:W,S987),"")</f>
        <v/>
      </c>
      <c r="V987" s="126" t="str">
        <f>IF(R987&lt;&gt;"",SUMIFS(JPK_KR!AM:AM,JPK_KR!W:W,S987),"")</f>
        <v/>
      </c>
    </row>
    <row r="988" spans="3:22" x14ac:dyDescent="0.3">
      <c r="C988" s="24" t="str">
        <f>IF(A988&lt;&gt;"",SUMIFS(JPK_KR!AL:AL,JPK_KR!W:W,B988),"")</f>
        <v/>
      </c>
      <c r="D988" s="126" t="str">
        <f>IF(A988&lt;&gt;"",SUMIFS(JPK_KR!AM:AM,JPK_KR!W:W,B988),"")</f>
        <v/>
      </c>
      <c r="G988" s="24" t="str">
        <f>IF(E988&lt;&gt;"",SUMIFS(JPK_KR!AL:AL,JPK_KR!W:W,F988),"")</f>
        <v/>
      </c>
      <c r="H988" s="126" t="str">
        <f>IF(E988&lt;&gt;"",SUMIFS(JPK_KR!AM:AM,JPK_KR!W:W,F988),"")</f>
        <v/>
      </c>
      <c r="K988" s="24" t="str">
        <f>IF(I988&lt;&gt;"",SUMIFS(JPK_KR!AL:AL,JPK_KR!W:W,J988),"")</f>
        <v/>
      </c>
      <c r="L988" s="126" t="str">
        <f>IF(I988&lt;&gt;"",SUMIFS(JPK_KR!AM:AM,JPK_KR!W:W,J988),"")</f>
        <v/>
      </c>
      <c r="P988" s="24" t="str">
        <f>IF(M988&lt;&gt;"",IF(O988="",SUMIFS(JPK_KR!AL:AL,JPK_KR!W:W,N988),SUMIFS(JPK_KR!BF:BF,JPK_KR!BE:BE,N988,JPK_KR!BG:BG,O988)),"")</f>
        <v/>
      </c>
      <c r="Q988" s="126" t="str">
        <f>IF(M988&lt;&gt;"",IF(O988="",SUMIFS(JPK_KR!AM:AM,JPK_KR!W:W,N988),SUMIFS(JPK_KR!BI:BI,JPK_KR!BH:BH,N988,JPK_KR!BJ:BJ,O988)),"")</f>
        <v/>
      </c>
      <c r="U988" s="24" t="str">
        <f>IF(R988&lt;&gt;"",SUMIFS(JPK_KR!AL:AL,JPK_KR!W:W,S988),"")</f>
        <v/>
      </c>
      <c r="V988" s="126" t="str">
        <f>IF(R988&lt;&gt;"",SUMIFS(JPK_KR!AM:AM,JPK_KR!W:W,S988),"")</f>
        <v/>
      </c>
    </row>
    <row r="989" spans="3:22" x14ac:dyDescent="0.3">
      <c r="C989" s="24" t="str">
        <f>IF(A989&lt;&gt;"",SUMIFS(JPK_KR!AL:AL,JPK_KR!W:W,B989),"")</f>
        <v/>
      </c>
      <c r="D989" s="126" t="str">
        <f>IF(A989&lt;&gt;"",SUMIFS(JPK_KR!AM:AM,JPK_KR!W:W,B989),"")</f>
        <v/>
      </c>
      <c r="G989" s="24" t="str">
        <f>IF(E989&lt;&gt;"",SUMIFS(JPK_KR!AL:AL,JPK_KR!W:W,F989),"")</f>
        <v/>
      </c>
      <c r="H989" s="126" t="str">
        <f>IF(E989&lt;&gt;"",SUMIFS(JPK_KR!AM:AM,JPK_KR!W:W,F989),"")</f>
        <v/>
      </c>
      <c r="K989" s="24" t="str">
        <f>IF(I989&lt;&gt;"",SUMIFS(JPK_KR!AL:AL,JPK_KR!W:W,J989),"")</f>
        <v/>
      </c>
      <c r="L989" s="126" t="str">
        <f>IF(I989&lt;&gt;"",SUMIFS(JPK_KR!AM:AM,JPK_KR!W:W,J989),"")</f>
        <v/>
      </c>
      <c r="P989" s="24" t="str">
        <f>IF(M989&lt;&gt;"",IF(O989="",SUMIFS(JPK_KR!AL:AL,JPK_KR!W:W,N989),SUMIFS(JPK_KR!BF:BF,JPK_KR!BE:BE,N989,JPK_KR!BG:BG,O989)),"")</f>
        <v/>
      </c>
      <c r="Q989" s="126" t="str">
        <f>IF(M989&lt;&gt;"",IF(O989="",SUMIFS(JPK_KR!AM:AM,JPK_KR!W:W,N989),SUMIFS(JPK_KR!BI:BI,JPK_KR!BH:BH,N989,JPK_KR!BJ:BJ,O989)),"")</f>
        <v/>
      </c>
      <c r="U989" s="24" t="str">
        <f>IF(R989&lt;&gt;"",SUMIFS(JPK_KR!AL:AL,JPK_KR!W:W,S989),"")</f>
        <v/>
      </c>
      <c r="V989" s="126" t="str">
        <f>IF(R989&lt;&gt;"",SUMIFS(JPK_KR!AM:AM,JPK_KR!W:W,S989),"")</f>
        <v/>
      </c>
    </row>
    <row r="990" spans="3:22" x14ac:dyDescent="0.3">
      <c r="C990" s="24" t="str">
        <f>IF(A990&lt;&gt;"",SUMIFS(JPK_KR!AL:AL,JPK_KR!W:W,B990),"")</f>
        <v/>
      </c>
      <c r="D990" s="126" t="str">
        <f>IF(A990&lt;&gt;"",SUMIFS(JPK_KR!AM:AM,JPK_KR!W:W,B990),"")</f>
        <v/>
      </c>
      <c r="G990" s="24" t="str">
        <f>IF(E990&lt;&gt;"",SUMIFS(JPK_KR!AL:AL,JPK_KR!W:W,F990),"")</f>
        <v/>
      </c>
      <c r="H990" s="126" t="str">
        <f>IF(E990&lt;&gt;"",SUMIFS(JPK_KR!AM:AM,JPK_KR!W:W,F990),"")</f>
        <v/>
      </c>
      <c r="K990" s="24" t="str">
        <f>IF(I990&lt;&gt;"",SUMIFS(JPK_KR!AL:AL,JPK_KR!W:W,J990),"")</f>
        <v/>
      </c>
      <c r="L990" s="126" t="str">
        <f>IF(I990&lt;&gt;"",SUMIFS(JPK_KR!AM:AM,JPK_KR!W:W,J990),"")</f>
        <v/>
      </c>
      <c r="P990" s="24" t="str">
        <f>IF(M990&lt;&gt;"",IF(O990="",SUMIFS(JPK_KR!AL:AL,JPK_KR!W:W,N990),SUMIFS(JPK_KR!BF:BF,JPK_KR!BE:BE,N990,JPK_KR!BG:BG,O990)),"")</f>
        <v/>
      </c>
      <c r="Q990" s="126" t="str">
        <f>IF(M990&lt;&gt;"",IF(O990="",SUMIFS(JPK_KR!AM:AM,JPK_KR!W:W,N990),SUMIFS(JPK_KR!BI:BI,JPK_KR!BH:BH,N990,JPK_KR!BJ:BJ,O990)),"")</f>
        <v/>
      </c>
      <c r="U990" s="24" t="str">
        <f>IF(R990&lt;&gt;"",SUMIFS(JPK_KR!AL:AL,JPK_KR!W:W,S990),"")</f>
        <v/>
      </c>
      <c r="V990" s="126" t="str">
        <f>IF(R990&lt;&gt;"",SUMIFS(JPK_KR!AM:AM,JPK_KR!W:W,S990),"")</f>
        <v/>
      </c>
    </row>
    <row r="991" spans="3:22" x14ac:dyDescent="0.3">
      <c r="C991" s="24" t="str">
        <f>IF(A991&lt;&gt;"",SUMIFS(JPK_KR!AL:AL,JPK_KR!W:W,B991),"")</f>
        <v/>
      </c>
      <c r="D991" s="126" t="str">
        <f>IF(A991&lt;&gt;"",SUMIFS(JPK_KR!AM:AM,JPK_KR!W:W,B991),"")</f>
        <v/>
      </c>
      <c r="G991" s="24" t="str">
        <f>IF(E991&lt;&gt;"",SUMIFS(JPK_KR!AL:AL,JPK_KR!W:W,F991),"")</f>
        <v/>
      </c>
      <c r="H991" s="126" t="str">
        <f>IF(E991&lt;&gt;"",SUMIFS(JPK_KR!AM:AM,JPK_KR!W:W,F991),"")</f>
        <v/>
      </c>
      <c r="K991" s="24" t="str">
        <f>IF(I991&lt;&gt;"",SUMIFS(JPK_KR!AL:AL,JPK_KR!W:W,J991),"")</f>
        <v/>
      </c>
      <c r="L991" s="126" t="str">
        <f>IF(I991&lt;&gt;"",SUMIFS(JPK_KR!AM:AM,JPK_KR!W:W,J991),"")</f>
        <v/>
      </c>
      <c r="P991" s="24" t="str">
        <f>IF(M991&lt;&gt;"",IF(O991="",SUMIFS(JPK_KR!AL:AL,JPK_KR!W:W,N991),SUMIFS(JPK_KR!BF:BF,JPK_KR!BE:BE,N991,JPK_KR!BG:BG,O991)),"")</f>
        <v/>
      </c>
      <c r="Q991" s="126" t="str">
        <f>IF(M991&lt;&gt;"",IF(O991="",SUMIFS(JPK_KR!AM:AM,JPK_KR!W:W,N991),SUMIFS(JPK_KR!BI:BI,JPK_KR!BH:BH,N991,JPK_KR!BJ:BJ,O991)),"")</f>
        <v/>
      </c>
      <c r="U991" s="24" t="str">
        <f>IF(R991&lt;&gt;"",SUMIFS(JPK_KR!AL:AL,JPK_KR!W:W,S991),"")</f>
        <v/>
      </c>
      <c r="V991" s="126" t="str">
        <f>IF(R991&lt;&gt;"",SUMIFS(JPK_KR!AM:AM,JPK_KR!W:W,S991),"")</f>
        <v/>
      </c>
    </row>
    <row r="992" spans="3:22" x14ac:dyDescent="0.3">
      <c r="C992" s="24" t="str">
        <f>IF(A992&lt;&gt;"",SUMIFS(JPK_KR!AL:AL,JPK_KR!W:W,B992),"")</f>
        <v/>
      </c>
      <c r="D992" s="126" t="str">
        <f>IF(A992&lt;&gt;"",SUMIFS(JPK_KR!AM:AM,JPK_KR!W:W,B992),"")</f>
        <v/>
      </c>
      <c r="G992" s="24" t="str">
        <f>IF(E992&lt;&gt;"",SUMIFS(JPK_KR!AL:AL,JPK_KR!W:W,F992),"")</f>
        <v/>
      </c>
      <c r="H992" s="126" t="str">
        <f>IF(E992&lt;&gt;"",SUMIFS(JPK_KR!AM:AM,JPK_KR!W:W,F992),"")</f>
        <v/>
      </c>
      <c r="K992" s="24" t="str">
        <f>IF(I992&lt;&gt;"",SUMIFS(JPK_KR!AL:AL,JPK_KR!W:W,J992),"")</f>
        <v/>
      </c>
      <c r="L992" s="126" t="str">
        <f>IF(I992&lt;&gt;"",SUMIFS(JPK_KR!AM:AM,JPK_KR!W:W,J992),"")</f>
        <v/>
      </c>
      <c r="P992" s="24" t="str">
        <f>IF(M992&lt;&gt;"",IF(O992="",SUMIFS(JPK_KR!AL:AL,JPK_KR!W:W,N992),SUMIFS(JPK_KR!BF:BF,JPK_KR!BE:BE,N992,JPK_KR!BG:BG,O992)),"")</f>
        <v/>
      </c>
      <c r="Q992" s="126" t="str">
        <f>IF(M992&lt;&gt;"",IF(O992="",SUMIFS(JPK_KR!AM:AM,JPK_KR!W:W,N992),SUMIFS(JPK_KR!BI:BI,JPK_KR!BH:BH,N992,JPK_KR!BJ:BJ,O992)),"")</f>
        <v/>
      </c>
      <c r="U992" s="24" t="str">
        <f>IF(R992&lt;&gt;"",SUMIFS(JPK_KR!AL:AL,JPK_KR!W:W,S992),"")</f>
        <v/>
      </c>
      <c r="V992" s="126" t="str">
        <f>IF(R992&lt;&gt;"",SUMIFS(JPK_KR!AM:AM,JPK_KR!W:W,S992),"")</f>
        <v/>
      </c>
    </row>
    <row r="993" spans="3:22" x14ac:dyDescent="0.3">
      <c r="C993" s="24" t="str">
        <f>IF(A993&lt;&gt;"",SUMIFS(JPK_KR!AL:AL,JPK_KR!W:W,B993),"")</f>
        <v/>
      </c>
      <c r="D993" s="126" t="str">
        <f>IF(A993&lt;&gt;"",SUMIFS(JPK_KR!AM:AM,JPK_KR!W:W,B993),"")</f>
        <v/>
      </c>
      <c r="G993" s="24" t="str">
        <f>IF(E993&lt;&gt;"",SUMIFS(JPK_KR!AL:AL,JPK_KR!W:W,F993),"")</f>
        <v/>
      </c>
      <c r="H993" s="126" t="str">
        <f>IF(E993&lt;&gt;"",SUMIFS(JPK_KR!AM:AM,JPK_KR!W:W,F993),"")</f>
        <v/>
      </c>
      <c r="K993" s="24" t="str">
        <f>IF(I993&lt;&gt;"",SUMIFS(JPK_KR!AL:AL,JPK_KR!W:W,J993),"")</f>
        <v/>
      </c>
      <c r="L993" s="126" t="str">
        <f>IF(I993&lt;&gt;"",SUMIFS(JPK_KR!AM:AM,JPK_KR!W:W,J993),"")</f>
        <v/>
      </c>
      <c r="P993" s="24" t="str">
        <f>IF(M993&lt;&gt;"",IF(O993="",SUMIFS(JPK_KR!AL:AL,JPK_KR!W:W,N993),SUMIFS(JPK_KR!BF:BF,JPK_KR!BE:BE,N993,JPK_KR!BG:BG,O993)),"")</f>
        <v/>
      </c>
      <c r="Q993" s="126" t="str">
        <f>IF(M993&lt;&gt;"",IF(O993="",SUMIFS(JPK_KR!AM:AM,JPK_KR!W:W,N993),SUMIFS(JPK_KR!BI:BI,JPK_KR!BH:BH,N993,JPK_KR!BJ:BJ,O993)),"")</f>
        <v/>
      </c>
      <c r="U993" s="24" t="str">
        <f>IF(R993&lt;&gt;"",SUMIFS(JPK_KR!AL:AL,JPK_KR!W:W,S993),"")</f>
        <v/>
      </c>
      <c r="V993" s="126" t="str">
        <f>IF(R993&lt;&gt;"",SUMIFS(JPK_KR!AM:AM,JPK_KR!W:W,S993),"")</f>
        <v/>
      </c>
    </row>
    <row r="994" spans="3:22" x14ac:dyDescent="0.3">
      <c r="C994" s="24" t="str">
        <f>IF(A994&lt;&gt;"",SUMIFS(JPK_KR!AL:AL,JPK_KR!W:W,B994),"")</f>
        <v/>
      </c>
      <c r="D994" s="126" t="str">
        <f>IF(A994&lt;&gt;"",SUMIFS(JPK_KR!AM:AM,JPK_KR!W:W,B994),"")</f>
        <v/>
      </c>
      <c r="G994" s="24" t="str">
        <f>IF(E994&lt;&gt;"",SUMIFS(JPK_KR!AL:AL,JPK_KR!W:W,F994),"")</f>
        <v/>
      </c>
      <c r="H994" s="126" t="str">
        <f>IF(E994&lt;&gt;"",SUMIFS(JPK_KR!AM:AM,JPK_KR!W:W,F994),"")</f>
        <v/>
      </c>
      <c r="K994" s="24" t="str">
        <f>IF(I994&lt;&gt;"",SUMIFS(JPK_KR!AL:AL,JPK_KR!W:W,J994),"")</f>
        <v/>
      </c>
      <c r="L994" s="126" t="str">
        <f>IF(I994&lt;&gt;"",SUMIFS(JPK_KR!AM:AM,JPK_KR!W:W,J994),"")</f>
        <v/>
      </c>
      <c r="P994" s="24" t="str">
        <f>IF(M994&lt;&gt;"",IF(O994="",SUMIFS(JPK_KR!AL:AL,JPK_KR!W:W,N994),SUMIFS(JPK_KR!BF:BF,JPK_KR!BE:BE,N994,JPK_KR!BG:BG,O994)),"")</f>
        <v/>
      </c>
      <c r="Q994" s="126" t="str">
        <f>IF(M994&lt;&gt;"",IF(O994="",SUMIFS(JPK_KR!AM:AM,JPK_KR!W:W,N994),SUMIFS(JPK_KR!BI:BI,JPK_KR!BH:BH,N994,JPK_KR!BJ:BJ,O994)),"")</f>
        <v/>
      </c>
      <c r="U994" s="24" t="str">
        <f>IF(R994&lt;&gt;"",SUMIFS(JPK_KR!AL:AL,JPK_KR!W:W,S994),"")</f>
        <v/>
      </c>
      <c r="V994" s="126" t="str">
        <f>IF(R994&lt;&gt;"",SUMIFS(JPK_KR!AM:AM,JPK_KR!W:W,S994),"")</f>
        <v/>
      </c>
    </row>
    <row r="995" spans="3:22" x14ac:dyDescent="0.3">
      <c r="C995" s="24" t="str">
        <f>IF(A995&lt;&gt;"",SUMIFS(JPK_KR!AL:AL,JPK_KR!W:W,B995),"")</f>
        <v/>
      </c>
      <c r="D995" s="126" t="str">
        <f>IF(A995&lt;&gt;"",SUMIFS(JPK_KR!AM:AM,JPK_KR!W:W,B995),"")</f>
        <v/>
      </c>
      <c r="G995" s="24" t="str">
        <f>IF(E995&lt;&gt;"",SUMIFS(JPK_KR!AL:AL,JPK_KR!W:W,F995),"")</f>
        <v/>
      </c>
      <c r="H995" s="126" t="str">
        <f>IF(E995&lt;&gt;"",SUMIFS(JPK_KR!AM:AM,JPK_KR!W:W,F995),"")</f>
        <v/>
      </c>
      <c r="K995" s="24" t="str">
        <f>IF(I995&lt;&gt;"",SUMIFS(JPK_KR!AL:AL,JPK_KR!W:W,J995),"")</f>
        <v/>
      </c>
      <c r="L995" s="126" t="str">
        <f>IF(I995&lt;&gt;"",SUMIFS(JPK_KR!AM:AM,JPK_KR!W:W,J995),"")</f>
        <v/>
      </c>
      <c r="P995" s="24" t="str">
        <f>IF(M995&lt;&gt;"",IF(O995="",SUMIFS(JPK_KR!AL:AL,JPK_KR!W:W,N995),SUMIFS(JPK_KR!BF:BF,JPK_KR!BE:BE,N995,JPK_KR!BG:BG,O995)),"")</f>
        <v/>
      </c>
      <c r="Q995" s="126" t="str">
        <f>IF(M995&lt;&gt;"",IF(O995="",SUMIFS(JPK_KR!AM:AM,JPK_KR!W:W,N995),SUMIFS(JPK_KR!BI:BI,JPK_KR!BH:BH,N995,JPK_KR!BJ:BJ,O995)),"")</f>
        <v/>
      </c>
      <c r="U995" s="24" t="str">
        <f>IF(R995&lt;&gt;"",SUMIFS(JPK_KR!AL:AL,JPK_KR!W:W,S995),"")</f>
        <v/>
      </c>
      <c r="V995" s="126" t="str">
        <f>IF(R995&lt;&gt;"",SUMIFS(JPK_KR!AM:AM,JPK_KR!W:W,S995),"")</f>
        <v/>
      </c>
    </row>
    <row r="996" spans="3:22" x14ac:dyDescent="0.3">
      <c r="C996" s="24" t="str">
        <f>IF(A996&lt;&gt;"",SUMIFS(JPK_KR!AL:AL,JPK_KR!W:W,B996),"")</f>
        <v/>
      </c>
      <c r="D996" s="126" t="str">
        <f>IF(A996&lt;&gt;"",SUMIFS(JPK_KR!AM:AM,JPK_KR!W:W,B996),"")</f>
        <v/>
      </c>
      <c r="G996" s="24" t="str">
        <f>IF(E996&lt;&gt;"",SUMIFS(JPK_KR!AL:AL,JPK_KR!W:W,F996),"")</f>
        <v/>
      </c>
      <c r="H996" s="126" t="str">
        <f>IF(E996&lt;&gt;"",SUMIFS(JPK_KR!AM:AM,JPK_KR!W:W,F996),"")</f>
        <v/>
      </c>
      <c r="K996" s="24" t="str">
        <f>IF(I996&lt;&gt;"",SUMIFS(JPK_KR!AL:AL,JPK_KR!W:W,J996),"")</f>
        <v/>
      </c>
      <c r="L996" s="126" t="str">
        <f>IF(I996&lt;&gt;"",SUMIFS(JPK_KR!AM:AM,JPK_KR!W:W,J996),"")</f>
        <v/>
      </c>
      <c r="P996" s="24" t="str">
        <f>IF(M996&lt;&gt;"",IF(O996="",SUMIFS(JPK_KR!AL:AL,JPK_KR!W:W,N996),SUMIFS(JPK_KR!BF:BF,JPK_KR!BE:BE,N996,JPK_KR!BG:BG,O996)),"")</f>
        <v/>
      </c>
      <c r="Q996" s="126" t="str">
        <f>IF(M996&lt;&gt;"",IF(O996="",SUMIFS(JPK_KR!AM:AM,JPK_KR!W:W,N996),SUMIFS(JPK_KR!BI:BI,JPK_KR!BH:BH,N996,JPK_KR!BJ:BJ,O996)),"")</f>
        <v/>
      </c>
      <c r="U996" s="24" t="str">
        <f>IF(R996&lt;&gt;"",SUMIFS(JPK_KR!AL:AL,JPK_KR!W:W,S996),"")</f>
        <v/>
      </c>
      <c r="V996" s="126" t="str">
        <f>IF(R996&lt;&gt;"",SUMIFS(JPK_KR!AM:AM,JPK_KR!W:W,S996),"")</f>
        <v/>
      </c>
    </row>
    <row r="997" spans="3:22" x14ac:dyDescent="0.3">
      <c r="C997" s="24" t="str">
        <f>IF(A997&lt;&gt;"",SUMIFS(JPK_KR!AL:AL,JPK_KR!W:W,B997),"")</f>
        <v/>
      </c>
      <c r="D997" s="126" t="str">
        <f>IF(A997&lt;&gt;"",SUMIFS(JPK_KR!AM:AM,JPK_KR!W:W,B997),"")</f>
        <v/>
      </c>
      <c r="G997" s="24" t="str">
        <f>IF(E997&lt;&gt;"",SUMIFS(JPK_KR!AL:AL,JPK_KR!W:W,F997),"")</f>
        <v/>
      </c>
      <c r="H997" s="126" t="str">
        <f>IF(E997&lt;&gt;"",SUMIFS(JPK_KR!AM:AM,JPK_KR!W:W,F997),"")</f>
        <v/>
      </c>
      <c r="K997" s="24" t="str">
        <f>IF(I997&lt;&gt;"",SUMIFS(JPK_KR!AL:AL,JPK_KR!W:W,J997),"")</f>
        <v/>
      </c>
      <c r="L997" s="126" t="str">
        <f>IF(I997&lt;&gt;"",SUMIFS(JPK_KR!AM:AM,JPK_KR!W:W,J997),"")</f>
        <v/>
      </c>
      <c r="P997" s="24" t="str">
        <f>IF(M997&lt;&gt;"",IF(O997="",SUMIFS(JPK_KR!AL:AL,JPK_KR!W:W,N997),SUMIFS(JPK_KR!BF:BF,JPK_KR!BE:BE,N997,JPK_KR!BG:BG,O997)),"")</f>
        <v/>
      </c>
      <c r="Q997" s="126" t="str">
        <f>IF(M997&lt;&gt;"",IF(O997="",SUMIFS(JPK_KR!AM:AM,JPK_KR!W:W,N997),SUMIFS(JPK_KR!BI:BI,JPK_KR!BH:BH,N997,JPK_KR!BJ:BJ,O997)),"")</f>
        <v/>
      </c>
      <c r="U997" s="24" t="str">
        <f>IF(R997&lt;&gt;"",SUMIFS(JPK_KR!AL:AL,JPK_KR!W:W,S997),"")</f>
        <v/>
      </c>
      <c r="V997" s="126" t="str">
        <f>IF(R997&lt;&gt;"",SUMIFS(JPK_KR!AM:AM,JPK_KR!W:W,S997),"")</f>
        <v/>
      </c>
    </row>
    <row r="998" spans="3:22" x14ac:dyDescent="0.3">
      <c r="C998" s="24" t="str">
        <f>IF(A998&lt;&gt;"",SUMIFS(JPK_KR!AL:AL,JPK_KR!W:W,B998),"")</f>
        <v/>
      </c>
      <c r="D998" s="126" t="str">
        <f>IF(A998&lt;&gt;"",SUMIFS(JPK_KR!AM:AM,JPK_KR!W:W,B998),"")</f>
        <v/>
      </c>
      <c r="G998" s="24" t="str">
        <f>IF(E998&lt;&gt;"",SUMIFS(JPK_KR!AL:AL,JPK_KR!W:W,F998),"")</f>
        <v/>
      </c>
      <c r="H998" s="126" t="str">
        <f>IF(E998&lt;&gt;"",SUMIFS(JPK_KR!AM:AM,JPK_KR!W:W,F998),"")</f>
        <v/>
      </c>
      <c r="K998" s="24" t="str">
        <f>IF(I998&lt;&gt;"",SUMIFS(JPK_KR!AL:AL,JPK_KR!W:W,J998),"")</f>
        <v/>
      </c>
      <c r="L998" s="126" t="str">
        <f>IF(I998&lt;&gt;"",SUMIFS(JPK_KR!AM:AM,JPK_KR!W:W,J998),"")</f>
        <v/>
      </c>
      <c r="P998" s="24" t="str">
        <f>IF(M998&lt;&gt;"",IF(O998="",SUMIFS(JPK_KR!AL:AL,JPK_KR!W:W,N998),SUMIFS(JPK_KR!BF:BF,JPK_KR!BE:BE,N998,JPK_KR!BG:BG,O998)),"")</f>
        <v/>
      </c>
      <c r="Q998" s="126" t="str">
        <f>IF(M998&lt;&gt;"",IF(O998="",SUMIFS(JPK_KR!AM:AM,JPK_KR!W:W,N998),SUMIFS(JPK_KR!BI:BI,JPK_KR!BH:BH,N998,JPK_KR!BJ:BJ,O998)),"")</f>
        <v/>
      </c>
      <c r="U998" s="24" t="str">
        <f>IF(R998&lt;&gt;"",SUMIFS(JPK_KR!AL:AL,JPK_KR!W:W,S998),"")</f>
        <v/>
      </c>
      <c r="V998" s="126" t="str">
        <f>IF(R998&lt;&gt;"",SUMIFS(JPK_KR!AM:AM,JPK_KR!W:W,S998),"")</f>
        <v/>
      </c>
    </row>
    <row r="999" spans="3:22" x14ac:dyDescent="0.3">
      <c r="C999" s="24" t="str">
        <f>IF(A999&lt;&gt;"",SUMIFS(JPK_KR!AL:AL,JPK_KR!W:W,B999),"")</f>
        <v/>
      </c>
      <c r="D999" s="126" t="str">
        <f>IF(A999&lt;&gt;"",SUMIFS(JPK_KR!AM:AM,JPK_KR!W:W,B999),"")</f>
        <v/>
      </c>
      <c r="G999" s="24" t="str">
        <f>IF(E999&lt;&gt;"",SUMIFS(JPK_KR!AL:AL,JPK_KR!W:W,F999),"")</f>
        <v/>
      </c>
      <c r="H999" s="126" t="str">
        <f>IF(E999&lt;&gt;"",SUMIFS(JPK_KR!AM:AM,JPK_KR!W:W,F999),"")</f>
        <v/>
      </c>
      <c r="K999" s="24" t="str">
        <f>IF(I999&lt;&gt;"",SUMIFS(JPK_KR!AL:AL,JPK_KR!W:W,J999),"")</f>
        <v/>
      </c>
      <c r="L999" s="126" t="str">
        <f>IF(I999&lt;&gt;"",SUMIFS(JPK_KR!AM:AM,JPK_KR!W:W,J999),"")</f>
        <v/>
      </c>
      <c r="P999" s="24" t="str">
        <f>IF(M999&lt;&gt;"",IF(O999="",SUMIFS(JPK_KR!AL:AL,JPK_KR!W:W,N999),SUMIFS(JPK_KR!BF:BF,JPK_KR!BE:BE,N999,JPK_KR!BG:BG,O999)),"")</f>
        <v/>
      </c>
      <c r="Q999" s="126" t="str">
        <f>IF(M999&lt;&gt;"",IF(O999="",SUMIFS(JPK_KR!AM:AM,JPK_KR!W:W,N999),SUMIFS(JPK_KR!BI:BI,JPK_KR!BH:BH,N999,JPK_KR!BJ:BJ,O999)),"")</f>
        <v/>
      </c>
      <c r="U999" s="24" t="str">
        <f>IF(R999&lt;&gt;"",SUMIFS(JPK_KR!AL:AL,JPK_KR!W:W,S999),"")</f>
        <v/>
      </c>
      <c r="V999" s="126" t="str">
        <f>IF(R999&lt;&gt;"",SUMIFS(JPK_KR!AM:AM,JPK_KR!W:W,S999),"")</f>
        <v/>
      </c>
    </row>
    <row r="1000" spans="3:22" x14ac:dyDescent="0.3">
      <c r="C1000" s="24" t="str">
        <f>IF(A1000&lt;&gt;"",SUMIFS(JPK_KR!AL:AL,JPK_KR!W:W,B1000),"")</f>
        <v/>
      </c>
      <c r="D1000" s="126" t="str">
        <f>IF(A1000&lt;&gt;"",SUMIFS(JPK_KR!AM:AM,JPK_KR!W:W,B1000),"")</f>
        <v/>
      </c>
      <c r="G1000" s="24" t="str">
        <f>IF(E1000&lt;&gt;"",SUMIFS(JPK_KR!AL:AL,JPK_KR!W:W,F1000),"")</f>
        <v/>
      </c>
      <c r="H1000" s="126" t="str">
        <f>IF(E1000&lt;&gt;"",SUMIFS(JPK_KR!AM:AM,JPK_KR!W:W,F1000),"")</f>
        <v/>
      </c>
      <c r="K1000" s="24" t="str">
        <f>IF(I1000&lt;&gt;"",SUMIFS(JPK_KR!AL:AL,JPK_KR!W:W,J1000),"")</f>
        <v/>
      </c>
      <c r="L1000" s="126" t="str">
        <f>IF(I1000&lt;&gt;"",SUMIFS(JPK_KR!AM:AM,JPK_KR!W:W,J1000),"")</f>
        <v/>
      </c>
      <c r="P1000" s="24" t="str">
        <f>IF(M1000&lt;&gt;"",IF(O1000="",SUMIFS(JPK_KR!AL:AL,JPK_KR!W:W,N1000),SUMIFS(JPK_KR!BF:BF,JPK_KR!BE:BE,N1000,JPK_KR!BG:BG,O1000)),"")</f>
        <v/>
      </c>
      <c r="Q1000" s="126" t="str">
        <f>IF(M1000&lt;&gt;"",IF(O1000="",SUMIFS(JPK_KR!AM:AM,JPK_KR!W:W,N1000),SUMIFS(JPK_KR!BI:BI,JPK_KR!BH:BH,N1000,JPK_KR!BJ:BJ,O1000)),"")</f>
        <v/>
      </c>
      <c r="U1000" s="24" t="str">
        <f>IF(R1000&lt;&gt;"",SUMIFS(JPK_KR!AL:AL,JPK_KR!W:W,S1000),"")</f>
        <v/>
      </c>
      <c r="V1000" s="126" t="str">
        <f>IF(R1000&lt;&gt;"",SUMIFS(JPK_KR!AM:AM,JPK_KR!W:W,S1000),"")</f>
        <v/>
      </c>
    </row>
  </sheetData>
  <mergeCells count="14">
    <mergeCell ref="R1:V1"/>
    <mergeCell ref="M1:Q1"/>
    <mergeCell ref="M2:M3"/>
    <mergeCell ref="N2:N3"/>
    <mergeCell ref="P2:P3"/>
    <mergeCell ref="Q2:Q3"/>
    <mergeCell ref="R3:S3"/>
    <mergeCell ref="O2:O3"/>
    <mergeCell ref="T3:V3"/>
    <mergeCell ref="A3:D3"/>
    <mergeCell ref="E3:H3"/>
    <mergeCell ref="I3:L3"/>
    <mergeCell ref="I1:L1"/>
    <mergeCell ref="A1:H1"/>
  </mergeCells>
  <dataValidations count="5">
    <dataValidation type="list" allowBlank="1" showInputMessage="1" showErrorMessage="1" sqref="A4:A1000">
      <formula1>AT_B_A</formula1>
    </dataValidation>
    <dataValidation type="list" allowBlank="1" showInputMessage="1" showErrorMessage="1" sqref="E4:E1000">
      <formula1>AT_B_P</formula1>
    </dataValidation>
    <dataValidation type="list" allowBlank="1" showInputMessage="1" showErrorMessage="1" sqref="I4:I1000">
      <formula1>AT_RZiS</formula1>
    </dataValidation>
    <dataValidation type="list" allowBlank="1" showInputMessage="1" showErrorMessage="1" sqref="M4:M1000">
      <formula1>AT_ZZwK</formula1>
    </dataValidation>
    <dataValidation type="list" allowBlank="1" showInputMessage="1" showErrorMessage="1" sqref="R4:R1000">
      <formula1>PP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00"/>
  <sheetViews>
    <sheetView topLeftCell="H1" workbookViewId="0">
      <pane ySplit="3" topLeftCell="A7" activePane="bottomLeft" state="frozen"/>
      <selection pane="bottomLeft" activeCell="Q21" sqref="Q21"/>
    </sheetView>
  </sheetViews>
  <sheetFormatPr defaultRowHeight="14" x14ac:dyDescent="0.3"/>
  <cols>
    <col min="1" max="1" width="12.54296875" style="5" customWidth="1"/>
    <col min="2" max="2" width="12" style="5" customWidth="1"/>
    <col min="3" max="3" width="14.26953125" style="24" bestFit="1" customWidth="1"/>
    <col min="4" max="4" width="14.26953125" style="126" bestFit="1" customWidth="1"/>
    <col min="5" max="5" width="8.7265625" style="5"/>
    <col min="6" max="6" width="8.7265625" style="127"/>
    <col min="7" max="7" width="13.81640625" style="24" customWidth="1"/>
    <col min="8" max="8" width="11.90625" style="126" customWidth="1"/>
    <col min="9" max="10" width="8.7265625" style="5"/>
    <col min="11" max="11" width="12.7265625" style="24" bestFit="1" customWidth="1"/>
    <col min="12" max="12" width="14.26953125" style="141" bestFit="1" customWidth="1"/>
    <col min="13" max="13" width="8.7265625" style="143"/>
    <col min="14" max="15" width="8.7265625" style="117"/>
    <col min="16" max="16" width="12" style="141" bestFit="1" customWidth="1"/>
    <col min="17" max="17" width="12" style="144" bestFit="1" customWidth="1"/>
    <col min="18" max="20" width="8.7265625" style="117"/>
    <col min="21" max="21" width="12" style="141" bestFit="1" customWidth="1"/>
    <col min="22" max="22" width="8.7265625" style="144"/>
    <col min="23" max="16384" width="8.7265625" style="5"/>
  </cols>
  <sheetData>
    <row r="1" spans="1:22" ht="14.5" thickBot="1" x14ac:dyDescent="0.35">
      <c r="A1" s="268" t="s">
        <v>177</v>
      </c>
      <c r="B1" s="269"/>
      <c r="C1" s="269"/>
      <c r="D1" s="269"/>
      <c r="E1" s="269"/>
      <c r="F1" s="269"/>
      <c r="G1" s="269"/>
      <c r="H1" s="270"/>
      <c r="I1" s="266" t="s">
        <v>294</v>
      </c>
      <c r="J1" s="246"/>
      <c r="K1" s="246"/>
      <c r="L1" s="267"/>
      <c r="M1" s="274" t="s">
        <v>372</v>
      </c>
      <c r="N1" s="275"/>
      <c r="O1" s="275"/>
      <c r="P1" s="275"/>
      <c r="Q1" s="276"/>
      <c r="R1" s="271" t="s">
        <v>373</v>
      </c>
      <c r="S1" s="272"/>
      <c r="T1" s="272"/>
      <c r="U1" s="272"/>
      <c r="V1" s="273"/>
    </row>
    <row r="2" spans="1:22" ht="14.5" thickBot="1" x14ac:dyDescent="0.35">
      <c r="A2" s="128" t="s">
        <v>109</v>
      </c>
      <c r="B2" s="129" t="s">
        <v>173</v>
      </c>
      <c r="C2" s="130" t="s">
        <v>174</v>
      </c>
      <c r="D2" s="131" t="s">
        <v>175</v>
      </c>
      <c r="E2" s="132" t="s">
        <v>109</v>
      </c>
      <c r="F2" s="129" t="s">
        <v>173</v>
      </c>
      <c r="G2" s="130" t="s">
        <v>174</v>
      </c>
      <c r="H2" s="131" t="s">
        <v>175</v>
      </c>
      <c r="I2" s="133" t="s">
        <v>109</v>
      </c>
      <c r="J2" s="134" t="s">
        <v>173</v>
      </c>
      <c r="K2" s="135" t="s">
        <v>174</v>
      </c>
      <c r="L2" s="136" t="s">
        <v>175</v>
      </c>
      <c r="M2" s="277" t="s">
        <v>109</v>
      </c>
      <c r="N2" s="258" t="s">
        <v>173</v>
      </c>
      <c r="O2" s="264" t="s">
        <v>1657</v>
      </c>
      <c r="P2" s="260" t="s">
        <v>174</v>
      </c>
      <c r="Q2" s="262" t="s">
        <v>175</v>
      </c>
      <c r="R2" s="133" t="s">
        <v>109</v>
      </c>
      <c r="S2" s="134" t="s">
        <v>173</v>
      </c>
      <c r="T2" s="134" t="s">
        <v>1657</v>
      </c>
      <c r="U2" s="135" t="s">
        <v>174</v>
      </c>
      <c r="V2" s="142" t="s">
        <v>175</v>
      </c>
    </row>
    <row r="3" spans="1:22" ht="15" customHeight="1" thickBot="1" x14ac:dyDescent="0.35">
      <c r="A3" s="241" t="s">
        <v>222</v>
      </c>
      <c r="B3" s="242"/>
      <c r="C3" s="242"/>
      <c r="D3" s="244"/>
      <c r="E3" s="241" t="s">
        <v>231</v>
      </c>
      <c r="F3" s="242"/>
      <c r="G3" s="242"/>
      <c r="H3" s="244"/>
      <c r="I3" s="241" t="str">
        <f>RZiS!C3</f>
        <v>wariant porównawczy</v>
      </c>
      <c r="J3" s="242"/>
      <c r="K3" s="242"/>
      <c r="L3" s="242"/>
      <c r="M3" s="278"/>
      <c r="N3" s="259"/>
      <c r="O3" s="265"/>
      <c r="P3" s="261"/>
      <c r="Q3" s="263"/>
      <c r="R3" s="241" t="str">
        <f>kokpit!R3</f>
        <v>metoda</v>
      </c>
      <c r="S3" s="242"/>
      <c r="T3" s="279" t="str">
        <f>kokpit!T3</f>
        <v>bezpośrednia</v>
      </c>
      <c r="U3" s="279"/>
      <c r="V3" s="280"/>
    </row>
    <row r="4" spans="1:22" x14ac:dyDescent="0.3">
      <c r="A4" s="5" t="str">
        <f>IF(kokpit!A4&lt;&gt;"",kokpit!A4,"")</f>
        <v>AAII1b</v>
      </c>
      <c r="B4" s="5" t="str">
        <f>IF(kokpit!B4&lt;&gt;"",kokpit!B4,"")</f>
        <v>070-2</v>
      </c>
      <c r="C4" s="24">
        <f>IF(A4&lt;&gt;"",SUMIFS('JPK_KR-1'!AL:AL,'JPK_KR-1'!W:W,B4),"")</f>
        <v>0</v>
      </c>
      <c r="D4" s="126">
        <f>IF(A4&lt;&gt;"",SUMIFS('JPK_KR-1'!AM:AM,'JPK_KR-1'!W:W,B4),"")</f>
        <v>0</v>
      </c>
      <c r="E4" s="5" t="str">
        <f>IF(kokpit!E4&lt;&gt;"",kokpit!E4,"")</f>
        <v>PAVI</v>
      </c>
      <c r="F4" s="127" t="str">
        <f>IF(kokpit!F4&lt;&gt;"",kokpit!F4,"")</f>
        <v>860*</v>
      </c>
      <c r="G4" s="24">
        <f>IF(E4&lt;&gt;"",SUMIFS('JPK_KR-1'!AL:AL,'JPK_KR-1'!W:W,F4),"")</f>
        <v>0</v>
      </c>
      <c r="H4" s="126">
        <f>IF(E4&lt;&gt;"",SUMIFS('JPK_KR-1'!AM:AM,'JPK_KR-1'!W:W,F4),"")</f>
        <v>0</v>
      </c>
      <c r="I4" s="5" t="str">
        <f>IF(kokpit!I4&lt;&gt;"",kokpit!I4,"")</f>
        <v>AI</v>
      </c>
      <c r="J4" s="5" t="str">
        <f>IF(kokpit!J4&lt;&gt;"",kokpit!J4,"")</f>
        <v>701*</v>
      </c>
      <c r="K4" s="24">
        <f>IF(I4&lt;&gt;"",SUMIFS('JPK_KR-1'!AL:AL,'JPK_KR-1'!W:W,J4),"")</f>
        <v>0</v>
      </c>
      <c r="L4" s="141">
        <f>IF(I4&lt;&gt;"",SUMIFS('JPK_KR-1'!AM:AM,'JPK_KR-1'!W:W,J4),"")</f>
        <v>0</v>
      </c>
      <c r="M4" s="169" t="str">
        <f>IF(kokpit!M4&lt;&gt;"",kokpit!M4,"")</f>
        <v/>
      </c>
      <c r="N4" s="169" t="str">
        <f>IF(kokpit!N4&lt;&gt;"",kokpit!N4,"")</f>
        <v/>
      </c>
      <c r="O4" s="169" t="str">
        <f>IF(kokpit!O4&lt;&gt;"",kokpit!O4,"")</f>
        <v>BO</v>
      </c>
      <c r="P4" s="170" t="str">
        <f>IF(M4&lt;&gt;"",SUMIFS('JPK_KR-1'!AF:AF,'JPK_KR-1'!W:W,N4),"")</f>
        <v/>
      </c>
      <c r="Q4" s="170" t="str">
        <f>IF(M4&lt;&gt;"",SUMIFS('JPK_KR-1'!AG:AG,'JPK_KR-1'!W:W,N4),"")</f>
        <v/>
      </c>
      <c r="R4" s="117" t="str">
        <f>IF(kokpit!R4&lt;&gt;"",kokpit!R4,"")</f>
        <v/>
      </c>
      <c r="S4" s="117" t="str">
        <f>IF(kokpit!S4&lt;&gt;"",kokpit!S4,"")</f>
        <v/>
      </c>
      <c r="T4" s="117" t="str">
        <f>IF(kokpit!T4&lt;&gt;"",kokpit!T4,"")</f>
        <v/>
      </c>
      <c r="U4" s="141" t="str">
        <f>IF(R4&lt;&gt;"",SUMIFS('JPK_KR-1'!AL:AL,'JPK_KR-1'!W:W,S4),"")</f>
        <v/>
      </c>
      <c r="V4" s="144" t="str">
        <f>IF(R4&lt;&gt;"",SUMIFS('JPK_KR-1'!AM:AM,'JPK_KR-1'!W:W,S4),"")</f>
        <v/>
      </c>
    </row>
    <row r="5" spans="1:22" x14ac:dyDescent="0.3">
      <c r="A5" s="5" t="str">
        <f>IF(kokpit!A5&lt;&gt;"",kokpit!A5,"")</f>
        <v>AAII1d</v>
      </c>
      <c r="B5" s="5" t="str">
        <f>IF(kokpit!B5&lt;&gt;"",kokpit!B5,"")</f>
        <v>070-4</v>
      </c>
      <c r="C5" s="24">
        <f>IF(A5&lt;&gt;"",SUMIFS('JPK_KR-1'!AL:AL,'JPK_KR-1'!W:W,B5),"")</f>
        <v>0</v>
      </c>
      <c r="D5" s="126">
        <f>IF(A5&lt;&gt;"",SUMIFS('JPK_KR-1'!AM:AM,'JPK_KR-1'!W:W,B5),"")</f>
        <v>0</v>
      </c>
      <c r="E5" s="5" t="str">
        <f>IF(kokpit!E5&lt;&gt;"",kokpit!E5,"")</f>
        <v>PAI</v>
      </c>
      <c r="F5" s="127" t="str">
        <f>IF(kokpit!F5&lt;&gt;"",kokpit!F5,"")</f>
        <v>801*</v>
      </c>
      <c r="G5" s="24">
        <f>IF(E5&lt;&gt;"",SUMIFS('JPK_KR-1'!AL:AL,'JPK_KR-1'!W:W,F5),"")</f>
        <v>0</v>
      </c>
      <c r="H5" s="126">
        <f>IF(E5&lt;&gt;"",SUMIFS('JPK_KR-1'!AM:AM,'JPK_KR-1'!W:W,F5),"")</f>
        <v>0</v>
      </c>
      <c r="I5" s="5" t="str">
        <f>IF(kokpit!I5&lt;&gt;"",kokpit!I5,"")</f>
        <v>AI</v>
      </c>
      <c r="J5" s="5" t="str">
        <f>IF(kokpit!J5&lt;&gt;"",kokpit!J5,"")</f>
        <v>702*</v>
      </c>
      <c r="K5" s="24">
        <f>IF(I5&lt;&gt;"",SUMIFS('JPK_KR-1'!AL:AL,'JPK_KR-1'!W:W,J5),"")</f>
        <v>0</v>
      </c>
      <c r="L5" s="141">
        <f>IF(I5&lt;&gt;"",SUMIFS('JPK_KR-1'!AM:AM,'JPK_KR-1'!W:W,J5),"")</f>
        <v>1850</v>
      </c>
      <c r="M5" s="169" t="str">
        <f>IF(kokpit!M5&lt;&gt;"",kokpit!M5,"")</f>
        <v/>
      </c>
      <c r="N5" s="169" t="str">
        <f>IF(kokpit!N5&lt;&gt;"",kokpit!N5,"")</f>
        <v/>
      </c>
      <c r="O5" s="169" t="str">
        <f>IF(kokpit!O5&lt;&gt;"",kokpit!O5,"")</f>
        <v>BO</v>
      </c>
      <c r="P5" s="170" t="str">
        <f>IF(M5&lt;&gt;"",SUMIFS('JPK_KR-1'!AF:AF,'JPK_KR-1'!W:W,N5),"")</f>
        <v/>
      </c>
      <c r="Q5" s="170" t="str">
        <f>IF(M5&lt;&gt;"",SUMIFS('JPK_KR-1'!AG:AG,'JPK_KR-1'!W:W,N5),"")</f>
        <v/>
      </c>
      <c r="R5" s="117" t="str">
        <f>IF(kokpit!R5&lt;&gt;"",kokpit!R5,"")</f>
        <v/>
      </c>
      <c r="S5" s="117" t="str">
        <f>IF(kokpit!S5&lt;&gt;"",kokpit!S5,"")</f>
        <v/>
      </c>
      <c r="T5" s="117" t="str">
        <f>IF(kokpit!T5&lt;&gt;"",kokpit!T5,"")</f>
        <v/>
      </c>
      <c r="U5" s="141" t="str">
        <f>IF(R5&lt;&gt;"",SUMIFS('JPK_KR-1'!AL:AL,'JPK_KR-1'!W:W,S5),"")</f>
        <v/>
      </c>
      <c r="V5" s="144" t="str">
        <f>IF(R5&lt;&gt;"",SUMIFS('JPK_KR-1'!AM:AM,'JPK_KR-1'!W:W,S5),"")</f>
        <v/>
      </c>
    </row>
    <row r="6" spans="1:22" x14ac:dyDescent="0.3">
      <c r="A6" s="5" t="str">
        <f>IF(kokpit!A6&lt;&gt;"",kokpit!A6,"")</f>
        <v>AAII1e</v>
      </c>
      <c r="B6" s="5" t="str">
        <f>IF(kokpit!B6&lt;&gt;"",kokpit!B6,"")</f>
        <v>070-5</v>
      </c>
      <c r="C6" s="24">
        <f>IF(A6&lt;&gt;"",SUMIFS('JPK_KR-1'!AL:AL,'JPK_KR-1'!W:W,B6),"")</f>
        <v>0</v>
      </c>
      <c r="D6" s="126">
        <f>IF(A6&lt;&gt;"",SUMIFS('JPK_KR-1'!AM:AM,'JPK_KR-1'!W:W,B6),"")</f>
        <v>0</v>
      </c>
      <c r="E6" s="5" t="str">
        <f>IF(kokpit!E6&lt;&gt;"",kokpit!E6,"")</f>
        <v>PAV</v>
      </c>
      <c r="F6" s="127" t="str">
        <f>IF(kokpit!F6&lt;&gt;"",kokpit!F6,"")</f>
        <v>822*</v>
      </c>
      <c r="G6" s="24">
        <f>IF(E6&lt;&gt;"",SUMIFS('JPK_KR-1'!AL:AL,'JPK_KR-1'!W:W,F6),"")</f>
        <v>0</v>
      </c>
      <c r="H6" s="126">
        <f>IF(E6&lt;&gt;"",SUMIFS('JPK_KR-1'!AM:AM,'JPK_KR-1'!W:W,F6),"")</f>
        <v>0</v>
      </c>
      <c r="I6" s="5" t="str">
        <f>IF(kokpit!I6&lt;&gt;"",kokpit!I6,"")</f>
        <v>AIV</v>
      </c>
      <c r="J6" s="5" t="str">
        <f>IF(kokpit!J6&lt;&gt;"",kokpit!J6,"")</f>
        <v>731*</v>
      </c>
      <c r="K6" s="24">
        <f>IF(I6&lt;&gt;"",SUMIFS('JPK_KR-1'!AL:AL,'JPK_KR-1'!W:W,J6),"")</f>
        <v>0</v>
      </c>
      <c r="L6" s="141">
        <f>IF(I6&lt;&gt;"",SUMIFS('JPK_KR-1'!AM:AM,'JPK_KR-1'!W:W,J6),"")</f>
        <v>37007.800000000003</v>
      </c>
      <c r="M6" s="169" t="str">
        <f>IF(kokpit!M6&lt;&gt;"",kokpit!M6,"")</f>
        <v/>
      </c>
      <c r="N6" s="169" t="str">
        <f>IF(kokpit!N6&lt;&gt;"",kokpit!N6,"")</f>
        <v/>
      </c>
      <c r="O6" s="169" t="str">
        <f>IF(kokpit!O6&lt;&gt;"",kokpit!O6,"")</f>
        <v>BO</v>
      </c>
      <c r="P6" s="170" t="str">
        <f>IF(M6&lt;&gt;"",SUMIFS('JPK_KR-1'!AF:AF,'JPK_KR-1'!W:W,N6),"")</f>
        <v/>
      </c>
      <c r="Q6" s="170" t="str">
        <f>IF(M6&lt;&gt;"",SUMIFS('JPK_KR-1'!AG:AG,'JPK_KR-1'!W:W,N6),"")</f>
        <v/>
      </c>
      <c r="R6" s="117" t="str">
        <f>IF(kokpit!R6&lt;&gt;"",kokpit!R6,"")</f>
        <v/>
      </c>
      <c r="S6" s="117" t="str">
        <f>IF(kokpit!S6&lt;&gt;"",kokpit!S6,"")</f>
        <v/>
      </c>
      <c r="T6" s="117" t="str">
        <f>IF(kokpit!T6&lt;&gt;"",kokpit!T6,"")</f>
        <v/>
      </c>
      <c r="U6" s="141" t="str">
        <f>IF(R6&lt;&gt;"",SUMIFS('JPK_KR-1'!AL:AL,'JPK_KR-1'!W:W,S6),"")</f>
        <v/>
      </c>
      <c r="V6" s="144" t="str">
        <f>IF(R6&lt;&gt;"",SUMIFS('JPK_KR-1'!AM:AM,'JPK_KR-1'!W:W,S6),"")</f>
        <v/>
      </c>
    </row>
    <row r="7" spans="1:22" x14ac:dyDescent="0.3">
      <c r="A7" s="5" t="str">
        <f>IF(kokpit!A7&lt;&gt;"",kokpit!A7,"")</f>
        <v>ABI4</v>
      </c>
      <c r="B7" s="5" t="str">
        <f>IF(kokpit!B7&lt;&gt;"",kokpit!B7,"")</f>
        <v>330*</v>
      </c>
      <c r="C7" s="24">
        <f>IF(A7&lt;&gt;"",SUMIFS('JPK_KR-1'!AL:AL,'JPK_KR-1'!W:W,B7),"")</f>
        <v>4521</v>
      </c>
      <c r="D7" s="126">
        <f>IF(A7&lt;&gt;"",SUMIFS('JPK_KR-1'!AM:AM,'JPK_KR-1'!W:W,B7),"")</f>
        <v>0</v>
      </c>
      <c r="E7" s="5" t="str">
        <f>IF(kokpit!E7&lt;&gt;"",kokpit!E7,"")</f>
        <v>PBII3a</v>
      </c>
      <c r="F7" s="127" t="str">
        <f>IF(kokpit!F7&lt;&gt;"",kokpit!F7,"")</f>
        <v>138-2*</v>
      </c>
      <c r="G7" s="24">
        <f>IF(E7&lt;&gt;"",SUMIFS('JPK_KR-1'!AL:AL,'JPK_KR-1'!W:W,F7),"")</f>
        <v>0</v>
      </c>
      <c r="H7" s="126">
        <f>IF(E7&lt;&gt;"",SUMIFS('JPK_KR-1'!AM:AM,'JPK_KR-1'!W:W,F7),"")</f>
        <v>0</v>
      </c>
      <c r="I7" s="5" t="str">
        <f>IF(kokpit!I7&lt;&gt;"",kokpit!I7,"")</f>
        <v>BVIII</v>
      </c>
      <c r="J7" s="5" t="str">
        <f>IF(kokpit!J7&lt;&gt;"",kokpit!J7,"")</f>
        <v>741*</v>
      </c>
      <c r="K7" s="24">
        <f>IF(I7&lt;&gt;"",SUMIFS('JPK_KR-1'!AL:AL,'JPK_KR-1'!W:W,J7),"")</f>
        <v>0</v>
      </c>
      <c r="L7" s="141">
        <f>IF(I7&lt;&gt;"",SUMIFS('JPK_KR-1'!AM:AM,'JPK_KR-1'!W:W,J7),"")</f>
        <v>0</v>
      </c>
      <c r="M7" s="169" t="str">
        <f>IF(kokpit!M7&lt;&gt;"",kokpit!M7,"")</f>
        <v/>
      </c>
      <c r="N7" s="169" t="str">
        <f>IF(kokpit!N7&lt;&gt;"",kokpit!N7,"")</f>
        <v/>
      </c>
      <c r="O7" s="169" t="str">
        <f>IF(kokpit!O7&lt;&gt;"",kokpit!O7,"")</f>
        <v>BO</v>
      </c>
      <c r="P7" s="170" t="str">
        <f>IF(M7&lt;&gt;"",SUMIFS('JPK_KR-1'!AF:AF,'JPK_KR-1'!W:W,N7),"")</f>
        <v/>
      </c>
      <c r="Q7" s="170" t="str">
        <f>IF(M7&lt;&gt;"",SUMIFS('JPK_KR-1'!AG:AG,'JPK_KR-1'!W:W,N7),"")</f>
        <v/>
      </c>
      <c r="R7" s="117" t="str">
        <f>IF(kokpit!R7&lt;&gt;"",kokpit!R7,"")</f>
        <v/>
      </c>
      <c r="S7" s="117" t="str">
        <f>IF(kokpit!S7&lt;&gt;"",kokpit!S7,"")</f>
        <v/>
      </c>
      <c r="T7" s="117" t="str">
        <f>IF(kokpit!T7&lt;&gt;"",kokpit!T7,"")</f>
        <v/>
      </c>
      <c r="U7" s="141" t="str">
        <f>IF(R7&lt;&gt;"",SUMIFS('JPK_KR-1'!AL:AL,'JPK_KR-1'!W:W,S7),"")</f>
        <v/>
      </c>
      <c r="V7" s="144" t="str">
        <f>IF(R7&lt;&gt;"",SUMIFS('JPK_KR-1'!AM:AM,'JPK_KR-1'!W:W,S7),"")</f>
        <v/>
      </c>
    </row>
    <row r="8" spans="1:22" x14ac:dyDescent="0.3">
      <c r="A8" s="5" t="str">
        <f>IF(kokpit!A8&lt;&gt;"",kokpit!A8,"")</f>
        <v>ABI5</v>
      </c>
      <c r="B8" s="5" t="str">
        <f>IF(kokpit!B8&lt;&gt;"",kokpit!B8,"")</f>
        <v>301-2*</v>
      </c>
      <c r="C8" s="24">
        <f>IF(A8&lt;&gt;"",SUMIFS('JPK_KR-1'!AL:AL,'JPK_KR-1'!W:W,B8),"")</f>
        <v>245</v>
      </c>
      <c r="D8" s="126">
        <f>IF(A8&lt;&gt;"",SUMIFS('JPK_KR-1'!AM:AM,'JPK_KR-1'!W:W,B8),"")</f>
        <v>0</v>
      </c>
      <c r="E8" s="5" t="str">
        <f>IF(kokpit!E8&lt;&gt;"",kokpit!E8,"")</f>
        <v>PBIII1a1</v>
      </c>
      <c r="F8" s="127" t="str">
        <f>IF(kokpit!F8&lt;&gt;"",kokpit!F8,"")</f>
        <v>201-1-1*</v>
      </c>
      <c r="G8" s="24">
        <f>IF(E8&lt;&gt;"",SUMIFS('JPK_KR-1'!AL:AL,'JPK_KR-1'!W:W,F8),"")</f>
        <v>1720.59</v>
      </c>
      <c r="H8" s="126">
        <f>IF(E8&lt;&gt;"",SUMIFS('JPK_KR-1'!AM:AM,'JPK_KR-1'!W:W,F8),"")</f>
        <v>4394.8500000000004</v>
      </c>
      <c r="I8" s="5" t="str">
        <f>IF(kokpit!I8&lt;&gt;"",kokpit!I8,"")</f>
        <v>GVi</v>
      </c>
      <c r="J8" s="5" t="str">
        <f>IF(kokpit!J8&lt;&gt;"",kokpit!J8,"")</f>
        <v>755*</v>
      </c>
      <c r="K8" s="24">
        <f>IF(I8&lt;&gt;"",SUMIFS('JPK_KR-1'!AL:AL,'JPK_KR-1'!W:W,J8),"")</f>
        <v>0</v>
      </c>
      <c r="L8" s="141">
        <f>IF(I8&lt;&gt;"",SUMIFS('JPK_KR-1'!AM:AM,'JPK_KR-1'!W:W,J8),"")</f>
        <v>25</v>
      </c>
      <c r="M8" s="169" t="str">
        <f>IF(kokpit!M8&lt;&gt;"",kokpit!M8,"")</f>
        <v/>
      </c>
      <c r="N8" s="169" t="str">
        <f>IF(kokpit!N8&lt;&gt;"",kokpit!N8,"")</f>
        <v/>
      </c>
      <c r="O8" s="169" t="str">
        <f>IF(kokpit!O8&lt;&gt;"",kokpit!O8,"")</f>
        <v>BO</v>
      </c>
      <c r="P8" s="170" t="str">
        <f>IF(M8&lt;&gt;"",SUMIFS('JPK_KR-1'!AF:AF,'JPK_KR-1'!W:W,N8),"")</f>
        <v/>
      </c>
      <c r="Q8" s="170" t="str">
        <f>IF(M8&lt;&gt;"",SUMIFS('JPK_KR-1'!AG:AG,'JPK_KR-1'!W:W,N8),"")</f>
        <v/>
      </c>
      <c r="R8" s="117" t="str">
        <f>IF(kokpit!R8&lt;&gt;"",kokpit!R8,"")</f>
        <v/>
      </c>
      <c r="S8" s="117" t="str">
        <f>IF(kokpit!S8&lt;&gt;"",kokpit!S8,"")</f>
        <v/>
      </c>
      <c r="T8" s="117" t="str">
        <f>IF(kokpit!T8&lt;&gt;"",kokpit!T8,"")</f>
        <v/>
      </c>
      <c r="U8" s="141" t="str">
        <f>IF(R8&lt;&gt;"",SUMIFS('JPK_KR-1'!AL:AL,'JPK_KR-1'!W:W,S8),"")</f>
        <v/>
      </c>
      <c r="V8" s="144" t="str">
        <f>IF(R8&lt;&gt;"",SUMIFS('JPK_KR-1'!AM:AM,'JPK_KR-1'!W:W,S8),"")</f>
        <v/>
      </c>
    </row>
    <row r="9" spans="1:22" x14ac:dyDescent="0.3">
      <c r="A9" s="5" t="str">
        <f>IF(kokpit!A9&lt;&gt;"",kokpit!A9,"")</f>
        <v>ABI5</v>
      </c>
      <c r="B9" s="5" t="str">
        <f>IF(kokpit!B9&lt;&gt;"",kokpit!B9,"")</f>
        <v>302-2*</v>
      </c>
      <c r="C9" s="24">
        <f>IF(A9&lt;&gt;"",SUMIFS('JPK_KR-1'!AL:AL,'JPK_KR-1'!W:W,B9),"")</f>
        <v>15406.25</v>
      </c>
      <c r="D9" s="126">
        <f>IF(A9&lt;&gt;"",SUMIFS('JPK_KR-1'!AM:AM,'JPK_KR-1'!W:W,B9),"")</f>
        <v>0</v>
      </c>
      <c r="E9" s="5" t="str">
        <f>IF(kokpit!E9&lt;&gt;"",kokpit!E9,"")</f>
        <v>PBIII1a1</v>
      </c>
      <c r="F9" s="127" t="str">
        <f>IF(kokpit!F9&lt;&gt;"",kokpit!F9,"")</f>
        <v>204-1-1*</v>
      </c>
      <c r="G9" s="24">
        <f>IF(E9&lt;&gt;"",SUMIFS('JPK_KR-1'!AL:AL,'JPK_KR-1'!W:W,F9),"")</f>
        <v>0</v>
      </c>
      <c r="H9" s="126">
        <f>IF(E9&lt;&gt;"",SUMIFS('JPK_KR-1'!AM:AM,'JPK_KR-1'!W:W,F9),"")</f>
        <v>11626.86</v>
      </c>
      <c r="I9" s="5" t="str">
        <f>IF(kokpit!I9&lt;&gt;"",kokpit!I9,"")</f>
        <v>HIVi</v>
      </c>
      <c r="J9" s="5" t="str">
        <f>IF(kokpit!J9&lt;&gt;"",kokpit!J9,"")</f>
        <v>755*</v>
      </c>
      <c r="K9" s="24">
        <f>IF(I9&lt;&gt;"",SUMIFS('JPK_KR-1'!AL:AL,'JPK_KR-1'!W:W,J9),"")</f>
        <v>0</v>
      </c>
      <c r="L9" s="141">
        <f>IF(I9&lt;&gt;"",SUMIFS('JPK_KR-1'!AM:AM,'JPK_KR-1'!W:W,J9),"")</f>
        <v>25</v>
      </c>
      <c r="M9" s="169" t="str">
        <f>IF(kokpit!M9&lt;&gt;"",kokpit!M9,"")</f>
        <v/>
      </c>
      <c r="N9" s="169" t="str">
        <f>IF(kokpit!N9&lt;&gt;"",kokpit!N9,"")</f>
        <v/>
      </c>
      <c r="O9" s="169" t="str">
        <f>IF(kokpit!O9&lt;&gt;"",kokpit!O9,"")</f>
        <v>BO</v>
      </c>
      <c r="P9" s="170" t="str">
        <f>IF(M9&lt;&gt;"",SUMIFS('JPK_KR-1'!AF:AF,'JPK_KR-1'!W:W,N9),"")</f>
        <v/>
      </c>
      <c r="Q9" s="170" t="str">
        <f>IF(M9&lt;&gt;"",SUMIFS('JPK_KR-1'!AG:AG,'JPK_KR-1'!W:W,N9),"")</f>
        <v/>
      </c>
      <c r="R9" s="117" t="str">
        <f>IF(kokpit!R9&lt;&gt;"",kokpit!R9,"")</f>
        <v/>
      </c>
      <c r="S9" s="117" t="str">
        <f>IF(kokpit!S9&lt;&gt;"",kokpit!S9,"")</f>
        <v/>
      </c>
      <c r="T9" s="117" t="str">
        <f>IF(kokpit!T9&lt;&gt;"",kokpit!T9,"")</f>
        <v/>
      </c>
      <c r="U9" s="141" t="str">
        <f>IF(R9&lt;&gt;"",SUMIFS('JPK_KR-1'!AL:AL,'JPK_KR-1'!W:W,S9),"")</f>
        <v/>
      </c>
      <c r="V9" s="144" t="str">
        <f>IF(R9&lt;&gt;"",SUMIFS('JPK_KR-1'!AM:AM,'JPK_KR-1'!W:W,S9),"")</f>
        <v/>
      </c>
    </row>
    <row r="10" spans="1:22" x14ac:dyDescent="0.3">
      <c r="A10" s="5" t="str">
        <f>IF(kokpit!A10&lt;&gt;"",kokpit!A10,"")</f>
        <v>ABI5</v>
      </c>
      <c r="B10" s="5" t="str">
        <f>IF(kokpit!B10&lt;&gt;"",kokpit!B10,"")</f>
        <v>303-2*</v>
      </c>
      <c r="C10" s="24">
        <f>IF(A10&lt;&gt;"",SUMIFS('JPK_KR-1'!AL:AL,'JPK_KR-1'!W:W,B10),"")</f>
        <v>0</v>
      </c>
      <c r="D10" s="126">
        <f>IF(A10&lt;&gt;"",SUMIFS('JPK_KR-1'!AM:AM,'JPK_KR-1'!W:W,B10),"")</f>
        <v>0</v>
      </c>
      <c r="E10" s="5" t="str">
        <f>IF(kokpit!E10&lt;&gt;"",kokpit!E10,"")</f>
        <v>PBIII3d1</v>
      </c>
      <c r="F10" s="127" t="str">
        <f>IF(kokpit!F10&lt;&gt;"",kokpit!F10,"")</f>
        <v>201-2-1*</v>
      </c>
      <c r="G10" s="24">
        <f>IF(E10&lt;&gt;"",SUMIFS('JPK_KR-1'!AL:AL,'JPK_KR-1'!W:W,F10),"")</f>
        <v>14430.630000000001</v>
      </c>
      <c r="H10" s="126">
        <f>IF(E10&lt;&gt;"",SUMIFS('JPK_KR-1'!AM:AM,'JPK_KR-1'!W:W,F10),"")</f>
        <v>77016.7</v>
      </c>
      <c r="I10" s="5" t="str">
        <f>IF(kokpit!I10&lt;&gt;"",kokpit!I10,"")</f>
        <v>GV</v>
      </c>
      <c r="J10" s="5" t="str">
        <f>IF(kokpit!J10&lt;&gt;"",kokpit!J10,"")</f>
        <v>756*</v>
      </c>
      <c r="K10" s="24">
        <f>IF(I10&lt;&gt;"",SUMIFS('JPK_KR-1'!AL:AL,'JPK_KR-1'!W:W,J10),"")</f>
        <v>0</v>
      </c>
      <c r="L10" s="141">
        <f>IF(I10&lt;&gt;"",SUMIFS('JPK_KR-1'!AM:AM,'JPK_KR-1'!W:W,J10),"")</f>
        <v>1.95</v>
      </c>
      <c r="M10" s="169" t="str">
        <f>IF(kokpit!M10&lt;&gt;"",kokpit!M10,"")</f>
        <v/>
      </c>
      <c r="N10" s="169" t="str">
        <f>IF(kokpit!N10&lt;&gt;"",kokpit!N10,"")</f>
        <v/>
      </c>
      <c r="O10" s="169" t="str">
        <f>IF(kokpit!O10&lt;&gt;"",kokpit!O10,"")</f>
        <v>BO</v>
      </c>
      <c r="P10" s="170" t="str">
        <f>IF(M10&lt;&gt;"",SUMIFS('JPK_KR-1'!AF:AF,'JPK_KR-1'!W:W,N10),"")</f>
        <v/>
      </c>
      <c r="Q10" s="170" t="str">
        <f>IF(M10&lt;&gt;"",SUMIFS('JPK_KR-1'!AG:AG,'JPK_KR-1'!W:W,N10),"")</f>
        <v/>
      </c>
      <c r="R10" s="117" t="str">
        <f>IF(kokpit!R10&lt;&gt;"",kokpit!R10,"")</f>
        <v/>
      </c>
      <c r="S10" s="117" t="str">
        <f>IF(kokpit!S10&lt;&gt;"",kokpit!S10,"")</f>
        <v/>
      </c>
      <c r="T10" s="117" t="str">
        <f>IF(kokpit!T10&lt;&gt;"",kokpit!T10,"")</f>
        <v/>
      </c>
      <c r="U10" s="141" t="str">
        <f>IF(R10&lt;&gt;"",SUMIFS('JPK_KR-1'!AL:AL,'JPK_KR-1'!W:W,S10),"")</f>
        <v/>
      </c>
      <c r="V10" s="144" t="str">
        <f>IF(R10&lt;&gt;"",SUMIFS('JPK_KR-1'!AM:AM,'JPK_KR-1'!W:W,S10),"")</f>
        <v/>
      </c>
    </row>
    <row r="11" spans="1:22" x14ac:dyDescent="0.3">
      <c r="A11" s="5" t="str">
        <f>IF(kokpit!A11&lt;&gt;"",kokpit!A11,"")</f>
        <v>ABI5</v>
      </c>
      <c r="B11" s="5" t="str">
        <f>IF(kokpit!B11&lt;&gt;"",kokpit!B11,"")</f>
        <v>305-2*</v>
      </c>
      <c r="C11" s="24">
        <f>IF(A11&lt;&gt;"",SUMIFS('JPK_KR-1'!AL:AL,'JPK_KR-1'!W:W,B11),"")</f>
        <v>11838.7</v>
      </c>
      <c r="D11" s="126">
        <f>IF(A11&lt;&gt;"",SUMIFS('JPK_KR-1'!AM:AM,'JPK_KR-1'!W:W,B11),"")</f>
        <v>0</v>
      </c>
      <c r="E11" s="5" t="str">
        <f>IF(kokpit!E11&lt;&gt;"",kokpit!E11,"")</f>
        <v>PBIII3d1</v>
      </c>
      <c r="F11" s="127" t="str">
        <f>IF(kokpit!F11&lt;&gt;"",kokpit!F11,"")</f>
        <v>200*</v>
      </c>
      <c r="G11" s="24">
        <f>IF(E11&lt;&gt;"",SUMIFS('JPK_KR-1'!AL:AL,'JPK_KR-1'!W:W,F11),"")</f>
        <v>0</v>
      </c>
      <c r="H11" s="126">
        <f>IF(E11&lt;&gt;"",SUMIFS('JPK_KR-1'!AM:AM,'JPK_KR-1'!W:W,F11),"")</f>
        <v>1930</v>
      </c>
      <c r="I11" s="5" t="str">
        <f>IF(kokpit!I11&lt;&gt;"",kokpit!I11,"")</f>
        <v>BI</v>
      </c>
      <c r="J11" s="5" t="str">
        <f>IF(kokpit!J11&lt;&gt;"",kokpit!J11,"")</f>
        <v>401*</v>
      </c>
      <c r="K11" s="24">
        <f>IF(I11&lt;&gt;"",SUMIFS('JPK_KR-1'!AL:AL,'JPK_KR-1'!W:W,J11),"")</f>
        <v>0</v>
      </c>
      <c r="L11" s="141">
        <f>IF(I11&lt;&gt;"",SUMIFS('JPK_KR-1'!AM:AM,'JPK_KR-1'!W:W,J11),"")</f>
        <v>0</v>
      </c>
      <c r="M11" s="169" t="str">
        <f>IF(kokpit!M11&lt;&gt;"",kokpit!M11,"")</f>
        <v/>
      </c>
      <c r="N11" s="169" t="str">
        <f>IF(kokpit!N11&lt;&gt;"",kokpit!N11,"")</f>
        <v/>
      </c>
      <c r="O11" s="169" t="str">
        <f>IF(kokpit!O11&lt;&gt;"",kokpit!O11,"")</f>
        <v>BO</v>
      </c>
      <c r="P11" s="170" t="str">
        <f>IF(M11&lt;&gt;"",SUMIFS('JPK_KR-1'!AF:AF,'JPK_KR-1'!W:W,N11),"")</f>
        <v/>
      </c>
      <c r="Q11" s="170" t="str">
        <f>IF(M11&lt;&gt;"",SUMIFS('JPK_KR-1'!AG:AG,'JPK_KR-1'!W:W,N11),"")</f>
        <v/>
      </c>
      <c r="R11" s="117" t="str">
        <f>IF(kokpit!R11&lt;&gt;"",kokpit!R11,"")</f>
        <v/>
      </c>
      <c r="S11" s="117" t="str">
        <f>IF(kokpit!S11&lt;&gt;"",kokpit!S11,"")</f>
        <v/>
      </c>
      <c r="T11" s="117" t="str">
        <f>IF(kokpit!T11&lt;&gt;"",kokpit!T11,"")</f>
        <v/>
      </c>
      <c r="U11" s="141" t="str">
        <f>IF(R11&lt;&gt;"",SUMIFS('JPK_KR-1'!AL:AL,'JPK_KR-1'!W:W,S11),"")</f>
        <v/>
      </c>
      <c r="V11" s="144" t="str">
        <f>IF(R11&lt;&gt;"",SUMIFS('JPK_KR-1'!AM:AM,'JPK_KR-1'!W:W,S11),"")</f>
        <v/>
      </c>
    </row>
    <row r="12" spans="1:22" x14ac:dyDescent="0.3">
      <c r="A12" s="5" t="str">
        <f>IF(kokpit!A12&lt;&gt;"",kokpit!A12,"")</f>
        <v>ABII1a1</v>
      </c>
      <c r="B12" s="5" t="str">
        <f>IF(kokpit!B12&lt;&gt;"",kokpit!B12,"")</f>
        <v>201-1-1*</v>
      </c>
      <c r="C12" s="24">
        <f>IF(A12&lt;&gt;"",SUMIFS('JPK_KR-1'!AL:AL,'JPK_KR-1'!W:W,B12),"")</f>
        <v>1720.59</v>
      </c>
      <c r="D12" s="126">
        <f>IF(A12&lt;&gt;"",SUMIFS('JPK_KR-1'!AM:AM,'JPK_KR-1'!W:W,B12),"")</f>
        <v>4394.8500000000004</v>
      </c>
      <c r="E12" s="5" t="str">
        <f>IF(kokpit!E12&lt;&gt;"",kokpit!E12,"")</f>
        <v>PBIII3d1</v>
      </c>
      <c r="F12" s="127" t="str">
        <f>IF(kokpit!F12&lt;&gt;"",kokpit!F12,"")</f>
        <v>202-2-1*</v>
      </c>
      <c r="G12" s="24">
        <f>IF(E12&lt;&gt;"",SUMIFS('JPK_KR-1'!AL:AL,'JPK_KR-1'!W:W,F12),"")</f>
        <v>5700</v>
      </c>
      <c r="H12" s="126">
        <f>IF(E12&lt;&gt;"",SUMIFS('JPK_KR-1'!AM:AM,'JPK_KR-1'!W:W,F12),"")</f>
        <v>15708.960000000001</v>
      </c>
      <c r="I12" s="5" t="str">
        <f>IF(kokpit!I12&lt;&gt;"",kokpit!I12,"")</f>
        <v>BII</v>
      </c>
      <c r="J12" s="5" t="str">
        <f>IF(kokpit!J12&lt;&gt;"",kokpit!J12,"")</f>
        <v>402*</v>
      </c>
      <c r="K12" s="24">
        <f>IF(I12&lt;&gt;"",SUMIFS('JPK_KR-1'!AL:AL,'JPK_KR-1'!W:W,J12),"")</f>
        <v>4790</v>
      </c>
      <c r="L12" s="141">
        <f>IF(I12&lt;&gt;"",SUMIFS('JPK_KR-1'!AM:AM,'JPK_KR-1'!W:W,J12),"")</f>
        <v>0</v>
      </c>
      <c r="M12" s="169" t="str">
        <f>IF(kokpit!M12&lt;&gt;"",kokpit!M12,"")</f>
        <v/>
      </c>
      <c r="N12" s="169" t="str">
        <f>IF(kokpit!N12&lt;&gt;"",kokpit!N12,"")</f>
        <v/>
      </c>
      <c r="O12" s="169" t="str">
        <f>IF(kokpit!O12&lt;&gt;"",kokpit!O12,"")</f>
        <v>BO</v>
      </c>
      <c r="P12" s="170" t="str">
        <f>IF(M12&lt;&gt;"",SUMIFS('JPK_KR-1'!AF:AF,'JPK_KR-1'!W:W,N12),"")</f>
        <v/>
      </c>
      <c r="Q12" s="170" t="str">
        <f>IF(M12&lt;&gt;"",SUMIFS('JPK_KR-1'!AG:AG,'JPK_KR-1'!W:W,N12),"")</f>
        <v/>
      </c>
      <c r="R12" s="117" t="str">
        <f>IF(kokpit!R12&lt;&gt;"",kokpit!R12,"")</f>
        <v/>
      </c>
      <c r="S12" s="117" t="str">
        <f>IF(kokpit!S12&lt;&gt;"",kokpit!S12,"")</f>
        <v/>
      </c>
      <c r="T12" s="117" t="str">
        <f>IF(kokpit!T12&lt;&gt;"",kokpit!T12,"")</f>
        <v/>
      </c>
      <c r="U12" s="141" t="str">
        <f>IF(R12&lt;&gt;"",SUMIFS('JPK_KR-1'!AL:AL,'JPK_KR-1'!W:W,S12),"")</f>
        <v/>
      </c>
      <c r="V12" s="144" t="str">
        <f>IF(R12&lt;&gt;"",SUMIFS('JPK_KR-1'!AM:AM,'JPK_KR-1'!W:W,S12),"")</f>
        <v/>
      </c>
    </row>
    <row r="13" spans="1:22" x14ac:dyDescent="0.3">
      <c r="A13" s="5" t="str">
        <f>IF(kokpit!A13&lt;&gt;"",kokpit!A13,"")</f>
        <v>ABII1a1</v>
      </c>
      <c r="B13" s="5" t="str">
        <f>IF(kokpit!B13&lt;&gt;"",kokpit!B13,"")</f>
        <v>202-1-1*</v>
      </c>
      <c r="C13" s="24">
        <f>IF(A13&lt;&gt;"",SUMIFS('JPK_KR-1'!AL:AL,'JPK_KR-1'!W:W,B13),"")</f>
        <v>10120</v>
      </c>
      <c r="D13" s="126">
        <f>IF(A13&lt;&gt;"",SUMIFS('JPK_KR-1'!AM:AM,'JPK_KR-1'!W:W,B13),"")</f>
        <v>0</v>
      </c>
      <c r="E13" s="5" t="str">
        <f>IF(kokpit!E13&lt;&gt;"",kokpit!E13,"")</f>
        <v>PBIII3d1</v>
      </c>
      <c r="F13" s="127" t="str">
        <f>IF(kokpit!F13&lt;&gt;"",kokpit!F13,"")</f>
        <v>204-2-1*</v>
      </c>
      <c r="G13" s="24">
        <f>IF(E13&lt;&gt;"",SUMIFS('JPK_KR-1'!AL:AL,'JPK_KR-1'!W:W,F13),"")</f>
        <v>0</v>
      </c>
      <c r="H13" s="126">
        <f>IF(E13&lt;&gt;"",SUMIFS('JPK_KR-1'!AM:AM,'JPK_KR-1'!W:W,F13),"")</f>
        <v>19245.740000000002</v>
      </c>
      <c r="I13" s="5" t="str">
        <f>IF(kokpit!I13&lt;&gt;"",kokpit!I13,"")</f>
        <v>BIII</v>
      </c>
      <c r="J13" s="5" t="str">
        <f>IF(kokpit!J13&lt;&gt;"",kokpit!J13,"")</f>
        <v>403*</v>
      </c>
      <c r="K13" s="24">
        <f>IF(I13&lt;&gt;"",SUMIFS('JPK_KR-1'!AL:AL,'JPK_KR-1'!W:W,J13),"")</f>
        <v>14856.86</v>
      </c>
      <c r="L13" s="141">
        <f>IF(I13&lt;&gt;"",SUMIFS('JPK_KR-1'!AM:AM,'JPK_KR-1'!W:W,J13),"")</f>
        <v>0</v>
      </c>
      <c r="M13" s="169" t="str">
        <f>IF(kokpit!M13&lt;&gt;"",kokpit!M13,"")</f>
        <v/>
      </c>
      <c r="N13" s="169" t="str">
        <f>IF(kokpit!N13&lt;&gt;"",kokpit!N13,"")</f>
        <v/>
      </c>
      <c r="O13" s="169" t="str">
        <f>IF(kokpit!O13&lt;&gt;"",kokpit!O13,"")</f>
        <v>BO</v>
      </c>
      <c r="P13" s="170" t="str">
        <f>IF(M13&lt;&gt;"",SUMIFS('JPK_KR-1'!AF:AF,'JPK_KR-1'!W:W,N13),"")</f>
        <v/>
      </c>
      <c r="Q13" s="170" t="str">
        <f>IF(M13&lt;&gt;"",SUMIFS('JPK_KR-1'!AG:AG,'JPK_KR-1'!W:W,N13),"")</f>
        <v/>
      </c>
      <c r="R13" s="117" t="str">
        <f>IF(kokpit!R13&lt;&gt;"",kokpit!R13,"")</f>
        <v/>
      </c>
      <c r="S13" s="117" t="str">
        <f>IF(kokpit!S13&lt;&gt;"",kokpit!S13,"")</f>
        <v/>
      </c>
      <c r="T13" s="117" t="str">
        <f>IF(kokpit!T13&lt;&gt;"",kokpit!T13,"")</f>
        <v/>
      </c>
      <c r="U13" s="141" t="str">
        <f>IF(R13&lt;&gt;"",SUMIFS('JPK_KR-1'!AL:AL,'JPK_KR-1'!W:W,S13),"")</f>
        <v/>
      </c>
      <c r="V13" s="144" t="str">
        <f>IF(R13&lt;&gt;"",SUMIFS('JPK_KR-1'!AM:AM,'JPK_KR-1'!W:W,S13),"")</f>
        <v/>
      </c>
    </row>
    <row r="14" spans="1:22" x14ac:dyDescent="0.3">
      <c r="A14" s="5" t="str">
        <f>IF(kokpit!A14&lt;&gt;"",kokpit!A14,"")</f>
        <v>ABII1a1</v>
      </c>
      <c r="B14" s="5" t="str">
        <f>IF(kokpit!B14&lt;&gt;"",kokpit!B14,"")</f>
        <v>203-1-1*</v>
      </c>
      <c r="C14" s="24">
        <f>IF(A14&lt;&gt;"",SUMIFS('JPK_KR-1'!AL:AL,'JPK_KR-1'!W:W,B14),"")</f>
        <v>10912.3</v>
      </c>
      <c r="D14" s="126">
        <f>IF(A14&lt;&gt;"",SUMIFS('JPK_KR-1'!AM:AM,'JPK_KR-1'!W:W,B14),"")</f>
        <v>0</v>
      </c>
      <c r="E14" s="5" t="str">
        <f>IF(kokpit!E14&lt;&gt;"",kokpit!E14,"")</f>
        <v>PBIII3g</v>
      </c>
      <c r="F14" s="127" t="str">
        <f>IF(kokpit!F14&lt;&gt;"",kokpit!F14,"")</f>
        <v>221*</v>
      </c>
      <c r="G14" s="24">
        <f>IF(E14&lt;&gt;"",SUMIFS('JPK_KR-1'!AL:AL,'JPK_KR-1'!W:W,F14),"")</f>
        <v>24607.64</v>
      </c>
      <c r="H14" s="126">
        <f>IF(E14&lt;&gt;"",SUMIFS('JPK_KR-1'!AM:AM,'JPK_KR-1'!W:W,F14),"")</f>
        <v>23222.06</v>
      </c>
      <c r="I14" s="5" t="str">
        <f>IF(kokpit!I14&lt;&gt;"",kokpit!I14,"")</f>
        <v>BIV</v>
      </c>
      <c r="J14" s="5" t="str">
        <f>IF(kokpit!J14&lt;&gt;"",kokpit!J14,"")</f>
        <v>404*</v>
      </c>
      <c r="K14" s="24">
        <f>IF(I14&lt;&gt;"",SUMIFS('JPK_KR-1'!AL:AL,'JPK_KR-1'!W:W,J14),"")</f>
        <v>50</v>
      </c>
      <c r="L14" s="141">
        <f>IF(I14&lt;&gt;"",SUMIFS('JPK_KR-1'!AM:AM,'JPK_KR-1'!W:W,J14),"")</f>
        <v>0</v>
      </c>
      <c r="M14" s="169" t="str">
        <f>IF(kokpit!M14&lt;&gt;"",kokpit!M14,"")</f>
        <v/>
      </c>
      <c r="N14" s="169" t="str">
        <f>IF(kokpit!N14&lt;&gt;"",kokpit!N14,"")</f>
        <v/>
      </c>
      <c r="O14" s="169" t="str">
        <f>IF(kokpit!O14&lt;&gt;"",kokpit!O14,"")</f>
        <v>BO</v>
      </c>
      <c r="P14" s="170" t="str">
        <f>IF(M14&lt;&gt;"",SUMIFS('JPK_KR-1'!AF:AF,'JPK_KR-1'!W:W,N14),"")</f>
        <v/>
      </c>
      <c r="Q14" s="170" t="str">
        <f>IF(M14&lt;&gt;"",SUMIFS('JPK_KR-1'!AG:AG,'JPK_KR-1'!W:W,N14),"")</f>
        <v/>
      </c>
      <c r="R14" s="117" t="str">
        <f>IF(kokpit!R14&lt;&gt;"",kokpit!R14,"")</f>
        <v/>
      </c>
      <c r="S14" s="117" t="str">
        <f>IF(kokpit!S14&lt;&gt;"",kokpit!S14,"")</f>
        <v/>
      </c>
      <c r="T14" s="117" t="str">
        <f>IF(kokpit!T14&lt;&gt;"",kokpit!T14,"")</f>
        <v/>
      </c>
      <c r="U14" s="141" t="str">
        <f>IF(R14&lt;&gt;"",SUMIFS('JPK_KR-1'!AL:AL,'JPK_KR-1'!W:W,S14),"")</f>
        <v/>
      </c>
      <c r="V14" s="144" t="str">
        <f>IF(R14&lt;&gt;"",SUMIFS('JPK_KR-1'!AM:AM,'JPK_KR-1'!W:W,S14),"")</f>
        <v/>
      </c>
    </row>
    <row r="15" spans="1:22" x14ac:dyDescent="0.3">
      <c r="A15" s="5" t="str">
        <f>IF(kokpit!A15&lt;&gt;"",kokpit!A15,"")</f>
        <v>ABII1a2</v>
      </c>
      <c r="B15" s="5" t="str">
        <f>IF(kokpit!B15&lt;&gt;"",kokpit!B15,"")</f>
        <v>202-1-2*</v>
      </c>
      <c r="C15" s="24">
        <f>IF(A15&lt;&gt;"",SUMIFS('JPK_KR-1'!AL:AL,'JPK_KR-1'!W:W,B15),"")</f>
        <v>1500</v>
      </c>
      <c r="D15" s="126">
        <f>IF(A15&lt;&gt;"",SUMIFS('JPK_KR-1'!AM:AM,'JPK_KR-1'!W:W,B15),"")</f>
        <v>0</v>
      </c>
      <c r="E15" s="5" t="str">
        <f>IF(kokpit!E15&lt;&gt;"",kokpit!E15,"")</f>
        <v>PBIII3i</v>
      </c>
      <c r="F15" s="127" t="str">
        <f>IF(kokpit!F15&lt;&gt;"",kokpit!F15,"")</f>
        <v>234*</v>
      </c>
      <c r="G15" s="24">
        <f>IF(E15&lt;&gt;"",SUMIFS('JPK_KR-1'!AL:AL,'JPK_KR-1'!W:W,F15),"")</f>
        <v>130</v>
      </c>
      <c r="H15" s="126">
        <f>IF(E15&lt;&gt;"",SUMIFS('JPK_KR-1'!AM:AM,'JPK_KR-1'!W:W,F15),"")</f>
        <v>1000</v>
      </c>
      <c r="I15" s="5" t="str">
        <f>IF(kokpit!I15&lt;&gt;"",kokpit!I15,"")</f>
        <v>BVII</v>
      </c>
      <c r="J15" s="5" t="str">
        <f>IF(kokpit!J15&lt;&gt;"",kokpit!J15,"")</f>
        <v>407*</v>
      </c>
      <c r="K15" s="24">
        <f>IF(I15&lt;&gt;"",SUMIFS('JPK_KR-1'!AL:AL,'JPK_KR-1'!W:W,J15),"")</f>
        <v>950</v>
      </c>
      <c r="L15" s="141">
        <f>IF(I15&lt;&gt;"",SUMIFS('JPK_KR-1'!AM:AM,'JPK_KR-1'!W:W,J15),"")</f>
        <v>0</v>
      </c>
      <c r="M15" s="169" t="str">
        <f>IF(kokpit!M15&lt;&gt;"",kokpit!M15,"")</f>
        <v/>
      </c>
      <c r="N15" s="169" t="str">
        <f>IF(kokpit!N15&lt;&gt;"",kokpit!N15,"")</f>
        <v/>
      </c>
      <c r="O15" s="169" t="str">
        <f>IF(kokpit!O15&lt;&gt;"",kokpit!O15,"")</f>
        <v>BO</v>
      </c>
      <c r="P15" s="170" t="str">
        <f>IF(M15&lt;&gt;"",SUMIFS('JPK_KR-1'!AF:AF,'JPK_KR-1'!W:W,N15),"")</f>
        <v/>
      </c>
      <c r="Q15" s="170" t="str">
        <f>IF(M15&lt;&gt;"",SUMIFS('JPK_KR-1'!AG:AG,'JPK_KR-1'!W:W,N15),"")</f>
        <v/>
      </c>
      <c r="R15" s="117" t="str">
        <f>IF(kokpit!R15&lt;&gt;"",kokpit!R15,"")</f>
        <v/>
      </c>
      <c r="S15" s="117" t="str">
        <f>IF(kokpit!S15&lt;&gt;"",kokpit!S15,"")</f>
        <v/>
      </c>
      <c r="T15" s="117" t="str">
        <f>IF(kokpit!T15&lt;&gt;"",kokpit!T15,"")</f>
        <v/>
      </c>
      <c r="U15" s="141" t="str">
        <f>IF(R15&lt;&gt;"",SUMIFS('JPK_KR-1'!AL:AL,'JPK_KR-1'!W:W,S15),"")</f>
        <v/>
      </c>
      <c r="V15" s="144" t="str">
        <f>IF(R15&lt;&gt;"",SUMIFS('JPK_KR-1'!AM:AM,'JPK_KR-1'!W:W,S15),"")</f>
        <v/>
      </c>
    </row>
    <row r="16" spans="1:22" x14ac:dyDescent="0.3">
      <c r="A16" s="5" t="str">
        <f>IF(kokpit!A16&lt;&gt;"",kokpit!A16,"")</f>
        <v>ABII2a1</v>
      </c>
      <c r="B16" s="5" t="str">
        <f>IF(kokpit!B16&lt;&gt;"",kokpit!B16,"")</f>
        <v>200*</v>
      </c>
      <c r="C16" s="24">
        <f>IF(A16&lt;&gt;"",SUMIFS('JPK_KR-1'!AL:AL,'JPK_KR-1'!W:W,B16),"")</f>
        <v>0</v>
      </c>
      <c r="D16" s="126">
        <f>IF(A16&lt;&gt;"",SUMIFS('JPK_KR-1'!AM:AM,'JPK_KR-1'!W:W,B16),"")</f>
        <v>1930</v>
      </c>
      <c r="E16" s="5" t="str">
        <f>IF(kokpit!E16&lt;&gt;"",kokpit!E16,"")</f>
        <v>PBIV2</v>
      </c>
      <c r="F16" s="127" t="str">
        <f>IF(kokpit!F16&lt;&gt;"",kokpit!F16,"")</f>
        <v>844*</v>
      </c>
      <c r="G16" s="24">
        <f>IF(E16&lt;&gt;"",SUMIFS('JPK_KR-1'!AL:AL,'JPK_KR-1'!W:W,F16),"")</f>
        <v>0</v>
      </c>
      <c r="H16" s="126">
        <f>IF(E16&lt;&gt;"",SUMIFS('JPK_KR-1'!AM:AM,'JPK_KR-1'!W:W,F16),"")</f>
        <v>1250</v>
      </c>
      <c r="I16" s="5" t="str">
        <f>IF(kokpit!I16&lt;&gt;"",kokpit!I16,"")</f>
        <v>AII</v>
      </c>
      <c r="J16" s="5" t="str">
        <f>IF(kokpit!J16&lt;&gt;"",kokpit!J16,"")</f>
        <v>490*</v>
      </c>
      <c r="K16" s="24">
        <f>IF(I16&lt;&gt;"",SUMIFS('JPK_KR-1'!AL:AL,'JPK_KR-1'!W:W,J16),"")</f>
        <v>0</v>
      </c>
      <c r="L16" s="141">
        <f>IF(I16&lt;&gt;"",SUMIFS('JPK_KR-1'!AM:AM,'JPK_KR-1'!W:W,J16),"")</f>
        <v>20646.86</v>
      </c>
      <c r="M16" s="169" t="str">
        <f>IF(kokpit!M16&lt;&gt;"",kokpit!M16,"")</f>
        <v/>
      </c>
      <c r="N16" s="169" t="str">
        <f>IF(kokpit!N16&lt;&gt;"",kokpit!N16,"")</f>
        <v/>
      </c>
      <c r="O16" s="169" t="str">
        <f>IF(kokpit!O16&lt;&gt;"",kokpit!O16,"")</f>
        <v>BO</v>
      </c>
      <c r="P16" s="170" t="str">
        <f>IF(M16&lt;&gt;"",SUMIFS('JPK_KR-1'!AF:AF,'JPK_KR-1'!W:W,N16),"")</f>
        <v/>
      </c>
      <c r="Q16" s="170" t="str">
        <f>IF(M16&lt;&gt;"",SUMIFS('JPK_KR-1'!AG:AG,'JPK_KR-1'!W:W,N16),"")</f>
        <v/>
      </c>
      <c r="R16" s="117" t="str">
        <f>IF(kokpit!R16&lt;&gt;"",kokpit!R16,"")</f>
        <v/>
      </c>
      <c r="S16" s="117" t="str">
        <f>IF(kokpit!S16&lt;&gt;"",kokpit!S16,"")</f>
        <v/>
      </c>
      <c r="T16" s="117" t="str">
        <f>IF(kokpit!T16&lt;&gt;"",kokpit!T16,"")</f>
        <v/>
      </c>
      <c r="U16" s="141" t="str">
        <f>IF(R16&lt;&gt;"",SUMIFS('JPK_KR-1'!AL:AL,'JPK_KR-1'!W:W,S16),"")</f>
        <v/>
      </c>
      <c r="V16" s="144" t="str">
        <f>IF(R16&lt;&gt;"",SUMIFS('JPK_KR-1'!AM:AM,'JPK_KR-1'!W:W,S16),"")</f>
        <v/>
      </c>
    </row>
    <row r="17" spans="1:22" x14ac:dyDescent="0.3">
      <c r="A17" s="5" t="str">
        <f>IF(kokpit!A17&lt;&gt;"",kokpit!A17,"")</f>
        <v>ABII3a1</v>
      </c>
      <c r="B17" s="5" t="str">
        <f>IF(kokpit!B17&lt;&gt;"",kokpit!B17,"")</f>
        <v>201-2-1*</v>
      </c>
      <c r="C17" s="24">
        <f>IF(A17&lt;&gt;"",SUMIFS('JPK_KR-1'!AL:AL,'JPK_KR-1'!W:W,B17),"")</f>
        <v>14430.630000000001</v>
      </c>
      <c r="D17" s="126">
        <f>IF(A17&lt;&gt;"",SUMIFS('JPK_KR-1'!AM:AM,'JPK_KR-1'!W:W,B17),"")</f>
        <v>77016.7</v>
      </c>
      <c r="E17" s="5" t="str">
        <f>IF(kokpit!E17&lt;&gt;"",kokpit!E17,"")</f>
        <v>PBIV2</v>
      </c>
      <c r="F17" s="127" t="str">
        <f>IF(kokpit!F17&lt;&gt;"",kokpit!F17,"")</f>
        <v>901*</v>
      </c>
      <c r="G17" s="24">
        <f>IF(E17&lt;&gt;"",SUMIFS('JPK_KR-1'!AL:AL,'JPK_KR-1'!W:W,F17),"")</f>
        <v>0</v>
      </c>
      <c r="H17" s="126">
        <f>IF(E17&lt;&gt;"",SUMIFS('JPK_KR-1'!AM:AM,'JPK_KR-1'!W:W,F17),"")</f>
        <v>297.5</v>
      </c>
      <c r="I17" s="5" t="str">
        <f>IF(kokpit!I17&lt;&gt;"",kokpit!I17,"")</f>
        <v>AII</v>
      </c>
      <c r="J17" s="5" t="str">
        <f>IF(kokpit!J17&lt;&gt;"",kokpit!J17,"")</f>
        <v>5*</v>
      </c>
      <c r="K17" s="24">
        <f>IF(I17&lt;&gt;"",SUMIFS('JPK_KR-1'!AL:AL,'JPK_KR-1'!W:W,J17),"")</f>
        <v>20646.86</v>
      </c>
      <c r="L17" s="141">
        <f>IF(I17&lt;&gt;"",SUMIFS('JPK_KR-1'!AM:AM,'JPK_KR-1'!W:W,J17),"")</f>
        <v>0</v>
      </c>
      <c r="M17" s="169" t="str">
        <f>IF(kokpit!M17&lt;&gt;"",kokpit!M17,"")</f>
        <v/>
      </c>
      <c r="N17" s="169" t="str">
        <f>IF(kokpit!N17&lt;&gt;"",kokpit!N17,"")</f>
        <v/>
      </c>
      <c r="O17" s="169" t="str">
        <f>IF(kokpit!O17&lt;&gt;"",kokpit!O17,"")</f>
        <v>BO</v>
      </c>
      <c r="P17" s="170" t="str">
        <f>IF(M17&lt;&gt;"",SUMIFS('JPK_KR-1'!AF:AF,'JPK_KR-1'!W:W,N17),"")</f>
        <v/>
      </c>
      <c r="Q17" s="170" t="str">
        <f>IF(M17&lt;&gt;"",SUMIFS('JPK_KR-1'!AG:AG,'JPK_KR-1'!W:W,N17),"")</f>
        <v/>
      </c>
      <c r="R17" s="117" t="str">
        <f>IF(kokpit!R17&lt;&gt;"",kokpit!R17,"")</f>
        <v/>
      </c>
      <c r="S17" s="117" t="str">
        <f>IF(kokpit!S17&lt;&gt;"",kokpit!S17,"")</f>
        <v/>
      </c>
      <c r="T17" s="117" t="str">
        <f>IF(kokpit!T17&lt;&gt;"",kokpit!T17,"")</f>
        <v/>
      </c>
      <c r="U17" s="141" t="str">
        <f>IF(R17&lt;&gt;"",SUMIFS('JPK_KR-1'!AL:AL,'JPK_KR-1'!W:W,S17),"")</f>
        <v/>
      </c>
      <c r="V17" s="144" t="str">
        <f>IF(R17&lt;&gt;"",SUMIFS('JPK_KR-1'!AM:AM,'JPK_KR-1'!W:W,S17),"")</f>
        <v/>
      </c>
    </row>
    <row r="18" spans="1:22" x14ac:dyDescent="0.3">
      <c r="A18" s="5" t="str">
        <f>IF(kokpit!A18&lt;&gt;"",kokpit!A18,"")</f>
        <v>ABII3a1</v>
      </c>
      <c r="B18" s="5" t="str">
        <f>IF(kokpit!B18&lt;&gt;"",kokpit!B18,"")</f>
        <v>202-2-1*</v>
      </c>
      <c r="C18" s="24">
        <f>IF(A18&lt;&gt;"",SUMIFS('JPK_KR-1'!AL:AL,'JPK_KR-1'!W:W,B18),"")</f>
        <v>5700</v>
      </c>
      <c r="D18" s="126">
        <f>IF(A18&lt;&gt;"",SUMIFS('JPK_KR-1'!AM:AM,'JPK_KR-1'!W:W,B18),"")</f>
        <v>15708.960000000001</v>
      </c>
      <c r="E18" s="5" t="str">
        <f>IF(kokpit!E18&lt;&gt;"",kokpit!E18,"")</f>
        <v/>
      </c>
      <c r="F18" s="127" t="str">
        <f>IF(kokpit!F18&lt;&gt;"",kokpit!F18,"")</f>
        <v/>
      </c>
      <c r="G18" s="24" t="str">
        <f>IF(E18&lt;&gt;"",SUMIFS('JPK_KR-1'!AL:AL,'JPK_KR-1'!W:W,F18),"")</f>
        <v/>
      </c>
      <c r="H18" s="126" t="str">
        <f>IF(E18&lt;&gt;"",SUMIFS('JPK_KR-1'!AM:AM,'JPK_KR-1'!W:W,F18),"")</f>
        <v/>
      </c>
      <c r="I18" s="5" t="str">
        <f>IF(kokpit!I18&lt;&gt;"",kokpit!I18,"")</f>
        <v>DIII</v>
      </c>
      <c r="J18" s="5" t="str">
        <f>IF(kokpit!J18&lt;&gt;"",kokpit!J18,"")</f>
        <v>763*</v>
      </c>
      <c r="K18" s="24">
        <f>IF(I18&lt;&gt;"",SUMIFS('JPK_KR-1'!AL:AL,'JPK_KR-1'!W:W,J18),"")</f>
        <v>470</v>
      </c>
      <c r="L18" s="141">
        <f>IF(I18&lt;&gt;"",SUMIFS('JPK_KR-1'!AM:AM,'JPK_KR-1'!W:W,J18),"")</f>
        <v>0</v>
      </c>
      <c r="M18" s="169" t="str">
        <f>IF(kokpit!M18&lt;&gt;"",kokpit!M18,"")</f>
        <v/>
      </c>
      <c r="N18" s="169" t="str">
        <f>IF(kokpit!N18&lt;&gt;"",kokpit!N18,"")</f>
        <v/>
      </c>
      <c r="O18" s="169" t="str">
        <f>IF(kokpit!O18&lt;&gt;"",kokpit!O18,"")</f>
        <v>BO</v>
      </c>
      <c r="P18" s="170" t="str">
        <f>IF(M18&lt;&gt;"",SUMIFS('JPK_KR-1'!AF:AF,'JPK_KR-1'!W:W,N18),"")</f>
        <v/>
      </c>
      <c r="Q18" s="170" t="str">
        <f>IF(M18&lt;&gt;"",SUMIFS('JPK_KR-1'!AG:AG,'JPK_KR-1'!W:W,N18),"")</f>
        <v/>
      </c>
      <c r="R18" s="117" t="str">
        <f>IF(kokpit!R18&lt;&gt;"",kokpit!R18,"")</f>
        <v/>
      </c>
      <c r="S18" s="117" t="str">
        <f>IF(kokpit!S18&lt;&gt;"",kokpit!S18,"")</f>
        <v/>
      </c>
      <c r="T18" s="117" t="str">
        <f>IF(kokpit!T18&lt;&gt;"",kokpit!T18,"")</f>
        <v/>
      </c>
      <c r="U18" s="141" t="str">
        <f>IF(R18&lt;&gt;"",SUMIFS('JPK_KR-1'!AL:AL,'JPK_KR-1'!W:W,S18),"")</f>
        <v/>
      </c>
      <c r="V18" s="144" t="str">
        <f>IF(R18&lt;&gt;"",SUMIFS('JPK_KR-1'!AM:AM,'JPK_KR-1'!W:W,S18),"")</f>
        <v/>
      </c>
    </row>
    <row r="19" spans="1:22" x14ac:dyDescent="0.3">
      <c r="A19" s="5" t="str">
        <f>IF(kokpit!A19&lt;&gt;"",kokpit!A19,"")</f>
        <v>ABII3a1</v>
      </c>
      <c r="B19" s="5" t="str">
        <f>IF(kokpit!B19&lt;&gt;"",kokpit!B19,"")</f>
        <v>203-2-1*</v>
      </c>
      <c r="C19" s="24">
        <f>IF(A19&lt;&gt;"",SUMIFS('JPK_KR-1'!AL:AL,'JPK_KR-1'!W:W,B19),"")</f>
        <v>23000.89</v>
      </c>
      <c r="D19" s="126">
        <f>IF(A19&lt;&gt;"",SUMIFS('JPK_KR-1'!AM:AM,'JPK_KR-1'!W:W,B19),"")</f>
        <v>0</v>
      </c>
      <c r="E19" s="5" t="str">
        <f>IF(kokpit!E19&lt;&gt;"",kokpit!E19,"")</f>
        <v/>
      </c>
      <c r="F19" s="127" t="str">
        <f>IF(kokpit!F19&lt;&gt;"",kokpit!F19,"")</f>
        <v/>
      </c>
      <c r="G19" s="24" t="str">
        <f>IF(E19&lt;&gt;"",SUMIFS('JPK_KR-1'!AL:AL,'JPK_KR-1'!W:W,F19),"")</f>
        <v/>
      </c>
      <c r="H19" s="126" t="str">
        <f>IF(E19&lt;&gt;"",SUMIFS('JPK_KR-1'!AM:AM,'JPK_KR-1'!W:W,F19),"")</f>
        <v/>
      </c>
      <c r="I19" s="5" t="str">
        <f>IF(kokpit!I19&lt;&gt;"",kokpit!I19,"")</f>
        <v>GV</v>
      </c>
      <c r="J19" s="5" t="str">
        <f>IF(kokpit!J19&lt;&gt;"",kokpit!J19,"")</f>
        <v>759*</v>
      </c>
      <c r="K19" s="24">
        <f>IF(I19&lt;&gt;"",SUMIFS('JPK_KR-1'!AL:AL,'JPK_KR-1'!W:W,J19),"")</f>
        <v>0</v>
      </c>
      <c r="L19" s="141">
        <f>IF(I19&lt;&gt;"",SUMIFS('JPK_KR-1'!AM:AM,'JPK_KR-1'!W:W,J19),"")</f>
        <v>0.74</v>
      </c>
      <c r="M19" s="143" t="str">
        <f>IF(kokpit!M19&lt;&gt;"",kokpit!M19,"")</f>
        <v/>
      </c>
      <c r="N19" s="117" t="str">
        <f>IF(kokpit!N19&lt;&gt;"",kokpit!N19,"")</f>
        <v/>
      </c>
      <c r="O19" s="117" t="str">
        <f>IF(kokpit!O19&lt;&gt;"",kokpit!O19,"")</f>
        <v/>
      </c>
      <c r="P19" s="141" t="str">
        <f>IF(M19&lt;&gt;"",IF(O19="",SUMIFS('JPK_KR-1'!AL:AL,'JPK_KR-1'!W:W,N19),SUMIFS('JPK_KR-1'!BF:BF,'JPK_KR-1'!BE:BE,N19,'JPK_KR-1'!BG:BG,O19)),"")</f>
        <v/>
      </c>
      <c r="Q19" s="144" t="str">
        <f>IF(M19&lt;&gt;"",IF(O19="",SUMIFS('JPK_KR-1'!AM:AM,'JPK_KR-1'!W:W,N19),SUMIFS('JPK_KR-1'!BI:BI,'JPK_KR-1'!BH:BH,N19,'JPK_KR-1'!BJ:BJ,O19)),"")</f>
        <v/>
      </c>
      <c r="R19" s="117" t="str">
        <f>IF(kokpit!R19&lt;&gt;"",kokpit!R19,"")</f>
        <v/>
      </c>
      <c r="S19" s="117" t="str">
        <f>IF(kokpit!S19&lt;&gt;"",kokpit!S19,"")</f>
        <v/>
      </c>
      <c r="T19" s="117" t="str">
        <f>IF(kokpit!T19&lt;&gt;"",kokpit!T19,"")</f>
        <v/>
      </c>
      <c r="U19" s="141" t="str">
        <f>IF(R19&lt;&gt;"",SUMIFS('JPK_KR-1'!AL:AL,'JPK_KR-1'!W:W,S19),"")</f>
        <v/>
      </c>
      <c r="V19" s="144" t="str">
        <f>IF(R19&lt;&gt;"",SUMIFS('JPK_KR-1'!AM:AM,'JPK_KR-1'!W:W,S19),"")</f>
        <v/>
      </c>
    </row>
    <row r="20" spans="1:22" x14ac:dyDescent="0.3">
      <c r="A20" s="5" t="str">
        <f>IF(kokpit!A20&lt;&gt;"",kokpit!A20,"")</f>
        <v>ABII3b</v>
      </c>
      <c r="B20" s="5" t="str">
        <f>IF(kokpit!B20&lt;&gt;"",kokpit!B20,"")</f>
        <v>221*</v>
      </c>
      <c r="C20" s="24">
        <f>IF(A20&lt;&gt;"",SUMIFS('JPK_KR-1'!AL:AL,'JPK_KR-1'!W:W,B20),"")</f>
        <v>24607.64</v>
      </c>
      <c r="D20" s="126">
        <f>IF(A20&lt;&gt;"",SUMIFS('JPK_KR-1'!AM:AM,'JPK_KR-1'!W:W,B20),"")</f>
        <v>23222.06</v>
      </c>
      <c r="E20" s="5" t="str">
        <f>IF(kokpit!E20&lt;&gt;"",kokpit!E20,"")</f>
        <v/>
      </c>
      <c r="F20" s="127" t="str">
        <f>IF(kokpit!F20&lt;&gt;"",kokpit!F20,"")</f>
        <v/>
      </c>
      <c r="G20" s="24" t="str">
        <f>IF(E20&lt;&gt;"",SUMIFS('JPK_KR-1'!AL:AL,'JPK_KR-1'!W:W,F20),"")</f>
        <v/>
      </c>
      <c r="H20" s="126" t="str">
        <f>IF(E20&lt;&gt;"",SUMIFS('JPK_KR-1'!AM:AM,'JPK_KR-1'!W:W,F20),"")</f>
        <v/>
      </c>
      <c r="I20" s="5" t="str">
        <f>IF(kokpit!I20&lt;&gt;"",kokpit!I20,"")</f>
        <v>GII</v>
      </c>
      <c r="J20" s="5" t="str">
        <f>IF(kokpit!J20&lt;&gt;"",kokpit!J20,"")</f>
        <v>752-2</v>
      </c>
      <c r="K20" s="24">
        <f>IF(I20&lt;&gt;"",SUMIFS('JPK_KR-1'!AL:AL,'JPK_KR-1'!W:W,J20),"")</f>
        <v>0</v>
      </c>
      <c r="L20" s="141">
        <f>IF(I20&lt;&gt;"",SUMIFS('JPK_KR-1'!AM:AM,'JPK_KR-1'!W:W,J20),"")</f>
        <v>8480.33</v>
      </c>
      <c r="M20" s="143" t="str">
        <f>IF(kokpit!M20&lt;&gt;"",kokpit!M20,"")</f>
        <v/>
      </c>
      <c r="N20" s="117" t="str">
        <f>IF(kokpit!N20&lt;&gt;"",kokpit!N20,"")</f>
        <v/>
      </c>
      <c r="O20" s="117" t="str">
        <f>IF(kokpit!O20&lt;&gt;"",kokpit!O20,"")</f>
        <v/>
      </c>
      <c r="P20" s="141" t="str">
        <f>IF(M20&lt;&gt;"",IF(O20="",SUMIFS('JPK_KR-1'!AL:AL,'JPK_KR-1'!W:W,N20),SUMIFS('JPK_KR-1'!BF:BF,'JPK_KR-1'!BE:BE,N20,'JPK_KR-1'!BG:BG,O20)),"")</f>
        <v/>
      </c>
      <c r="Q20" s="144" t="str">
        <f>IF(M20&lt;&gt;"",IF(O20="",SUMIFS('JPK_KR-1'!AM:AM,'JPK_KR-1'!W:W,N20),SUMIFS('JPK_KR-1'!BI:BI,'JPK_KR-1'!BH:BH,N20,'JPK_KR-1'!BJ:BJ,O20)),"")</f>
        <v/>
      </c>
      <c r="R20" s="117" t="str">
        <f>IF(kokpit!R20&lt;&gt;"",kokpit!R20,"")</f>
        <v/>
      </c>
      <c r="S20" s="117" t="str">
        <f>IF(kokpit!S20&lt;&gt;"",kokpit!S20,"")</f>
        <v/>
      </c>
      <c r="T20" s="117" t="str">
        <f>IF(kokpit!T20&lt;&gt;"",kokpit!T20,"")</f>
        <v/>
      </c>
      <c r="U20" s="141" t="str">
        <f>IF(R20&lt;&gt;"",SUMIFS('JPK_KR-1'!AL:AL,'JPK_KR-1'!W:W,S20),"")</f>
        <v/>
      </c>
      <c r="V20" s="144" t="str">
        <f>IF(R20&lt;&gt;"",SUMIFS('JPK_KR-1'!AM:AM,'JPK_KR-1'!W:W,S20),"")</f>
        <v/>
      </c>
    </row>
    <row r="21" spans="1:22" x14ac:dyDescent="0.3">
      <c r="A21" s="5" t="str">
        <f>IF(kokpit!A21&lt;&gt;"",kokpit!A21,"")</f>
        <v>ABII3c</v>
      </c>
      <c r="B21" s="5" t="str">
        <f>IF(kokpit!B21&lt;&gt;"",kokpit!B21,"")</f>
        <v>234*</v>
      </c>
      <c r="C21" s="24">
        <f>IF(A21&lt;&gt;"",SUMIFS('JPK_KR-1'!AL:AL,'JPK_KR-1'!W:W,B21),"")</f>
        <v>130</v>
      </c>
      <c r="D21" s="126">
        <f>IF(A21&lt;&gt;"",SUMIFS('JPK_KR-1'!AM:AM,'JPK_KR-1'!W:W,B21),"")</f>
        <v>1000</v>
      </c>
      <c r="E21" s="5" t="str">
        <f>IF(kokpit!E21&lt;&gt;"",kokpit!E21,"")</f>
        <v/>
      </c>
      <c r="F21" s="127" t="str">
        <f>IF(kokpit!F21&lt;&gt;"",kokpit!F21,"")</f>
        <v/>
      </c>
      <c r="G21" s="24" t="str">
        <f>IF(E21&lt;&gt;"",SUMIFS('JPK_KR-1'!AL:AL,'JPK_KR-1'!W:W,F21),"")</f>
        <v/>
      </c>
      <c r="H21" s="126" t="str">
        <f>IF(E21&lt;&gt;"",SUMIFS('JPK_KR-1'!AM:AM,'JPK_KR-1'!W:W,F21),"")</f>
        <v/>
      </c>
      <c r="I21" s="5" t="str">
        <f>IF(kokpit!I21&lt;&gt;"",kokpit!I21,"")</f>
        <v/>
      </c>
      <c r="J21" s="5" t="str">
        <f>IF(kokpit!J21&lt;&gt;"",kokpit!J21,"")</f>
        <v/>
      </c>
      <c r="K21" s="24" t="str">
        <f>IF(I21&lt;&gt;"",SUMIFS('JPK_KR-1'!AL:AL,'JPK_KR-1'!W:W,J21),"")</f>
        <v/>
      </c>
      <c r="L21" s="141" t="str">
        <f>IF(I21&lt;&gt;"",SUMIFS('JPK_KR-1'!AM:AM,'JPK_KR-1'!W:W,J21),"")</f>
        <v/>
      </c>
      <c r="M21" s="143" t="str">
        <f>IF(kokpit!M21&lt;&gt;"",kokpit!M21,"")</f>
        <v/>
      </c>
      <c r="N21" s="117" t="str">
        <f>IF(kokpit!N21&lt;&gt;"",kokpit!N21,"")</f>
        <v/>
      </c>
      <c r="O21" s="117" t="str">
        <f>IF(kokpit!O21&lt;&gt;"",kokpit!O21,"")</f>
        <v/>
      </c>
      <c r="P21" s="141" t="str">
        <f>IF(M21&lt;&gt;"",IF(O21="",SUMIFS('JPK_KR-1'!AL:AL,'JPK_KR-1'!W:W,N21),SUMIFS('JPK_KR-1'!BF:BF,'JPK_KR-1'!BE:BE,N21,'JPK_KR-1'!BG:BG,O21)),"")</f>
        <v/>
      </c>
      <c r="Q21" s="144" t="str">
        <f>IF(M21&lt;&gt;"",IF(O21="",SUMIFS('JPK_KR-1'!AM:AM,'JPK_KR-1'!W:W,N21),SUMIFS('JPK_KR-1'!BI:BI,'JPK_KR-1'!BH:BH,N21,'JPK_KR-1'!BJ:BJ,O21)),"")</f>
        <v/>
      </c>
      <c r="R21" s="117" t="str">
        <f>IF(kokpit!R21&lt;&gt;"",kokpit!R21,"")</f>
        <v/>
      </c>
      <c r="S21" s="117" t="str">
        <f>IF(kokpit!S21&lt;&gt;"",kokpit!S21,"")</f>
        <v/>
      </c>
      <c r="T21" s="117" t="str">
        <f>IF(kokpit!T21&lt;&gt;"",kokpit!T21,"")</f>
        <v/>
      </c>
      <c r="U21" s="141" t="str">
        <f>IF(R21&lt;&gt;"",SUMIFS('JPK_KR-1'!AL:AL,'JPK_KR-1'!W:W,S21),"")</f>
        <v/>
      </c>
      <c r="V21" s="144" t="str">
        <f>IF(R21&lt;&gt;"",SUMIFS('JPK_KR-1'!AM:AM,'JPK_KR-1'!W:W,S21),"")</f>
        <v/>
      </c>
    </row>
    <row r="22" spans="1:22" x14ac:dyDescent="0.3">
      <c r="A22" s="5" t="str">
        <f>IF(kokpit!A22&lt;&gt;"",kokpit!A22,"")</f>
        <v>ABIII1c1</v>
      </c>
      <c r="B22" s="5" t="str">
        <f>IF(kokpit!B22&lt;&gt;"",kokpit!B22,"")</f>
        <v>100*</v>
      </c>
      <c r="C22" s="24">
        <f>IF(A22&lt;&gt;"",SUMIFS('JPK_KR-1'!AL:AL,'JPK_KR-1'!W:W,B22),"")</f>
        <v>4590</v>
      </c>
      <c r="D22" s="126">
        <f>IF(A22&lt;&gt;"",SUMIFS('JPK_KR-1'!AM:AM,'JPK_KR-1'!W:W,B22),"")</f>
        <v>0</v>
      </c>
      <c r="E22" s="5" t="str">
        <f>IF(kokpit!E22&lt;&gt;"",kokpit!E22,"")</f>
        <v/>
      </c>
      <c r="F22" s="127" t="str">
        <f>IF(kokpit!F22&lt;&gt;"",kokpit!F22,"")</f>
        <v/>
      </c>
      <c r="G22" s="24" t="str">
        <f>IF(E22&lt;&gt;"",SUMIFS('JPK_KR-1'!AL:AL,'JPK_KR-1'!W:W,F22),"")</f>
        <v/>
      </c>
      <c r="H22" s="126" t="str">
        <f>IF(E22&lt;&gt;"",SUMIFS('JPK_KR-1'!AM:AM,'JPK_KR-1'!W:W,F22),"")</f>
        <v/>
      </c>
      <c r="I22" s="5" t="str">
        <f>IF(kokpit!I22&lt;&gt;"",kokpit!I22,"")</f>
        <v/>
      </c>
      <c r="J22" s="5" t="str">
        <f>IF(kokpit!J22&lt;&gt;"",kokpit!J22,"")</f>
        <v/>
      </c>
      <c r="K22" s="24" t="str">
        <f>IF(I22&lt;&gt;"",SUMIFS('JPK_KR-1'!AL:AL,'JPK_KR-1'!W:W,J22),"")</f>
        <v/>
      </c>
      <c r="L22" s="141" t="str">
        <f>IF(I22&lt;&gt;"",SUMIFS('JPK_KR-1'!AM:AM,'JPK_KR-1'!W:W,J22),"")</f>
        <v/>
      </c>
      <c r="M22" s="143" t="str">
        <f>IF(kokpit!M22&lt;&gt;"",kokpit!M22,"")</f>
        <v/>
      </c>
      <c r="N22" s="117" t="str">
        <f>IF(kokpit!N22&lt;&gt;"",kokpit!N22,"")</f>
        <v/>
      </c>
      <c r="O22" s="117" t="str">
        <f>IF(kokpit!O22&lt;&gt;"",kokpit!O22,"")</f>
        <v/>
      </c>
      <c r="P22" s="141" t="str">
        <f>IF(M22&lt;&gt;"",IF(O22="",SUMIFS('JPK_KR-1'!AL:AL,'JPK_KR-1'!W:W,N22),SUMIFS('JPK_KR-1'!BF:BF,'JPK_KR-1'!BE:BE,N22,'JPK_KR-1'!BG:BG,O22)),"")</f>
        <v/>
      </c>
      <c r="Q22" s="144" t="str">
        <f>IF(M22&lt;&gt;"",IF(O22="",SUMIFS('JPK_KR-1'!AM:AM,'JPK_KR-1'!W:W,N22),SUMIFS('JPK_KR-1'!BI:BI,'JPK_KR-1'!BH:BH,N22,'JPK_KR-1'!BJ:BJ,O22)),"")</f>
        <v/>
      </c>
      <c r="R22" s="117" t="str">
        <f>IF(kokpit!R22&lt;&gt;"",kokpit!R22,"")</f>
        <v/>
      </c>
      <c r="S22" s="117" t="str">
        <f>IF(kokpit!S22&lt;&gt;"",kokpit!S22,"")</f>
        <v/>
      </c>
      <c r="T22" s="117" t="str">
        <f>IF(kokpit!T22&lt;&gt;"",kokpit!T22,"")</f>
        <v/>
      </c>
      <c r="U22" s="141" t="str">
        <f>IF(R22&lt;&gt;"",SUMIFS('JPK_KR-1'!AL:AL,'JPK_KR-1'!W:W,S22),"")</f>
        <v/>
      </c>
      <c r="V22" s="144" t="str">
        <f>IF(R22&lt;&gt;"",SUMIFS('JPK_KR-1'!AM:AM,'JPK_KR-1'!W:W,S22),"")</f>
        <v/>
      </c>
    </row>
    <row r="23" spans="1:22" x14ac:dyDescent="0.3">
      <c r="A23" s="5" t="str">
        <f>IF(kokpit!A23&lt;&gt;"",kokpit!A23,"")</f>
        <v>ABIII1c1</v>
      </c>
      <c r="B23" s="5" t="str">
        <f>IF(kokpit!B23&lt;&gt;"",kokpit!B23,"")</f>
        <v>130*</v>
      </c>
      <c r="C23" s="24">
        <f>IF(A23&lt;&gt;"",SUMIFS('JPK_KR-1'!AL:AL,'JPK_KR-1'!W:W,B23),"")</f>
        <v>0</v>
      </c>
      <c r="D23" s="126">
        <f>IF(A23&lt;&gt;"",SUMIFS('JPK_KR-1'!AM:AM,'JPK_KR-1'!W:W,B23),"")</f>
        <v>24702.9</v>
      </c>
      <c r="E23" s="5" t="str">
        <f>IF(kokpit!E23&lt;&gt;"",kokpit!E23,"")</f>
        <v/>
      </c>
      <c r="F23" s="127" t="str">
        <f>IF(kokpit!F23&lt;&gt;"",kokpit!F23,"")</f>
        <v/>
      </c>
      <c r="G23" s="24" t="str">
        <f>IF(E23&lt;&gt;"",SUMIFS('JPK_KR-1'!AL:AL,'JPK_KR-1'!W:W,F23),"")</f>
        <v/>
      </c>
      <c r="H23" s="126" t="str">
        <f>IF(E23&lt;&gt;"",SUMIFS('JPK_KR-1'!AM:AM,'JPK_KR-1'!W:W,F23),"")</f>
        <v/>
      </c>
      <c r="I23" s="5" t="str">
        <f>IF(kokpit!I23&lt;&gt;"",kokpit!I23,"")</f>
        <v/>
      </c>
      <c r="J23" s="5" t="str">
        <f>IF(kokpit!J23&lt;&gt;"",kokpit!J23,"")</f>
        <v/>
      </c>
      <c r="K23" s="24" t="str">
        <f>IF(I23&lt;&gt;"",SUMIFS('JPK_KR-1'!AL:AL,'JPK_KR-1'!W:W,J23),"")</f>
        <v/>
      </c>
      <c r="L23" s="141" t="str">
        <f>IF(I23&lt;&gt;"",SUMIFS('JPK_KR-1'!AM:AM,'JPK_KR-1'!W:W,J23),"")</f>
        <v/>
      </c>
      <c r="M23" s="143" t="str">
        <f>IF(kokpit!M23&lt;&gt;"",kokpit!M23,"")</f>
        <v/>
      </c>
      <c r="N23" s="117" t="str">
        <f>IF(kokpit!N23&lt;&gt;"",kokpit!N23,"")</f>
        <v/>
      </c>
      <c r="O23" s="117" t="str">
        <f>IF(kokpit!O23&lt;&gt;"",kokpit!O23,"")</f>
        <v/>
      </c>
      <c r="P23" s="141" t="str">
        <f>IF(M23&lt;&gt;"",IF(O23="",SUMIFS('JPK_KR-1'!AL:AL,'JPK_KR-1'!W:W,N23),SUMIFS('JPK_KR-1'!BF:BF,'JPK_KR-1'!BE:BE,N23,'JPK_KR-1'!BG:BG,O23)),"")</f>
        <v/>
      </c>
      <c r="Q23" s="144" t="str">
        <f>IF(M23&lt;&gt;"",IF(O23="",SUMIFS('JPK_KR-1'!AM:AM,'JPK_KR-1'!W:W,N23),SUMIFS('JPK_KR-1'!BI:BI,'JPK_KR-1'!BH:BH,N23,'JPK_KR-1'!BJ:BJ,O23)),"")</f>
        <v/>
      </c>
      <c r="R23" s="117" t="str">
        <f>IF(kokpit!R23&lt;&gt;"",kokpit!R23,"")</f>
        <v/>
      </c>
      <c r="S23" s="117" t="str">
        <f>IF(kokpit!S23&lt;&gt;"",kokpit!S23,"")</f>
        <v/>
      </c>
      <c r="T23" s="117" t="str">
        <f>IF(kokpit!T23&lt;&gt;"",kokpit!T23,"")</f>
        <v/>
      </c>
      <c r="U23" s="141" t="str">
        <f>IF(R23&lt;&gt;"",SUMIFS('JPK_KR-1'!AL:AL,'JPK_KR-1'!W:W,S23),"")</f>
        <v/>
      </c>
      <c r="V23" s="144" t="str">
        <f>IF(R23&lt;&gt;"",SUMIFS('JPK_KR-1'!AM:AM,'JPK_KR-1'!W:W,S23),"")</f>
        <v/>
      </c>
    </row>
    <row r="24" spans="1:22" x14ac:dyDescent="0.3">
      <c r="A24" s="5" t="str">
        <f>IF(kokpit!A24&lt;&gt;"",kokpit!A24,"")</f>
        <v>ABIII1c2</v>
      </c>
      <c r="B24" s="5" t="str">
        <f>IF(kokpit!B24&lt;&gt;"",kokpit!B24,"")</f>
        <v>132*</v>
      </c>
      <c r="C24" s="24">
        <f>IF(A24&lt;&gt;"",SUMIFS('JPK_KR-1'!AL:AL,'JPK_KR-1'!W:W,B24),"")</f>
        <v>74125</v>
      </c>
      <c r="D24" s="126">
        <f>IF(A24&lt;&gt;"",SUMIFS('JPK_KR-1'!AM:AM,'JPK_KR-1'!W:W,B24),"")</f>
        <v>0</v>
      </c>
      <c r="E24" s="5" t="str">
        <f>IF(kokpit!E24&lt;&gt;"",kokpit!E24,"")</f>
        <v/>
      </c>
      <c r="F24" s="127" t="str">
        <f>IF(kokpit!F24&lt;&gt;"",kokpit!F24,"")</f>
        <v/>
      </c>
      <c r="G24" s="24" t="str">
        <f>IF(E24&lt;&gt;"",SUMIFS('JPK_KR-1'!AL:AL,'JPK_KR-1'!W:W,F24),"")</f>
        <v/>
      </c>
      <c r="H24" s="126" t="str">
        <f>IF(E24&lt;&gt;"",SUMIFS('JPK_KR-1'!AM:AM,'JPK_KR-1'!W:W,F24),"")</f>
        <v/>
      </c>
      <c r="I24" s="5" t="str">
        <f>IF(kokpit!I24&lt;&gt;"",kokpit!I24,"")</f>
        <v/>
      </c>
      <c r="J24" s="5" t="str">
        <f>IF(kokpit!J24&lt;&gt;"",kokpit!J24,"")</f>
        <v/>
      </c>
      <c r="K24" s="24" t="str">
        <f>IF(I24&lt;&gt;"",SUMIFS('JPK_KR-1'!AL:AL,'JPK_KR-1'!W:W,J24),"")</f>
        <v/>
      </c>
      <c r="L24" s="141" t="str">
        <f>IF(I24&lt;&gt;"",SUMIFS('JPK_KR-1'!AM:AM,'JPK_KR-1'!W:W,J24),"")</f>
        <v/>
      </c>
      <c r="M24" s="143" t="str">
        <f>IF(kokpit!M24&lt;&gt;"",kokpit!M24,"")</f>
        <v/>
      </c>
      <c r="N24" s="117" t="str">
        <f>IF(kokpit!N24&lt;&gt;"",kokpit!N24,"")</f>
        <v/>
      </c>
      <c r="O24" s="117" t="str">
        <f>IF(kokpit!O24&lt;&gt;"",kokpit!O24,"")</f>
        <v/>
      </c>
      <c r="P24" s="141" t="str">
        <f>IF(M24&lt;&gt;"",IF(O24="",SUMIFS('JPK_KR-1'!AL:AL,'JPK_KR-1'!W:W,N24),SUMIFS('JPK_KR-1'!BF:BF,'JPK_KR-1'!BE:BE,N24,'JPK_KR-1'!BG:BG,O24)),"")</f>
        <v/>
      </c>
      <c r="Q24" s="144" t="str">
        <f>IF(M24&lt;&gt;"",IF(O24="",SUMIFS('JPK_KR-1'!AM:AM,'JPK_KR-1'!W:W,N24),SUMIFS('JPK_KR-1'!BI:BI,'JPK_KR-1'!BH:BH,N24,'JPK_KR-1'!BJ:BJ,O24)),"")</f>
        <v/>
      </c>
      <c r="R24" s="117" t="str">
        <f>IF(kokpit!R24&lt;&gt;"",kokpit!R24,"")</f>
        <v/>
      </c>
      <c r="S24" s="117" t="str">
        <f>IF(kokpit!S24&lt;&gt;"",kokpit!S24,"")</f>
        <v/>
      </c>
      <c r="T24" s="117" t="str">
        <f>IF(kokpit!T24&lt;&gt;"",kokpit!T24,"")</f>
        <v/>
      </c>
      <c r="U24" s="141" t="str">
        <f>IF(R24&lt;&gt;"",SUMIFS('JPK_KR-1'!AL:AL,'JPK_KR-1'!W:W,S24),"")</f>
        <v/>
      </c>
      <c r="V24" s="144" t="str">
        <f>IF(R24&lt;&gt;"",SUMIFS('JPK_KR-1'!AM:AM,'JPK_KR-1'!W:W,S24),"")</f>
        <v/>
      </c>
    </row>
    <row r="25" spans="1:22" x14ac:dyDescent="0.3">
      <c r="A25" s="5" t="str">
        <f>IF(kokpit!A25&lt;&gt;"",kokpit!A25,"")</f>
        <v>ABIV</v>
      </c>
      <c r="B25" s="5" t="str">
        <f>IF(kokpit!B25&lt;&gt;"",kokpit!B25,"")</f>
        <v>641-2*</v>
      </c>
      <c r="C25" s="24">
        <f>IF(A25&lt;&gt;"",SUMIFS('JPK_KR-1'!AL:AL,'JPK_KR-1'!W:W,B25),"")</f>
        <v>264</v>
      </c>
      <c r="D25" s="126">
        <f>IF(A25&lt;&gt;"",SUMIFS('JPK_KR-1'!AM:AM,'JPK_KR-1'!W:W,B25),"")</f>
        <v>0</v>
      </c>
      <c r="E25" s="5" t="str">
        <f>IF(kokpit!E25&lt;&gt;"",kokpit!E25,"")</f>
        <v/>
      </c>
      <c r="F25" s="127" t="str">
        <f>IF(kokpit!F25&lt;&gt;"",kokpit!F25,"")</f>
        <v/>
      </c>
      <c r="G25" s="24" t="str">
        <f>IF(E25&lt;&gt;"",SUMIFS('JPK_KR-1'!AL:AL,'JPK_KR-1'!W:W,F25),"")</f>
        <v/>
      </c>
      <c r="H25" s="126" t="str">
        <f>IF(E25&lt;&gt;"",SUMIFS('JPK_KR-1'!AM:AM,'JPK_KR-1'!W:W,F25),"")</f>
        <v/>
      </c>
      <c r="I25" s="5" t="str">
        <f>IF(kokpit!I25&lt;&gt;"",kokpit!I25,"")</f>
        <v/>
      </c>
      <c r="J25" s="5" t="str">
        <f>IF(kokpit!J25&lt;&gt;"",kokpit!J25,"")</f>
        <v/>
      </c>
      <c r="K25" s="24" t="str">
        <f>IF(I25&lt;&gt;"",SUMIFS('JPK_KR-1'!AL:AL,'JPK_KR-1'!W:W,J25),"")</f>
        <v/>
      </c>
      <c r="L25" s="141" t="str">
        <f>IF(I25&lt;&gt;"",SUMIFS('JPK_KR-1'!AM:AM,'JPK_KR-1'!W:W,J25),"")</f>
        <v/>
      </c>
      <c r="M25" s="143" t="str">
        <f>IF(kokpit!M25&lt;&gt;"",kokpit!M25,"")</f>
        <v/>
      </c>
      <c r="N25" s="117" t="str">
        <f>IF(kokpit!N25&lt;&gt;"",kokpit!N25,"")</f>
        <v/>
      </c>
      <c r="O25" s="117" t="str">
        <f>IF(kokpit!O25&lt;&gt;"",kokpit!O25,"")</f>
        <v/>
      </c>
      <c r="P25" s="141" t="str">
        <f>IF(M25&lt;&gt;"",IF(O25="",SUMIFS('JPK_KR-1'!AL:AL,'JPK_KR-1'!W:W,N25),SUMIFS('JPK_KR-1'!BF:BF,'JPK_KR-1'!BE:BE,N25,'JPK_KR-1'!BG:BG,O25)),"")</f>
        <v/>
      </c>
      <c r="Q25" s="144" t="str">
        <f>IF(M25&lt;&gt;"",IF(O25="",SUMIFS('JPK_KR-1'!AM:AM,'JPK_KR-1'!W:W,N25),SUMIFS('JPK_KR-1'!BI:BI,'JPK_KR-1'!BH:BH,N25,'JPK_KR-1'!BJ:BJ,O25)),"")</f>
        <v/>
      </c>
      <c r="R25" s="117" t="str">
        <f>IF(kokpit!R25&lt;&gt;"",kokpit!R25,"")</f>
        <v/>
      </c>
      <c r="S25" s="117" t="str">
        <f>IF(kokpit!S25&lt;&gt;"",kokpit!S25,"")</f>
        <v/>
      </c>
      <c r="T25" s="117" t="str">
        <f>IF(kokpit!T25&lt;&gt;"",kokpit!T25,"")</f>
        <v/>
      </c>
      <c r="U25" s="141" t="str">
        <f>IF(R25&lt;&gt;"",SUMIFS('JPK_KR-1'!AL:AL,'JPK_KR-1'!W:W,S25),"")</f>
        <v/>
      </c>
      <c r="V25" s="144" t="str">
        <f>IF(R25&lt;&gt;"",SUMIFS('JPK_KR-1'!AM:AM,'JPK_KR-1'!W:W,S25),"")</f>
        <v/>
      </c>
    </row>
    <row r="26" spans="1:22" x14ac:dyDescent="0.3">
      <c r="A26" s="5" t="str">
        <f>IF(kokpit!A26&lt;&gt;"",kokpit!A26,"")</f>
        <v>ABII3a2</v>
      </c>
      <c r="B26" s="5" t="str">
        <f>IF(kokpit!B26&lt;&gt;"",kokpit!B26,"")</f>
        <v>202-2-2*</v>
      </c>
      <c r="C26" s="24">
        <f>IF(A26&lt;&gt;"",SUMIFS('JPK_KR-1'!AL:AL,'JPK_KR-1'!W:W,B26),"")</f>
        <v>0</v>
      </c>
      <c r="D26" s="126">
        <f>IF(A26&lt;&gt;"",SUMIFS('JPK_KR-1'!AM:AM,'JPK_KR-1'!W:W,B26),"")</f>
        <v>0</v>
      </c>
      <c r="E26" s="5" t="str">
        <f>IF(kokpit!E26&lt;&gt;"",kokpit!E26,"")</f>
        <v/>
      </c>
      <c r="F26" s="127" t="str">
        <f>IF(kokpit!F26&lt;&gt;"",kokpit!F26,"")</f>
        <v/>
      </c>
      <c r="G26" s="24" t="str">
        <f>IF(E26&lt;&gt;"",SUMIFS('JPK_KR-1'!AL:AL,'JPK_KR-1'!W:W,F26),"")</f>
        <v/>
      </c>
      <c r="H26" s="126" t="str">
        <f>IF(E26&lt;&gt;"",SUMIFS('JPK_KR-1'!AM:AM,'JPK_KR-1'!W:W,F26),"")</f>
        <v/>
      </c>
      <c r="I26" s="5" t="str">
        <f>IF(kokpit!I26&lt;&gt;"",kokpit!I26,"")</f>
        <v/>
      </c>
      <c r="J26" s="5" t="str">
        <f>IF(kokpit!J26&lt;&gt;"",kokpit!J26,"")</f>
        <v/>
      </c>
      <c r="K26" s="24" t="str">
        <f>IF(I26&lt;&gt;"",SUMIFS('JPK_KR-1'!AL:AL,'JPK_KR-1'!W:W,J26),"")</f>
        <v/>
      </c>
      <c r="L26" s="141" t="str">
        <f>IF(I26&lt;&gt;"",SUMIFS('JPK_KR-1'!AM:AM,'JPK_KR-1'!W:W,J26),"")</f>
        <v/>
      </c>
      <c r="M26" s="143" t="str">
        <f>IF(kokpit!M26&lt;&gt;"",kokpit!M26,"")</f>
        <v/>
      </c>
      <c r="N26" s="117" t="str">
        <f>IF(kokpit!N26&lt;&gt;"",kokpit!N26,"")</f>
        <v/>
      </c>
      <c r="O26" s="117" t="str">
        <f>IF(kokpit!O26&lt;&gt;"",kokpit!O26,"")</f>
        <v/>
      </c>
      <c r="P26" s="141" t="str">
        <f>IF(M26&lt;&gt;"",IF(O26="",SUMIFS('JPK_KR-1'!AL:AL,'JPK_KR-1'!W:W,N26),SUMIFS('JPK_KR-1'!BF:BF,'JPK_KR-1'!BE:BE,N26,'JPK_KR-1'!BG:BG,O26)),"")</f>
        <v/>
      </c>
      <c r="Q26" s="144" t="str">
        <f>IF(M26&lt;&gt;"",IF(O26="",SUMIFS('JPK_KR-1'!AM:AM,'JPK_KR-1'!W:W,N26),SUMIFS('JPK_KR-1'!BI:BI,'JPK_KR-1'!BH:BH,N26,'JPK_KR-1'!BJ:BJ,O26)),"")</f>
        <v/>
      </c>
      <c r="R26" s="117" t="str">
        <f>IF(kokpit!R26&lt;&gt;"",kokpit!R26,"")</f>
        <v/>
      </c>
      <c r="S26" s="117" t="str">
        <f>IF(kokpit!S26&lt;&gt;"",kokpit!S26,"")</f>
        <v/>
      </c>
      <c r="T26" s="117" t="str">
        <f>IF(kokpit!T26&lt;&gt;"",kokpit!T26,"")</f>
        <v/>
      </c>
      <c r="U26" s="141" t="str">
        <f>IF(R26&lt;&gt;"",SUMIFS('JPK_KR-1'!AL:AL,'JPK_KR-1'!W:W,S26),"")</f>
        <v/>
      </c>
      <c r="V26" s="144" t="str">
        <f>IF(R26&lt;&gt;"",SUMIFS('JPK_KR-1'!AM:AM,'JPK_KR-1'!W:W,S26),"")</f>
        <v/>
      </c>
    </row>
    <row r="27" spans="1:22" x14ac:dyDescent="0.3">
      <c r="A27" s="5" t="str">
        <f>IF(kokpit!A27&lt;&gt;"",kokpit!A27,"")</f>
        <v>ABIII1c1</v>
      </c>
      <c r="B27" s="5" t="str">
        <f>IF(kokpit!B27&lt;&gt;"",kokpit!B27,"")</f>
        <v>101*</v>
      </c>
      <c r="C27" s="24">
        <f>IF(A27&lt;&gt;"",SUMIFS('JPK_KR-1'!AL:AL,'JPK_KR-1'!W:W,B27),"")</f>
        <v>1995.03</v>
      </c>
      <c r="D27" s="126">
        <f>IF(A27&lt;&gt;"",SUMIFS('JPK_KR-1'!AM:AM,'JPK_KR-1'!W:W,B27),"")</f>
        <v>0</v>
      </c>
      <c r="E27" s="5" t="str">
        <f>IF(kokpit!E27&lt;&gt;"",kokpit!E27,"")</f>
        <v/>
      </c>
      <c r="F27" s="127" t="str">
        <f>IF(kokpit!F27&lt;&gt;"",kokpit!F27,"")</f>
        <v/>
      </c>
      <c r="G27" s="24" t="str">
        <f>IF(E27&lt;&gt;"",SUMIFS('JPK_KR-1'!AL:AL,'JPK_KR-1'!W:W,F27),"")</f>
        <v/>
      </c>
      <c r="H27" s="126" t="str">
        <f>IF(E27&lt;&gt;"",SUMIFS('JPK_KR-1'!AM:AM,'JPK_KR-1'!W:W,F27),"")</f>
        <v/>
      </c>
      <c r="I27" s="5" t="str">
        <f>IF(kokpit!I27&lt;&gt;"",kokpit!I27,"")</f>
        <v/>
      </c>
      <c r="J27" s="5" t="str">
        <f>IF(kokpit!J27&lt;&gt;"",kokpit!J27,"")</f>
        <v/>
      </c>
      <c r="K27" s="24" t="str">
        <f>IF(I27&lt;&gt;"",SUMIFS('JPK_KR-1'!AL:AL,'JPK_KR-1'!W:W,J27),"")</f>
        <v/>
      </c>
      <c r="L27" s="141" t="str">
        <f>IF(I27&lt;&gt;"",SUMIFS('JPK_KR-1'!AM:AM,'JPK_KR-1'!W:W,J27),"")</f>
        <v/>
      </c>
      <c r="M27" s="143" t="str">
        <f>IF(kokpit!M27&lt;&gt;"",kokpit!M27,"")</f>
        <v/>
      </c>
      <c r="N27" s="117" t="str">
        <f>IF(kokpit!N27&lt;&gt;"",kokpit!N27,"")</f>
        <v/>
      </c>
      <c r="O27" s="117" t="str">
        <f>IF(kokpit!O27&lt;&gt;"",kokpit!O27,"")</f>
        <v/>
      </c>
      <c r="P27" s="141" t="str">
        <f>IF(M27&lt;&gt;"",IF(O27="",SUMIFS('JPK_KR-1'!AL:AL,'JPK_KR-1'!W:W,N27),SUMIFS('JPK_KR-1'!BF:BF,'JPK_KR-1'!BE:BE,N27,'JPK_KR-1'!BG:BG,O27)),"")</f>
        <v/>
      </c>
      <c r="Q27" s="144" t="str">
        <f>IF(M27&lt;&gt;"",IF(O27="",SUMIFS('JPK_KR-1'!AM:AM,'JPK_KR-1'!W:W,N27),SUMIFS('JPK_KR-1'!BI:BI,'JPK_KR-1'!BH:BH,N27,'JPK_KR-1'!BJ:BJ,O27)),"")</f>
        <v/>
      </c>
      <c r="R27" s="117" t="str">
        <f>IF(kokpit!R27&lt;&gt;"",kokpit!R27,"")</f>
        <v/>
      </c>
      <c r="S27" s="117" t="str">
        <f>IF(kokpit!S27&lt;&gt;"",kokpit!S27,"")</f>
        <v/>
      </c>
      <c r="T27" s="117" t="str">
        <f>IF(kokpit!T27&lt;&gt;"",kokpit!T27,"")</f>
        <v/>
      </c>
      <c r="U27" s="141" t="str">
        <f>IF(R27&lt;&gt;"",SUMIFS('JPK_KR-1'!AL:AL,'JPK_KR-1'!W:W,S27),"")</f>
        <v/>
      </c>
      <c r="V27" s="144" t="str">
        <f>IF(R27&lt;&gt;"",SUMIFS('JPK_KR-1'!AM:AM,'JPK_KR-1'!W:W,S27),"")</f>
        <v/>
      </c>
    </row>
    <row r="28" spans="1:22" x14ac:dyDescent="0.3">
      <c r="A28" s="5" t="str">
        <f>IF(kokpit!A28&lt;&gt;"",kokpit!A28,"")</f>
        <v>ABII3c</v>
      </c>
      <c r="B28" s="5" t="str">
        <f>IF(kokpit!B28&lt;&gt;"",kokpit!B28,"")</f>
        <v>205-2*</v>
      </c>
      <c r="C28" s="24">
        <f>IF(A28&lt;&gt;"",SUMIFS('JPK_KR-1'!AL:AL,'JPK_KR-1'!W:W,B28),"")</f>
        <v>1537.5</v>
      </c>
      <c r="D28" s="126">
        <f>IF(A28&lt;&gt;"",SUMIFS('JPK_KR-1'!AM:AM,'JPK_KR-1'!W:W,B28),"")</f>
        <v>0</v>
      </c>
      <c r="E28" s="5" t="str">
        <f>IF(kokpit!E28&lt;&gt;"",kokpit!E28,"")</f>
        <v/>
      </c>
      <c r="F28" s="127" t="str">
        <f>IF(kokpit!F28&lt;&gt;"",kokpit!F28,"")</f>
        <v/>
      </c>
      <c r="G28" s="24" t="str">
        <f>IF(E28&lt;&gt;"",SUMIFS('JPK_KR-1'!AL:AL,'JPK_KR-1'!W:W,F28),"")</f>
        <v/>
      </c>
      <c r="H28" s="126" t="str">
        <f>IF(E28&lt;&gt;"",SUMIFS('JPK_KR-1'!AM:AM,'JPK_KR-1'!W:W,F28),"")</f>
        <v/>
      </c>
      <c r="I28" s="5" t="str">
        <f>IF(kokpit!I28&lt;&gt;"",kokpit!I28,"")</f>
        <v/>
      </c>
      <c r="J28" s="5" t="str">
        <f>IF(kokpit!J28&lt;&gt;"",kokpit!J28,"")</f>
        <v/>
      </c>
      <c r="K28" s="24" t="str">
        <f>IF(I28&lt;&gt;"",SUMIFS('JPK_KR-1'!AL:AL,'JPK_KR-1'!W:W,J28),"")</f>
        <v/>
      </c>
      <c r="L28" s="141" t="str">
        <f>IF(I28&lt;&gt;"",SUMIFS('JPK_KR-1'!AM:AM,'JPK_KR-1'!W:W,J28),"")</f>
        <v/>
      </c>
      <c r="M28" s="143" t="str">
        <f>IF(kokpit!M28&lt;&gt;"",kokpit!M28,"")</f>
        <v/>
      </c>
      <c r="N28" s="117" t="str">
        <f>IF(kokpit!N28&lt;&gt;"",kokpit!N28,"")</f>
        <v/>
      </c>
      <c r="O28" s="117" t="str">
        <f>IF(kokpit!O28&lt;&gt;"",kokpit!O28,"")</f>
        <v/>
      </c>
      <c r="P28" s="141" t="str">
        <f>IF(M28&lt;&gt;"",IF(O28="",SUMIFS('JPK_KR-1'!AL:AL,'JPK_KR-1'!W:W,N28),SUMIFS('JPK_KR-1'!BF:BF,'JPK_KR-1'!BE:BE,N28,'JPK_KR-1'!BG:BG,O28)),"")</f>
        <v/>
      </c>
      <c r="Q28" s="144" t="str">
        <f>IF(M28&lt;&gt;"",IF(O28="",SUMIFS('JPK_KR-1'!AM:AM,'JPK_KR-1'!W:W,N28),SUMIFS('JPK_KR-1'!BI:BI,'JPK_KR-1'!BH:BH,N28,'JPK_KR-1'!BJ:BJ,O28)),"")</f>
        <v/>
      </c>
      <c r="R28" s="117" t="str">
        <f>IF(kokpit!R28&lt;&gt;"",kokpit!R28,"")</f>
        <v/>
      </c>
      <c r="S28" s="117" t="str">
        <f>IF(kokpit!S28&lt;&gt;"",kokpit!S28,"")</f>
        <v/>
      </c>
      <c r="T28" s="117" t="str">
        <f>IF(kokpit!T28&lt;&gt;"",kokpit!T28,"")</f>
        <v/>
      </c>
      <c r="U28" s="141" t="str">
        <f>IF(R28&lt;&gt;"",SUMIFS('JPK_KR-1'!AL:AL,'JPK_KR-1'!W:W,S28),"")</f>
        <v/>
      </c>
      <c r="V28" s="144" t="str">
        <f>IF(R28&lt;&gt;"",SUMIFS('JPK_KR-1'!AM:AM,'JPK_KR-1'!W:W,S28),"")</f>
        <v/>
      </c>
    </row>
    <row r="29" spans="1:22" x14ac:dyDescent="0.3">
      <c r="A29" s="5" t="str">
        <f>IF(kokpit!A29&lt;&gt;"",kokpit!A29,"")</f>
        <v>ABII3a1</v>
      </c>
      <c r="B29" s="5" t="str">
        <f>IF(kokpit!B29&lt;&gt;"",kokpit!B29,"")</f>
        <v>204-2-1*</v>
      </c>
      <c r="C29" s="24">
        <f>IF(A29&lt;&gt;"",SUMIFS('JPK_KR-1'!AL:AL,'JPK_KR-1'!W:W,B29),"")</f>
        <v>0</v>
      </c>
      <c r="D29" s="126">
        <f>IF(A29&lt;&gt;"",SUMIFS('JPK_KR-1'!AM:AM,'JPK_KR-1'!W:W,B29),"")</f>
        <v>19245.740000000002</v>
      </c>
      <c r="E29" s="5" t="str">
        <f>IF(kokpit!E29&lt;&gt;"",kokpit!E29,"")</f>
        <v/>
      </c>
      <c r="F29" s="127" t="str">
        <f>IF(kokpit!F29&lt;&gt;"",kokpit!F29,"")</f>
        <v/>
      </c>
      <c r="G29" s="24" t="str">
        <f>IF(E29&lt;&gt;"",SUMIFS('JPK_KR-1'!AL:AL,'JPK_KR-1'!W:W,F29),"")</f>
        <v/>
      </c>
      <c r="H29" s="126" t="str">
        <f>IF(E29&lt;&gt;"",SUMIFS('JPK_KR-1'!AM:AM,'JPK_KR-1'!W:W,F29),"")</f>
        <v/>
      </c>
      <c r="I29" s="5" t="str">
        <f>IF(kokpit!I29&lt;&gt;"",kokpit!I29,"")</f>
        <v/>
      </c>
      <c r="J29" s="5" t="str">
        <f>IF(kokpit!J29&lt;&gt;"",kokpit!J29,"")</f>
        <v/>
      </c>
      <c r="K29" s="24" t="str">
        <f>IF(I29&lt;&gt;"",SUMIFS('JPK_KR-1'!AL:AL,'JPK_KR-1'!W:W,J29),"")</f>
        <v/>
      </c>
      <c r="L29" s="141" t="str">
        <f>IF(I29&lt;&gt;"",SUMIFS('JPK_KR-1'!AM:AM,'JPK_KR-1'!W:W,J29),"")</f>
        <v/>
      </c>
      <c r="M29" s="143" t="str">
        <f>IF(kokpit!M29&lt;&gt;"",kokpit!M29,"")</f>
        <v/>
      </c>
      <c r="N29" s="117" t="str">
        <f>IF(kokpit!N29&lt;&gt;"",kokpit!N29,"")</f>
        <v/>
      </c>
      <c r="O29" s="117" t="str">
        <f>IF(kokpit!O29&lt;&gt;"",kokpit!O29,"")</f>
        <v/>
      </c>
      <c r="P29" s="141" t="str">
        <f>IF(M29&lt;&gt;"",IF(O29="",SUMIFS('JPK_KR-1'!AL:AL,'JPK_KR-1'!W:W,N29),SUMIFS('JPK_KR-1'!BF:BF,'JPK_KR-1'!BE:BE,N29,'JPK_KR-1'!BG:BG,O29)),"")</f>
        <v/>
      </c>
      <c r="Q29" s="144" t="str">
        <f>IF(M29&lt;&gt;"",IF(O29="",SUMIFS('JPK_KR-1'!AM:AM,'JPK_KR-1'!W:W,N29),SUMIFS('JPK_KR-1'!BI:BI,'JPK_KR-1'!BH:BH,N29,'JPK_KR-1'!BJ:BJ,O29)),"")</f>
        <v/>
      </c>
      <c r="R29" s="117" t="str">
        <f>IF(kokpit!R29&lt;&gt;"",kokpit!R29,"")</f>
        <v/>
      </c>
      <c r="S29" s="117" t="str">
        <f>IF(kokpit!S29&lt;&gt;"",kokpit!S29,"")</f>
        <v/>
      </c>
      <c r="T29" s="117" t="str">
        <f>IF(kokpit!T29&lt;&gt;"",kokpit!T29,"")</f>
        <v/>
      </c>
      <c r="U29" s="141" t="str">
        <f>IF(R29&lt;&gt;"",SUMIFS('JPK_KR-1'!AL:AL,'JPK_KR-1'!W:W,S29),"")</f>
        <v/>
      </c>
      <c r="V29" s="144" t="str">
        <f>IF(R29&lt;&gt;"",SUMIFS('JPK_KR-1'!AM:AM,'JPK_KR-1'!W:W,S29),"")</f>
        <v/>
      </c>
    </row>
    <row r="30" spans="1:22" x14ac:dyDescent="0.3">
      <c r="A30" s="5" t="str">
        <f>IF(kokpit!A30&lt;&gt;"",kokpit!A30,"")</f>
        <v>AAII1b</v>
      </c>
      <c r="B30" s="5" t="str">
        <f>IF(kokpit!B30&lt;&gt;"",kokpit!B30,"")</f>
        <v>010-2*</v>
      </c>
      <c r="C30" s="24">
        <f>IF(A30&lt;&gt;"",SUMIFS('JPK_KR-1'!AL:AL,'JPK_KR-1'!W:W,B30),"")</f>
        <v>0</v>
      </c>
      <c r="D30" s="126">
        <f>IF(A30&lt;&gt;"",SUMIFS('JPK_KR-1'!AM:AM,'JPK_KR-1'!W:W,B30),"")</f>
        <v>0</v>
      </c>
      <c r="E30" s="5" t="str">
        <f>IF(kokpit!E30&lt;&gt;"",kokpit!E30,"")</f>
        <v/>
      </c>
      <c r="F30" s="127" t="str">
        <f>IF(kokpit!F30&lt;&gt;"",kokpit!F30,"")</f>
        <v/>
      </c>
      <c r="G30" s="24" t="str">
        <f>IF(E30&lt;&gt;"",SUMIFS('JPK_KR-1'!AL:AL,'JPK_KR-1'!W:W,F30),"")</f>
        <v/>
      </c>
      <c r="H30" s="126" t="str">
        <f>IF(E30&lt;&gt;"",SUMIFS('JPK_KR-1'!AM:AM,'JPK_KR-1'!W:W,F30),"")</f>
        <v/>
      </c>
      <c r="I30" s="5" t="str">
        <f>IF(kokpit!I30&lt;&gt;"",kokpit!I30,"")</f>
        <v/>
      </c>
      <c r="J30" s="5" t="str">
        <f>IF(kokpit!J30&lt;&gt;"",kokpit!J30,"")</f>
        <v/>
      </c>
      <c r="K30" s="24" t="str">
        <f>IF(I30&lt;&gt;"",SUMIFS('JPK_KR-1'!AL:AL,'JPK_KR-1'!W:W,J30),"")</f>
        <v/>
      </c>
      <c r="L30" s="141" t="str">
        <f>IF(I30&lt;&gt;"",SUMIFS('JPK_KR-1'!AM:AM,'JPK_KR-1'!W:W,J30),"")</f>
        <v/>
      </c>
      <c r="M30" s="143" t="str">
        <f>IF(kokpit!M30&lt;&gt;"",kokpit!M30,"")</f>
        <v/>
      </c>
      <c r="N30" s="117" t="str">
        <f>IF(kokpit!N30&lt;&gt;"",kokpit!N30,"")</f>
        <v/>
      </c>
      <c r="O30" s="117" t="str">
        <f>IF(kokpit!O30&lt;&gt;"",kokpit!O30,"")</f>
        <v/>
      </c>
      <c r="P30" s="141" t="str">
        <f>IF(M30&lt;&gt;"",IF(O30="",SUMIFS('JPK_KR-1'!AL:AL,'JPK_KR-1'!W:W,N30),SUMIFS('JPK_KR-1'!BF:BF,'JPK_KR-1'!BE:BE,N30,'JPK_KR-1'!BG:BG,O30)),"")</f>
        <v/>
      </c>
      <c r="Q30" s="144" t="str">
        <f>IF(M30&lt;&gt;"",IF(O30="",SUMIFS('JPK_KR-1'!AM:AM,'JPK_KR-1'!W:W,N30),SUMIFS('JPK_KR-1'!BI:BI,'JPK_KR-1'!BH:BH,N30,'JPK_KR-1'!BJ:BJ,O30)),"")</f>
        <v/>
      </c>
      <c r="R30" s="117" t="str">
        <f>IF(kokpit!R30&lt;&gt;"",kokpit!R30,"")</f>
        <v/>
      </c>
      <c r="S30" s="117" t="str">
        <f>IF(kokpit!S30&lt;&gt;"",kokpit!S30,"")</f>
        <v/>
      </c>
      <c r="T30" s="117" t="str">
        <f>IF(kokpit!T30&lt;&gt;"",kokpit!T30,"")</f>
        <v/>
      </c>
      <c r="U30" s="141" t="str">
        <f>IF(R30&lt;&gt;"",SUMIFS('JPK_KR-1'!AL:AL,'JPK_KR-1'!W:W,S30),"")</f>
        <v/>
      </c>
      <c r="V30" s="144" t="str">
        <f>IF(R30&lt;&gt;"",SUMIFS('JPK_KR-1'!AM:AM,'JPK_KR-1'!W:W,S30),"")</f>
        <v/>
      </c>
    </row>
    <row r="31" spans="1:22" x14ac:dyDescent="0.3">
      <c r="A31" s="5" t="str">
        <f>IF(kokpit!A31&lt;&gt;"",kokpit!A31,"")</f>
        <v>AAII1d</v>
      </c>
      <c r="B31" s="5" t="str">
        <f>IF(kokpit!B31&lt;&gt;"",kokpit!B31,"")</f>
        <v>010-4*</v>
      </c>
      <c r="C31" s="24">
        <f>IF(A31&lt;&gt;"",SUMIFS('JPK_KR-1'!AL:AL,'JPK_KR-1'!W:W,B31),"")</f>
        <v>0</v>
      </c>
      <c r="D31" s="126">
        <f>IF(A31&lt;&gt;"",SUMIFS('JPK_KR-1'!AM:AM,'JPK_KR-1'!W:W,B31),"")</f>
        <v>0</v>
      </c>
      <c r="E31" s="5" t="str">
        <f>IF(kokpit!E31&lt;&gt;"",kokpit!E31,"")</f>
        <v/>
      </c>
      <c r="F31" s="127" t="str">
        <f>IF(kokpit!F31&lt;&gt;"",kokpit!F31,"")</f>
        <v/>
      </c>
      <c r="G31" s="24" t="str">
        <f>IF(E31&lt;&gt;"",SUMIFS('JPK_KR-1'!AL:AL,'JPK_KR-1'!W:W,F31),"")</f>
        <v/>
      </c>
      <c r="H31" s="126" t="str">
        <f>IF(E31&lt;&gt;"",SUMIFS('JPK_KR-1'!AM:AM,'JPK_KR-1'!W:W,F31),"")</f>
        <v/>
      </c>
      <c r="I31" s="5" t="str">
        <f>IF(kokpit!I31&lt;&gt;"",kokpit!I31,"")</f>
        <v/>
      </c>
      <c r="J31" s="5" t="str">
        <f>IF(kokpit!J31&lt;&gt;"",kokpit!J31,"")</f>
        <v/>
      </c>
      <c r="K31" s="24" t="str">
        <f>IF(I31&lt;&gt;"",SUMIFS('JPK_KR-1'!AL:AL,'JPK_KR-1'!W:W,J31),"")</f>
        <v/>
      </c>
      <c r="L31" s="141" t="str">
        <f>IF(I31&lt;&gt;"",SUMIFS('JPK_KR-1'!AM:AM,'JPK_KR-1'!W:W,J31),"")</f>
        <v/>
      </c>
      <c r="M31" s="143" t="str">
        <f>IF(kokpit!M31&lt;&gt;"",kokpit!M31,"")</f>
        <v/>
      </c>
      <c r="N31" s="117" t="str">
        <f>IF(kokpit!N31&lt;&gt;"",kokpit!N31,"")</f>
        <v/>
      </c>
      <c r="O31" s="117" t="str">
        <f>IF(kokpit!O31&lt;&gt;"",kokpit!O31,"")</f>
        <v/>
      </c>
      <c r="P31" s="141" t="str">
        <f>IF(M31&lt;&gt;"",IF(O31="",SUMIFS('JPK_KR-1'!AL:AL,'JPK_KR-1'!W:W,N31),SUMIFS('JPK_KR-1'!BF:BF,'JPK_KR-1'!BE:BE,N31,'JPK_KR-1'!BG:BG,O31)),"")</f>
        <v/>
      </c>
      <c r="Q31" s="144" t="str">
        <f>IF(M31&lt;&gt;"",IF(O31="",SUMIFS('JPK_KR-1'!AM:AM,'JPK_KR-1'!W:W,N31),SUMIFS('JPK_KR-1'!BI:BI,'JPK_KR-1'!BH:BH,N31,'JPK_KR-1'!BJ:BJ,O31)),"")</f>
        <v/>
      </c>
      <c r="R31" s="117" t="str">
        <f>IF(kokpit!R31&lt;&gt;"",kokpit!R31,"")</f>
        <v/>
      </c>
      <c r="S31" s="117" t="str">
        <f>IF(kokpit!S31&lt;&gt;"",kokpit!S31,"")</f>
        <v/>
      </c>
      <c r="T31" s="117" t="str">
        <f>IF(kokpit!T31&lt;&gt;"",kokpit!T31,"")</f>
        <v/>
      </c>
      <c r="U31" s="141" t="str">
        <f>IF(R31&lt;&gt;"",SUMIFS('JPK_KR-1'!AL:AL,'JPK_KR-1'!W:W,S31),"")</f>
        <v/>
      </c>
      <c r="V31" s="144" t="str">
        <f>IF(R31&lt;&gt;"",SUMIFS('JPK_KR-1'!AM:AM,'JPK_KR-1'!W:W,S31),"")</f>
        <v/>
      </c>
    </row>
    <row r="32" spans="1:22" x14ac:dyDescent="0.3">
      <c r="A32" s="5" t="str">
        <f>IF(kokpit!A32&lt;&gt;"",kokpit!A32,"")</f>
        <v>AAII1e</v>
      </c>
      <c r="B32" s="5" t="str">
        <f>IF(kokpit!B32&lt;&gt;"",kokpit!B32,"")</f>
        <v>010-5</v>
      </c>
      <c r="C32" s="24">
        <f>IF(A32&lt;&gt;"",SUMIFS('JPK_KR-1'!AL:AL,'JPK_KR-1'!W:W,B32),"")</f>
        <v>0</v>
      </c>
      <c r="D32" s="126">
        <f>IF(A32&lt;&gt;"",SUMIFS('JPK_KR-1'!AM:AM,'JPK_KR-1'!W:W,B32),"")</f>
        <v>0</v>
      </c>
      <c r="E32" s="5" t="str">
        <f>IF(kokpit!E32&lt;&gt;"",kokpit!E32,"")</f>
        <v/>
      </c>
      <c r="F32" s="127" t="str">
        <f>IF(kokpit!F32&lt;&gt;"",kokpit!F32,"")</f>
        <v/>
      </c>
      <c r="G32" s="24" t="str">
        <f>IF(E32&lt;&gt;"",SUMIFS('JPK_KR-1'!AL:AL,'JPK_KR-1'!W:W,F32),"")</f>
        <v/>
      </c>
      <c r="H32" s="126" t="str">
        <f>IF(E32&lt;&gt;"",SUMIFS('JPK_KR-1'!AM:AM,'JPK_KR-1'!W:W,F32),"")</f>
        <v/>
      </c>
      <c r="I32" s="5" t="str">
        <f>IF(kokpit!I32&lt;&gt;"",kokpit!I32,"")</f>
        <v/>
      </c>
      <c r="J32" s="5" t="str">
        <f>IF(kokpit!J32&lt;&gt;"",kokpit!J32,"")</f>
        <v/>
      </c>
      <c r="K32" s="24" t="str">
        <f>IF(I32&lt;&gt;"",SUMIFS('JPK_KR-1'!AL:AL,'JPK_KR-1'!W:W,J32),"")</f>
        <v/>
      </c>
      <c r="L32" s="141" t="str">
        <f>IF(I32&lt;&gt;"",SUMIFS('JPK_KR-1'!AM:AM,'JPK_KR-1'!W:W,J32),"")</f>
        <v/>
      </c>
      <c r="M32" s="143" t="str">
        <f>IF(kokpit!M32&lt;&gt;"",kokpit!M32,"")</f>
        <v/>
      </c>
      <c r="N32" s="117" t="str">
        <f>IF(kokpit!N32&lt;&gt;"",kokpit!N32,"")</f>
        <v/>
      </c>
      <c r="O32" s="117" t="str">
        <f>IF(kokpit!O32&lt;&gt;"",kokpit!O32,"")</f>
        <v/>
      </c>
      <c r="P32" s="141" t="str">
        <f>IF(M32&lt;&gt;"",IF(O32="",SUMIFS('JPK_KR-1'!AL:AL,'JPK_KR-1'!W:W,N32),SUMIFS('JPK_KR-1'!BF:BF,'JPK_KR-1'!BE:BE,N32,'JPK_KR-1'!BG:BG,O32)),"")</f>
        <v/>
      </c>
      <c r="Q32" s="144" t="str">
        <f>IF(M32&lt;&gt;"",IF(O32="",SUMIFS('JPK_KR-1'!AM:AM,'JPK_KR-1'!W:W,N32),SUMIFS('JPK_KR-1'!BI:BI,'JPK_KR-1'!BH:BH,N32,'JPK_KR-1'!BJ:BJ,O32)),"")</f>
        <v/>
      </c>
      <c r="R32" s="117" t="str">
        <f>IF(kokpit!R32&lt;&gt;"",kokpit!R32,"")</f>
        <v/>
      </c>
      <c r="S32" s="117" t="str">
        <f>IF(kokpit!S32&lt;&gt;"",kokpit!S32,"")</f>
        <v/>
      </c>
      <c r="T32" s="117" t="str">
        <f>IF(kokpit!T32&lt;&gt;"",kokpit!T32,"")</f>
        <v/>
      </c>
      <c r="U32" s="141" t="str">
        <f>IF(R32&lt;&gt;"",SUMIFS('JPK_KR-1'!AL:AL,'JPK_KR-1'!W:W,S32),"")</f>
        <v/>
      </c>
      <c r="V32" s="144" t="str">
        <f>IF(R32&lt;&gt;"",SUMIFS('JPK_KR-1'!AM:AM,'JPK_KR-1'!W:W,S32),"")</f>
        <v/>
      </c>
    </row>
    <row r="33" spans="1:22" x14ac:dyDescent="0.3">
      <c r="A33" s="5" t="str">
        <f>IF(kokpit!A33&lt;&gt;"",kokpit!A33,"")</f>
        <v/>
      </c>
      <c r="B33" s="5" t="str">
        <f>IF(kokpit!B33&lt;&gt;"",kokpit!B33,"")</f>
        <v/>
      </c>
      <c r="C33" s="24" t="str">
        <f>IF(A33&lt;&gt;"",SUMIFS('JPK_KR-1'!AL:AL,'JPK_KR-1'!W:W,B33),"")</f>
        <v/>
      </c>
      <c r="D33" s="126" t="str">
        <f>IF(A33&lt;&gt;"",SUMIFS('JPK_KR-1'!AM:AM,'JPK_KR-1'!W:W,B33),"")</f>
        <v/>
      </c>
      <c r="E33" s="5" t="str">
        <f>IF(kokpit!E33&lt;&gt;"",kokpit!E33,"")</f>
        <v/>
      </c>
      <c r="F33" s="127" t="str">
        <f>IF(kokpit!F33&lt;&gt;"",kokpit!F33,"")</f>
        <v/>
      </c>
      <c r="G33" s="24" t="str">
        <f>IF(E33&lt;&gt;"",SUMIFS('JPK_KR-1'!AL:AL,'JPK_KR-1'!W:W,F33),"")</f>
        <v/>
      </c>
      <c r="H33" s="126" t="str">
        <f>IF(E33&lt;&gt;"",SUMIFS('JPK_KR-1'!AM:AM,'JPK_KR-1'!W:W,F33),"")</f>
        <v/>
      </c>
      <c r="I33" s="5" t="str">
        <f>IF(kokpit!I33&lt;&gt;"",kokpit!I33,"")</f>
        <v/>
      </c>
      <c r="J33" s="5" t="str">
        <f>IF(kokpit!J33&lt;&gt;"",kokpit!J33,"")</f>
        <v/>
      </c>
      <c r="K33" s="24" t="str">
        <f>IF(I33&lt;&gt;"",SUMIFS('JPK_KR-1'!AL:AL,'JPK_KR-1'!W:W,J33),"")</f>
        <v/>
      </c>
      <c r="L33" s="141" t="str">
        <f>IF(I33&lt;&gt;"",SUMIFS('JPK_KR-1'!AM:AM,'JPK_KR-1'!W:W,J33),"")</f>
        <v/>
      </c>
      <c r="M33" s="143" t="str">
        <f>IF(kokpit!M33&lt;&gt;"",kokpit!M33,"")</f>
        <v/>
      </c>
      <c r="N33" s="117" t="str">
        <f>IF(kokpit!N33&lt;&gt;"",kokpit!N33,"")</f>
        <v/>
      </c>
      <c r="O33" s="117" t="str">
        <f>IF(kokpit!O33&lt;&gt;"",kokpit!O33,"")</f>
        <v/>
      </c>
      <c r="P33" s="141" t="str">
        <f>IF(M33&lt;&gt;"",IF(O33="",SUMIFS('JPK_KR-1'!AL:AL,'JPK_KR-1'!W:W,N33),SUMIFS('JPK_KR-1'!BF:BF,'JPK_KR-1'!BE:BE,N33,'JPK_KR-1'!BG:BG,O33)),"")</f>
        <v/>
      </c>
      <c r="Q33" s="144" t="str">
        <f>IF(M33&lt;&gt;"",IF(O33="",SUMIFS('JPK_KR-1'!AM:AM,'JPK_KR-1'!W:W,N33),SUMIFS('JPK_KR-1'!BI:BI,'JPK_KR-1'!BH:BH,N33,'JPK_KR-1'!BJ:BJ,O33)),"")</f>
        <v/>
      </c>
      <c r="R33" s="117" t="str">
        <f>IF(kokpit!R33&lt;&gt;"",kokpit!R33,"")</f>
        <v/>
      </c>
      <c r="S33" s="117" t="str">
        <f>IF(kokpit!S33&lt;&gt;"",kokpit!S33,"")</f>
        <v/>
      </c>
      <c r="T33" s="117" t="str">
        <f>IF(kokpit!T33&lt;&gt;"",kokpit!T33,"")</f>
        <v/>
      </c>
      <c r="U33" s="141" t="str">
        <f>IF(R33&lt;&gt;"",SUMIFS('JPK_KR-1'!AL:AL,'JPK_KR-1'!W:W,S33),"")</f>
        <v/>
      </c>
      <c r="V33" s="144" t="str">
        <f>IF(R33&lt;&gt;"",SUMIFS('JPK_KR-1'!AM:AM,'JPK_KR-1'!W:W,S33),"")</f>
        <v/>
      </c>
    </row>
    <row r="34" spans="1:22" x14ac:dyDescent="0.3">
      <c r="A34" s="5" t="str">
        <f>IF(kokpit!A34&lt;&gt;"",kokpit!A34,"")</f>
        <v/>
      </c>
      <c r="B34" s="5" t="str">
        <f>IF(kokpit!B34&lt;&gt;"",kokpit!B34,"")</f>
        <v/>
      </c>
      <c r="C34" s="24" t="str">
        <f>IF(A34&lt;&gt;"",SUMIFS('JPK_KR-1'!AL:AL,'JPK_KR-1'!W:W,B34),"")</f>
        <v/>
      </c>
      <c r="D34" s="126" t="str">
        <f>IF(A34&lt;&gt;"",SUMIFS('JPK_KR-1'!AM:AM,'JPK_KR-1'!W:W,B34),"")</f>
        <v/>
      </c>
      <c r="E34" s="5" t="str">
        <f>IF(kokpit!E34&lt;&gt;"",kokpit!E34,"")</f>
        <v/>
      </c>
      <c r="F34" s="127" t="str">
        <f>IF(kokpit!F34&lt;&gt;"",kokpit!F34,"")</f>
        <v/>
      </c>
      <c r="G34" s="24" t="str">
        <f>IF(E34&lt;&gt;"",SUMIFS('JPK_KR-1'!AL:AL,'JPK_KR-1'!W:W,F34),"")</f>
        <v/>
      </c>
      <c r="H34" s="126" t="str">
        <f>IF(E34&lt;&gt;"",SUMIFS('JPK_KR-1'!AM:AM,'JPK_KR-1'!W:W,F34),"")</f>
        <v/>
      </c>
      <c r="I34" s="5" t="str">
        <f>IF(kokpit!I34&lt;&gt;"",kokpit!I34,"")</f>
        <v/>
      </c>
      <c r="J34" s="5" t="str">
        <f>IF(kokpit!J34&lt;&gt;"",kokpit!J34,"")</f>
        <v/>
      </c>
      <c r="K34" s="24" t="str">
        <f>IF(I34&lt;&gt;"",SUMIFS('JPK_KR-1'!AL:AL,'JPK_KR-1'!W:W,J34),"")</f>
        <v/>
      </c>
      <c r="L34" s="141" t="str">
        <f>IF(I34&lt;&gt;"",SUMIFS('JPK_KR-1'!AM:AM,'JPK_KR-1'!W:W,J34),"")</f>
        <v/>
      </c>
      <c r="M34" s="143" t="str">
        <f>IF(kokpit!M34&lt;&gt;"",kokpit!M34,"")</f>
        <v/>
      </c>
      <c r="N34" s="117" t="str">
        <f>IF(kokpit!N34&lt;&gt;"",kokpit!N34,"")</f>
        <v/>
      </c>
      <c r="O34" s="117" t="str">
        <f>IF(kokpit!O34&lt;&gt;"",kokpit!O34,"")</f>
        <v/>
      </c>
      <c r="P34" s="141" t="str">
        <f>IF(M34&lt;&gt;"",IF(O34="",SUMIFS('JPK_KR-1'!AL:AL,'JPK_KR-1'!W:W,N34),SUMIFS('JPK_KR-1'!BF:BF,'JPK_KR-1'!BE:BE,N34,'JPK_KR-1'!BG:BG,O34)),"")</f>
        <v/>
      </c>
      <c r="Q34" s="144" t="str">
        <f>IF(M34&lt;&gt;"",IF(O34="",SUMIFS('JPK_KR-1'!AM:AM,'JPK_KR-1'!W:W,N34),SUMIFS('JPK_KR-1'!BI:BI,'JPK_KR-1'!BH:BH,N34,'JPK_KR-1'!BJ:BJ,O34)),"")</f>
        <v/>
      </c>
      <c r="R34" s="117" t="str">
        <f>IF(kokpit!R34&lt;&gt;"",kokpit!R34,"")</f>
        <v/>
      </c>
      <c r="S34" s="117" t="str">
        <f>IF(kokpit!S34&lt;&gt;"",kokpit!S34,"")</f>
        <v/>
      </c>
      <c r="T34" s="117" t="str">
        <f>IF(kokpit!T34&lt;&gt;"",kokpit!T34,"")</f>
        <v/>
      </c>
      <c r="U34" s="141" t="str">
        <f>IF(R34&lt;&gt;"",SUMIFS('JPK_KR-1'!AL:AL,'JPK_KR-1'!W:W,S34),"")</f>
        <v/>
      </c>
      <c r="V34" s="144" t="str">
        <f>IF(R34&lt;&gt;"",SUMIFS('JPK_KR-1'!AM:AM,'JPK_KR-1'!W:W,S34),"")</f>
        <v/>
      </c>
    </row>
    <row r="35" spans="1:22" x14ac:dyDescent="0.3">
      <c r="A35" s="5" t="str">
        <f>IF(kokpit!A35&lt;&gt;"",kokpit!A35,"")</f>
        <v/>
      </c>
      <c r="B35" s="5" t="str">
        <f>IF(kokpit!B35&lt;&gt;"",kokpit!B35,"")</f>
        <v/>
      </c>
      <c r="C35" s="24" t="str">
        <f>IF(A35&lt;&gt;"",SUMIFS('JPK_KR-1'!AL:AL,'JPK_KR-1'!W:W,B35),"")</f>
        <v/>
      </c>
      <c r="D35" s="126" t="str">
        <f>IF(A35&lt;&gt;"",SUMIFS('JPK_KR-1'!AM:AM,'JPK_KR-1'!W:W,B35),"")</f>
        <v/>
      </c>
      <c r="E35" s="5" t="str">
        <f>IF(kokpit!E35&lt;&gt;"",kokpit!E35,"")</f>
        <v/>
      </c>
      <c r="F35" s="127" t="str">
        <f>IF(kokpit!F35&lt;&gt;"",kokpit!F35,"")</f>
        <v/>
      </c>
      <c r="G35" s="24" t="str">
        <f>IF(E35&lt;&gt;"",SUMIFS('JPK_KR-1'!AL:AL,'JPK_KR-1'!W:W,F35),"")</f>
        <v/>
      </c>
      <c r="H35" s="126" t="str">
        <f>IF(E35&lt;&gt;"",SUMIFS('JPK_KR-1'!AM:AM,'JPK_KR-1'!W:W,F35),"")</f>
        <v/>
      </c>
      <c r="I35" s="5" t="str">
        <f>IF(kokpit!I35&lt;&gt;"",kokpit!I35,"")</f>
        <v/>
      </c>
      <c r="J35" s="5" t="str">
        <f>IF(kokpit!J35&lt;&gt;"",kokpit!J35,"")</f>
        <v/>
      </c>
      <c r="K35" s="24" t="str">
        <f>IF(I35&lt;&gt;"",SUMIFS('JPK_KR-1'!AL:AL,'JPK_KR-1'!W:W,J35),"")</f>
        <v/>
      </c>
      <c r="L35" s="141" t="str">
        <f>IF(I35&lt;&gt;"",SUMIFS('JPK_KR-1'!AM:AM,'JPK_KR-1'!W:W,J35),"")</f>
        <v/>
      </c>
      <c r="M35" s="143" t="str">
        <f>IF(kokpit!M35&lt;&gt;"",kokpit!M35,"")</f>
        <v/>
      </c>
      <c r="N35" s="117" t="str">
        <f>IF(kokpit!N35&lt;&gt;"",kokpit!N35,"")</f>
        <v/>
      </c>
      <c r="O35" s="117" t="str">
        <f>IF(kokpit!O35&lt;&gt;"",kokpit!O35,"")</f>
        <v/>
      </c>
      <c r="P35" s="141" t="str">
        <f>IF(M35&lt;&gt;"",IF(O35="",SUMIFS('JPK_KR-1'!AL:AL,'JPK_KR-1'!W:W,N35),SUMIFS('JPK_KR-1'!BF:BF,'JPK_KR-1'!BE:BE,N35,'JPK_KR-1'!BG:BG,O35)),"")</f>
        <v/>
      </c>
      <c r="Q35" s="144" t="str">
        <f>IF(M35&lt;&gt;"",IF(O35="",SUMIFS('JPK_KR-1'!AM:AM,'JPK_KR-1'!W:W,N35),SUMIFS('JPK_KR-1'!BI:BI,'JPK_KR-1'!BH:BH,N35,'JPK_KR-1'!BJ:BJ,O35)),"")</f>
        <v/>
      </c>
      <c r="R35" s="117" t="str">
        <f>IF(kokpit!R35&lt;&gt;"",kokpit!R35,"")</f>
        <v/>
      </c>
      <c r="S35" s="117" t="str">
        <f>IF(kokpit!S35&lt;&gt;"",kokpit!S35,"")</f>
        <v/>
      </c>
      <c r="T35" s="117" t="str">
        <f>IF(kokpit!T35&lt;&gt;"",kokpit!T35,"")</f>
        <v/>
      </c>
      <c r="U35" s="141" t="str">
        <f>IF(R35&lt;&gt;"",SUMIFS('JPK_KR-1'!AL:AL,'JPK_KR-1'!W:W,S35),"")</f>
        <v/>
      </c>
      <c r="V35" s="144" t="str">
        <f>IF(R35&lt;&gt;"",SUMIFS('JPK_KR-1'!AM:AM,'JPK_KR-1'!W:W,S35),"")</f>
        <v/>
      </c>
    </row>
    <row r="36" spans="1:22" x14ac:dyDescent="0.3">
      <c r="A36" s="5" t="str">
        <f>IF(kokpit!A36&lt;&gt;"",kokpit!A36,"")</f>
        <v/>
      </c>
      <c r="B36" s="5" t="str">
        <f>IF(kokpit!B36&lt;&gt;"",kokpit!B36,"")</f>
        <v/>
      </c>
      <c r="C36" s="24" t="str">
        <f>IF(A36&lt;&gt;"",SUMIFS('JPK_KR-1'!AL:AL,'JPK_KR-1'!W:W,B36),"")</f>
        <v/>
      </c>
      <c r="D36" s="126" t="str">
        <f>IF(A36&lt;&gt;"",SUMIFS('JPK_KR-1'!AM:AM,'JPK_KR-1'!W:W,B36),"")</f>
        <v/>
      </c>
      <c r="E36" s="5" t="str">
        <f>IF(kokpit!E36&lt;&gt;"",kokpit!E36,"")</f>
        <v/>
      </c>
      <c r="F36" s="127" t="str">
        <f>IF(kokpit!F36&lt;&gt;"",kokpit!F36,"")</f>
        <v/>
      </c>
      <c r="G36" s="24" t="str">
        <f>IF(E36&lt;&gt;"",SUMIFS('JPK_KR-1'!AL:AL,'JPK_KR-1'!W:W,F36),"")</f>
        <v/>
      </c>
      <c r="H36" s="126" t="str">
        <f>IF(E36&lt;&gt;"",SUMIFS('JPK_KR-1'!AM:AM,'JPK_KR-1'!W:W,F36),"")</f>
        <v/>
      </c>
      <c r="I36" s="5" t="str">
        <f>IF(kokpit!I36&lt;&gt;"",kokpit!I36,"")</f>
        <v/>
      </c>
      <c r="J36" s="5" t="str">
        <f>IF(kokpit!J36&lt;&gt;"",kokpit!J36,"")</f>
        <v/>
      </c>
      <c r="K36" s="24" t="str">
        <f>IF(I36&lt;&gt;"",SUMIFS('JPK_KR-1'!AL:AL,'JPK_KR-1'!W:W,J36),"")</f>
        <v/>
      </c>
      <c r="L36" s="141" t="str">
        <f>IF(I36&lt;&gt;"",SUMIFS('JPK_KR-1'!AM:AM,'JPK_KR-1'!W:W,J36),"")</f>
        <v/>
      </c>
      <c r="M36" s="143" t="str">
        <f>IF(kokpit!M36&lt;&gt;"",kokpit!M36,"")</f>
        <v/>
      </c>
      <c r="N36" s="117" t="str">
        <f>IF(kokpit!N36&lt;&gt;"",kokpit!N36,"")</f>
        <v/>
      </c>
      <c r="O36" s="117" t="str">
        <f>IF(kokpit!O36&lt;&gt;"",kokpit!O36,"")</f>
        <v/>
      </c>
      <c r="P36" s="141" t="str">
        <f>IF(M36&lt;&gt;"",IF(O36="",SUMIFS('JPK_KR-1'!AL:AL,'JPK_KR-1'!W:W,N36),SUMIFS('JPK_KR-1'!BF:BF,'JPK_KR-1'!BE:BE,N36,'JPK_KR-1'!BG:BG,O36)),"")</f>
        <v/>
      </c>
      <c r="Q36" s="144" t="str">
        <f>IF(M36&lt;&gt;"",IF(O36="",SUMIFS('JPK_KR-1'!AM:AM,'JPK_KR-1'!W:W,N36),SUMIFS('JPK_KR-1'!BI:BI,'JPK_KR-1'!BH:BH,N36,'JPK_KR-1'!BJ:BJ,O36)),"")</f>
        <v/>
      </c>
      <c r="R36" s="117" t="str">
        <f>IF(kokpit!R36&lt;&gt;"",kokpit!R36,"")</f>
        <v/>
      </c>
      <c r="S36" s="117" t="str">
        <f>IF(kokpit!S36&lt;&gt;"",kokpit!S36,"")</f>
        <v/>
      </c>
      <c r="T36" s="117" t="str">
        <f>IF(kokpit!T36&lt;&gt;"",kokpit!T36,"")</f>
        <v/>
      </c>
      <c r="U36" s="141" t="str">
        <f>IF(R36&lt;&gt;"",SUMIFS('JPK_KR-1'!AL:AL,'JPK_KR-1'!W:W,S36),"")</f>
        <v/>
      </c>
      <c r="V36" s="144" t="str">
        <f>IF(R36&lt;&gt;"",SUMIFS('JPK_KR-1'!AM:AM,'JPK_KR-1'!W:W,S36),"")</f>
        <v/>
      </c>
    </row>
    <row r="37" spans="1:22" x14ac:dyDescent="0.3">
      <c r="A37" s="5" t="str">
        <f>IF(kokpit!A37&lt;&gt;"",kokpit!A37,"")</f>
        <v/>
      </c>
      <c r="B37" s="5" t="str">
        <f>IF(kokpit!B37&lt;&gt;"",kokpit!B37,"")</f>
        <v/>
      </c>
      <c r="C37" s="24" t="str">
        <f>IF(A37&lt;&gt;"",SUMIFS('JPK_KR-1'!AL:AL,'JPK_KR-1'!W:W,B37),"")</f>
        <v/>
      </c>
      <c r="D37" s="126" t="str">
        <f>IF(A37&lt;&gt;"",SUMIFS('JPK_KR-1'!AM:AM,'JPK_KR-1'!W:W,B37),"")</f>
        <v/>
      </c>
      <c r="E37" s="5" t="str">
        <f>IF(kokpit!E37&lt;&gt;"",kokpit!E37,"")</f>
        <v/>
      </c>
      <c r="F37" s="127" t="str">
        <f>IF(kokpit!F37&lt;&gt;"",kokpit!F37,"")</f>
        <v/>
      </c>
      <c r="G37" s="24" t="str">
        <f>IF(E37&lt;&gt;"",SUMIFS('JPK_KR-1'!AL:AL,'JPK_KR-1'!W:W,F37),"")</f>
        <v/>
      </c>
      <c r="H37" s="126" t="str">
        <f>IF(E37&lt;&gt;"",SUMIFS('JPK_KR-1'!AM:AM,'JPK_KR-1'!W:W,F37),"")</f>
        <v/>
      </c>
      <c r="I37" s="5" t="str">
        <f>IF(kokpit!I37&lt;&gt;"",kokpit!I37,"")</f>
        <v/>
      </c>
      <c r="J37" s="5" t="str">
        <f>IF(kokpit!J37&lt;&gt;"",kokpit!J37,"")</f>
        <v/>
      </c>
      <c r="K37" s="24" t="str">
        <f>IF(I37&lt;&gt;"",SUMIFS('JPK_KR-1'!AL:AL,'JPK_KR-1'!W:W,J37),"")</f>
        <v/>
      </c>
      <c r="L37" s="141" t="str">
        <f>IF(I37&lt;&gt;"",SUMIFS('JPK_KR-1'!AM:AM,'JPK_KR-1'!W:W,J37),"")</f>
        <v/>
      </c>
      <c r="M37" s="143" t="str">
        <f>IF(kokpit!M37&lt;&gt;"",kokpit!M37,"")</f>
        <v/>
      </c>
      <c r="N37" s="117" t="str">
        <f>IF(kokpit!N37&lt;&gt;"",kokpit!N37,"")</f>
        <v/>
      </c>
      <c r="O37" s="117" t="str">
        <f>IF(kokpit!O37&lt;&gt;"",kokpit!O37,"")</f>
        <v/>
      </c>
      <c r="P37" s="141" t="str">
        <f>IF(M37&lt;&gt;"",IF(O37="",SUMIFS('JPK_KR-1'!AL:AL,'JPK_KR-1'!W:W,N37),SUMIFS('JPK_KR-1'!BF:BF,'JPK_KR-1'!BE:BE,N37,'JPK_KR-1'!BG:BG,O37)),"")</f>
        <v/>
      </c>
      <c r="Q37" s="144" t="str">
        <f>IF(M37&lt;&gt;"",IF(O37="",SUMIFS('JPK_KR-1'!AM:AM,'JPK_KR-1'!W:W,N37),SUMIFS('JPK_KR-1'!BI:BI,'JPK_KR-1'!BH:BH,N37,'JPK_KR-1'!BJ:BJ,O37)),"")</f>
        <v/>
      </c>
      <c r="R37" s="117" t="str">
        <f>IF(kokpit!R37&lt;&gt;"",kokpit!R37,"")</f>
        <v/>
      </c>
      <c r="S37" s="117" t="str">
        <f>IF(kokpit!S37&lt;&gt;"",kokpit!S37,"")</f>
        <v/>
      </c>
      <c r="T37" s="117" t="str">
        <f>IF(kokpit!T37&lt;&gt;"",kokpit!T37,"")</f>
        <v/>
      </c>
      <c r="U37" s="141" t="str">
        <f>IF(R37&lt;&gt;"",SUMIFS('JPK_KR-1'!AL:AL,'JPK_KR-1'!W:W,S37),"")</f>
        <v/>
      </c>
      <c r="V37" s="144" t="str">
        <f>IF(R37&lt;&gt;"",SUMIFS('JPK_KR-1'!AM:AM,'JPK_KR-1'!W:W,S37),"")</f>
        <v/>
      </c>
    </row>
    <row r="38" spans="1:22" x14ac:dyDescent="0.3">
      <c r="A38" s="5" t="str">
        <f>IF(kokpit!A38&lt;&gt;"",kokpit!A38,"")</f>
        <v/>
      </c>
      <c r="B38" s="5" t="str">
        <f>IF(kokpit!B38&lt;&gt;"",kokpit!B38,"")</f>
        <v/>
      </c>
      <c r="C38" s="24" t="str">
        <f>IF(A38&lt;&gt;"",SUMIFS('JPK_KR-1'!AL:AL,'JPK_KR-1'!W:W,B38),"")</f>
        <v/>
      </c>
      <c r="D38" s="126" t="str">
        <f>IF(A38&lt;&gt;"",SUMIFS('JPK_KR-1'!AM:AM,'JPK_KR-1'!W:W,B38),"")</f>
        <v/>
      </c>
      <c r="E38" s="5" t="str">
        <f>IF(kokpit!E38&lt;&gt;"",kokpit!E38,"")</f>
        <v/>
      </c>
      <c r="F38" s="127" t="str">
        <f>IF(kokpit!F38&lt;&gt;"",kokpit!F38,"")</f>
        <v/>
      </c>
      <c r="G38" s="24" t="str">
        <f>IF(E38&lt;&gt;"",SUMIFS('JPK_KR-1'!AL:AL,'JPK_KR-1'!W:W,F38),"")</f>
        <v/>
      </c>
      <c r="H38" s="126" t="str">
        <f>IF(E38&lt;&gt;"",SUMIFS('JPK_KR-1'!AM:AM,'JPK_KR-1'!W:W,F38),"")</f>
        <v/>
      </c>
      <c r="I38" s="5" t="str">
        <f>IF(kokpit!I38&lt;&gt;"",kokpit!I38,"")</f>
        <v/>
      </c>
      <c r="J38" s="5" t="str">
        <f>IF(kokpit!J38&lt;&gt;"",kokpit!J38,"")</f>
        <v/>
      </c>
      <c r="K38" s="24" t="str">
        <f>IF(I38&lt;&gt;"",SUMIFS('JPK_KR-1'!AL:AL,'JPK_KR-1'!W:W,J38),"")</f>
        <v/>
      </c>
      <c r="L38" s="141" t="str">
        <f>IF(I38&lt;&gt;"",SUMIFS('JPK_KR-1'!AM:AM,'JPK_KR-1'!W:W,J38),"")</f>
        <v/>
      </c>
      <c r="M38" s="143" t="str">
        <f>IF(kokpit!M38&lt;&gt;"",kokpit!M38,"")</f>
        <v/>
      </c>
      <c r="N38" s="117" t="str">
        <f>IF(kokpit!N38&lt;&gt;"",kokpit!N38,"")</f>
        <v/>
      </c>
      <c r="O38" s="117" t="str">
        <f>IF(kokpit!O38&lt;&gt;"",kokpit!O38,"")</f>
        <v/>
      </c>
      <c r="P38" s="141" t="str">
        <f>IF(M38&lt;&gt;"",IF(O38="",SUMIFS('JPK_KR-1'!AL:AL,'JPK_KR-1'!W:W,N38),SUMIFS('JPK_KR-1'!BF:BF,'JPK_KR-1'!BE:BE,N38,'JPK_KR-1'!BG:BG,O38)),"")</f>
        <v/>
      </c>
      <c r="Q38" s="144" t="str">
        <f>IF(M38&lt;&gt;"",IF(O38="",SUMIFS('JPK_KR-1'!AM:AM,'JPK_KR-1'!W:W,N38),SUMIFS('JPK_KR-1'!BI:BI,'JPK_KR-1'!BH:BH,N38,'JPK_KR-1'!BJ:BJ,O38)),"")</f>
        <v/>
      </c>
      <c r="R38" s="117" t="str">
        <f>IF(kokpit!R38&lt;&gt;"",kokpit!R38,"")</f>
        <v/>
      </c>
      <c r="S38" s="117" t="str">
        <f>IF(kokpit!S38&lt;&gt;"",kokpit!S38,"")</f>
        <v/>
      </c>
      <c r="T38" s="117" t="str">
        <f>IF(kokpit!T38&lt;&gt;"",kokpit!T38,"")</f>
        <v/>
      </c>
      <c r="U38" s="141" t="str">
        <f>IF(R38&lt;&gt;"",SUMIFS('JPK_KR-1'!AL:AL,'JPK_KR-1'!W:W,S38),"")</f>
        <v/>
      </c>
      <c r="V38" s="144" t="str">
        <f>IF(R38&lt;&gt;"",SUMIFS('JPK_KR-1'!AM:AM,'JPK_KR-1'!W:W,S38),"")</f>
        <v/>
      </c>
    </row>
    <row r="39" spans="1:22" x14ac:dyDescent="0.3">
      <c r="A39" s="5" t="str">
        <f>IF(kokpit!A39&lt;&gt;"",kokpit!A39,"")</f>
        <v/>
      </c>
      <c r="B39" s="5" t="str">
        <f>IF(kokpit!B39&lt;&gt;"",kokpit!B39,"")</f>
        <v/>
      </c>
      <c r="C39" s="24" t="str">
        <f>IF(A39&lt;&gt;"",SUMIFS('JPK_KR-1'!AL:AL,'JPK_KR-1'!W:W,B39),"")</f>
        <v/>
      </c>
      <c r="D39" s="126" t="str">
        <f>IF(A39&lt;&gt;"",SUMIFS('JPK_KR-1'!AM:AM,'JPK_KR-1'!W:W,B39),"")</f>
        <v/>
      </c>
      <c r="E39" s="5" t="str">
        <f>IF(kokpit!E39&lt;&gt;"",kokpit!E39,"")</f>
        <v/>
      </c>
      <c r="F39" s="127" t="str">
        <f>IF(kokpit!F39&lt;&gt;"",kokpit!F39,"")</f>
        <v/>
      </c>
      <c r="G39" s="24" t="str">
        <f>IF(E39&lt;&gt;"",SUMIFS('JPK_KR-1'!AL:AL,'JPK_KR-1'!W:W,F39),"")</f>
        <v/>
      </c>
      <c r="H39" s="126" t="str">
        <f>IF(E39&lt;&gt;"",SUMIFS('JPK_KR-1'!AM:AM,'JPK_KR-1'!W:W,F39),"")</f>
        <v/>
      </c>
      <c r="I39" s="5" t="str">
        <f>IF(kokpit!I39&lt;&gt;"",kokpit!I39,"")</f>
        <v/>
      </c>
      <c r="J39" s="5" t="str">
        <f>IF(kokpit!J39&lt;&gt;"",kokpit!J39,"")</f>
        <v/>
      </c>
      <c r="K39" s="24" t="str">
        <f>IF(I39&lt;&gt;"",SUMIFS('JPK_KR-1'!AL:AL,'JPK_KR-1'!W:W,J39),"")</f>
        <v/>
      </c>
      <c r="L39" s="141" t="str">
        <f>IF(I39&lt;&gt;"",SUMIFS('JPK_KR-1'!AM:AM,'JPK_KR-1'!W:W,J39),"")</f>
        <v/>
      </c>
      <c r="M39" s="143" t="str">
        <f>IF(kokpit!M39&lt;&gt;"",kokpit!M39,"")</f>
        <v/>
      </c>
      <c r="N39" s="117" t="str">
        <f>IF(kokpit!N39&lt;&gt;"",kokpit!N39,"")</f>
        <v/>
      </c>
      <c r="O39" s="117" t="str">
        <f>IF(kokpit!O39&lt;&gt;"",kokpit!O39,"")</f>
        <v/>
      </c>
      <c r="P39" s="141" t="str">
        <f>IF(M39&lt;&gt;"",IF(O39="",SUMIFS('JPK_KR-1'!AL:AL,'JPK_KR-1'!W:W,N39),SUMIFS('JPK_KR-1'!BF:BF,'JPK_KR-1'!BE:BE,N39,'JPK_KR-1'!BG:BG,O39)),"")</f>
        <v/>
      </c>
      <c r="Q39" s="144" t="str">
        <f>IF(M39&lt;&gt;"",IF(O39="",SUMIFS('JPK_KR-1'!AM:AM,'JPK_KR-1'!W:W,N39),SUMIFS('JPK_KR-1'!BI:BI,'JPK_KR-1'!BH:BH,N39,'JPK_KR-1'!BJ:BJ,O39)),"")</f>
        <v/>
      </c>
      <c r="R39" s="117" t="str">
        <f>IF(kokpit!R39&lt;&gt;"",kokpit!R39,"")</f>
        <v/>
      </c>
      <c r="S39" s="117" t="str">
        <f>IF(kokpit!S39&lt;&gt;"",kokpit!S39,"")</f>
        <v/>
      </c>
      <c r="T39" s="117" t="str">
        <f>IF(kokpit!T39&lt;&gt;"",kokpit!T39,"")</f>
        <v/>
      </c>
      <c r="U39" s="141" t="str">
        <f>IF(R39&lt;&gt;"",SUMIFS('JPK_KR-1'!AL:AL,'JPK_KR-1'!W:W,S39),"")</f>
        <v/>
      </c>
      <c r="V39" s="144" t="str">
        <f>IF(R39&lt;&gt;"",SUMIFS('JPK_KR-1'!AM:AM,'JPK_KR-1'!W:W,S39),"")</f>
        <v/>
      </c>
    </row>
    <row r="40" spans="1:22" x14ac:dyDescent="0.3">
      <c r="A40" s="5" t="str">
        <f>IF(kokpit!A40&lt;&gt;"",kokpit!A40,"")</f>
        <v/>
      </c>
      <c r="B40" s="5" t="str">
        <f>IF(kokpit!B40&lt;&gt;"",kokpit!B40,"")</f>
        <v/>
      </c>
      <c r="C40" s="24" t="str">
        <f>IF(A40&lt;&gt;"",SUMIFS('JPK_KR-1'!AL:AL,'JPK_KR-1'!W:W,B40),"")</f>
        <v/>
      </c>
      <c r="D40" s="126" t="str">
        <f>IF(A40&lt;&gt;"",SUMIFS('JPK_KR-1'!AM:AM,'JPK_KR-1'!W:W,B40),"")</f>
        <v/>
      </c>
      <c r="E40" s="5" t="str">
        <f>IF(kokpit!E40&lt;&gt;"",kokpit!E40,"")</f>
        <v/>
      </c>
      <c r="F40" s="127" t="str">
        <f>IF(kokpit!F40&lt;&gt;"",kokpit!F40,"")</f>
        <v/>
      </c>
      <c r="G40" s="24" t="str">
        <f>IF(E40&lt;&gt;"",SUMIFS('JPK_KR-1'!AL:AL,'JPK_KR-1'!W:W,F40),"")</f>
        <v/>
      </c>
      <c r="H40" s="126" t="str">
        <f>IF(E40&lt;&gt;"",SUMIFS('JPK_KR-1'!AM:AM,'JPK_KR-1'!W:W,F40),"")</f>
        <v/>
      </c>
      <c r="I40" s="5" t="str">
        <f>IF(kokpit!I40&lt;&gt;"",kokpit!I40,"")</f>
        <v/>
      </c>
      <c r="J40" s="5" t="str">
        <f>IF(kokpit!J40&lt;&gt;"",kokpit!J40,"")</f>
        <v/>
      </c>
      <c r="K40" s="24" t="str">
        <f>IF(I40&lt;&gt;"",SUMIFS('JPK_KR-1'!AL:AL,'JPK_KR-1'!W:W,J40),"")</f>
        <v/>
      </c>
      <c r="L40" s="141" t="str">
        <f>IF(I40&lt;&gt;"",SUMIFS('JPK_KR-1'!AM:AM,'JPK_KR-1'!W:W,J40),"")</f>
        <v/>
      </c>
      <c r="M40" s="143" t="str">
        <f>IF(kokpit!M40&lt;&gt;"",kokpit!M40,"")</f>
        <v/>
      </c>
      <c r="N40" s="117" t="str">
        <f>IF(kokpit!N40&lt;&gt;"",kokpit!N40,"")</f>
        <v/>
      </c>
      <c r="O40" s="117" t="str">
        <f>IF(kokpit!O40&lt;&gt;"",kokpit!O40,"")</f>
        <v/>
      </c>
      <c r="P40" s="141" t="str">
        <f>IF(M40&lt;&gt;"",IF(O40="",SUMIFS('JPK_KR-1'!AL:AL,'JPK_KR-1'!W:W,N40),SUMIFS('JPK_KR-1'!BF:BF,'JPK_KR-1'!BE:BE,N40,'JPK_KR-1'!BG:BG,O40)),"")</f>
        <v/>
      </c>
      <c r="Q40" s="144" t="str">
        <f>IF(M40&lt;&gt;"",IF(O40="",SUMIFS('JPK_KR-1'!AM:AM,'JPK_KR-1'!W:W,N40),SUMIFS('JPK_KR-1'!BI:BI,'JPK_KR-1'!BH:BH,N40,'JPK_KR-1'!BJ:BJ,O40)),"")</f>
        <v/>
      </c>
      <c r="R40" s="117" t="str">
        <f>IF(kokpit!R40&lt;&gt;"",kokpit!R40,"")</f>
        <v/>
      </c>
      <c r="S40" s="117" t="str">
        <f>IF(kokpit!S40&lt;&gt;"",kokpit!S40,"")</f>
        <v/>
      </c>
      <c r="T40" s="117" t="str">
        <f>IF(kokpit!T40&lt;&gt;"",kokpit!T40,"")</f>
        <v/>
      </c>
      <c r="U40" s="141" t="str">
        <f>IF(R40&lt;&gt;"",SUMIFS('JPK_KR-1'!AL:AL,'JPK_KR-1'!W:W,S40),"")</f>
        <v/>
      </c>
      <c r="V40" s="144" t="str">
        <f>IF(R40&lt;&gt;"",SUMIFS('JPK_KR-1'!AM:AM,'JPK_KR-1'!W:W,S40),"")</f>
        <v/>
      </c>
    </row>
    <row r="41" spans="1:22" x14ac:dyDescent="0.3">
      <c r="A41" s="5" t="str">
        <f>IF(kokpit!A41&lt;&gt;"",kokpit!A41,"")</f>
        <v/>
      </c>
      <c r="B41" s="5" t="str">
        <f>IF(kokpit!B41&lt;&gt;"",kokpit!B41,"")</f>
        <v/>
      </c>
      <c r="C41" s="24" t="str">
        <f>IF(A41&lt;&gt;"",SUMIFS('JPK_KR-1'!AL:AL,'JPK_KR-1'!W:W,B41),"")</f>
        <v/>
      </c>
      <c r="D41" s="126" t="str">
        <f>IF(A41&lt;&gt;"",SUMIFS('JPK_KR-1'!AM:AM,'JPK_KR-1'!W:W,B41),"")</f>
        <v/>
      </c>
      <c r="E41" s="5" t="str">
        <f>IF(kokpit!E41&lt;&gt;"",kokpit!E41,"")</f>
        <v/>
      </c>
      <c r="F41" s="127" t="str">
        <f>IF(kokpit!F41&lt;&gt;"",kokpit!F41,"")</f>
        <v/>
      </c>
      <c r="G41" s="24" t="str">
        <f>IF(E41&lt;&gt;"",SUMIFS('JPK_KR-1'!AL:AL,'JPK_KR-1'!W:W,F41),"")</f>
        <v/>
      </c>
      <c r="H41" s="126" t="str">
        <f>IF(E41&lt;&gt;"",SUMIFS('JPK_KR-1'!AM:AM,'JPK_KR-1'!W:W,F41),"")</f>
        <v/>
      </c>
      <c r="I41" s="5" t="str">
        <f>IF(kokpit!I41&lt;&gt;"",kokpit!I41,"")</f>
        <v/>
      </c>
      <c r="J41" s="5" t="str">
        <f>IF(kokpit!J41&lt;&gt;"",kokpit!J41,"")</f>
        <v/>
      </c>
      <c r="K41" s="24" t="str">
        <f>IF(I41&lt;&gt;"",SUMIFS('JPK_KR-1'!AL:AL,'JPK_KR-1'!W:W,J41),"")</f>
        <v/>
      </c>
      <c r="L41" s="141" t="str">
        <f>IF(I41&lt;&gt;"",SUMIFS('JPK_KR-1'!AM:AM,'JPK_KR-1'!W:W,J41),"")</f>
        <v/>
      </c>
      <c r="M41" s="143" t="str">
        <f>IF(kokpit!M41&lt;&gt;"",kokpit!M41,"")</f>
        <v/>
      </c>
      <c r="N41" s="117" t="str">
        <f>IF(kokpit!N41&lt;&gt;"",kokpit!N41,"")</f>
        <v/>
      </c>
      <c r="O41" s="117" t="str">
        <f>IF(kokpit!O41&lt;&gt;"",kokpit!O41,"")</f>
        <v/>
      </c>
      <c r="P41" s="141" t="str">
        <f>IF(M41&lt;&gt;"",IF(O41="",SUMIFS('JPK_KR-1'!AL:AL,'JPK_KR-1'!W:W,N41),SUMIFS('JPK_KR-1'!BF:BF,'JPK_KR-1'!BE:BE,N41,'JPK_KR-1'!BG:BG,O41)),"")</f>
        <v/>
      </c>
      <c r="Q41" s="144" t="str">
        <f>IF(M41&lt;&gt;"",IF(O41="",SUMIFS('JPK_KR-1'!AM:AM,'JPK_KR-1'!W:W,N41),SUMIFS('JPK_KR-1'!BI:BI,'JPK_KR-1'!BH:BH,N41,'JPK_KR-1'!BJ:BJ,O41)),"")</f>
        <v/>
      </c>
      <c r="R41" s="117" t="str">
        <f>IF(kokpit!R41&lt;&gt;"",kokpit!R41,"")</f>
        <v/>
      </c>
      <c r="S41" s="117" t="str">
        <f>IF(kokpit!S41&lt;&gt;"",kokpit!S41,"")</f>
        <v/>
      </c>
      <c r="T41" s="117" t="str">
        <f>IF(kokpit!T41&lt;&gt;"",kokpit!T41,"")</f>
        <v/>
      </c>
      <c r="U41" s="141" t="str">
        <f>IF(R41&lt;&gt;"",SUMIFS('JPK_KR-1'!AL:AL,'JPK_KR-1'!W:W,S41),"")</f>
        <v/>
      </c>
      <c r="V41" s="144" t="str">
        <f>IF(R41&lt;&gt;"",SUMIFS('JPK_KR-1'!AM:AM,'JPK_KR-1'!W:W,S41),"")</f>
        <v/>
      </c>
    </row>
    <row r="42" spans="1:22" x14ac:dyDescent="0.3">
      <c r="A42" s="5" t="str">
        <f>IF(kokpit!A42&lt;&gt;"",kokpit!A42,"")</f>
        <v/>
      </c>
      <c r="B42" s="5" t="str">
        <f>IF(kokpit!B42&lt;&gt;"",kokpit!B42,"")</f>
        <v/>
      </c>
      <c r="C42" s="24" t="str">
        <f>IF(A42&lt;&gt;"",SUMIFS('JPK_KR-1'!AL:AL,'JPK_KR-1'!W:W,B42),"")</f>
        <v/>
      </c>
      <c r="D42" s="126" t="str">
        <f>IF(A42&lt;&gt;"",SUMIFS('JPK_KR-1'!AM:AM,'JPK_KR-1'!W:W,B42),"")</f>
        <v/>
      </c>
      <c r="E42" s="5" t="str">
        <f>IF(kokpit!E42&lt;&gt;"",kokpit!E42,"")</f>
        <v/>
      </c>
      <c r="F42" s="127" t="str">
        <f>IF(kokpit!F42&lt;&gt;"",kokpit!F42,"")</f>
        <v/>
      </c>
      <c r="G42" s="24" t="str">
        <f>IF(E42&lt;&gt;"",SUMIFS('JPK_KR-1'!AL:AL,'JPK_KR-1'!W:W,F42),"")</f>
        <v/>
      </c>
      <c r="H42" s="126" t="str">
        <f>IF(E42&lt;&gt;"",SUMIFS('JPK_KR-1'!AM:AM,'JPK_KR-1'!W:W,F42),"")</f>
        <v/>
      </c>
      <c r="I42" s="5" t="str">
        <f>IF(kokpit!I42&lt;&gt;"",kokpit!I42,"")</f>
        <v/>
      </c>
      <c r="J42" s="5" t="str">
        <f>IF(kokpit!J42&lt;&gt;"",kokpit!J42,"")</f>
        <v/>
      </c>
      <c r="K42" s="24" t="str">
        <f>IF(I42&lt;&gt;"",SUMIFS('JPK_KR-1'!AL:AL,'JPK_KR-1'!W:W,J42),"")</f>
        <v/>
      </c>
      <c r="L42" s="141" t="str">
        <f>IF(I42&lt;&gt;"",SUMIFS('JPK_KR-1'!AM:AM,'JPK_KR-1'!W:W,J42),"")</f>
        <v/>
      </c>
      <c r="M42" s="143" t="str">
        <f>IF(kokpit!M42&lt;&gt;"",kokpit!M42,"")</f>
        <v/>
      </c>
      <c r="N42" s="117" t="str">
        <f>IF(kokpit!N42&lt;&gt;"",kokpit!N42,"")</f>
        <v/>
      </c>
      <c r="O42" s="117" t="str">
        <f>IF(kokpit!O42&lt;&gt;"",kokpit!O42,"")</f>
        <v/>
      </c>
      <c r="P42" s="141" t="str">
        <f>IF(M42&lt;&gt;"",IF(O42="",SUMIFS('JPK_KR-1'!AL:AL,'JPK_KR-1'!W:W,N42),SUMIFS('JPK_KR-1'!BF:BF,'JPK_KR-1'!BE:BE,N42,'JPK_KR-1'!BG:BG,O42)),"")</f>
        <v/>
      </c>
      <c r="Q42" s="144" t="str">
        <f>IF(M42&lt;&gt;"",IF(O42="",SUMIFS('JPK_KR-1'!AM:AM,'JPK_KR-1'!W:W,N42),SUMIFS('JPK_KR-1'!BI:BI,'JPK_KR-1'!BH:BH,N42,'JPK_KR-1'!BJ:BJ,O42)),"")</f>
        <v/>
      </c>
      <c r="R42" s="117" t="str">
        <f>IF(kokpit!R42&lt;&gt;"",kokpit!R42,"")</f>
        <v/>
      </c>
      <c r="S42" s="117" t="str">
        <f>IF(kokpit!S42&lt;&gt;"",kokpit!S42,"")</f>
        <v/>
      </c>
      <c r="T42" s="117" t="str">
        <f>IF(kokpit!T42&lt;&gt;"",kokpit!T42,"")</f>
        <v/>
      </c>
      <c r="U42" s="141" t="str">
        <f>IF(R42&lt;&gt;"",SUMIFS('JPK_KR-1'!AL:AL,'JPK_KR-1'!W:W,S42),"")</f>
        <v/>
      </c>
      <c r="V42" s="144" t="str">
        <f>IF(R42&lt;&gt;"",SUMIFS('JPK_KR-1'!AM:AM,'JPK_KR-1'!W:W,S42),"")</f>
        <v/>
      </c>
    </row>
    <row r="43" spans="1:22" x14ac:dyDescent="0.3">
      <c r="A43" s="5" t="str">
        <f>IF(kokpit!A43&lt;&gt;"",kokpit!A43,"")</f>
        <v/>
      </c>
      <c r="B43" s="5" t="str">
        <f>IF(kokpit!B43&lt;&gt;"",kokpit!B43,"")</f>
        <v/>
      </c>
      <c r="C43" s="24" t="str">
        <f>IF(A43&lt;&gt;"",SUMIFS('JPK_KR-1'!AL:AL,'JPK_KR-1'!W:W,B43),"")</f>
        <v/>
      </c>
      <c r="D43" s="126" t="str">
        <f>IF(A43&lt;&gt;"",SUMIFS('JPK_KR-1'!AM:AM,'JPK_KR-1'!W:W,B43),"")</f>
        <v/>
      </c>
      <c r="E43" s="5" t="str">
        <f>IF(kokpit!E43&lt;&gt;"",kokpit!E43,"")</f>
        <v/>
      </c>
      <c r="F43" s="127" t="str">
        <f>IF(kokpit!F43&lt;&gt;"",kokpit!F43,"")</f>
        <v/>
      </c>
      <c r="G43" s="24" t="str">
        <f>IF(E43&lt;&gt;"",SUMIFS('JPK_KR-1'!AL:AL,'JPK_KR-1'!W:W,F43),"")</f>
        <v/>
      </c>
      <c r="H43" s="126" t="str">
        <f>IF(E43&lt;&gt;"",SUMIFS('JPK_KR-1'!AM:AM,'JPK_KR-1'!W:W,F43),"")</f>
        <v/>
      </c>
      <c r="I43" s="5" t="str">
        <f>IF(kokpit!I43&lt;&gt;"",kokpit!I43,"")</f>
        <v/>
      </c>
      <c r="J43" s="5" t="str">
        <f>IF(kokpit!J43&lt;&gt;"",kokpit!J43,"")</f>
        <v/>
      </c>
      <c r="K43" s="24" t="str">
        <f>IF(I43&lt;&gt;"",SUMIFS('JPK_KR-1'!AL:AL,'JPK_KR-1'!W:W,J43),"")</f>
        <v/>
      </c>
      <c r="L43" s="141" t="str">
        <f>IF(I43&lt;&gt;"",SUMIFS('JPK_KR-1'!AM:AM,'JPK_KR-1'!W:W,J43),"")</f>
        <v/>
      </c>
      <c r="M43" s="143" t="str">
        <f>IF(kokpit!M43&lt;&gt;"",kokpit!M43,"")</f>
        <v/>
      </c>
      <c r="N43" s="117" t="str">
        <f>IF(kokpit!N43&lt;&gt;"",kokpit!N43,"")</f>
        <v/>
      </c>
      <c r="O43" s="117" t="str">
        <f>IF(kokpit!O43&lt;&gt;"",kokpit!O43,"")</f>
        <v/>
      </c>
      <c r="P43" s="141" t="str">
        <f>IF(M43&lt;&gt;"",IF(O43="",SUMIFS('JPK_KR-1'!AL:AL,'JPK_KR-1'!W:W,N43),SUMIFS('JPK_KR-1'!BF:BF,'JPK_KR-1'!BE:BE,N43,'JPK_KR-1'!BG:BG,O43)),"")</f>
        <v/>
      </c>
      <c r="Q43" s="144" t="str">
        <f>IF(M43&lt;&gt;"",IF(O43="",SUMIFS('JPK_KR-1'!AM:AM,'JPK_KR-1'!W:W,N43),SUMIFS('JPK_KR-1'!BI:BI,'JPK_KR-1'!BH:BH,N43,'JPK_KR-1'!BJ:BJ,O43)),"")</f>
        <v/>
      </c>
      <c r="R43" s="117" t="str">
        <f>IF(kokpit!R43&lt;&gt;"",kokpit!R43,"")</f>
        <v/>
      </c>
      <c r="S43" s="117" t="str">
        <f>IF(kokpit!S43&lt;&gt;"",kokpit!S43,"")</f>
        <v/>
      </c>
      <c r="T43" s="117" t="str">
        <f>IF(kokpit!T43&lt;&gt;"",kokpit!T43,"")</f>
        <v/>
      </c>
      <c r="U43" s="141" t="str">
        <f>IF(R43&lt;&gt;"",SUMIFS('JPK_KR-1'!AL:AL,'JPK_KR-1'!W:W,S43),"")</f>
        <v/>
      </c>
      <c r="V43" s="144" t="str">
        <f>IF(R43&lt;&gt;"",SUMIFS('JPK_KR-1'!AM:AM,'JPK_KR-1'!W:W,S43),"")</f>
        <v/>
      </c>
    </row>
    <row r="44" spans="1:22" x14ac:dyDescent="0.3">
      <c r="A44" s="5" t="str">
        <f>IF(kokpit!A44&lt;&gt;"",kokpit!A44,"")</f>
        <v/>
      </c>
      <c r="B44" s="5" t="str">
        <f>IF(kokpit!B44&lt;&gt;"",kokpit!B44,"")</f>
        <v/>
      </c>
      <c r="C44" s="24" t="str">
        <f>IF(A44&lt;&gt;"",SUMIFS('JPK_KR-1'!AL:AL,'JPK_KR-1'!W:W,B44),"")</f>
        <v/>
      </c>
      <c r="D44" s="126" t="str">
        <f>IF(A44&lt;&gt;"",SUMIFS('JPK_KR-1'!AM:AM,'JPK_KR-1'!W:W,B44),"")</f>
        <v/>
      </c>
      <c r="E44" s="5" t="str">
        <f>IF(kokpit!E44&lt;&gt;"",kokpit!E44,"")</f>
        <v/>
      </c>
      <c r="F44" s="127" t="str">
        <f>IF(kokpit!F44&lt;&gt;"",kokpit!F44,"")</f>
        <v/>
      </c>
      <c r="G44" s="24" t="str">
        <f>IF(E44&lt;&gt;"",SUMIFS('JPK_KR-1'!AL:AL,'JPK_KR-1'!W:W,F44),"")</f>
        <v/>
      </c>
      <c r="H44" s="126" t="str">
        <f>IF(E44&lt;&gt;"",SUMIFS('JPK_KR-1'!AM:AM,'JPK_KR-1'!W:W,F44),"")</f>
        <v/>
      </c>
      <c r="I44" s="5" t="str">
        <f>IF(kokpit!I44&lt;&gt;"",kokpit!I44,"")</f>
        <v/>
      </c>
      <c r="J44" s="5" t="str">
        <f>IF(kokpit!J44&lt;&gt;"",kokpit!J44,"")</f>
        <v/>
      </c>
      <c r="K44" s="24" t="str">
        <f>IF(I44&lt;&gt;"",SUMIFS('JPK_KR-1'!AL:AL,'JPK_KR-1'!W:W,J44),"")</f>
        <v/>
      </c>
      <c r="L44" s="141" t="str">
        <f>IF(I44&lt;&gt;"",SUMIFS('JPK_KR-1'!AM:AM,'JPK_KR-1'!W:W,J44),"")</f>
        <v/>
      </c>
      <c r="M44" s="143" t="str">
        <f>IF(kokpit!M44&lt;&gt;"",kokpit!M44,"")</f>
        <v/>
      </c>
      <c r="N44" s="117" t="str">
        <f>IF(kokpit!N44&lt;&gt;"",kokpit!N44,"")</f>
        <v/>
      </c>
      <c r="O44" s="117" t="str">
        <f>IF(kokpit!O44&lt;&gt;"",kokpit!O44,"")</f>
        <v/>
      </c>
      <c r="P44" s="141" t="str">
        <f>IF(M44&lt;&gt;"",IF(O44="",SUMIFS('JPK_KR-1'!AL:AL,'JPK_KR-1'!W:W,N44),SUMIFS('JPK_KR-1'!BF:BF,'JPK_KR-1'!BE:BE,N44,'JPK_KR-1'!BG:BG,O44)),"")</f>
        <v/>
      </c>
      <c r="Q44" s="144" t="str">
        <f>IF(M44&lt;&gt;"",IF(O44="",SUMIFS('JPK_KR-1'!AM:AM,'JPK_KR-1'!W:W,N44),SUMIFS('JPK_KR-1'!BI:BI,'JPK_KR-1'!BH:BH,N44,'JPK_KR-1'!BJ:BJ,O44)),"")</f>
        <v/>
      </c>
      <c r="R44" s="117" t="str">
        <f>IF(kokpit!R44&lt;&gt;"",kokpit!R44,"")</f>
        <v/>
      </c>
      <c r="S44" s="117" t="str">
        <f>IF(kokpit!S44&lt;&gt;"",kokpit!S44,"")</f>
        <v/>
      </c>
      <c r="T44" s="117" t="str">
        <f>IF(kokpit!T44&lt;&gt;"",kokpit!T44,"")</f>
        <v/>
      </c>
      <c r="U44" s="141" t="str">
        <f>IF(R44&lt;&gt;"",SUMIFS('JPK_KR-1'!AL:AL,'JPK_KR-1'!W:W,S44),"")</f>
        <v/>
      </c>
      <c r="V44" s="144" t="str">
        <f>IF(R44&lt;&gt;"",SUMIFS('JPK_KR-1'!AM:AM,'JPK_KR-1'!W:W,S44),"")</f>
        <v/>
      </c>
    </row>
    <row r="45" spans="1:22" x14ac:dyDescent="0.3">
      <c r="A45" s="5" t="str">
        <f>IF(kokpit!A45&lt;&gt;"",kokpit!A45,"")</f>
        <v/>
      </c>
      <c r="B45" s="5" t="str">
        <f>IF(kokpit!B45&lt;&gt;"",kokpit!B45,"")</f>
        <v/>
      </c>
      <c r="C45" s="24" t="str">
        <f>IF(A45&lt;&gt;"",SUMIFS('JPK_KR-1'!AL:AL,'JPK_KR-1'!W:W,B45),"")</f>
        <v/>
      </c>
      <c r="D45" s="126" t="str">
        <f>IF(A45&lt;&gt;"",SUMIFS('JPK_KR-1'!AM:AM,'JPK_KR-1'!W:W,B45),"")</f>
        <v/>
      </c>
      <c r="E45" s="5" t="str">
        <f>IF(kokpit!E45&lt;&gt;"",kokpit!E45,"")</f>
        <v/>
      </c>
      <c r="F45" s="127" t="str">
        <f>IF(kokpit!F45&lt;&gt;"",kokpit!F45,"")</f>
        <v/>
      </c>
      <c r="G45" s="24" t="str">
        <f>IF(E45&lt;&gt;"",SUMIFS('JPK_KR-1'!AL:AL,'JPK_KR-1'!W:W,F45),"")</f>
        <v/>
      </c>
      <c r="H45" s="126" t="str">
        <f>IF(E45&lt;&gt;"",SUMIFS('JPK_KR-1'!AM:AM,'JPK_KR-1'!W:W,F45),"")</f>
        <v/>
      </c>
      <c r="I45" s="5" t="str">
        <f>IF(kokpit!I45&lt;&gt;"",kokpit!I45,"")</f>
        <v/>
      </c>
      <c r="J45" s="5" t="str">
        <f>IF(kokpit!J45&lt;&gt;"",kokpit!J45,"")</f>
        <v/>
      </c>
      <c r="K45" s="24" t="str">
        <f>IF(I45&lt;&gt;"",SUMIFS('JPK_KR-1'!AL:AL,'JPK_KR-1'!W:W,J45),"")</f>
        <v/>
      </c>
      <c r="L45" s="141" t="str">
        <f>IF(I45&lt;&gt;"",SUMIFS('JPK_KR-1'!AM:AM,'JPK_KR-1'!W:W,J45),"")</f>
        <v/>
      </c>
      <c r="M45" s="143" t="str">
        <f>IF(kokpit!M45&lt;&gt;"",kokpit!M45,"")</f>
        <v/>
      </c>
      <c r="N45" s="117" t="str">
        <f>IF(kokpit!N45&lt;&gt;"",kokpit!N45,"")</f>
        <v/>
      </c>
      <c r="O45" s="117" t="str">
        <f>IF(kokpit!O45&lt;&gt;"",kokpit!O45,"")</f>
        <v/>
      </c>
      <c r="P45" s="141" t="str">
        <f>IF(M45&lt;&gt;"",IF(O45="",SUMIFS('JPK_KR-1'!AL:AL,'JPK_KR-1'!W:W,N45),SUMIFS('JPK_KR-1'!BF:BF,'JPK_KR-1'!BE:BE,N45,'JPK_KR-1'!BG:BG,O45)),"")</f>
        <v/>
      </c>
      <c r="Q45" s="144" t="str">
        <f>IF(M45&lt;&gt;"",IF(O45="",SUMIFS('JPK_KR-1'!AM:AM,'JPK_KR-1'!W:W,N45),SUMIFS('JPK_KR-1'!BI:BI,'JPK_KR-1'!BH:BH,N45,'JPK_KR-1'!BJ:BJ,O45)),"")</f>
        <v/>
      </c>
      <c r="R45" s="117" t="str">
        <f>IF(kokpit!R45&lt;&gt;"",kokpit!R45,"")</f>
        <v/>
      </c>
      <c r="S45" s="117" t="str">
        <f>IF(kokpit!S45&lt;&gt;"",kokpit!S45,"")</f>
        <v/>
      </c>
      <c r="T45" s="117" t="str">
        <f>IF(kokpit!T45&lt;&gt;"",kokpit!T45,"")</f>
        <v/>
      </c>
      <c r="U45" s="141" t="str">
        <f>IF(R45&lt;&gt;"",SUMIFS('JPK_KR-1'!AL:AL,'JPK_KR-1'!W:W,S45),"")</f>
        <v/>
      </c>
      <c r="V45" s="144" t="str">
        <f>IF(R45&lt;&gt;"",SUMIFS('JPK_KR-1'!AM:AM,'JPK_KR-1'!W:W,S45),"")</f>
        <v/>
      </c>
    </row>
    <row r="46" spans="1:22" x14ac:dyDescent="0.3">
      <c r="A46" s="5" t="str">
        <f>IF(kokpit!A46&lt;&gt;"",kokpit!A46,"")</f>
        <v/>
      </c>
      <c r="B46" s="5" t="str">
        <f>IF(kokpit!B46&lt;&gt;"",kokpit!B46,"")</f>
        <v/>
      </c>
      <c r="C46" s="24" t="str">
        <f>IF(A46&lt;&gt;"",SUMIFS('JPK_KR-1'!AL:AL,'JPK_KR-1'!W:W,B46),"")</f>
        <v/>
      </c>
      <c r="D46" s="126" t="str">
        <f>IF(A46&lt;&gt;"",SUMIFS('JPK_KR-1'!AM:AM,'JPK_KR-1'!W:W,B46),"")</f>
        <v/>
      </c>
      <c r="E46" s="5" t="str">
        <f>IF(kokpit!E46&lt;&gt;"",kokpit!E46,"")</f>
        <v/>
      </c>
      <c r="F46" s="127" t="str">
        <f>IF(kokpit!F46&lt;&gt;"",kokpit!F46,"")</f>
        <v/>
      </c>
      <c r="G46" s="24" t="str">
        <f>IF(E46&lt;&gt;"",SUMIFS('JPK_KR-1'!AL:AL,'JPK_KR-1'!W:W,F46),"")</f>
        <v/>
      </c>
      <c r="H46" s="126" t="str">
        <f>IF(E46&lt;&gt;"",SUMIFS('JPK_KR-1'!AM:AM,'JPK_KR-1'!W:W,F46),"")</f>
        <v/>
      </c>
      <c r="I46" s="5" t="str">
        <f>IF(kokpit!I46&lt;&gt;"",kokpit!I46,"")</f>
        <v/>
      </c>
      <c r="J46" s="5" t="str">
        <f>IF(kokpit!J46&lt;&gt;"",kokpit!J46,"")</f>
        <v/>
      </c>
      <c r="K46" s="24" t="str">
        <f>IF(I46&lt;&gt;"",SUMIFS('JPK_KR-1'!AL:AL,'JPK_KR-1'!W:W,J46),"")</f>
        <v/>
      </c>
      <c r="L46" s="141" t="str">
        <f>IF(I46&lt;&gt;"",SUMIFS('JPK_KR-1'!AM:AM,'JPK_KR-1'!W:W,J46),"")</f>
        <v/>
      </c>
      <c r="M46" s="143" t="str">
        <f>IF(kokpit!M46&lt;&gt;"",kokpit!M46,"")</f>
        <v/>
      </c>
      <c r="N46" s="117" t="str">
        <f>IF(kokpit!N46&lt;&gt;"",kokpit!N46,"")</f>
        <v/>
      </c>
      <c r="O46" s="117" t="str">
        <f>IF(kokpit!O46&lt;&gt;"",kokpit!O46,"")</f>
        <v/>
      </c>
      <c r="P46" s="141" t="str">
        <f>IF(M46&lt;&gt;"",IF(O46="",SUMIFS('JPK_KR-1'!AL:AL,'JPK_KR-1'!W:W,N46),SUMIFS('JPK_KR-1'!BF:BF,'JPK_KR-1'!BE:BE,N46,'JPK_KR-1'!BG:BG,O46)),"")</f>
        <v/>
      </c>
      <c r="Q46" s="144" t="str">
        <f>IF(M46&lt;&gt;"",IF(O46="",SUMIFS('JPK_KR-1'!AM:AM,'JPK_KR-1'!W:W,N46),SUMIFS('JPK_KR-1'!BI:BI,'JPK_KR-1'!BH:BH,N46,'JPK_KR-1'!BJ:BJ,O46)),"")</f>
        <v/>
      </c>
      <c r="R46" s="117" t="str">
        <f>IF(kokpit!R46&lt;&gt;"",kokpit!R46,"")</f>
        <v/>
      </c>
      <c r="S46" s="117" t="str">
        <f>IF(kokpit!S46&lt;&gt;"",kokpit!S46,"")</f>
        <v/>
      </c>
      <c r="T46" s="117" t="str">
        <f>IF(kokpit!T46&lt;&gt;"",kokpit!T46,"")</f>
        <v/>
      </c>
      <c r="U46" s="141" t="str">
        <f>IF(R46&lt;&gt;"",SUMIFS('JPK_KR-1'!AL:AL,'JPK_KR-1'!W:W,S46),"")</f>
        <v/>
      </c>
      <c r="V46" s="144" t="str">
        <f>IF(R46&lt;&gt;"",SUMIFS('JPK_KR-1'!AM:AM,'JPK_KR-1'!W:W,S46),"")</f>
        <v/>
      </c>
    </row>
    <row r="47" spans="1:22" x14ac:dyDescent="0.3">
      <c r="A47" s="5" t="str">
        <f>IF(kokpit!A47&lt;&gt;"",kokpit!A47,"")</f>
        <v/>
      </c>
      <c r="B47" s="5" t="str">
        <f>IF(kokpit!B47&lt;&gt;"",kokpit!B47,"")</f>
        <v/>
      </c>
      <c r="C47" s="24" t="str">
        <f>IF(A47&lt;&gt;"",SUMIFS('JPK_KR-1'!AL:AL,'JPK_KR-1'!W:W,B47),"")</f>
        <v/>
      </c>
      <c r="D47" s="126" t="str">
        <f>IF(A47&lt;&gt;"",SUMIFS('JPK_KR-1'!AM:AM,'JPK_KR-1'!W:W,B47),"")</f>
        <v/>
      </c>
      <c r="E47" s="5" t="str">
        <f>IF(kokpit!E47&lt;&gt;"",kokpit!E47,"")</f>
        <v/>
      </c>
      <c r="F47" s="127" t="str">
        <f>IF(kokpit!F47&lt;&gt;"",kokpit!F47,"")</f>
        <v/>
      </c>
      <c r="G47" s="24" t="str">
        <f>IF(E47&lt;&gt;"",SUMIFS('JPK_KR-1'!AL:AL,'JPK_KR-1'!W:W,F47),"")</f>
        <v/>
      </c>
      <c r="H47" s="126" t="str">
        <f>IF(E47&lt;&gt;"",SUMIFS('JPK_KR-1'!AM:AM,'JPK_KR-1'!W:W,F47),"")</f>
        <v/>
      </c>
      <c r="I47" s="5" t="str">
        <f>IF(kokpit!I47&lt;&gt;"",kokpit!I47,"")</f>
        <v/>
      </c>
      <c r="J47" s="5" t="str">
        <f>IF(kokpit!J47&lt;&gt;"",kokpit!J47,"")</f>
        <v/>
      </c>
      <c r="K47" s="24" t="str">
        <f>IF(I47&lt;&gt;"",SUMIFS('JPK_KR-1'!AL:AL,'JPK_KR-1'!W:W,J47),"")</f>
        <v/>
      </c>
      <c r="L47" s="141" t="str">
        <f>IF(I47&lt;&gt;"",SUMIFS('JPK_KR-1'!AM:AM,'JPK_KR-1'!W:W,J47),"")</f>
        <v/>
      </c>
      <c r="M47" s="143" t="str">
        <f>IF(kokpit!M47&lt;&gt;"",kokpit!M47,"")</f>
        <v/>
      </c>
      <c r="N47" s="117" t="str">
        <f>IF(kokpit!N47&lt;&gt;"",kokpit!N47,"")</f>
        <v/>
      </c>
      <c r="O47" s="117" t="str">
        <f>IF(kokpit!O47&lt;&gt;"",kokpit!O47,"")</f>
        <v/>
      </c>
      <c r="P47" s="141" t="str">
        <f>IF(M47&lt;&gt;"",IF(O47="",SUMIFS('JPK_KR-1'!AL:AL,'JPK_KR-1'!W:W,N47),SUMIFS('JPK_KR-1'!BF:BF,'JPK_KR-1'!BE:BE,N47,'JPK_KR-1'!BG:BG,O47)),"")</f>
        <v/>
      </c>
      <c r="Q47" s="144" t="str">
        <f>IF(M47&lt;&gt;"",IF(O47="",SUMIFS('JPK_KR-1'!AM:AM,'JPK_KR-1'!W:W,N47),SUMIFS('JPK_KR-1'!BI:BI,'JPK_KR-1'!BH:BH,N47,'JPK_KR-1'!BJ:BJ,O47)),"")</f>
        <v/>
      </c>
      <c r="R47" s="117" t="str">
        <f>IF(kokpit!R47&lt;&gt;"",kokpit!R47,"")</f>
        <v/>
      </c>
      <c r="S47" s="117" t="str">
        <f>IF(kokpit!S47&lt;&gt;"",kokpit!S47,"")</f>
        <v/>
      </c>
      <c r="T47" s="117" t="str">
        <f>IF(kokpit!T47&lt;&gt;"",kokpit!T47,"")</f>
        <v/>
      </c>
      <c r="U47" s="141" t="str">
        <f>IF(R47&lt;&gt;"",SUMIFS('JPK_KR-1'!AL:AL,'JPK_KR-1'!W:W,S47),"")</f>
        <v/>
      </c>
      <c r="V47" s="144" t="str">
        <f>IF(R47&lt;&gt;"",SUMIFS('JPK_KR-1'!AM:AM,'JPK_KR-1'!W:W,S47),"")</f>
        <v/>
      </c>
    </row>
    <row r="48" spans="1:22" x14ac:dyDescent="0.3">
      <c r="A48" s="5" t="str">
        <f>IF(kokpit!A48&lt;&gt;"",kokpit!A48,"")</f>
        <v/>
      </c>
      <c r="B48" s="5" t="str">
        <f>IF(kokpit!B48&lt;&gt;"",kokpit!B48,"")</f>
        <v/>
      </c>
      <c r="C48" s="24" t="str">
        <f>IF(A48&lt;&gt;"",SUMIFS('JPK_KR-1'!AL:AL,'JPK_KR-1'!W:W,B48),"")</f>
        <v/>
      </c>
      <c r="D48" s="126" t="str">
        <f>IF(A48&lt;&gt;"",SUMIFS('JPK_KR-1'!AM:AM,'JPK_KR-1'!W:W,B48),"")</f>
        <v/>
      </c>
      <c r="E48" s="5" t="str">
        <f>IF(kokpit!E48&lt;&gt;"",kokpit!E48,"")</f>
        <v/>
      </c>
      <c r="F48" s="127" t="str">
        <f>IF(kokpit!F48&lt;&gt;"",kokpit!F48,"")</f>
        <v/>
      </c>
      <c r="G48" s="24" t="str">
        <f>IF(E48&lt;&gt;"",SUMIFS('JPK_KR-1'!AL:AL,'JPK_KR-1'!W:W,F48),"")</f>
        <v/>
      </c>
      <c r="H48" s="126" t="str">
        <f>IF(E48&lt;&gt;"",SUMIFS('JPK_KR-1'!AM:AM,'JPK_KR-1'!W:W,F48),"")</f>
        <v/>
      </c>
      <c r="I48" s="5" t="str">
        <f>IF(kokpit!I48&lt;&gt;"",kokpit!I48,"")</f>
        <v/>
      </c>
      <c r="J48" s="5" t="str">
        <f>IF(kokpit!J48&lt;&gt;"",kokpit!J48,"")</f>
        <v/>
      </c>
      <c r="K48" s="24" t="str">
        <f>IF(I48&lt;&gt;"",SUMIFS('JPK_KR-1'!AL:AL,'JPK_KR-1'!W:W,J48),"")</f>
        <v/>
      </c>
      <c r="L48" s="141" t="str">
        <f>IF(I48&lt;&gt;"",SUMIFS('JPK_KR-1'!AM:AM,'JPK_KR-1'!W:W,J48),"")</f>
        <v/>
      </c>
      <c r="M48" s="143" t="str">
        <f>IF(kokpit!M48&lt;&gt;"",kokpit!M48,"")</f>
        <v/>
      </c>
      <c r="N48" s="117" t="str">
        <f>IF(kokpit!N48&lt;&gt;"",kokpit!N48,"")</f>
        <v/>
      </c>
      <c r="O48" s="117" t="str">
        <f>IF(kokpit!O48&lt;&gt;"",kokpit!O48,"")</f>
        <v/>
      </c>
      <c r="P48" s="141" t="str">
        <f>IF(M48&lt;&gt;"",IF(O48="",SUMIFS('JPK_KR-1'!AL:AL,'JPK_KR-1'!W:W,N48),SUMIFS('JPK_KR-1'!BF:BF,'JPK_KR-1'!BE:BE,N48,'JPK_KR-1'!BG:BG,O48)),"")</f>
        <v/>
      </c>
      <c r="Q48" s="144" t="str">
        <f>IF(M48&lt;&gt;"",IF(O48="",SUMIFS('JPK_KR-1'!AM:AM,'JPK_KR-1'!W:W,N48),SUMIFS('JPK_KR-1'!BI:BI,'JPK_KR-1'!BH:BH,N48,'JPK_KR-1'!BJ:BJ,O48)),"")</f>
        <v/>
      </c>
      <c r="R48" s="117" t="str">
        <f>IF(kokpit!R48&lt;&gt;"",kokpit!R48,"")</f>
        <v/>
      </c>
      <c r="S48" s="117" t="str">
        <f>IF(kokpit!S48&lt;&gt;"",kokpit!S48,"")</f>
        <v/>
      </c>
      <c r="T48" s="117" t="str">
        <f>IF(kokpit!T48&lt;&gt;"",kokpit!T48,"")</f>
        <v/>
      </c>
      <c r="U48" s="141" t="str">
        <f>IF(R48&lt;&gt;"",SUMIFS('JPK_KR-1'!AL:AL,'JPK_KR-1'!W:W,S48),"")</f>
        <v/>
      </c>
      <c r="V48" s="144" t="str">
        <f>IF(R48&lt;&gt;"",SUMIFS('JPK_KR-1'!AM:AM,'JPK_KR-1'!W:W,S48),"")</f>
        <v/>
      </c>
    </row>
    <row r="49" spans="1:22" x14ac:dyDescent="0.3">
      <c r="A49" s="5" t="str">
        <f>IF(kokpit!A49&lt;&gt;"",kokpit!A49,"")</f>
        <v/>
      </c>
      <c r="B49" s="5" t="str">
        <f>IF(kokpit!B49&lt;&gt;"",kokpit!B49,"")</f>
        <v/>
      </c>
      <c r="C49" s="24" t="str">
        <f>IF(A49&lt;&gt;"",SUMIFS('JPK_KR-1'!AL:AL,'JPK_KR-1'!W:W,B49),"")</f>
        <v/>
      </c>
      <c r="D49" s="126" t="str">
        <f>IF(A49&lt;&gt;"",SUMIFS('JPK_KR-1'!AM:AM,'JPK_KR-1'!W:W,B49),"")</f>
        <v/>
      </c>
      <c r="E49" s="5" t="str">
        <f>IF(kokpit!E49&lt;&gt;"",kokpit!E49,"")</f>
        <v/>
      </c>
      <c r="F49" s="127" t="str">
        <f>IF(kokpit!F49&lt;&gt;"",kokpit!F49,"")</f>
        <v/>
      </c>
      <c r="G49" s="24" t="str">
        <f>IF(E49&lt;&gt;"",SUMIFS('JPK_KR-1'!AL:AL,'JPK_KR-1'!W:W,F49),"")</f>
        <v/>
      </c>
      <c r="H49" s="126" t="str">
        <f>IF(E49&lt;&gt;"",SUMIFS('JPK_KR-1'!AM:AM,'JPK_KR-1'!W:W,F49),"")</f>
        <v/>
      </c>
      <c r="I49" s="5" t="str">
        <f>IF(kokpit!I49&lt;&gt;"",kokpit!I49,"")</f>
        <v/>
      </c>
      <c r="J49" s="5" t="str">
        <f>IF(kokpit!J49&lt;&gt;"",kokpit!J49,"")</f>
        <v/>
      </c>
      <c r="K49" s="24" t="str">
        <f>IF(I49&lt;&gt;"",SUMIFS('JPK_KR-1'!AL:AL,'JPK_KR-1'!W:W,J49),"")</f>
        <v/>
      </c>
      <c r="L49" s="141" t="str">
        <f>IF(I49&lt;&gt;"",SUMIFS('JPK_KR-1'!AM:AM,'JPK_KR-1'!W:W,J49),"")</f>
        <v/>
      </c>
      <c r="M49" s="143" t="str">
        <f>IF(kokpit!M49&lt;&gt;"",kokpit!M49,"")</f>
        <v/>
      </c>
      <c r="N49" s="117" t="str">
        <f>IF(kokpit!N49&lt;&gt;"",kokpit!N49,"")</f>
        <v/>
      </c>
      <c r="O49" s="117" t="str">
        <f>IF(kokpit!O49&lt;&gt;"",kokpit!O49,"")</f>
        <v/>
      </c>
      <c r="P49" s="141" t="str">
        <f>IF(M49&lt;&gt;"",IF(O49="",SUMIFS('JPK_KR-1'!AL:AL,'JPK_KR-1'!W:W,N49),SUMIFS('JPK_KR-1'!BF:BF,'JPK_KR-1'!BE:BE,N49,'JPK_KR-1'!BG:BG,O49)),"")</f>
        <v/>
      </c>
      <c r="Q49" s="144" t="str">
        <f>IF(M49&lt;&gt;"",IF(O49="",SUMIFS('JPK_KR-1'!AM:AM,'JPK_KR-1'!W:W,N49),SUMIFS('JPK_KR-1'!BI:BI,'JPK_KR-1'!BH:BH,N49,'JPK_KR-1'!BJ:BJ,O49)),"")</f>
        <v/>
      </c>
      <c r="R49" s="117" t="str">
        <f>IF(kokpit!R49&lt;&gt;"",kokpit!R49,"")</f>
        <v/>
      </c>
      <c r="S49" s="117" t="str">
        <f>IF(kokpit!S49&lt;&gt;"",kokpit!S49,"")</f>
        <v/>
      </c>
      <c r="T49" s="117" t="str">
        <f>IF(kokpit!T49&lt;&gt;"",kokpit!T49,"")</f>
        <v/>
      </c>
      <c r="U49" s="141" t="str">
        <f>IF(R49&lt;&gt;"",SUMIFS('JPK_KR-1'!AL:AL,'JPK_KR-1'!W:W,S49),"")</f>
        <v/>
      </c>
      <c r="V49" s="144" t="str">
        <f>IF(R49&lt;&gt;"",SUMIFS('JPK_KR-1'!AM:AM,'JPK_KR-1'!W:W,S49),"")</f>
        <v/>
      </c>
    </row>
    <row r="50" spans="1:22" x14ac:dyDescent="0.3">
      <c r="A50" s="5" t="str">
        <f>IF(kokpit!A50&lt;&gt;"",kokpit!A50,"")</f>
        <v/>
      </c>
      <c r="B50" s="5" t="str">
        <f>IF(kokpit!B50&lt;&gt;"",kokpit!B50,"")</f>
        <v/>
      </c>
      <c r="C50" s="24" t="str">
        <f>IF(A50&lt;&gt;"",SUMIFS('JPK_KR-1'!AL:AL,'JPK_KR-1'!W:W,B50),"")</f>
        <v/>
      </c>
      <c r="D50" s="126" t="str">
        <f>IF(A50&lt;&gt;"",SUMIFS('JPK_KR-1'!AM:AM,'JPK_KR-1'!W:W,B50),"")</f>
        <v/>
      </c>
      <c r="E50" s="5" t="str">
        <f>IF(kokpit!E50&lt;&gt;"",kokpit!E50,"")</f>
        <v/>
      </c>
      <c r="F50" s="127" t="str">
        <f>IF(kokpit!F50&lt;&gt;"",kokpit!F50,"")</f>
        <v/>
      </c>
      <c r="G50" s="24" t="str">
        <f>IF(E50&lt;&gt;"",SUMIFS('JPK_KR-1'!AL:AL,'JPK_KR-1'!W:W,F50),"")</f>
        <v/>
      </c>
      <c r="H50" s="126" t="str">
        <f>IF(E50&lt;&gt;"",SUMIFS('JPK_KR-1'!AM:AM,'JPK_KR-1'!W:W,F50),"")</f>
        <v/>
      </c>
      <c r="I50" s="5" t="str">
        <f>IF(kokpit!I50&lt;&gt;"",kokpit!I50,"")</f>
        <v/>
      </c>
      <c r="J50" s="5" t="str">
        <f>IF(kokpit!J50&lt;&gt;"",kokpit!J50,"")</f>
        <v/>
      </c>
      <c r="K50" s="24" t="str">
        <f>IF(I50&lt;&gt;"",SUMIFS('JPK_KR-1'!AL:AL,'JPK_KR-1'!W:W,J50),"")</f>
        <v/>
      </c>
      <c r="L50" s="141" t="str">
        <f>IF(I50&lt;&gt;"",SUMIFS('JPK_KR-1'!AM:AM,'JPK_KR-1'!W:W,J50),"")</f>
        <v/>
      </c>
      <c r="M50" s="143" t="str">
        <f>IF(kokpit!M50&lt;&gt;"",kokpit!M50,"")</f>
        <v/>
      </c>
      <c r="N50" s="117" t="str">
        <f>IF(kokpit!N50&lt;&gt;"",kokpit!N50,"")</f>
        <v/>
      </c>
      <c r="O50" s="117" t="str">
        <f>IF(kokpit!O50&lt;&gt;"",kokpit!O50,"")</f>
        <v/>
      </c>
      <c r="P50" s="141" t="str">
        <f>IF(M50&lt;&gt;"",IF(O50="",SUMIFS('JPK_KR-1'!AL:AL,'JPK_KR-1'!W:W,N50),SUMIFS('JPK_KR-1'!BF:BF,'JPK_KR-1'!BE:BE,N50,'JPK_KR-1'!BG:BG,O50)),"")</f>
        <v/>
      </c>
      <c r="Q50" s="144" t="str">
        <f>IF(M50&lt;&gt;"",IF(O50="",SUMIFS('JPK_KR-1'!AM:AM,'JPK_KR-1'!W:W,N50),SUMIFS('JPK_KR-1'!BI:BI,'JPK_KR-1'!BH:BH,N50,'JPK_KR-1'!BJ:BJ,O50)),"")</f>
        <v/>
      </c>
      <c r="R50" s="117" t="str">
        <f>IF(kokpit!R50&lt;&gt;"",kokpit!R50,"")</f>
        <v/>
      </c>
      <c r="S50" s="117" t="str">
        <f>IF(kokpit!S50&lt;&gt;"",kokpit!S50,"")</f>
        <v/>
      </c>
      <c r="T50" s="117" t="str">
        <f>IF(kokpit!T50&lt;&gt;"",kokpit!T50,"")</f>
        <v/>
      </c>
      <c r="U50" s="141" t="str">
        <f>IF(R50&lt;&gt;"",SUMIFS('JPK_KR-1'!AL:AL,'JPK_KR-1'!W:W,S50),"")</f>
        <v/>
      </c>
      <c r="V50" s="144" t="str">
        <f>IF(R50&lt;&gt;"",SUMIFS('JPK_KR-1'!AM:AM,'JPK_KR-1'!W:W,S50),"")</f>
        <v/>
      </c>
    </row>
    <row r="51" spans="1:22" x14ac:dyDescent="0.3">
      <c r="A51" s="5" t="str">
        <f>IF(kokpit!A51&lt;&gt;"",kokpit!A51,"")</f>
        <v/>
      </c>
      <c r="B51" s="5" t="str">
        <f>IF(kokpit!B51&lt;&gt;"",kokpit!B51,"")</f>
        <v/>
      </c>
      <c r="C51" s="24" t="str">
        <f>IF(A51&lt;&gt;"",SUMIFS('JPK_KR-1'!AL:AL,'JPK_KR-1'!W:W,B51),"")</f>
        <v/>
      </c>
      <c r="D51" s="126" t="str">
        <f>IF(A51&lt;&gt;"",SUMIFS('JPK_KR-1'!AM:AM,'JPK_KR-1'!W:W,B51),"")</f>
        <v/>
      </c>
      <c r="E51" s="5" t="str">
        <f>IF(kokpit!E51&lt;&gt;"",kokpit!E51,"")</f>
        <v/>
      </c>
      <c r="F51" s="127" t="str">
        <f>IF(kokpit!F51&lt;&gt;"",kokpit!F51,"")</f>
        <v/>
      </c>
      <c r="G51" s="24" t="str">
        <f>IF(E51&lt;&gt;"",SUMIFS('JPK_KR-1'!AL:AL,'JPK_KR-1'!W:W,F51),"")</f>
        <v/>
      </c>
      <c r="H51" s="126" t="str">
        <f>IF(E51&lt;&gt;"",SUMIFS('JPK_KR-1'!AM:AM,'JPK_KR-1'!W:W,F51),"")</f>
        <v/>
      </c>
      <c r="I51" s="5" t="str">
        <f>IF(kokpit!I51&lt;&gt;"",kokpit!I51,"")</f>
        <v/>
      </c>
      <c r="J51" s="5" t="str">
        <f>IF(kokpit!J51&lt;&gt;"",kokpit!J51,"")</f>
        <v/>
      </c>
      <c r="K51" s="24" t="str">
        <f>IF(I51&lt;&gt;"",SUMIFS('JPK_KR-1'!AL:AL,'JPK_KR-1'!W:W,J51),"")</f>
        <v/>
      </c>
      <c r="L51" s="141" t="str">
        <f>IF(I51&lt;&gt;"",SUMIFS('JPK_KR-1'!AM:AM,'JPK_KR-1'!W:W,J51),"")</f>
        <v/>
      </c>
      <c r="M51" s="143" t="str">
        <f>IF(kokpit!M51&lt;&gt;"",kokpit!M51,"")</f>
        <v/>
      </c>
      <c r="N51" s="117" t="str">
        <f>IF(kokpit!N51&lt;&gt;"",kokpit!N51,"")</f>
        <v/>
      </c>
      <c r="O51" s="117" t="str">
        <f>IF(kokpit!O51&lt;&gt;"",kokpit!O51,"")</f>
        <v/>
      </c>
      <c r="P51" s="141" t="str">
        <f>IF(M51&lt;&gt;"",IF(O51="",SUMIFS('JPK_KR-1'!AL:AL,'JPK_KR-1'!W:W,N51),SUMIFS('JPK_KR-1'!BF:BF,'JPK_KR-1'!BE:BE,N51,'JPK_KR-1'!BG:BG,O51)),"")</f>
        <v/>
      </c>
      <c r="Q51" s="144" t="str">
        <f>IF(M51&lt;&gt;"",IF(O51="",SUMIFS('JPK_KR-1'!AM:AM,'JPK_KR-1'!W:W,N51),SUMIFS('JPK_KR-1'!BI:BI,'JPK_KR-1'!BH:BH,N51,'JPK_KR-1'!BJ:BJ,O51)),"")</f>
        <v/>
      </c>
      <c r="R51" s="117" t="str">
        <f>IF(kokpit!R51&lt;&gt;"",kokpit!R51,"")</f>
        <v/>
      </c>
      <c r="S51" s="117" t="str">
        <f>IF(kokpit!S51&lt;&gt;"",kokpit!S51,"")</f>
        <v/>
      </c>
      <c r="T51" s="117" t="str">
        <f>IF(kokpit!T51&lt;&gt;"",kokpit!T51,"")</f>
        <v/>
      </c>
      <c r="U51" s="141" t="str">
        <f>IF(R51&lt;&gt;"",SUMIFS('JPK_KR-1'!AL:AL,'JPK_KR-1'!W:W,S51),"")</f>
        <v/>
      </c>
      <c r="V51" s="144" t="str">
        <f>IF(R51&lt;&gt;"",SUMIFS('JPK_KR-1'!AM:AM,'JPK_KR-1'!W:W,S51),"")</f>
        <v/>
      </c>
    </row>
    <row r="52" spans="1:22" x14ac:dyDescent="0.3">
      <c r="A52" s="5" t="str">
        <f>IF(kokpit!A52&lt;&gt;"",kokpit!A52,"")</f>
        <v/>
      </c>
      <c r="B52" s="5" t="str">
        <f>IF(kokpit!B52&lt;&gt;"",kokpit!B52,"")</f>
        <v/>
      </c>
      <c r="C52" s="24" t="str">
        <f>IF(A52&lt;&gt;"",SUMIFS('JPK_KR-1'!AL:AL,'JPK_KR-1'!W:W,B52),"")</f>
        <v/>
      </c>
      <c r="D52" s="126" t="str">
        <f>IF(A52&lt;&gt;"",SUMIFS('JPK_KR-1'!AM:AM,'JPK_KR-1'!W:W,B52),"")</f>
        <v/>
      </c>
      <c r="E52" s="5" t="str">
        <f>IF(kokpit!E52&lt;&gt;"",kokpit!E52,"")</f>
        <v/>
      </c>
      <c r="F52" s="127" t="str">
        <f>IF(kokpit!F52&lt;&gt;"",kokpit!F52,"")</f>
        <v/>
      </c>
      <c r="G52" s="24" t="str">
        <f>IF(E52&lt;&gt;"",SUMIFS('JPK_KR-1'!AL:AL,'JPK_KR-1'!W:W,F52),"")</f>
        <v/>
      </c>
      <c r="H52" s="126" t="str">
        <f>IF(E52&lt;&gt;"",SUMIFS('JPK_KR-1'!AM:AM,'JPK_KR-1'!W:W,F52),"")</f>
        <v/>
      </c>
      <c r="I52" s="5" t="str">
        <f>IF(kokpit!I52&lt;&gt;"",kokpit!I52,"")</f>
        <v/>
      </c>
      <c r="J52" s="5" t="str">
        <f>IF(kokpit!J52&lt;&gt;"",kokpit!J52,"")</f>
        <v/>
      </c>
      <c r="K52" s="24" t="str">
        <f>IF(I52&lt;&gt;"",SUMIFS('JPK_KR-1'!AL:AL,'JPK_KR-1'!W:W,J52),"")</f>
        <v/>
      </c>
      <c r="L52" s="141" t="str">
        <f>IF(I52&lt;&gt;"",SUMIFS('JPK_KR-1'!AM:AM,'JPK_KR-1'!W:W,J52),"")</f>
        <v/>
      </c>
      <c r="M52" s="143" t="str">
        <f>IF(kokpit!M52&lt;&gt;"",kokpit!M52,"")</f>
        <v/>
      </c>
      <c r="N52" s="117" t="str">
        <f>IF(kokpit!N52&lt;&gt;"",kokpit!N52,"")</f>
        <v/>
      </c>
      <c r="O52" s="117" t="str">
        <f>IF(kokpit!O52&lt;&gt;"",kokpit!O52,"")</f>
        <v/>
      </c>
      <c r="P52" s="141" t="str">
        <f>IF(M52&lt;&gt;"",IF(O52="",SUMIFS('JPK_KR-1'!AL:AL,'JPK_KR-1'!W:W,N52),SUMIFS('JPK_KR-1'!BF:BF,'JPK_KR-1'!BE:BE,N52,'JPK_KR-1'!BG:BG,O52)),"")</f>
        <v/>
      </c>
      <c r="Q52" s="144" t="str">
        <f>IF(M52&lt;&gt;"",IF(O52="",SUMIFS('JPK_KR-1'!AM:AM,'JPK_KR-1'!W:W,N52),SUMIFS('JPK_KR-1'!BI:BI,'JPK_KR-1'!BH:BH,N52,'JPK_KR-1'!BJ:BJ,O52)),"")</f>
        <v/>
      </c>
      <c r="R52" s="117" t="str">
        <f>IF(kokpit!R52&lt;&gt;"",kokpit!R52,"")</f>
        <v/>
      </c>
      <c r="S52" s="117" t="str">
        <f>IF(kokpit!S52&lt;&gt;"",kokpit!S52,"")</f>
        <v/>
      </c>
      <c r="T52" s="117" t="str">
        <f>IF(kokpit!T52&lt;&gt;"",kokpit!T52,"")</f>
        <v/>
      </c>
      <c r="U52" s="141" t="str">
        <f>IF(R52&lt;&gt;"",SUMIFS('JPK_KR-1'!AL:AL,'JPK_KR-1'!W:W,S52),"")</f>
        <v/>
      </c>
      <c r="V52" s="144" t="str">
        <f>IF(R52&lt;&gt;"",SUMIFS('JPK_KR-1'!AM:AM,'JPK_KR-1'!W:W,S52),"")</f>
        <v/>
      </c>
    </row>
    <row r="53" spans="1:22" x14ac:dyDescent="0.3">
      <c r="A53" s="5" t="str">
        <f>IF(kokpit!A53&lt;&gt;"",kokpit!A53,"")</f>
        <v/>
      </c>
      <c r="B53" s="5" t="str">
        <f>IF(kokpit!B53&lt;&gt;"",kokpit!B53,"")</f>
        <v/>
      </c>
      <c r="C53" s="24" t="str">
        <f>IF(A53&lt;&gt;"",SUMIFS('JPK_KR-1'!AL:AL,'JPK_KR-1'!W:W,B53),"")</f>
        <v/>
      </c>
      <c r="D53" s="126" t="str">
        <f>IF(A53&lt;&gt;"",SUMIFS('JPK_KR-1'!AM:AM,'JPK_KR-1'!W:W,B53),"")</f>
        <v/>
      </c>
      <c r="E53" s="5" t="str">
        <f>IF(kokpit!E53&lt;&gt;"",kokpit!E53,"")</f>
        <v/>
      </c>
      <c r="F53" s="127" t="str">
        <f>IF(kokpit!F53&lt;&gt;"",kokpit!F53,"")</f>
        <v/>
      </c>
      <c r="G53" s="24" t="str">
        <f>IF(E53&lt;&gt;"",SUMIFS('JPK_KR-1'!AL:AL,'JPK_KR-1'!W:W,F53),"")</f>
        <v/>
      </c>
      <c r="H53" s="126" t="str">
        <f>IF(E53&lt;&gt;"",SUMIFS('JPK_KR-1'!AM:AM,'JPK_KR-1'!W:W,F53),"")</f>
        <v/>
      </c>
      <c r="I53" s="5" t="str">
        <f>IF(kokpit!I53&lt;&gt;"",kokpit!I53,"")</f>
        <v/>
      </c>
      <c r="J53" s="5" t="str">
        <f>IF(kokpit!J53&lt;&gt;"",kokpit!J53,"")</f>
        <v/>
      </c>
      <c r="K53" s="24" t="str">
        <f>IF(I53&lt;&gt;"",SUMIFS('JPK_KR-1'!AL:AL,'JPK_KR-1'!W:W,J53),"")</f>
        <v/>
      </c>
      <c r="L53" s="141" t="str">
        <f>IF(I53&lt;&gt;"",SUMIFS('JPK_KR-1'!AM:AM,'JPK_KR-1'!W:W,J53),"")</f>
        <v/>
      </c>
      <c r="M53" s="143" t="str">
        <f>IF(kokpit!M53&lt;&gt;"",kokpit!M53,"")</f>
        <v/>
      </c>
      <c r="N53" s="117" t="str">
        <f>IF(kokpit!N53&lt;&gt;"",kokpit!N53,"")</f>
        <v/>
      </c>
      <c r="O53" s="117" t="str">
        <f>IF(kokpit!O53&lt;&gt;"",kokpit!O53,"")</f>
        <v/>
      </c>
      <c r="P53" s="141" t="str">
        <f>IF(M53&lt;&gt;"",IF(O53="",SUMIFS('JPK_KR-1'!AL:AL,'JPK_KR-1'!W:W,N53),SUMIFS('JPK_KR-1'!BF:BF,'JPK_KR-1'!BE:BE,N53,'JPK_KR-1'!BG:BG,O53)),"")</f>
        <v/>
      </c>
      <c r="Q53" s="144" t="str">
        <f>IF(M53&lt;&gt;"",IF(O53="",SUMIFS('JPK_KR-1'!AM:AM,'JPK_KR-1'!W:W,N53),SUMIFS('JPK_KR-1'!BI:BI,'JPK_KR-1'!BH:BH,N53,'JPK_KR-1'!BJ:BJ,O53)),"")</f>
        <v/>
      </c>
      <c r="R53" s="117" t="str">
        <f>IF(kokpit!R53&lt;&gt;"",kokpit!R53,"")</f>
        <v/>
      </c>
      <c r="S53" s="117" t="str">
        <f>IF(kokpit!S53&lt;&gt;"",kokpit!S53,"")</f>
        <v/>
      </c>
      <c r="T53" s="117" t="str">
        <f>IF(kokpit!T53&lt;&gt;"",kokpit!T53,"")</f>
        <v/>
      </c>
      <c r="U53" s="141" t="str">
        <f>IF(R53&lt;&gt;"",SUMIFS('JPK_KR-1'!AL:AL,'JPK_KR-1'!W:W,S53),"")</f>
        <v/>
      </c>
      <c r="V53" s="144" t="str">
        <f>IF(R53&lt;&gt;"",SUMIFS('JPK_KR-1'!AM:AM,'JPK_KR-1'!W:W,S53),"")</f>
        <v/>
      </c>
    </row>
    <row r="54" spans="1:22" x14ac:dyDescent="0.3">
      <c r="A54" s="5" t="str">
        <f>IF(kokpit!A54&lt;&gt;"",kokpit!A54,"")</f>
        <v/>
      </c>
      <c r="B54" s="5" t="str">
        <f>IF(kokpit!B54&lt;&gt;"",kokpit!B54,"")</f>
        <v/>
      </c>
      <c r="C54" s="24" t="str">
        <f>IF(A54&lt;&gt;"",SUMIFS('JPK_KR-1'!AL:AL,'JPK_KR-1'!W:W,B54),"")</f>
        <v/>
      </c>
      <c r="D54" s="126" t="str">
        <f>IF(A54&lt;&gt;"",SUMIFS('JPK_KR-1'!AM:AM,'JPK_KR-1'!W:W,B54),"")</f>
        <v/>
      </c>
      <c r="E54" s="5" t="str">
        <f>IF(kokpit!E54&lt;&gt;"",kokpit!E54,"")</f>
        <v/>
      </c>
      <c r="F54" s="127" t="str">
        <f>IF(kokpit!F54&lt;&gt;"",kokpit!F54,"")</f>
        <v/>
      </c>
      <c r="G54" s="24" t="str">
        <f>IF(E54&lt;&gt;"",SUMIFS('JPK_KR-1'!AL:AL,'JPK_KR-1'!W:W,F54),"")</f>
        <v/>
      </c>
      <c r="H54" s="126" t="str">
        <f>IF(E54&lt;&gt;"",SUMIFS('JPK_KR-1'!AM:AM,'JPK_KR-1'!W:W,F54),"")</f>
        <v/>
      </c>
      <c r="I54" s="5" t="str">
        <f>IF(kokpit!I54&lt;&gt;"",kokpit!I54,"")</f>
        <v/>
      </c>
      <c r="J54" s="5" t="str">
        <f>IF(kokpit!J54&lt;&gt;"",kokpit!J54,"")</f>
        <v/>
      </c>
      <c r="K54" s="24" t="str">
        <f>IF(I54&lt;&gt;"",SUMIFS('JPK_KR-1'!AL:AL,'JPK_KR-1'!W:W,J54),"")</f>
        <v/>
      </c>
      <c r="L54" s="141" t="str">
        <f>IF(I54&lt;&gt;"",SUMIFS('JPK_KR-1'!AM:AM,'JPK_KR-1'!W:W,J54),"")</f>
        <v/>
      </c>
      <c r="M54" s="143" t="str">
        <f>IF(kokpit!M54&lt;&gt;"",kokpit!M54,"")</f>
        <v/>
      </c>
      <c r="N54" s="117" t="str">
        <f>IF(kokpit!N54&lt;&gt;"",kokpit!N54,"")</f>
        <v/>
      </c>
      <c r="O54" s="117" t="str">
        <f>IF(kokpit!O54&lt;&gt;"",kokpit!O54,"")</f>
        <v/>
      </c>
      <c r="P54" s="141" t="str">
        <f>IF(M54&lt;&gt;"",IF(O54="",SUMIFS('JPK_KR-1'!AL:AL,'JPK_KR-1'!W:W,N54),SUMIFS('JPK_KR-1'!BF:BF,'JPK_KR-1'!BE:BE,N54,'JPK_KR-1'!BG:BG,O54)),"")</f>
        <v/>
      </c>
      <c r="Q54" s="144" t="str">
        <f>IF(M54&lt;&gt;"",IF(O54="",SUMIFS('JPK_KR-1'!AM:AM,'JPK_KR-1'!W:W,N54),SUMIFS('JPK_KR-1'!BI:BI,'JPK_KR-1'!BH:BH,N54,'JPK_KR-1'!BJ:BJ,O54)),"")</f>
        <v/>
      </c>
      <c r="R54" s="117" t="str">
        <f>IF(kokpit!R54&lt;&gt;"",kokpit!R54,"")</f>
        <v/>
      </c>
      <c r="S54" s="117" t="str">
        <f>IF(kokpit!S54&lt;&gt;"",kokpit!S54,"")</f>
        <v/>
      </c>
      <c r="T54" s="117" t="str">
        <f>IF(kokpit!T54&lt;&gt;"",kokpit!T54,"")</f>
        <v/>
      </c>
      <c r="U54" s="141" t="str">
        <f>IF(R54&lt;&gt;"",SUMIFS('JPK_KR-1'!AL:AL,'JPK_KR-1'!W:W,S54),"")</f>
        <v/>
      </c>
      <c r="V54" s="144" t="str">
        <f>IF(R54&lt;&gt;"",SUMIFS('JPK_KR-1'!AM:AM,'JPK_KR-1'!W:W,S54),"")</f>
        <v/>
      </c>
    </row>
    <row r="55" spans="1:22" x14ac:dyDescent="0.3">
      <c r="A55" s="5" t="str">
        <f>IF(kokpit!A55&lt;&gt;"",kokpit!A55,"")</f>
        <v/>
      </c>
      <c r="B55" s="5" t="str">
        <f>IF(kokpit!B55&lt;&gt;"",kokpit!B55,"")</f>
        <v/>
      </c>
      <c r="C55" s="24" t="str">
        <f>IF(A55&lt;&gt;"",SUMIFS('JPK_KR-1'!AL:AL,'JPK_KR-1'!W:W,B55),"")</f>
        <v/>
      </c>
      <c r="D55" s="126" t="str">
        <f>IF(A55&lt;&gt;"",SUMIFS('JPK_KR-1'!AM:AM,'JPK_KR-1'!W:W,B55),"")</f>
        <v/>
      </c>
      <c r="E55" s="5" t="str">
        <f>IF(kokpit!E55&lt;&gt;"",kokpit!E55,"")</f>
        <v/>
      </c>
      <c r="F55" s="127" t="str">
        <f>IF(kokpit!F55&lt;&gt;"",kokpit!F55,"")</f>
        <v/>
      </c>
      <c r="G55" s="24" t="str">
        <f>IF(E55&lt;&gt;"",SUMIFS('JPK_KR-1'!AL:AL,'JPK_KR-1'!W:W,F55),"")</f>
        <v/>
      </c>
      <c r="H55" s="126" t="str">
        <f>IF(E55&lt;&gt;"",SUMIFS('JPK_KR-1'!AM:AM,'JPK_KR-1'!W:W,F55),"")</f>
        <v/>
      </c>
      <c r="I55" s="5" t="str">
        <f>IF(kokpit!I55&lt;&gt;"",kokpit!I55,"")</f>
        <v/>
      </c>
      <c r="J55" s="5" t="str">
        <f>IF(kokpit!J55&lt;&gt;"",kokpit!J55,"")</f>
        <v/>
      </c>
      <c r="K55" s="24" t="str">
        <f>IF(I55&lt;&gt;"",SUMIFS('JPK_KR-1'!AL:AL,'JPK_KR-1'!W:W,J55),"")</f>
        <v/>
      </c>
      <c r="L55" s="141" t="str">
        <f>IF(I55&lt;&gt;"",SUMIFS('JPK_KR-1'!AM:AM,'JPK_KR-1'!W:W,J55),"")</f>
        <v/>
      </c>
      <c r="M55" s="143" t="str">
        <f>IF(kokpit!M55&lt;&gt;"",kokpit!M55,"")</f>
        <v/>
      </c>
      <c r="N55" s="117" t="str">
        <f>IF(kokpit!N55&lt;&gt;"",kokpit!N55,"")</f>
        <v/>
      </c>
      <c r="O55" s="117" t="str">
        <f>IF(kokpit!O55&lt;&gt;"",kokpit!O55,"")</f>
        <v/>
      </c>
      <c r="P55" s="141" t="str">
        <f>IF(M55&lt;&gt;"",IF(O55="",SUMIFS('JPK_KR-1'!AL:AL,'JPK_KR-1'!W:W,N55),SUMIFS('JPK_KR-1'!BF:BF,'JPK_KR-1'!BE:BE,N55,'JPK_KR-1'!BG:BG,O55)),"")</f>
        <v/>
      </c>
      <c r="Q55" s="144" t="str">
        <f>IF(M55&lt;&gt;"",IF(O55="",SUMIFS('JPK_KR-1'!AM:AM,'JPK_KR-1'!W:W,N55),SUMIFS('JPK_KR-1'!BI:BI,'JPK_KR-1'!BH:BH,N55,'JPK_KR-1'!BJ:BJ,O55)),"")</f>
        <v/>
      </c>
      <c r="R55" s="117" t="str">
        <f>IF(kokpit!R55&lt;&gt;"",kokpit!R55,"")</f>
        <v/>
      </c>
      <c r="S55" s="117" t="str">
        <f>IF(kokpit!S55&lt;&gt;"",kokpit!S55,"")</f>
        <v/>
      </c>
      <c r="T55" s="117" t="str">
        <f>IF(kokpit!T55&lt;&gt;"",kokpit!T55,"")</f>
        <v/>
      </c>
      <c r="U55" s="141" t="str">
        <f>IF(R55&lt;&gt;"",SUMIFS('JPK_KR-1'!AL:AL,'JPK_KR-1'!W:W,S55),"")</f>
        <v/>
      </c>
      <c r="V55" s="144" t="str">
        <f>IF(R55&lt;&gt;"",SUMIFS('JPK_KR-1'!AM:AM,'JPK_KR-1'!W:W,S55),"")</f>
        <v/>
      </c>
    </row>
    <row r="56" spans="1:22" x14ac:dyDescent="0.3">
      <c r="A56" s="5" t="str">
        <f>IF(kokpit!A56&lt;&gt;"",kokpit!A56,"")</f>
        <v/>
      </c>
      <c r="B56" s="5" t="str">
        <f>IF(kokpit!B56&lt;&gt;"",kokpit!B56,"")</f>
        <v/>
      </c>
      <c r="C56" s="24" t="str">
        <f>IF(A56&lt;&gt;"",SUMIFS('JPK_KR-1'!AL:AL,'JPK_KR-1'!W:W,B56),"")</f>
        <v/>
      </c>
      <c r="D56" s="126" t="str">
        <f>IF(A56&lt;&gt;"",SUMIFS('JPK_KR-1'!AM:AM,'JPK_KR-1'!W:W,B56),"")</f>
        <v/>
      </c>
      <c r="E56" s="5" t="str">
        <f>IF(kokpit!E56&lt;&gt;"",kokpit!E56,"")</f>
        <v/>
      </c>
      <c r="F56" s="127" t="str">
        <f>IF(kokpit!F56&lt;&gt;"",kokpit!F56,"")</f>
        <v/>
      </c>
      <c r="G56" s="24" t="str">
        <f>IF(E56&lt;&gt;"",SUMIFS('JPK_KR-1'!AL:AL,'JPK_KR-1'!W:W,F56),"")</f>
        <v/>
      </c>
      <c r="H56" s="126" t="str">
        <f>IF(E56&lt;&gt;"",SUMIFS('JPK_KR-1'!AM:AM,'JPK_KR-1'!W:W,F56),"")</f>
        <v/>
      </c>
      <c r="I56" s="5" t="str">
        <f>IF(kokpit!I56&lt;&gt;"",kokpit!I56,"")</f>
        <v/>
      </c>
      <c r="J56" s="5" t="str">
        <f>IF(kokpit!J56&lt;&gt;"",kokpit!J56,"")</f>
        <v/>
      </c>
      <c r="K56" s="24" t="str">
        <f>IF(I56&lt;&gt;"",SUMIFS('JPK_KR-1'!AL:AL,'JPK_KR-1'!W:W,J56),"")</f>
        <v/>
      </c>
      <c r="L56" s="141" t="str">
        <f>IF(I56&lt;&gt;"",SUMIFS('JPK_KR-1'!AM:AM,'JPK_KR-1'!W:W,J56),"")</f>
        <v/>
      </c>
      <c r="M56" s="143" t="str">
        <f>IF(kokpit!M56&lt;&gt;"",kokpit!M56,"")</f>
        <v/>
      </c>
      <c r="N56" s="117" t="str">
        <f>IF(kokpit!N56&lt;&gt;"",kokpit!N56,"")</f>
        <v/>
      </c>
      <c r="O56" s="117" t="str">
        <f>IF(kokpit!O56&lt;&gt;"",kokpit!O56,"")</f>
        <v/>
      </c>
      <c r="P56" s="141" t="str">
        <f>IF(M56&lt;&gt;"",IF(O56="",SUMIFS('JPK_KR-1'!AL:AL,'JPK_KR-1'!W:W,N56),SUMIFS('JPK_KR-1'!BF:BF,'JPK_KR-1'!BE:BE,N56,'JPK_KR-1'!BG:BG,O56)),"")</f>
        <v/>
      </c>
      <c r="Q56" s="144" t="str">
        <f>IF(M56&lt;&gt;"",IF(O56="",SUMIFS('JPK_KR-1'!AM:AM,'JPK_KR-1'!W:W,N56),SUMIFS('JPK_KR-1'!BI:BI,'JPK_KR-1'!BH:BH,N56,'JPK_KR-1'!BJ:BJ,O56)),"")</f>
        <v/>
      </c>
      <c r="R56" s="117" t="str">
        <f>IF(kokpit!R56&lt;&gt;"",kokpit!R56,"")</f>
        <v/>
      </c>
      <c r="S56" s="117" t="str">
        <f>IF(kokpit!S56&lt;&gt;"",kokpit!S56,"")</f>
        <v/>
      </c>
      <c r="T56" s="117" t="str">
        <f>IF(kokpit!T56&lt;&gt;"",kokpit!T56,"")</f>
        <v/>
      </c>
      <c r="U56" s="141" t="str">
        <f>IF(R56&lt;&gt;"",SUMIFS('JPK_KR-1'!AL:AL,'JPK_KR-1'!W:W,S56),"")</f>
        <v/>
      </c>
      <c r="V56" s="144" t="str">
        <f>IF(R56&lt;&gt;"",SUMIFS('JPK_KR-1'!AM:AM,'JPK_KR-1'!W:W,S56),"")</f>
        <v/>
      </c>
    </row>
    <row r="57" spans="1:22" x14ac:dyDescent="0.3">
      <c r="A57" s="5" t="str">
        <f>IF(kokpit!A57&lt;&gt;"",kokpit!A57,"")</f>
        <v/>
      </c>
      <c r="B57" s="5" t="str">
        <f>IF(kokpit!B57&lt;&gt;"",kokpit!B57,"")</f>
        <v/>
      </c>
      <c r="C57" s="24" t="str">
        <f>IF(A57&lt;&gt;"",SUMIFS('JPK_KR-1'!AL:AL,'JPK_KR-1'!W:W,B57),"")</f>
        <v/>
      </c>
      <c r="D57" s="126" t="str">
        <f>IF(A57&lt;&gt;"",SUMIFS('JPK_KR-1'!AM:AM,'JPK_KR-1'!W:W,B57),"")</f>
        <v/>
      </c>
      <c r="E57" s="5" t="str">
        <f>IF(kokpit!E57&lt;&gt;"",kokpit!E57,"")</f>
        <v/>
      </c>
      <c r="F57" s="127" t="str">
        <f>IF(kokpit!F57&lt;&gt;"",kokpit!F57,"")</f>
        <v/>
      </c>
      <c r="G57" s="24" t="str">
        <f>IF(E57&lt;&gt;"",SUMIFS('JPK_KR-1'!AL:AL,'JPK_KR-1'!W:W,F57),"")</f>
        <v/>
      </c>
      <c r="H57" s="126" t="str">
        <f>IF(E57&lt;&gt;"",SUMIFS('JPK_KR-1'!AM:AM,'JPK_KR-1'!W:W,F57),"")</f>
        <v/>
      </c>
      <c r="I57" s="5" t="str">
        <f>IF(kokpit!I57&lt;&gt;"",kokpit!I57,"")</f>
        <v/>
      </c>
      <c r="J57" s="5" t="str">
        <f>IF(kokpit!J57&lt;&gt;"",kokpit!J57,"")</f>
        <v/>
      </c>
      <c r="K57" s="24" t="str">
        <f>IF(I57&lt;&gt;"",SUMIFS('JPK_KR-1'!AL:AL,'JPK_KR-1'!W:W,J57),"")</f>
        <v/>
      </c>
      <c r="L57" s="141" t="str">
        <f>IF(I57&lt;&gt;"",SUMIFS('JPK_KR-1'!AM:AM,'JPK_KR-1'!W:W,J57),"")</f>
        <v/>
      </c>
      <c r="M57" s="143" t="str">
        <f>IF(kokpit!M57&lt;&gt;"",kokpit!M57,"")</f>
        <v/>
      </c>
      <c r="N57" s="117" t="str">
        <f>IF(kokpit!N57&lt;&gt;"",kokpit!N57,"")</f>
        <v/>
      </c>
      <c r="O57" s="117" t="str">
        <f>IF(kokpit!O57&lt;&gt;"",kokpit!O57,"")</f>
        <v/>
      </c>
      <c r="P57" s="141" t="str">
        <f>IF(M57&lt;&gt;"",IF(O57="",SUMIFS('JPK_KR-1'!AL:AL,'JPK_KR-1'!W:W,N57),SUMIFS('JPK_KR-1'!BF:BF,'JPK_KR-1'!BE:BE,N57,'JPK_KR-1'!BG:BG,O57)),"")</f>
        <v/>
      </c>
      <c r="Q57" s="144" t="str">
        <f>IF(M57&lt;&gt;"",IF(O57="",SUMIFS('JPK_KR-1'!AM:AM,'JPK_KR-1'!W:W,N57),SUMIFS('JPK_KR-1'!BI:BI,'JPK_KR-1'!BH:BH,N57,'JPK_KR-1'!BJ:BJ,O57)),"")</f>
        <v/>
      </c>
      <c r="R57" s="117" t="str">
        <f>IF(kokpit!R57&lt;&gt;"",kokpit!R57,"")</f>
        <v/>
      </c>
      <c r="S57" s="117" t="str">
        <f>IF(kokpit!S57&lt;&gt;"",kokpit!S57,"")</f>
        <v/>
      </c>
      <c r="T57" s="117" t="str">
        <f>IF(kokpit!T57&lt;&gt;"",kokpit!T57,"")</f>
        <v/>
      </c>
      <c r="U57" s="141" t="str">
        <f>IF(R57&lt;&gt;"",SUMIFS('JPK_KR-1'!AL:AL,'JPK_KR-1'!W:W,S57),"")</f>
        <v/>
      </c>
      <c r="V57" s="144" t="str">
        <f>IF(R57&lt;&gt;"",SUMIFS('JPK_KR-1'!AM:AM,'JPK_KR-1'!W:W,S57),"")</f>
        <v/>
      </c>
    </row>
    <row r="58" spans="1:22" x14ac:dyDescent="0.3">
      <c r="A58" s="5" t="str">
        <f>IF(kokpit!A58&lt;&gt;"",kokpit!A58,"")</f>
        <v/>
      </c>
      <c r="B58" s="5" t="str">
        <f>IF(kokpit!B58&lt;&gt;"",kokpit!B58,"")</f>
        <v/>
      </c>
      <c r="C58" s="24" t="str">
        <f>IF(A58&lt;&gt;"",SUMIFS('JPK_KR-1'!AL:AL,'JPK_KR-1'!W:W,B58),"")</f>
        <v/>
      </c>
      <c r="D58" s="126" t="str">
        <f>IF(A58&lt;&gt;"",SUMIFS('JPK_KR-1'!AM:AM,'JPK_KR-1'!W:W,B58),"")</f>
        <v/>
      </c>
      <c r="E58" s="5" t="str">
        <f>IF(kokpit!E58&lt;&gt;"",kokpit!E58,"")</f>
        <v/>
      </c>
      <c r="F58" s="127" t="str">
        <f>IF(kokpit!F58&lt;&gt;"",kokpit!F58,"")</f>
        <v/>
      </c>
      <c r="G58" s="24" t="str">
        <f>IF(E58&lt;&gt;"",SUMIFS('JPK_KR-1'!AL:AL,'JPK_KR-1'!W:W,F58),"")</f>
        <v/>
      </c>
      <c r="H58" s="126" t="str">
        <f>IF(E58&lt;&gt;"",SUMIFS('JPK_KR-1'!AM:AM,'JPK_KR-1'!W:W,F58),"")</f>
        <v/>
      </c>
      <c r="I58" s="5" t="str">
        <f>IF(kokpit!I58&lt;&gt;"",kokpit!I58,"")</f>
        <v/>
      </c>
      <c r="J58" s="5" t="str">
        <f>IF(kokpit!J58&lt;&gt;"",kokpit!J58,"")</f>
        <v/>
      </c>
      <c r="K58" s="24" t="str">
        <f>IF(I58&lt;&gt;"",SUMIFS('JPK_KR-1'!AL:AL,'JPK_KR-1'!W:W,J58),"")</f>
        <v/>
      </c>
      <c r="L58" s="141" t="str">
        <f>IF(I58&lt;&gt;"",SUMIFS('JPK_KR-1'!AM:AM,'JPK_KR-1'!W:W,J58),"")</f>
        <v/>
      </c>
      <c r="M58" s="143" t="str">
        <f>IF(kokpit!M58&lt;&gt;"",kokpit!M58,"")</f>
        <v/>
      </c>
      <c r="N58" s="117" t="str">
        <f>IF(kokpit!N58&lt;&gt;"",kokpit!N58,"")</f>
        <v/>
      </c>
      <c r="O58" s="117" t="str">
        <f>IF(kokpit!O58&lt;&gt;"",kokpit!O58,"")</f>
        <v/>
      </c>
      <c r="P58" s="141" t="str">
        <f>IF(M58&lt;&gt;"",IF(O58="",SUMIFS('JPK_KR-1'!AL:AL,'JPK_KR-1'!W:W,N58),SUMIFS('JPK_KR-1'!BF:BF,'JPK_KR-1'!BE:BE,N58,'JPK_KR-1'!BG:BG,O58)),"")</f>
        <v/>
      </c>
      <c r="Q58" s="144" t="str">
        <f>IF(M58&lt;&gt;"",IF(O58="",SUMIFS('JPK_KR-1'!AM:AM,'JPK_KR-1'!W:W,N58),SUMIFS('JPK_KR-1'!BI:BI,'JPK_KR-1'!BH:BH,N58,'JPK_KR-1'!BJ:BJ,O58)),"")</f>
        <v/>
      </c>
      <c r="R58" s="117" t="str">
        <f>IF(kokpit!R58&lt;&gt;"",kokpit!R58,"")</f>
        <v/>
      </c>
      <c r="S58" s="117" t="str">
        <f>IF(kokpit!S58&lt;&gt;"",kokpit!S58,"")</f>
        <v/>
      </c>
      <c r="T58" s="117" t="str">
        <f>IF(kokpit!T58&lt;&gt;"",kokpit!T58,"")</f>
        <v/>
      </c>
      <c r="U58" s="141" t="str">
        <f>IF(R58&lt;&gt;"",SUMIFS('JPK_KR-1'!AL:AL,'JPK_KR-1'!W:W,S58),"")</f>
        <v/>
      </c>
      <c r="V58" s="144" t="str">
        <f>IF(R58&lt;&gt;"",SUMIFS('JPK_KR-1'!AM:AM,'JPK_KR-1'!W:W,S58),"")</f>
        <v/>
      </c>
    </row>
    <row r="59" spans="1:22" x14ac:dyDescent="0.3">
      <c r="A59" s="5" t="str">
        <f>IF(kokpit!A59&lt;&gt;"",kokpit!A59,"")</f>
        <v/>
      </c>
      <c r="B59" s="5" t="str">
        <f>IF(kokpit!B59&lt;&gt;"",kokpit!B59,"")</f>
        <v/>
      </c>
      <c r="C59" s="24" t="str">
        <f>IF(A59&lt;&gt;"",SUMIFS('JPK_KR-1'!AL:AL,'JPK_KR-1'!W:W,B59),"")</f>
        <v/>
      </c>
      <c r="D59" s="126" t="str">
        <f>IF(A59&lt;&gt;"",SUMIFS('JPK_KR-1'!AM:AM,'JPK_KR-1'!W:W,B59),"")</f>
        <v/>
      </c>
      <c r="E59" s="5" t="str">
        <f>IF(kokpit!E59&lt;&gt;"",kokpit!E59,"")</f>
        <v/>
      </c>
      <c r="F59" s="127" t="str">
        <f>IF(kokpit!F59&lt;&gt;"",kokpit!F59,"")</f>
        <v/>
      </c>
      <c r="G59" s="24" t="str">
        <f>IF(E59&lt;&gt;"",SUMIFS('JPK_KR-1'!AL:AL,'JPK_KR-1'!W:W,F59),"")</f>
        <v/>
      </c>
      <c r="H59" s="126" t="str">
        <f>IF(E59&lt;&gt;"",SUMIFS('JPK_KR-1'!AM:AM,'JPK_KR-1'!W:W,F59),"")</f>
        <v/>
      </c>
      <c r="I59" s="5" t="str">
        <f>IF(kokpit!I59&lt;&gt;"",kokpit!I59,"")</f>
        <v/>
      </c>
      <c r="J59" s="5" t="str">
        <f>IF(kokpit!J59&lt;&gt;"",kokpit!J59,"")</f>
        <v/>
      </c>
      <c r="K59" s="24" t="str">
        <f>IF(I59&lt;&gt;"",SUMIFS('JPK_KR-1'!AL:AL,'JPK_KR-1'!W:W,J59),"")</f>
        <v/>
      </c>
      <c r="L59" s="141" t="str">
        <f>IF(I59&lt;&gt;"",SUMIFS('JPK_KR-1'!AM:AM,'JPK_KR-1'!W:W,J59),"")</f>
        <v/>
      </c>
      <c r="M59" s="143" t="str">
        <f>IF(kokpit!M59&lt;&gt;"",kokpit!M59,"")</f>
        <v/>
      </c>
      <c r="N59" s="117" t="str">
        <f>IF(kokpit!N59&lt;&gt;"",kokpit!N59,"")</f>
        <v/>
      </c>
      <c r="O59" s="117" t="str">
        <f>IF(kokpit!O59&lt;&gt;"",kokpit!O59,"")</f>
        <v/>
      </c>
      <c r="P59" s="141" t="str">
        <f>IF(M59&lt;&gt;"",IF(O59="",SUMIFS('JPK_KR-1'!AL:AL,'JPK_KR-1'!W:W,N59),SUMIFS('JPK_KR-1'!BF:BF,'JPK_KR-1'!BE:BE,N59,'JPK_KR-1'!BG:BG,O59)),"")</f>
        <v/>
      </c>
      <c r="Q59" s="144" t="str">
        <f>IF(M59&lt;&gt;"",IF(O59="",SUMIFS('JPK_KR-1'!AM:AM,'JPK_KR-1'!W:W,N59),SUMIFS('JPK_KR-1'!BI:BI,'JPK_KR-1'!BH:BH,N59,'JPK_KR-1'!BJ:BJ,O59)),"")</f>
        <v/>
      </c>
      <c r="R59" s="117" t="str">
        <f>IF(kokpit!R59&lt;&gt;"",kokpit!R59,"")</f>
        <v/>
      </c>
      <c r="S59" s="117" t="str">
        <f>IF(kokpit!S59&lt;&gt;"",kokpit!S59,"")</f>
        <v/>
      </c>
      <c r="T59" s="117" t="str">
        <f>IF(kokpit!T59&lt;&gt;"",kokpit!T59,"")</f>
        <v/>
      </c>
      <c r="U59" s="141" t="str">
        <f>IF(R59&lt;&gt;"",SUMIFS('JPK_KR-1'!AL:AL,'JPK_KR-1'!W:W,S59),"")</f>
        <v/>
      </c>
      <c r="V59" s="144" t="str">
        <f>IF(R59&lt;&gt;"",SUMIFS('JPK_KR-1'!AM:AM,'JPK_KR-1'!W:W,S59),"")</f>
        <v/>
      </c>
    </row>
    <row r="60" spans="1:22" x14ac:dyDescent="0.3">
      <c r="A60" s="5" t="str">
        <f>IF(kokpit!A60&lt;&gt;"",kokpit!A60,"")</f>
        <v/>
      </c>
      <c r="B60" s="5" t="str">
        <f>IF(kokpit!B60&lt;&gt;"",kokpit!B60,"")</f>
        <v/>
      </c>
      <c r="C60" s="24" t="str">
        <f>IF(A60&lt;&gt;"",SUMIFS('JPK_KR-1'!AL:AL,'JPK_KR-1'!W:W,B60),"")</f>
        <v/>
      </c>
      <c r="D60" s="126" t="str">
        <f>IF(A60&lt;&gt;"",SUMIFS('JPK_KR-1'!AM:AM,'JPK_KR-1'!W:W,B60),"")</f>
        <v/>
      </c>
      <c r="E60" s="5" t="str">
        <f>IF(kokpit!E60&lt;&gt;"",kokpit!E60,"")</f>
        <v/>
      </c>
      <c r="F60" s="127" t="str">
        <f>IF(kokpit!F60&lt;&gt;"",kokpit!F60,"")</f>
        <v/>
      </c>
      <c r="G60" s="24" t="str">
        <f>IF(E60&lt;&gt;"",SUMIFS('JPK_KR-1'!AL:AL,'JPK_KR-1'!W:W,F60),"")</f>
        <v/>
      </c>
      <c r="H60" s="126" t="str">
        <f>IF(E60&lt;&gt;"",SUMIFS('JPK_KR-1'!AM:AM,'JPK_KR-1'!W:W,F60),"")</f>
        <v/>
      </c>
      <c r="I60" s="5" t="str">
        <f>IF(kokpit!I60&lt;&gt;"",kokpit!I60,"")</f>
        <v/>
      </c>
      <c r="J60" s="5" t="str">
        <f>IF(kokpit!J60&lt;&gt;"",kokpit!J60,"")</f>
        <v/>
      </c>
      <c r="K60" s="24" t="str">
        <f>IF(I60&lt;&gt;"",SUMIFS('JPK_KR-1'!AL:AL,'JPK_KR-1'!W:W,J60),"")</f>
        <v/>
      </c>
      <c r="L60" s="141" t="str">
        <f>IF(I60&lt;&gt;"",SUMIFS('JPK_KR-1'!AM:AM,'JPK_KR-1'!W:W,J60),"")</f>
        <v/>
      </c>
      <c r="M60" s="143" t="str">
        <f>IF(kokpit!M60&lt;&gt;"",kokpit!M60,"")</f>
        <v/>
      </c>
      <c r="N60" s="117" t="str">
        <f>IF(kokpit!N60&lt;&gt;"",kokpit!N60,"")</f>
        <v/>
      </c>
      <c r="O60" s="117" t="str">
        <f>IF(kokpit!O60&lt;&gt;"",kokpit!O60,"")</f>
        <v/>
      </c>
      <c r="P60" s="141" t="str">
        <f>IF(M60&lt;&gt;"",IF(O60="",SUMIFS('JPK_KR-1'!AL:AL,'JPK_KR-1'!W:W,N60),SUMIFS('JPK_KR-1'!BF:BF,'JPK_KR-1'!BE:BE,N60,'JPK_KR-1'!BG:BG,O60)),"")</f>
        <v/>
      </c>
      <c r="Q60" s="144" t="str">
        <f>IF(M60&lt;&gt;"",IF(O60="",SUMIFS('JPK_KR-1'!AM:AM,'JPK_KR-1'!W:W,N60),SUMIFS('JPK_KR-1'!BI:BI,'JPK_KR-1'!BH:BH,N60,'JPK_KR-1'!BJ:BJ,O60)),"")</f>
        <v/>
      </c>
      <c r="R60" s="117" t="str">
        <f>IF(kokpit!R60&lt;&gt;"",kokpit!R60,"")</f>
        <v/>
      </c>
      <c r="S60" s="117" t="str">
        <f>IF(kokpit!S60&lt;&gt;"",kokpit!S60,"")</f>
        <v/>
      </c>
      <c r="T60" s="117" t="str">
        <f>IF(kokpit!T60&lt;&gt;"",kokpit!T60,"")</f>
        <v/>
      </c>
      <c r="U60" s="141" t="str">
        <f>IF(R60&lt;&gt;"",SUMIFS('JPK_KR-1'!AL:AL,'JPK_KR-1'!W:W,S60),"")</f>
        <v/>
      </c>
      <c r="V60" s="144" t="str">
        <f>IF(R60&lt;&gt;"",SUMIFS('JPK_KR-1'!AM:AM,'JPK_KR-1'!W:W,S60),"")</f>
        <v/>
      </c>
    </row>
    <row r="61" spans="1:22" x14ac:dyDescent="0.3">
      <c r="A61" s="5" t="str">
        <f>IF(kokpit!A61&lt;&gt;"",kokpit!A61,"")</f>
        <v/>
      </c>
      <c r="B61" s="5" t="str">
        <f>IF(kokpit!B61&lt;&gt;"",kokpit!B61,"")</f>
        <v/>
      </c>
      <c r="C61" s="24" t="str">
        <f>IF(A61&lt;&gt;"",SUMIFS('JPK_KR-1'!AL:AL,'JPK_KR-1'!W:W,B61),"")</f>
        <v/>
      </c>
      <c r="D61" s="126" t="str">
        <f>IF(A61&lt;&gt;"",SUMIFS('JPK_KR-1'!AM:AM,'JPK_KR-1'!W:W,B61),"")</f>
        <v/>
      </c>
      <c r="E61" s="5" t="str">
        <f>IF(kokpit!E61&lt;&gt;"",kokpit!E61,"")</f>
        <v/>
      </c>
      <c r="F61" s="127" t="str">
        <f>IF(kokpit!F61&lt;&gt;"",kokpit!F61,"")</f>
        <v/>
      </c>
      <c r="G61" s="24" t="str">
        <f>IF(E61&lt;&gt;"",SUMIFS('JPK_KR-1'!AL:AL,'JPK_KR-1'!W:W,F61),"")</f>
        <v/>
      </c>
      <c r="H61" s="126" t="str">
        <f>IF(E61&lt;&gt;"",SUMIFS('JPK_KR-1'!AM:AM,'JPK_KR-1'!W:W,F61),"")</f>
        <v/>
      </c>
      <c r="I61" s="5" t="str">
        <f>IF(kokpit!I61&lt;&gt;"",kokpit!I61,"")</f>
        <v/>
      </c>
      <c r="J61" s="5" t="str">
        <f>IF(kokpit!J61&lt;&gt;"",kokpit!J61,"")</f>
        <v/>
      </c>
      <c r="K61" s="24" t="str">
        <f>IF(I61&lt;&gt;"",SUMIFS('JPK_KR-1'!AL:AL,'JPK_KR-1'!W:W,J61),"")</f>
        <v/>
      </c>
      <c r="L61" s="141" t="str">
        <f>IF(I61&lt;&gt;"",SUMIFS('JPK_KR-1'!AM:AM,'JPK_KR-1'!W:W,J61),"")</f>
        <v/>
      </c>
      <c r="M61" s="143" t="str">
        <f>IF(kokpit!M61&lt;&gt;"",kokpit!M61,"")</f>
        <v/>
      </c>
      <c r="N61" s="117" t="str">
        <f>IF(kokpit!N61&lt;&gt;"",kokpit!N61,"")</f>
        <v/>
      </c>
      <c r="O61" s="117" t="str">
        <f>IF(kokpit!O61&lt;&gt;"",kokpit!O61,"")</f>
        <v/>
      </c>
      <c r="P61" s="141" t="str">
        <f>IF(M61&lt;&gt;"",IF(O61="",SUMIFS('JPK_KR-1'!AL:AL,'JPK_KR-1'!W:W,N61),SUMIFS('JPK_KR-1'!BF:BF,'JPK_KR-1'!BE:BE,N61,'JPK_KR-1'!BG:BG,O61)),"")</f>
        <v/>
      </c>
      <c r="Q61" s="144" t="str">
        <f>IF(M61&lt;&gt;"",IF(O61="",SUMIFS('JPK_KR-1'!AM:AM,'JPK_KR-1'!W:W,N61),SUMIFS('JPK_KR-1'!BI:BI,'JPK_KR-1'!BH:BH,N61,'JPK_KR-1'!BJ:BJ,O61)),"")</f>
        <v/>
      </c>
      <c r="R61" s="117" t="str">
        <f>IF(kokpit!R61&lt;&gt;"",kokpit!R61,"")</f>
        <v/>
      </c>
      <c r="S61" s="117" t="str">
        <f>IF(kokpit!S61&lt;&gt;"",kokpit!S61,"")</f>
        <v/>
      </c>
      <c r="T61" s="117" t="str">
        <f>IF(kokpit!T61&lt;&gt;"",kokpit!T61,"")</f>
        <v/>
      </c>
      <c r="U61" s="141" t="str">
        <f>IF(R61&lt;&gt;"",SUMIFS('JPK_KR-1'!AL:AL,'JPK_KR-1'!W:W,S61),"")</f>
        <v/>
      </c>
      <c r="V61" s="144" t="str">
        <f>IF(R61&lt;&gt;"",SUMIFS('JPK_KR-1'!AM:AM,'JPK_KR-1'!W:W,S61),"")</f>
        <v/>
      </c>
    </row>
    <row r="62" spans="1:22" x14ac:dyDescent="0.3">
      <c r="A62" s="5" t="str">
        <f>IF(kokpit!A62&lt;&gt;"",kokpit!A62,"")</f>
        <v/>
      </c>
      <c r="B62" s="5" t="str">
        <f>IF(kokpit!B62&lt;&gt;"",kokpit!B62,"")</f>
        <v/>
      </c>
      <c r="C62" s="24" t="str">
        <f>IF(A62&lt;&gt;"",SUMIFS('JPK_KR-1'!AL:AL,'JPK_KR-1'!W:W,B62),"")</f>
        <v/>
      </c>
      <c r="D62" s="126" t="str">
        <f>IF(A62&lt;&gt;"",SUMIFS('JPK_KR-1'!AM:AM,'JPK_KR-1'!W:W,B62),"")</f>
        <v/>
      </c>
      <c r="E62" s="5" t="str">
        <f>IF(kokpit!E62&lt;&gt;"",kokpit!E62,"")</f>
        <v/>
      </c>
      <c r="F62" s="127" t="str">
        <f>IF(kokpit!F62&lt;&gt;"",kokpit!F62,"")</f>
        <v/>
      </c>
      <c r="G62" s="24" t="str">
        <f>IF(E62&lt;&gt;"",SUMIFS('JPK_KR-1'!AL:AL,'JPK_KR-1'!W:W,F62),"")</f>
        <v/>
      </c>
      <c r="H62" s="126" t="str">
        <f>IF(E62&lt;&gt;"",SUMIFS('JPK_KR-1'!AM:AM,'JPK_KR-1'!W:W,F62),"")</f>
        <v/>
      </c>
      <c r="I62" s="5" t="str">
        <f>IF(kokpit!I62&lt;&gt;"",kokpit!I62,"")</f>
        <v/>
      </c>
      <c r="J62" s="5" t="str">
        <f>IF(kokpit!J62&lt;&gt;"",kokpit!J62,"")</f>
        <v/>
      </c>
      <c r="K62" s="24" t="str">
        <f>IF(I62&lt;&gt;"",SUMIFS('JPK_KR-1'!AL:AL,'JPK_KR-1'!W:W,J62),"")</f>
        <v/>
      </c>
      <c r="L62" s="141" t="str">
        <f>IF(I62&lt;&gt;"",SUMIFS('JPK_KR-1'!AM:AM,'JPK_KR-1'!W:W,J62),"")</f>
        <v/>
      </c>
      <c r="M62" s="143" t="str">
        <f>IF(kokpit!M62&lt;&gt;"",kokpit!M62,"")</f>
        <v/>
      </c>
      <c r="N62" s="117" t="str">
        <f>IF(kokpit!N62&lt;&gt;"",kokpit!N62,"")</f>
        <v/>
      </c>
      <c r="O62" s="117" t="str">
        <f>IF(kokpit!O62&lt;&gt;"",kokpit!O62,"")</f>
        <v/>
      </c>
      <c r="P62" s="141" t="str">
        <f>IF(M62&lt;&gt;"",IF(O62="",SUMIFS('JPK_KR-1'!AL:AL,'JPK_KR-1'!W:W,N62),SUMIFS('JPK_KR-1'!BF:BF,'JPK_KR-1'!BE:BE,N62,'JPK_KR-1'!BG:BG,O62)),"")</f>
        <v/>
      </c>
      <c r="Q62" s="144" t="str">
        <f>IF(M62&lt;&gt;"",IF(O62="",SUMIFS('JPK_KR-1'!AM:AM,'JPK_KR-1'!W:W,N62),SUMIFS('JPK_KR-1'!BI:BI,'JPK_KR-1'!BH:BH,N62,'JPK_KR-1'!BJ:BJ,O62)),"")</f>
        <v/>
      </c>
      <c r="R62" s="117" t="str">
        <f>IF(kokpit!R62&lt;&gt;"",kokpit!R62,"")</f>
        <v/>
      </c>
      <c r="S62" s="117" t="str">
        <f>IF(kokpit!S62&lt;&gt;"",kokpit!S62,"")</f>
        <v/>
      </c>
      <c r="T62" s="117" t="str">
        <f>IF(kokpit!T62&lt;&gt;"",kokpit!T62,"")</f>
        <v/>
      </c>
      <c r="U62" s="141" t="str">
        <f>IF(R62&lt;&gt;"",SUMIFS('JPK_KR-1'!AL:AL,'JPK_KR-1'!W:W,S62),"")</f>
        <v/>
      </c>
      <c r="V62" s="144" t="str">
        <f>IF(R62&lt;&gt;"",SUMIFS('JPK_KR-1'!AM:AM,'JPK_KR-1'!W:W,S62),"")</f>
        <v/>
      </c>
    </row>
    <row r="63" spans="1:22" x14ac:dyDescent="0.3">
      <c r="A63" s="5" t="str">
        <f>IF(kokpit!A63&lt;&gt;"",kokpit!A63,"")</f>
        <v/>
      </c>
      <c r="B63" s="5" t="str">
        <f>IF(kokpit!B63&lt;&gt;"",kokpit!B63,"")</f>
        <v/>
      </c>
      <c r="C63" s="24" t="str">
        <f>IF(A63&lt;&gt;"",SUMIFS('JPK_KR-1'!AL:AL,'JPK_KR-1'!W:W,B63),"")</f>
        <v/>
      </c>
      <c r="D63" s="126" t="str">
        <f>IF(A63&lt;&gt;"",SUMIFS('JPK_KR-1'!AM:AM,'JPK_KR-1'!W:W,B63),"")</f>
        <v/>
      </c>
      <c r="E63" s="5" t="str">
        <f>IF(kokpit!E63&lt;&gt;"",kokpit!E63,"")</f>
        <v/>
      </c>
      <c r="F63" s="127" t="str">
        <f>IF(kokpit!F63&lt;&gt;"",kokpit!F63,"")</f>
        <v/>
      </c>
      <c r="G63" s="24" t="str">
        <f>IF(E63&lt;&gt;"",SUMIFS('JPK_KR-1'!AL:AL,'JPK_KR-1'!W:W,F63),"")</f>
        <v/>
      </c>
      <c r="H63" s="126" t="str">
        <f>IF(E63&lt;&gt;"",SUMIFS('JPK_KR-1'!AM:AM,'JPK_KR-1'!W:W,F63),"")</f>
        <v/>
      </c>
      <c r="I63" s="5" t="str">
        <f>IF(kokpit!I63&lt;&gt;"",kokpit!I63,"")</f>
        <v/>
      </c>
      <c r="J63" s="5" t="str">
        <f>IF(kokpit!J63&lt;&gt;"",kokpit!J63,"")</f>
        <v/>
      </c>
      <c r="K63" s="24" t="str">
        <f>IF(I63&lt;&gt;"",SUMIFS('JPK_KR-1'!AL:AL,'JPK_KR-1'!W:W,J63),"")</f>
        <v/>
      </c>
      <c r="L63" s="141" t="str">
        <f>IF(I63&lt;&gt;"",SUMIFS('JPK_KR-1'!AM:AM,'JPK_KR-1'!W:W,J63),"")</f>
        <v/>
      </c>
      <c r="M63" s="143" t="str">
        <f>IF(kokpit!M63&lt;&gt;"",kokpit!M63,"")</f>
        <v/>
      </c>
      <c r="N63" s="117" t="str">
        <f>IF(kokpit!N63&lt;&gt;"",kokpit!N63,"")</f>
        <v/>
      </c>
      <c r="O63" s="117" t="str">
        <f>IF(kokpit!O63&lt;&gt;"",kokpit!O63,"")</f>
        <v/>
      </c>
      <c r="P63" s="141" t="str">
        <f>IF(M63&lt;&gt;"",IF(O63="",SUMIFS('JPK_KR-1'!AL:AL,'JPK_KR-1'!W:W,N63),SUMIFS('JPK_KR-1'!BF:BF,'JPK_KR-1'!BE:BE,N63,'JPK_KR-1'!BG:BG,O63)),"")</f>
        <v/>
      </c>
      <c r="Q63" s="144" t="str">
        <f>IF(M63&lt;&gt;"",IF(O63="",SUMIFS('JPK_KR-1'!AM:AM,'JPK_KR-1'!W:W,N63),SUMIFS('JPK_KR-1'!BI:BI,'JPK_KR-1'!BH:BH,N63,'JPK_KR-1'!BJ:BJ,O63)),"")</f>
        <v/>
      </c>
      <c r="R63" s="117" t="str">
        <f>IF(kokpit!R63&lt;&gt;"",kokpit!R63,"")</f>
        <v/>
      </c>
      <c r="S63" s="117" t="str">
        <f>IF(kokpit!S63&lt;&gt;"",kokpit!S63,"")</f>
        <v/>
      </c>
      <c r="T63" s="117" t="str">
        <f>IF(kokpit!T63&lt;&gt;"",kokpit!T63,"")</f>
        <v/>
      </c>
      <c r="U63" s="141" t="str">
        <f>IF(R63&lt;&gt;"",SUMIFS('JPK_KR-1'!AL:AL,'JPK_KR-1'!W:W,S63),"")</f>
        <v/>
      </c>
      <c r="V63" s="144" t="str">
        <f>IF(R63&lt;&gt;"",SUMIFS('JPK_KR-1'!AM:AM,'JPK_KR-1'!W:W,S63),"")</f>
        <v/>
      </c>
    </row>
    <row r="64" spans="1:22" x14ac:dyDescent="0.3">
      <c r="A64" s="5" t="str">
        <f>IF(kokpit!A64&lt;&gt;"",kokpit!A64,"")</f>
        <v/>
      </c>
      <c r="B64" s="5" t="str">
        <f>IF(kokpit!B64&lt;&gt;"",kokpit!B64,"")</f>
        <v/>
      </c>
      <c r="C64" s="24" t="str">
        <f>IF(A64&lt;&gt;"",SUMIFS('JPK_KR-1'!AL:AL,'JPK_KR-1'!W:W,B64),"")</f>
        <v/>
      </c>
      <c r="D64" s="126" t="str">
        <f>IF(A64&lt;&gt;"",SUMIFS('JPK_KR-1'!AM:AM,'JPK_KR-1'!W:W,B64),"")</f>
        <v/>
      </c>
      <c r="E64" s="5" t="str">
        <f>IF(kokpit!E64&lt;&gt;"",kokpit!E64,"")</f>
        <v/>
      </c>
      <c r="F64" s="127" t="str">
        <f>IF(kokpit!F64&lt;&gt;"",kokpit!F64,"")</f>
        <v/>
      </c>
      <c r="G64" s="24" t="str">
        <f>IF(E64&lt;&gt;"",SUMIFS('JPK_KR-1'!AL:AL,'JPK_KR-1'!W:W,F64),"")</f>
        <v/>
      </c>
      <c r="H64" s="126" t="str">
        <f>IF(E64&lt;&gt;"",SUMIFS('JPK_KR-1'!AM:AM,'JPK_KR-1'!W:W,F64),"")</f>
        <v/>
      </c>
      <c r="I64" s="5" t="str">
        <f>IF(kokpit!I64&lt;&gt;"",kokpit!I64,"")</f>
        <v/>
      </c>
      <c r="J64" s="5" t="str">
        <f>IF(kokpit!J64&lt;&gt;"",kokpit!J64,"")</f>
        <v/>
      </c>
      <c r="K64" s="24" t="str">
        <f>IF(I64&lt;&gt;"",SUMIFS('JPK_KR-1'!AL:AL,'JPK_KR-1'!W:W,J64),"")</f>
        <v/>
      </c>
      <c r="L64" s="141" t="str">
        <f>IF(I64&lt;&gt;"",SUMIFS('JPK_KR-1'!AM:AM,'JPK_KR-1'!W:W,J64),"")</f>
        <v/>
      </c>
      <c r="M64" s="143" t="str">
        <f>IF(kokpit!M64&lt;&gt;"",kokpit!M64,"")</f>
        <v/>
      </c>
      <c r="N64" s="117" t="str">
        <f>IF(kokpit!N64&lt;&gt;"",kokpit!N64,"")</f>
        <v/>
      </c>
      <c r="O64" s="117" t="str">
        <f>IF(kokpit!O64&lt;&gt;"",kokpit!O64,"")</f>
        <v/>
      </c>
      <c r="P64" s="141" t="str">
        <f>IF(M64&lt;&gt;"",IF(O64="",SUMIFS('JPK_KR-1'!AL:AL,'JPK_KR-1'!W:W,N64),SUMIFS('JPK_KR-1'!BF:BF,'JPK_KR-1'!BE:BE,N64,'JPK_KR-1'!BG:BG,O64)),"")</f>
        <v/>
      </c>
      <c r="Q64" s="144" t="str">
        <f>IF(M64&lt;&gt;"",IF(O64="",SUMIFS('JPK_KR-1'!AM:AM,'JPK_KR-1'!W:W,N64),SUMIFS('JPK_KR-1'!BI:BI,'JPK_KR-1'!BH:BH,N64,'JPK_KR-1'!BJ:BJ,O64)),"")</f>
        <v/>
      </c>
      <c r="R64" s="117" t="str">
        <f>IF(kokpit!R64&lt;&gt;"",kokpit!R64,"")</f>
        <v/>
      </c>
      <c r="S64" s="117" t="str">
        <f>IF(kokpit!S64&lt;&gt;"",kokpit!S64,"")</f>
        <v/>
      </c>
      <c r="T64" s="117" t="str">
        <f>IF(kokpit!T64&lt;&gt;"",kokpit!T64,"")</f>
        <v/>
      </c>
      <c r="U64" s="141" t="str">
        <f>IF(R64&lt;&gt;"",SUMIFS('JPK_KR-1'!AL:AL,'JPK_KR-1'!W:W,S64),"")</f>
        <v/>
      </c>
      <c r="V64" s="144" t="str">
        <f>IF(R64&lt;&gt;"",SUMIFS('JPK_KR-1'!AM:AM,'JPK_KR-1'!W:W,S64),"")</f>
        <v/>
      </c>
    </row>
    <row r="65" spans="1:22" x14ac:dyDescent="0.3">
      <c r="A65" s="5" t="str">
        <f>IF(kokpit!A65&lt;&gt;"",kokpit!A65,"")</f>
        <v/>
      </c>
      <c r="B65" s="5" t="str">
        <f>IF(kokpit!B65&lt;&gt;"",kokpit!B65,"")</f>
        <v/>
      </c>
      <c r="C65" s="24" t="str">
        <f>IF(A65&lt;&gt;"",SUMIFS('JPK_KR-1'!AL:AL,'JPK_KR-1'!W:W,B65),"")</f>
        <v/>
      </c>
      <c r="D65" s="126" t="str">
        <f>IF(A65&lt;&gt;"",SUMIFS('JPK_KR-1'!AM:AM,'JPK_KR-1'!W:W,B65),"")</f>
        <v/>
      </c>
      <c r="E65" s="5" t="str">
        <f>IF(kokpit!E65&lt;&gt;"",kokpit!E65,"")</f>
        <v/>
      </c>
      <c r="F65" s="127" t="str">
        <f>IF(kokpit!F65&lt;&gt;"",kokpit!F65,"")</f>
        <v/>
      </c>
      <c r="G65" s="24" t="str">
        <f>IF(E65&lt;&gt;"",SUMIFS('JPK_KR-1'!AL:AL,'JPK_KR-1'!W:W,F65),"")</f>
        <v/>
      </c>
      <c r="H65" s="126" t="str">
        <f>IF(E65&lt;&gt;"",SUMIFS('JPK_KR-1'!AM:AM,'JPK_KR-1'!W:W,F65),"")</f>
        <v/>
      </c>
      <c r="I65" s="5" t="str">
        <f>IF(kokpit!I65&lt;&gt;"",kokpit!I65,"")</f>
        <v/>
      </c>
      <c r="J65" s="5" t="str">
        <f>IF(kokpit!J65&lt;&gt;"",kokpit!J65,"")</f>
        <v/>
      </c>
      <c r="K65" s="24" t="str">
        <f>IF(I65&lt;&gt;"",SUMIFS('JPK_KR-1'!AL:AL,'JPK_KR-1'!W:W,J65),"")</f>
        <v/>
      </c>
      <c r="L65" s="141" t="str">
        <f>IF(I65&lt;&gt;"",SUMIFS('JPK_KR-1'!AM:AM,'JPK_KR-1'!W:W,J65),"")</f>
        <v/>
      </c>
      <c r="M65" s="143" t="str">
        <f>IF(kokpit!M65&lt;&gt;"",kokpit!M65,"")</f>
        <v/>
      </c>
      <c r="N65" s="117" t="str">
        <f>IF(kokpit!N65&lt;&gt;"",kokpit!N65,"")</f>
        <v/>
      </c>
      <c r="O65" s="117" t="str">
        <f>IF(kokpit!O65&lt;&gt;"",kokpit!O65,"")</f>
        <v/>
      </c>
      <c r="P65" s="141" t="str">
        <f>IF(M65&lt;&gt;"",IF(O65="",SUMIFS('JPK_KR-1'!AL:AL,'JPK_KR-1'!W:W,N65),SUMIFS('JPK_KR-1'!BF:BF,'JPK_KR-1'!BE:BE,N65,'JPK_KR-1'!BG:BG,O65)),"")</f>
        <v/>
      </c>
      <c r="Q65" s="144" t="str">
        <f>IF(M65&lt;&gt;"",IF(O65="",SUMIFS('JPK_KR-1'!AM:AM,'JPK_KR-1'!W:W,N65),SUMIFS('JPK_KR-1'!BI:BI,'JPK_KR-1'!BH:BH,N65,'JPK_KR-1'!BJ:BJ,O65)),"")</f>
        <v/>
      </c>
      <c r="R65" s="117" t="str">
        <f>IF(kokpit!R65&lt;&gt;"",kokpit!R65,"")</f>
        <v/>
      </c>
      <c r="S65" s="117" t="str">
        <f>IF(kokpit!S65&lt;&gt;"",kokpit!S65,"")</f>
        <v/>
      </c>
      <c r="T65" s="117" t="str">
        <f>IF(kokpit!T65&lt;&gt;"",kokpit!T65,"")</f>
        <v/>
      </c>
      <c r="U65" s="141" t="str">
        <f>IF(R65&lt;&gt;"",SUMIFS('JPK_KR-1'!AL:AL,'JPK_KR-1'!W:W,S65),"")</f>
        <v/>
      </c>
      <c r="V65" s="144" t="str">
        <f>IF(R65&lt;&gt;"",SUMIFS('JPK_KR-1'!AM:AM,'JPK_KR-1'!W:W,S65),"")</f>
        <v/>
      </c>
    </row>
    <row r="66" spans="1:22" x14ac:dyDescent="0.3">
      <c r="A66" s="5" t="str">
        <f>IF(kokpit!A66&lt;&gt;"",kokpit!A66,"")</f>
        <v/>
      </c>
      <c r="B66" s="5" t="str">
        <f>IF(kokpit!B66&lt;&gt;"",kokpit!B66,"")</f>
        <v/>
      </c>
      <c r="C66" s="24" t="str">
        <f>IF(A66&lt;&gt;"",SUMIFS('JPK_KR-1'!AL:AL,'JPK_KR-1'!W:W,B66),"")</f>
        <v/>
      </c>
      <c r="D66" s="126" t="str">
        <f>IF(A66&lt;&gt;"",SUMIFS('JPK_KR-1'!AM:AM,'JPK_KR-1'!W:W,B66),"")</f>
        <v/>
      </c>
      <c r="E66" s="5" t="str">
        <f>IF(kokpit!E66&lt;&gt;"",kokpit!E66,"")</f>
        <v/>
      </c>
      <c r="F66" s="127" t="str">
        <f>IF(kokpit!F66&lt;&gt;"",kokpit!F66,"")</f>
        <v/>
      </c>
      <c r="G66" s="24" t="str">
        <f>IF(E66&lt;&gt;"",SUMIFS('JPK_KR-1'!AL:AL,'JPK_KR-1'!W:W,F66),"")</f>
        <v/>
      </c>
      <c r="H66" s="126" t="str">
        <f>IF(E66&lt;&gt;"",SUMIFS('JPK_KR-1'!AM:AM,'JPK_KR-1'!W:W,F66),"")</f>
        <v/>
      </c>
      <c r="I66" s="5" t="str">
        <f>IF(kokpit!I66&lt;&gt;"",kokpit!I66,"")</f>
        <v/>
      </c>
      <c r="J66" s="5" t="str">
        <f>IF(kokpit!J66&lt;&gt;"",kokpit!J66,"")</f>
        <v/>
      </c>
      <c r="K66" s="24" t="str">
        <f>IF(I66&lt;&gt;"",SUMIFS('JPK_KR-1'!AL:AL,'JPK_KR-1'!W:W,J66),"")</f>
        <v/>
      </c>
      <c r="L66" s="141" t="str">
        <f>IF(I66&lt;&gt;"",SUMIFS('JPK_KR-1'!AM:AM,'JPK_KR-1'!W:W,J66),"")</f>
        <v/>
      </c>
      <c r="M66" s="143" t="str">
        <f>IF(kokpit!M66&lt;&gt;"",kokpit!M66,"")</f>
        <v/>
      </c>
      <c r="N66" s="117" t="str">
        <f>IF(kokpit!N66&lt;&gt;"",kokpit!N66,"")</f>
        <v/>
      </c>
      <c r="O66" s="117" t="str">
        <f>IF(kokpit!O66&lt;&gt;"",kokpit!O66,"")</f>
        <v/>
      </c>
      <c r="P66" s="141" t="str">
        <f>IF(M66&lt;&gt;"",IF(O66="",SUMIFS('JPK_KR-1'!AL:AL,'JPK_KR-1'!W:W,N66),SUMIFS('JPK_KR-1'!BF:BF,'JPK_KR-1'!BE:BE,N66,'JPK_KR-1'!BG:BG,O66)),"")</f>
        <v/>
      </c>
      <c r="Q66" s="144" t="str">
        <f>IF(M66&lt;&gt;"",IF(O66="",SUMIFS('JPK_KR-1'!AM:AM,'JPK_KR-1'!W:W,N66),SUMIFS('JPK_KR-1'!BI:BI,'JPK_KR-1'!BH:BH,N66,'JPK_KR-1'!BJ:BJ,O66)),"")</f>
        <v/>
      </c>
      <c r="R66" s="117" t="str">
        <f>IF(kokpit!R66&lt;&gt;"",kokpit!R66,"")</f>
        <v/>
      </c>
      <c r="S66" s="117" t="str">
        <f>IF(kokpit!S66&lt;&gt;"",kokpit!S66,"")</f>
        <v/>
      </c>
      <c r="T66" s="117" t="str">
        <f>IF(kokpit!T66&lt;&gt;"",kokpit!T66,"")</f>
        <v/>
      </c>
      <c r="U66" s="141" t="str">
        <f>IF(R66&lt;&gt;"",SUMIFS('JPK_KR-1'!AL:AL,'JPK_KR-1'!W:W,S66),"")</f>
        <v/>
      </c>
      <c r="V66" s="144" t="str">
        <f>IF(R66&lt;&gt;"",SUMIFS('JPK_KR-1'!AM:AM,'JPK_KR-1'!W:W,S66),"")</f>
        <v/>
      </c>
    </row>
    <row r="67" spans="1:22" x14ac:dyDescent="0.3">
      <c r="A67" s="5" t="str">
        <f>IF(kokpit!A67&lt;&gt;"",kokpit!A67,"")</f>
        <v/>
      </c>
      <c r="B67" s="5" t="str">
        <f>IF(kokpit!B67&lt;&gt;"",kokpit!B67,"")</f>
        <v/>
      </c>
      <c r="C67" s="24" t="str">
        <f>IF(A67&lt;&gt;"",SUMIFS('JPK_KR-1'!AL:AL,'JPK_KR-1'!W:W,B67),"")</f>
        <v/>
      </c>
      <c r="D67" s="126" t="str">
        <f>IF(A67&lt;&gt;"",SUMIFS('JPK_KR-1'!AM:AM,'JPK_KR-1'!W:W,B67),"")</f>
        <v/>
      </c>
      <c r="E67" s="5" t="str">
        <f>IF(kokpit!E67&lt;&gt;"",kokpit!E67,"")</f>
        <v/>
      </c>
      <c r="F67" s="127" t="str">
        <f>IF(kokpit!F67&lt;&gt;"",kokpit!F67,"")</f>
        <v/>
      </c>
      <c r="G67" s="24" t="str">
        <f>IF(E67&lt;&gt;"",SUMIFS('JPK_KR-1'!AL:AL,'JPK_KR-1'!W:W,F67),"")</f>
        <v/>
      </c>
      <c r="H67" s="126" t="str">
        <f>IF(E67&lt;&gt;"",SUMIFS('JPK_KR-1'!AM:AM,'JPK_KR-1'!W:W,F67),"")</f>
        <v/>
      </c>
      <c r="I67" s="5" t="str">
        <f>IF(kokpit!I67&lt;&gt;"",kokpit!I67,"")</f>
        <v/>
      </c>
      <c r="J67" s="5" t="str">
        <f>IF(kokpit!J67&lt;&gt;"",kokpit!J67,"")</f>
        <v/>
      </c>
      <c r="K67" s="24" t="str">
        <f>IF(I67&lt;&gt;"",SUMIFS('JPK_KR-1'!AL:AL,'JPK_KR-1'!W:W,J67),"")</f>
        <v/>
      </c>
      <c r="L67" s="141" t="str">
        <f>IF(I67&lt;&gt;"",SUMIFS('JPK_KR-1'!AM:AM,'JPK_KR-1'!W:W,J67),"")</f>
        <v/>
      </c>
      <c r="M67" s="143" t="str">
        <f>IF(kokpit!M67&lt;&gt;"",kokpit!M67,"")</f>
        <v/>
      </c>
      <c r="N67" s="117" t="str">
        <f>IF(kokpit!N67&lt;&gt;"",kokpit!N67,"")</f>
        <v/>
      </c>
      <c r="O67" s="117" t="str">
        <f>IF(kokpit!O67&lt;&gt;"",kokpit!O67,"")</f>
        <v/>
      </c>
      <c r="P67" s="141" t="str">
        <f>IF(M67&lt;&gt;"",IF(O67="",SUMIFS('JPK_KR-1'!AL:AL,'JPK_KR-1'!W:W,N67),SUMIFS('JPK_KR-1'!BF:BF,'JPK_KR-1'!BE:BE,N67,'JPK_KR-1'!BG:BG,O67)),"")</f>
        <v/>
      </c>
      <c r="Q67" s="144" t="str">
        <f>IF(M67&lt;&gt;"",IF(O67="",SUMIFS('JPK_KR-1'!AM:AM,'JPK_KR-1'!W:W,N67),SUMIFS('JPK_KR-1'!BI:BI,'JPK_KR-1'!BH:BH,N67,'JPK_KR-1'!BJ:BJ,O67)),"")</f>
        <v/>
      </c>
      <c r="R67" s="117" t="str">
        <f>IF(kokpit!R67&lt;&gt;"",kokpit!R67,"")</f>
        <v/>
      </c>
      <c r="S67" s="117" t="str">
        <f>IF(kokpit!S67&lt;&gt;"",kokpit!S67,"")</f>
        <v/>
      </c>
      <c r="T67" s="117" t="str">
        <f>IF(kokpit!T67&lt;&gt;"",kokpit!T67,"")</f>
        <v/>
      </c>
      <c r="U67" s="141" t="str">
        <f>IF(R67&lt;&gt;"",SUMIFS('JPK_KR-1'!AL:AL,'JPK_KR-1'!W:W,S67),"")</f>
        <v/>
      </c>
      <c r="V67" s="144" t="str">
        <f>IF(R67&lt;&gt;"",SUMIFS('JPK_KR-1'!AM:AM,'JPK_KR-1'!W:W,S67),"")</f>
        <v/>
      </c>
    </row>
    <row r="68" spans="1:22" x14ac:dyDescent="0.3">
      <c r="A68" s="5" t="str">
        <f>IF(kokpit!A68&lt;&gt;"",kokpit!A68,"")</f>
        <v/>
      </c>
      <c r="B68" s="5" t="str">
        <f>IF(kokpit!B68&lt;&gt;"",kokpit!B68,"")</f>
        <v/>
      </c>
      <c r="C68" s="24" t="str">
        <f>IF(A68&lt;&gt;"",SUMIFS('JPK_KR-1'!AL:AL,'JPK_KR-1'!W:W,B68),"")</f>
        <v/>
      </c>
      <c r="D68" s="126" t="str">
        <f>IF(A68&lt;&gt;"",SUMIFS('JPK_KR-1'!AM:AM,'JPK_KR-1'!W:W,B68),"")</f>
        <v/>
      </c>
      <c r="E68" s="5" t="str">
        <f>IF(kokpit!E68&lt;&gt;"",kokpit!E68,"")</f>
        <v/>
      </c>
      <c r="F68" s="127" t="str">
        <f>IF(kokpit!F68&lt;&gt;"",kokpit!F68,"")</f>
        <v/>
      </c>
      <c r="G68" s="24" t="str">
        <f>IF(E68&lt;&gt;"",SUMIFS('JPK_KR-1'!AL:AL,'JPK_KR-1'!W:W,F68),"")</f>
        <v/>
      </c>
      <c r="H68" s="126" t="str">
        <f>IF(E68&lt;&gt;"",SUMIFS('JPK_KR-1'!AM:AM,'JPK_KR-1'!W:W,F68),"")</f>
        <v/>
      </c>
      <c r="I68" s="5" t="str">
        <f>IF(kokpit!I68&lt;&gt;"",kokpit!I68,"")</f>
        <v/>
      </c>
      <c r="J68" s="5" t="str">
        <f>IF(kokpit!J68&lt;&gt;"",kokpit!J68,"")</f>
        <v/>
      </c>
      <c r="K68" s="24" t="str">
        <f>IF(I68&lt;&gt;"",SUMIFS('JPK_KR-1'!AL:AL,'JPK_KR-1'!W:W,J68),"")</f>
        <v/>
      </c>
      <c r="L68" s="141" t="str">
        <f>IF(I68&lt;&gt;"",SUMIFS('JPK_KR-1'!AM:AM,'JPK_KR-1'!W:W,J68),"")</f>
        <v/>
      </c>
      <c r="M68" s="143" t="str">
        <f>IF(kokpit!M68&lt;&gt;"",kokpit!M68,"")</f>
        <v/>
      </c>
      <c r="N68" s="117" t="str">
        <f>IF(kokpit!N68&lt;&gt;"",kokpit!N68,"")</f>
        <v/>
      </c>
      <c r="O68" s="117" t="str">
        <f>IF(kokpit!O68&lt;&gt;"",kokpit!O68,"")</f>
        <v/>
      </c>
      <c r="P68" s="141" t="str">
        <f>IF(M68&lt;&gt;"",IF(O68="",SUMIFS('JPK_KR-1'!AL:AL,'JPK_KR-1'!W:W,N68),SUMIFS('JPK_KR-1'!BF:BF,'JPK_KR-1'!BE:BE,N68,'JPK_KR-1'!BG:BG,O68)),"")</f>
        <v/>
      </c>
      <c r="Q68" s="144" t="str">
        <f>IF(M68&lt;&gt;"",IF(O68="",SUMIFS('JPK_KR-1'!AM:AM,'JPK_KR-1'!W:W,N68),SUMIFS('JPK_KR-1'!BI:BI,'JPK_KR-1'!BH:BH,N68,'JPK_KR-1'!BJ:BJ,O68)),"")</f>
        <v/>
      </c>
      <c r="R68" s="117" t="str">
        <f>IF(kokpit!R68&lt;&gt;"",kokpit!R68,"")</f>
        <v/>
      </c>
      <c r="S68" s="117" t="str">
        <f>IF(kokpit!S68&lt;&gt;"",kokpit!S68,"")</f>
        <v/>
      </c>
      <c r="T68" s="117" t="str">
        <f>IF(kokpit!T68&lt;&gt;"",kokpit!T68,"")</f>
        <v/>
      </c>
      <c r="U68" s="141" t="str">
        <f>IF(R68&lt;&gt;"",SUMIFS('JPK_KR-1'!AL:AL,'JPK_KR-1'!W:W,S68),"")</f>
        <v/>
      </c>
      <c r="V68" s="144" t="str">
        <f>IF(R68&lt;&gt;"",SUMIFS('JPK_KR-1'!AM:AM,'JPK_KR-1'!W:W,S68),"")</f>
        <v/>
      </c>
    </row>
    <row r="69" spans="1:22" x14ac:dyDescent="0.3">
      <c r="A69" s="5" t="str">
        <f>IF(kokpit!A69&lt;&gt;"",kokpit!A69,"")</f>
        <v/>
      </c>
      <c r="B69" s="5" t="str">
        <f>IF(kokpit!B69&lt;&gt;"",kokpit!B69,"")</f>
        <v/>
      </c>
      <c r="C69" s="24" t="str">
        <f>IF(A69&lt;&gt;"",SUMIFS('JPK_KR-1'!AL:AL,'JPK_KR-1'!W:W,B69),"")</f>
        <v/>
      </c>
      <c r="D69" s="126" t="str">
        <f>IF(A69&lt;&gt;"",SUMIFS('JPK_KR-1'!AM:AM,'JPK_KR-1'!W:W,B69),"")</f>
        <v/>
      </c>
      <c r="E69" s="5" t="str">
        <f>IF(kokpit!E69&lt;&gt;"",kokpit!E69,"")</f>
        <v/>
      </c>
      <c r="F69" s="127" t="str">
        <f>IF(kokpit!F69&lt;&gt;"",kokpit!F69,"")</f>
        <v/>
      </c>
      <c r="G69" s="24" t="str">
        <f>IF(E69&lt;&gt;"",SUMIFS('JPK_KR-1'!AL:AL,'JPK_KR-1'!W:W,F69),"")</f>
        <v/>
      </c>
      <c r="H69" s="126" t="str">
        <f>IF(E69&lt;&gt;"",SUMIFS('JPK_KR-1'!AM:AM,'JPK_KR-1'!W:W,F69),"")</f>
        <v/>
      </c>
      <c r="I69" s="5" t="str">
        <f>IF(kokpit!I69&lt;&gt;"",kokpit!I69,"")</f>
        <v/>
      </c>
      <c r="J69" s="5" t="str">
        <f>IF(kokpit!J69&lt;&gt;"",kokpit!J69,"")</f>
        <v/>
      </c>
      <c r="K69" s="24" t="str">
        <f>IF(I69&lt;&gt;"",SUMIFS('JPK_KR-1'!AL:AL,'JPK_KR-1'!W:W,J69),"")</f>
        <v/>
      </c>
      <c r="L69" s="141" t="str">
        <f>IF(I69&lt;&gt;"",SUMIFS('JPK_KR-1'!AM:AM,'JPK_KR-1'!W:W,J69),"")</f>
        <v/>
      </c>
      <c r="M69" s="143" t="str">
        <f>IF(kokpit!M69&lt;&gt;"",kokpit!M69,"")</f>
        <v/>
      </c>
      <c r="N69" s="117" t="str">
        <f>IF(kokpit!N69&lt;&gt;"",kokpit!N69,"")</f>
        <v/>
      </c>
      <c r="O69" s="117" t="str">
        <f>IF(kokpit!O69&lt;&gt;"",kokpit!O69,"")</f>
        <v/>
      </c>
      <c r="P69" s="141" t="str">
        <f>IF(M69&lt;&gt;"",IF(O69="",SUMIFS('JPK_KR-1'!AL:AL,'JPK_KR-1'!W:W,N69),SUMIFS('JPK_KR-1'!BF:BF,'JPK_KR-1'!BE:BE,N69,'JPK_KR-1'!BG:BG,O69)),"")</f>
        <v/>
      </c>
      <c r="Q69" s="144" t="str">
        <f>IF(M69&lt;&gt;"",IF(O69="",SUMIFS('JPK_KR-1'!AM:AM,'JPK_KR-1'!W:W,N69),SUMIFS('JPK_KR-1'!BI:BI,'JPK_KR-1'!BH:BH,N69,'JPK_KR-1'!BJ:BJ,O69)),"")</f>
        <v/>
      </c>
      <c r="R69" s="117" t="str">
        <f>IF(kokpit!R69&lt;&gt;"",kokpit!R69,"")</f>
        <v/>
      </c>
      <c r="S69" s="117" t="str">
        <f>IF(kokpit!S69&lt;&gt;"",kokpit!S69,"")</f>
        <v/>
      </c>
      <c r="T69" s="117" t="str">
        <f>IF(kokpit!T69&lt;&gt;"",kokpit!T69,"")</f>
        <v/>
      </c>
      <c r="U69" s="141" t="str">
        <f>IF(R69&lt;&gt;"",SUMIFS('JPK_KR-1'!AL:AL,'JPK_KR-1'!W:W,S69),"")</f>
        <v/>
      </c>
      <c r="V69" s="144" t="str">
        <f>IF(R69&lt;&gt;"",SUMIFS('JPK_KR-1'!AM:AM,'JPK_KR-1'!W:W,S69),"")</f>
        <v/>
      </c>
    </row>
    <row r="70" spans="1:22" x14ac:dyDescent="0.3">
      <c r="A70" s="5" t="str">
        <f>IF(kokpit!A70&lt;&gt;"",kokpit!A70,"")</f>
        <v/>
      </c>
      <c r="B70" s="5" t="str">
        <f>IF(kokpit!B70&lt;&gt;"",kokpit!B70,"")</f>
        <v/>
      </c>
      <c r="C70" s="24" t="str">
        <f>IF(A70&lt;&gt;"",SUMIFS('JPK_KR-1'!AL:AL,'JPK_KR-1'!W:W,B70),"")</f>
        <v/>
      </c>
      <c r="D70" s="126" t="str">
        <f>IF(A70&lt;&gt;"",SUMIFS('JPK_KR-1'!AM:AM,'JPK_KR-1'!W:W,B70),"")</f>
        <v/>
      </c>
      <c r="E70" s="5" t="str">
        <f>IF(kokpit!E70&lt;&gt;"",kokpit!E70,"")</f>
        <v/>
      </c>
      <c r="F70" s="127" t="str">
        <f>IF(kokpit!F70&lt;&gt;"",kokpit!F70,"")</f>
        <v/>
      </c>
      <c r="G70" s="24" t="str">
        <f>IF(E70&lt;&gt;"",SUMIFS('JPK_KR-1'!AL:AL,'JPK_KR-1'!W:W,F70),"")</f>
        <v/>
      </c>
      <c r="H70" s="126" t="str">
        <f>IF(E70&lt;&gt;"",SUMIFS('JPK_KR-1'!AM:AM,'JPK_KR-1'!W:W,F70),"")</f>
        <v/>
      </c>
      <c r="I70" s="5" t="str">
        <f>IF(kokpit!I70&lt;&gt;"",kokpit!I70,"")</f>
        <v/>
      </c>
      <c r="J70" s="5" t="str">
        <f>IF(kokpit!J70&lt;&gt;"",kokpit!J70,"")</f>
        <v/>
      </c>
      <c r="K70" s="24" t="str">
        <f>IF(I70&lt;&gt;"",SUMIFS('JPK_KR-1'!AL:AL,'JPK_KR-1'!W:W,J70),"")</f>
        <v/>
      </c>
      <c r="L70" s="141" t="str">
        <f>IF(I70&lt;&gt;"",SUMIFS('JPK_KR-1'!AM:AM,'JPK_KR-1'!W:W,J70),"")</f>
        <v/>
      </c>
      <c r="M70" s="143" t="str">
        <f>IF(kokpit!M70&lt;&gt;"",kokpit!M70,"")</f>
        <v/>
      </c>
      <c r="N70" s="117" t="str">
        <f>IF(kokpit!N70&lt;&gt;"",kokpit!N70,"")</f>
        <v/>
      </c>
      <c r="O70" s="117" t="str">
        <f>IF(kokpit!O70&lt;&gt;"",kokpit!O70,"")</f>
        <v/>
      </c>
      <c r="P70" s="141" t="str">
        <f>IF(M70&lt;&gt;"",IF(O70="",SUMIFS('JPK_KR-1'!AL:AL,'JPK_KR-1'!W:W,N70),SUMIFS('JPK_KR-1'!BF:BF,'JPK_KR-1'!BE:BE,N70,'JPK_KR-1'!BG:BG,O70)),"")</f>
        <v/>
      </c>
      <c r="Q70" s="144" t="str">
        <f>IF(M70&lt;&gt;"",IF(O70="",SUMIFS('JPK_KR-1'!AM:AM,'JPK_KR-1'!W:W,N70),SUMIFS('JPK_KR-1'!BI:BI,'JPK_KR-1'!BH:BH,N70,'JPK_KR-1'!BJ:BJ,O70)),"")</f>
        <v/>
      </c>
      <c r="R70" s="117" t="str">
        <f>IF(kokpit!R70&lt;&gt;"",kokpit!R70,"")</f>
        <v/>
      </c>
      <c r="S70" s="117" t="str">
        <f>IF(kokpit!S70&lt;&gt;"",kokpit!S70,"")</f>
        <v/>
      </c>
      <c r="T70" s="117" t="str">
        <f>IF(kokpit!T70&lt;&gt;"",kokpit!T70,"")</f>
        <v/>
      </c>
      <c r="U70" s="141" t="str">
        <f>IF(R70&lt;&gt;"",SUMIFS('JPK_KR-1'!AL:AL,'JPK_KR-1'!W:W,S70),"")</f>
        <v/>
      </c>
      <c r="V70" s="144" t="str">
        <f>IF(R70&lt;&gt;"",SUMIFS('JPK_KR-1'!AM:AM,'JPK_KR-1'!W:W,S70),"")</f>
        <v/>
      </c>
    </row>
    <row r="71" spans="1:22" x14ac:dyDescent="0.3">
      <c r="A71" s="5" t="str">
        <f>IF(kokpit!A71&lt;&gt;"",kokpit!A71,"")</f>
        <v/>
      </c>
      <c r="B71" s="5" t="str">
        <f>IF(kokpit!B71&lt;&gt;"",kokpit!B71,"")</f>
        <v/>
      </c>
      <c r="C71" s="24" t="str">
        <f>IF(A71&lt;&gt;"",SUMIFS('JPK_KR-1'!AL:AL,'JPK_KR-1'!W:W,B71),"")</f>
        <v/>
      </c>
      <c r="D71" s="126" t="str">
        <f>IF(A71&lt;&gt;"",SUMIFS('JPK_KR-1'!AM:AM,'JPK_KR-1'!W:W,B71),"")</f>
        <v/>
      </c>
      <c r="E71" s="5" t="str">
        <f>IF(kokpit!E71&lt;&gt;"",kokpit!E71,"")</f>
        <v/>
      </c>
      <c r="F71" s="127" t="str">
        <f>IF(kokpit!F71&lt;&gt;"",kokpit!F71,"")</f>
        <v/>
      </c>
      <c r="G71" s="24" t="str">
        <f>IF(E71&lt;&gt;"",SUMIFS('JPK_KR-1'!AL:AL,'JPK_KR-1'!W:W,F71),"")</f>
        <v/>
      </c>
      <c r="H71" s="126" t="str">
        <f>IF(E71&lt;&gt;"",SUMIFS('JPK_KR-1'!AM:AM,'JPK_KR-1'!W:W,F71),"")</f>
        <v/>
      </c>
      <c r="I71" s="5" t="str">
        <f>IF(kokpit!I71&lt;&gt;"",kokpit!I71,"")</f>
        <v/>
      </c>
      <c r="J71" s="5" t="str">
        <f>IF(kokpit!J71&lt;&gt;"",kokpit!J71,"")</f>
        <v/>
      </c>
      <c r="K71" s="24" t="str">
        <f>IF(I71&lt;&gt;"",SUMIFS('JPK_KR-1'!AL:AL,'JPK_KR-1'!W:W,J71),"")</f>
        <v/>
      </c>
      <c r="L71" s="141" t="str">
        <f>IF(I71&lt;&gt;"",SUMIFS('JPK_KR-1'!AM:AM,'JPK_KR-1'!W:W,J71),"")</f>
        <v/>
      </c>
      <c r="M71" s="143" t="str">
        <f>IF(kokpit!M71&lt;&gt;"",kokpit!M71,"")</f>
        <v/>
      </c>
      <c r="N71" s="117" t="str">
        <f>IF(kokpit!N71&lt;&gt;"",kokpit!N71,"")</f>
        <v/>
      </c>
      <c r="O71" s="117" t="str">
        <f>IF(kokpit!O71&lt;&gt;"",kokpit!O71,"")</f>
        <v/>
      </c>
      <c r="P71" s="141" t="str">
        <f>IF(M71&lt;&gt;"",IF(O71="",SUMIFS('JPK_KR-1'!AL:AL,'JPK_KR-1'!W:W,N71),SUMIFS('JPK_KR-1'!BF:BF,'JPK_KR-1'!BE:BE,N71,'JPK_KR-1'!BG:BG,O71)),"")</f>
        <v/>
      </c>
      <c r="Q71" s="144" t="str">
        <f>IF(M71&lt;&gt;"",IF(O71="",SUMIFS('JPK_KR-1'!AM:AM,'JPK_KR-1'!W:W,N71),SUMIFS('JPK_KR-1'!BI:BI,'JPK_KR-1'!BH:BH,N71,'JPK_KR-1'!BJ:BJ,O71)),"")</f>
        <v/>
      </c>
      <c r="R71" s="117" t="str">
        <f>IF(kokpit!R71&lt;&gt;"",kokpit!R71,"")</f>
        <v/>
      </c>
      <c r="S71" s="117" t="str">
        <f>IF(kokpit!S71&lt;&gt;"",kokpit!S71,"")</f>
        <v/>
      </c>
      <c r="T71" s="117" t="str">
        <f>IF(kokpit!T71&lt;&gt;"",kokpit!T71,"")</f>
        <v/>
      </c>
      <c r="U71" s="141" t="str">
        <f>IF(R71&lt;&gt;"",SUMIFS('JPK_KR-1'!AL:AL,'JPK_KR-1'!W:W,S71),"")</f>
        <v/>
      </c>
      <c r="V71" s="144" t="str">
        <f>IF(R71&lt;&gt;"",SUMIFS('JPK_KR-1'!AM:AM,'JPK_KR-1'!W:W,S71),"")</f>
        <v/>
      </c>
    </row>
    <row r="72" spans="1:22" x14ac:dyDescent="0.3">
      <c r="A72" s="5" t="str">
        <f>IF(kokpit!A72&lt;&gt;"",kokpit!A72,"")</f>
        <v/>
      </c>
      <c r="B72" s="5" t="str">
        <f>IF(kokpit!B72&lt;&gt;"",kokpit!B72,"")</f>
        <v/>
      </c>
      <c r="C72" s="24" t="str">
        <f>IF(A72&lt;&gt;"",SUMIFS('JPK_KR-1'!AL:AL,'JPK_KR-1'!W:W,B72),"")</f>
        <v/>
      </c>
      <c r="D72" s="126" t="str">
        <f>IF(A72&lt;&gt;"",SUMIFS('JPK_KR-1'!AM:AM,'JPK_KR-1'!W:W,B72),"")</f>
        <v/>
      </c>
      <c r="E72" s="5" t="str">
        <f>IF(kokpit!E72&lt;&gt;"",kokpit!E72,"")</f>
        <v/>
      </c>
      <c r="F72" s="127" t="str">
        <f>IF(kokpit!F72&lt;&gt;"",kokpit!F72,"")</f>
        <v/>
      </c>
      <c r="G72" s="24" t="str">
        <f>IF(E72&lt;&gt;"",SUMIFS('JPK_KR-1'!AL:AL,'JPK_KR-1'!W:W,F72),"")</f>
        <v/>
      </c>
      <c r="H72" s="126" t="str">
        <f>IF(E72&lt;&gt;"",SUMIFS('JPK_KR-1'!AM:AM,'JPK_KR-1'!W:W,F72),"")</f>
        <v/>
      </c>
      <c r="I72" s="5" t="str">
        <f>IF(kokpit!I72&lt;&gt;"",kokpit!I72,"")</f>
        <v/>
      </c>
      <c r="J72" s="5" t="str">
        <f>IF(kokpit!J72&lt;&gt;"",kokpit!J72,"")</f>
        <v/>
      </c>
      <c r="K72" s="24" t="str">
        <f>IF(I72&lt;&gt;"",SUMIFS('JPK_KR-1'!AL:AL,'JPK_KR-1'!W:W,J72),"")</f>
        <v/>
      </c>
      <c r="L72" s="141" t="str">
        <f>IF(I72&lt;&gt;"",SUMIFS('JPK_KR-1'!AM:AM,'JPK_KR-1'!W:W,J72),"")</f>
        <v/>
      </c>
      <c r="M72" s="143" t="str">
        <f>IF(kokpit!M72&lt;&gt;"",kokpit!M72,"")</f>
        <v/>
      </c>
      <c r="N72" s="117" t="str">
        <f>IF(kokpit!N72&lt;&gt;"",kokpit!N72,"")</f>
        <v/>
      </c>
      <c r="O72" s="117" t="str">
        <f>IF(kokpit!O72&lt;&gt;"",kokpit!O72,"")</f>
        <v/>
      </c>
      <c r="P72" s="141" t="str">
        <f>IF(M72&lt;&gt;"",IF(O72="",SUMIFS('JPK_KR-1'!AL:AL,'JPK_KR-1'!W:W,N72),SUMIFS('JPK_KR-1'!BF:BF,'JPK_KR-1'!BE:BE,N72,'JPK_KR-1'!BG:BG,O72)),"")</f>
        <v/>
      </c>
      <c r="Q72" s="144" t="str">
        <f>IF(M72&lt;&gt;"",IF(O72="",SUMIFS('JPK_KR-1'!AM:AM,'JPK_KR-1'!W:W,N72),SUMIFS('JPK_KR-1'!BI:BI,'JPK_KR-1'!BH:BH,N72,'JPK_KR-1'!BJ:BJ,O72)),"")</f>
        <v/>
      </c>
      <c r="R72" s="117" t="str">
        <f>IF(kokpit!R72&lt;&gt;"",kokpit!R72,"")</f>
        <v/>
      </c>
      <c r="S72" s="117" t="str">
        <f>IF(kokpit!S72&lt;&gt;"",kokpit!S72,"")</f>
        <v/>
      </c>
      <c r="T72" s="117" t="str">
        <f>IF(kokpit!T72&lt;&gt;"",kokpit!T72,"")</f>
        <v/>
      </c>
      <c r="U72" s="141" t="str">
        <f>IF(R72&lt;&gt;"",SUMIFS('JPK_KR-1'!AL:AL,'JPK_KR-1'!W:W,S72),"")</f>
        <v/>
      </c>
      <c r="V72" s="144" t="str">
        <f>IF(R72&lt;&gt;"",SUMIFS('JPK_KR-1'!AM:AM,'JPK_KR-1'!W:W,S72),"")</f>
        <v/>
      </c>
    </row>
    <row r="73" spans="1:22" x14ac:dyDescent="0.3">
      <c r="A73" s="5" t="str">
        <f>IF(kokpit!A73&lt;&gt;"",kokpit!A73,"")</f>
        <v/>
      </c>
      <c r="B73" s="5" t="str">
        <f>IF(kokpit!B73&lt;&gt;"",kokpit!B73,"")</f>
        <v/>
      </c>
      <c r="C73" s="24" t="str">
        <f>IF(A73&lt;&gt;"",SUMIFS('JPK_KR-1'!AL:AL,'JPK_KR-1'!W:W,B73),"")</f>
        <v/>
      </c>
      <c r="D73" s="126" t="str">
        <f>IF(A73&lt;&gt;"",SUMIFS('JPK_KR-1'!AM:AM,'JPK_KR-1'!W:W,B73),"")</f>
        <v/>
      </c>
      <c r="E73" s="5" t="str">
        <f>IF(kokpit!E73&lt;&gt;"",kokpit!E73,"")</f>
        <v/>
      </c>
      <c r="F73" s="127" t="str">
        <f>IF(kokpit!F73&lt;&gt;"",kokpit!F73,"")</f>
        <v/>
      </c>
      <c r="G73" s="24" t="str">
        <f>IF(E73&lt;&gt;"",SUMIFS('JPK_KR-1'!AL:AL,'JPK_KR-1'!W:W,F73),"")</f>
        <v/>
      </c>
      <c r="H73" s="126" t="str">
        <f>IF(E73&lt;&gt;"",SUMIFS('JPK_KR-1'!AM:AM,'JPK_KR-1'!W:W,F73),"")</f>
        <v/>
      </c>
      <c r="I73" s="5" t="str">
        <f>IF(kokpit!I73&lt;&gt;"",kokpit!I73,"")</f>
        <v/>
      </c>
      <c r="J73" s="5" t="str">
        <f>IF(kokpit!J73&lt;&gt;"",kokpit!J73,"")</f>
        <v/>
      </c>
      <c r="K73" s="24" t="str">
        <f>IF(I73&lt;&gt;"",SUMIFS('JPK_KR-1'!AL:AL,'JPK_KR-1'!W:W,J73),"")</f>
        <v/>
      </c>
      <c r="L73" s="141" t="str">
        <f>IF(I73&lt;&gt;"",SUMIFS('JPK_KR-1'!AM:AM,'JPK_KR-1'!W:W,J73),"")</f>
        <v/>
      </c>
      <c r="M73" s="143" t="str">
        <f>IF(kokpit!M73&lt;&gt;"",kokpit!M73,"")</f>
        <v/>
      </c>
      <c r="N73" s="117" t="str">
        <f>IF(kokpit!N73&lt;&gt;"",kokpit!N73,"")</f>
        <v/>
      </c>
      <c r="O73" s="117" t="str">
        <f>IF(kokpit!O73&lt;&gt;"",kokpit!O73,"")</f>
        <v/>
      </c>
      <c r="P73" s="141" t="str">
        <f>IF(M73&lt;&gt;"",IF(O73="",SUMIFS('JPK_KR-1'!AL:AL,'JPK_KR-1'!W:W,N73),SUMIFS('JPK_KR-1'!BF:BF,'JPK_KR-1'!BE:BE,N73,'JPK_KR-1'!BG:BG,O73)),"")</f>
        <v/>
      </c>
      <c r="Q73" s="144" t="str">
        <f>IF(M73&lt;&gt;"",IF(O73="",SUMIFS('JPK_KR-1'!AM:AM,'JPK_KR-1'!W:W,N73),SUMIFS('JPK_KR-1'!BI:BI,'JPK_KR-1'!BH:BH,N73,'JPK_KR-1'!BJ:BJ,O73)),"")</f>
        <v/>
      </c>
      <c r="R73" s="117" t="str">
        <f>IF(kokpit!R73&lt;&gt;"",kokpit!R73,"")</f>
        <v/>
      </c>
      <c r="S73" s="117" t="str">
        <f>IF(kokpit!S73&lt;&gt;"",kokpit!S73,"")</f>
        <v/>
      </c>
      <c r="T73" s="117" t="str">
        <f>IF(kokpit!T73&lt;&gt;"",kokpit!T73,"")</f>
        <v/>
      </c>
      <c r="U73" s="141" t="str">
        <f>IF(R73&lt;&gt;"",SUMIFS('JPK_KR-1'!AL:AL,'JPK_KR-1'!W:W,S73),"")</f>
        <v/>
      </c>
      <c r="V73" s="144" t="str">
        <f>IF(R73&lt;&gt;"",SUMIFS('JPK_KR-1'!AM:AM,'JPK_KR-1'!W:W,S73),"")</f>
        <v/>
      </c>
    </row>
    <row r="74" spans="1:22" x14ac:dyDescent="0.3">
      <c r="A74" s="5" t="str">
        <f>IF(kokpit!A74&lt;&gt;"",kokpit!A74,"")</f>
        <v/>
      </c>
      <c r="B74" s="5" t="str">
        <f>IF(kokpit!B74&lt;&gt;"",kokpit!B74,"")</f>
        <v/>
      </c>
      <c r="C74" s="24" t="str">
        <f>IF(A74&lt;&gt;"",SUMIFS('JPK_KR-1'!AL:AL,'JPK_KR-1'!W:W,B74),"")</f>
        <v/>
      </c>
      <c r="D74" s="126" t="str">
        <f>IF(A74&lt;&gt;"",SUMIFS('JPK_KR-1'!AM:AM,'JPK_KR-1'!W:W,B74),"")</f>
        <v/>
      </c>
      <c r="E74" s="5" t="str">
        <f>IF(kokpit!E74&lt;&gt;"",kokpit!E74,"")</f>
        <v/>
      </c>
      <c r="F74" s="127" t="str">
        <f>IF(kokpit!F74&lt;&gt;"",kokpit!F74,"")</f>
        <v/>
      </c>
      <c r="G74" s="24" t="str">
        <f>IF(E74&lt;&gt;"",SUMIFS('JPK_KR-1'!AL:AL,'JPK_KR-1'!W:W,F74),"")</f>
        <v/>
      </c>
      <c r="H74" s="126" t="str">
        <f>IF(E74&lt;&gt;"",SUMIFS('JPK_KR-1'!AM:AM,'JPK_KR-1'!W:W,F74),"")</f>
        <v/>
      </c>
      <c r="I74" s="5" t="str">
        <f>IF(kokpit!I74&lt;&gt;"",kokpit!I74,"")</f>
        <v/>
      </c>
      <c r="J74" s="5" t="str">
        <f>IF(kokpit!J74&lt;&gt;"",kokpit!J74,"")</f>
        <v/>
      </c>
      <c r="K74" s="24" t="str">
        <f>IF(I74&lt;&gt;"",SUMIFS('JPK_KR-1'!AL:AL,'JPK_KR-1'!W:W,J74),"")</f>
        <v/>
      </c>
      <c r="L74" s="141" t="str">
        <f>IF(I74&lt;&gt;"",SUMIFS('JPK_KR-1'!AM:AM,'JPK_KR-1'!W:W,J74),"")</f>
        <v/>
      </c>
      <c r="M74" s="143" t="str">
        <f>IF(kokpit!M74&lt;&gt;"",kokpit!M74,"")</f>
        <v/>
      </c>
      <c r="N74" s="117" t="str">
        <f>IF(kokpit!N74&lt;&gt;"",kokpit!N74,"")</f>
        <v/>
      </c>
      <c r="O74" s="117" t="str">
        <f>IF(kokpit!O74&lt;&gt;"",kokpit!O74,"")</f>
        <v/>
      </c>
      <c r="P74" s="141" t="str">
        <f>IF(M74&lt;&gt;"",IF(O74="",SUMIFS('JPK_KR-1'!AL:AL,'JPK_KR-1'!W:W,N74),SUMIFS('JPK_KR-1'!BF:BF,'JPK_KR-1'!BE:BE,N74,'JPK_KR-1'!BG:BG,O74)),"")</f>
        <v/>
      </c>
      <c r="Q74" s="144" t="str">
        <f>IF(M74&lt;&gt;"",IF(O74="",SUMIFS('JPK_KR-1'!AM:AM,'JPK_KR-1'!W:W,N74),SUMIFS('JPK_KR-1'!BI:BI,'JPK_KR-1'!BH:BH,N74,'JPK_KR-1'!BJ:BJ,O74)),"")</f>
        <v/>
      </c>
      <c r="R74" s="117" t="str">
        <f>IF(kokpit!R74&lt;&gt;"",kokpit!R74,"")</f>
        <v/>
      </c>
      <c r="S74" s="117" t="str">
        <f>IF(kokpit!S74&lt;&gt;"",kokpit!S74,"")</f>
        <v/>
      </c>
      <c r="T74" s="117" t="str">
        <f>IF(kokpit!T74&lt;&gt;"",kokpit!T74,"")</f>
        <v/>
      </c>
      <c r="U74" s="141" t="str">
        <f>IF(R74&lt;&gt;"",SUMIFS('JPK_KR-1'!AL:AL,'JPK_KR-1'!W:W,S74),"")</f>
        <v/>
      </c>
      <c r="V74" s="144" t="str">
        <f>IF(R74&lt;&gt;"",SUMIFS('JPK_KR-1'!AM:AM,'JPK_KR-1'!W:W,S74),"")</f>
        <v/>
      </c>
    </row>
    <row r="75" spans="1:22" x14ac:dyDescent="0.3">
      <c r="A75" s="5" t="str">
        <f>IF(kokpit!A75&lt;&gt;"",kokpit!A75,"")</f>
        <v/>
      </c>
      <c r="B75" s="5" t="str">
        <f>IF(kokpit!B75&lt;&gt;"",kokpit!B75,"")</f>
        <v/>
      </c>
      <c r="C75" s="24" t="str">
        <f>IF(A75&lt;&gt;"",SUMIFS('JPK_KR-1'!AL:AL,'JPK_KR-1'!W:W,B75),"")</f>
        <v/>
      </c>
      <c r="D75" s="126" t="str">
        <f>IF(A75&lt;&gt;"",SUMIFS('JPK_KR-1'!AM:AM,'JPK_KR-1'!W:W,B75),"")</f>
        <v/>
      </c>
      <c r="E75" s="5" t="str">
        <f>IF(kokpit!E75&lt;&gt;"",kokpit!E75,"")</f>
        <v/>
      </c>
      <c r="F75" s="127" t="str">
        <f>IF(kokpit!F75&lt;&gt;"",kokpit!F75,"")</f>
        <v/>
      </c>
      <c r="G75" s="24" t="str">
        <f>IF(E75&lt;&gt;"",SUMIFS('JPK_KR-1'!AL:AL,'JPK_KR-1'!W:W,F75),"")</f>
        <v/>
      </c>
      <c r="H75" s="126" t="str">
        <f>IF(E75&lt;&gt;"",SUMIFS('JPK_KR-1'!AM:AM,'JPK_KR-1'!W:W,F75),"")</f>
        <v/>
      </c>
      <c r="I75" s="5" t="str">
        <f>IF(kokpit!I75&lt;&gt;"",kokpit!I75,"")</f>
        <v/>
      </c>
      <c r="J75" s="5" t="str">
        <f>IF(kokpit!J75&lt;&gt;"",kokpit!J75,"")</f>
        <v/>
      </c>
      <c r="K75" s="24" t="str">
        <f>IF(I75&lt;&gt;"",SUMIFS('JPK_KR-1'!AL:AL,'JPK_KR-1'!W:W,J75),"")</f>
        <v/>
      </c>
      <c r="L75" s="141" t="str">
        <f>IF(I75&lt;&gt;"",SUMIFS('JPK_KR-1'!AM:AM,'JPK_KR-1'!W:W,J75),"")</f>
        <v/>
      </c>
      <c r="M75" s="143" t="str">
        <f>IF(kokpit!M75&lt;&gt;"",kokpit!M75,"")</f>
        <v/>
      </c>
      <c r="N75" s="117" t="str">
        <f>IF(kokpit!N75&lt;&gt;"",kokpit!N75,"")</f>
        <v/>
      </c>
      <c r="O75" s="117" t="str">
        <f>IF(kokpit!O75&lt;&gt;"",kokpit!O75,"")</f>
        <v/>
      </c>
      <c r="P75" s="141" t="str">
        <f>IF(M75&lt;&gt;"",IF(O75="",SUMIFS('JPK_KR-1'!AL:AL,'JPK_KR-1'!W:W,N75),SUMIFS('JPK_KR-1'!BF:BF,'JPK_KR-1'!BE:BE,N75,'JPK_KR-1'!BG:BG,O75)),"")</f>
        <v/>
      </c>
      <c r="Q75" s="144" t="str">
        <f>IF(M75&lt;&gt;"",IF(O75="",SUMIFS('JPK_KR-1'!AM:AM,'JPK_KR-1'!W:W,N75),SUMIFS('JPK_KR-1'!BI:BI,'JPK_KR-1'!BH:BH,N75,'JPK_KR-1'!BJ:BJ,O75)),"")</f>
        <v/>
      </c>
      <c r="R75" s="117" t="str">
        <f>IF(kokpit!R75&lt;&gt;"",kokpit!R75,"")</f>
        <v/>
      </c>
      <c r="S75" s="117" t="str">
        <f>IF(kokpit!S75&lt;&gt;"",kokpit!S75,"")</f>
        <v/>
      </c>
      <c r="T75" s="117" t="str">
        <f>IF(kokpit!T75&lt;&gt;"",kokpit!T75,"")</f>
        <v/>
      </c>
      <c r="U75" s="141" t="str">
        <f>IF(R75&lt;&gt;"",SUMIFS('JPK_KR-1'!AL:AL,'JPK_KR-1'!W:W,S75),"")</f>
        <v/>
      </c>
      <c r="V75" s="144" t="str">
        <f>IF(R75&lt;&gt;"",SUMIFS('JPK_KR-1'!AM:AM,'JPK_KR-1'!W:W,S75),"")</f>
        <v/>
      </c>
    </row>
    <row r="76" spans="1:22" x14ac:dyDescent="0.3">
      <c r="A76" s="5" t="str">
        <f>IF(kokpit!A76&lt;&gt;"",kokpit!A76,"")</f>
        <v/>
      </c>
      <c r="B76" s="5" t="str">
        <f>IF(kokpit!B76&lt;&gt;"",kokpit!B76,"")</f>
        <v/>
      </c>
      <c r="C76" s="24" t="str">
        <f>IF(A76&lt;&gt;"",SUMIFS('JPK_KR-1'!AL:AL,'JPK_KR-1'!W:W,B76),"")</f>
        <v/>
      </c>
      <c r="D76" s="126" t="str">
        <f>IF(A76&lt;&gt;"",SUMIFS('JPK_KR-1'!AM:AM,'JPK_KR-1'!W:W,B76),"")</f>
        <v/>
      </c>
      <c r="E76" s="5" t="str">
        <f>IF(kokpit!E76&lt;&gt;"",kokpit!E76,"")</f>
        <v/>
      </c>
      <c r="F76" s="127" t="str">
        <f>IF(kokpit!F76&lt;&gt;"",kokpit!F76,"")</f>
        <v/>
      </c>
      <c r="G76" s="24" t="str">
        <f>IF(E76&lt;&gt;"",SUMIFS('JPK_KR-1'!AL:AL,'JPK_KR-1'!W:W,F76),"")</f>
        <v/>
      </c>
      <c r="H76" s="126" t="str">
        <f>IF(E76&lt;&gt;"",SUMIFS('JPK_KR-1'!AM:AM,'JPK_KR-1'!W:W,F76),"")</f>
        <v/>
      </c>
      <c r="I76" s="5" t="str">
        <f>IF(kokpit!I76&lt;&gt;"",kokpit!I76,"")</f>
        <v/>
      </c>
      <c r="J76" s="5" t="str">
        <f>IF(kokpit!J76&lt;&gt;"",kokpit!J76,"")</f>
        <v/>
      </c>
      <c r="K76" s="24" t="str">
        <f>IF(I76&lt;&gt;"",SUMIFS('JPK_KR-1'!AL:AL,'JPK_KR-1'!W:W,J76),"")</f>
        <v/>
      </c>
      <c r="L76" s="141" t="str">
        <f>IF(I76&lt;&gt;"",SUMIFS('JPK_KR-1'!AM:AM,'JPK_KR-1'!W:W,J76),"")</f>
        <v/>
      </c>
      <c r="M76" s="143" t="str">
        <f>IF(kokpit!M76&lt;&gt;"",kokpit!M76,"")</f>
        <v/>
      </c>
      <c r="N76" s="117" t="str">
        <f>IF(kokpit!N76&lt;&gt;"",kokpit!N76,"")</f>
        <v/>
      </c>
      <c r="O76" s="117" t="str">
        <f>IF(kokpit!O76&lt;&gt;"",kokpit!O76,"")</f>
        <v/>
      </c>
      <c r="P76" s="141" t="str">
        <f>IF(M76&lt;&gt;"",IF(O76="",SUMIFS('JPK_KR-1'!AL:AL,'JPK_KR-1'!W:W,N76),SUMIFS('JPK_KR-1'!BF:BF,'JPK_KR-1'!BE:BE,N76,'JPK_KR-1'!BG:BG,O76)),"")</f>
        <v/>
      </c>
      <c r="Q76" s="144" t="str">
        <f>IF(M76&lt;&gt;"",IF(O76="",SUMIFS('JPK_KR-1'!AM:AM,'JPK_KR-1'!W:W,N76),SUMIFS('JPK_KR-1'!BI:BI,'JPK_KR-1'!BH:BH,N76,'JPK_KR-1'!BJ:BJ,O76)),"")</f>
        <v/>
      </c>
      <c r="R76" s="117" t="str">
        <f>IF(kokpit!R76&lt;&gt;"",kokpit!R76,"")</f>
        <v/>
      </c>
      <c r="S76" s="117" t="str">
        <f>IF(kokpit!S76&lt;&gt;"",kokpit!S76,"")</f>
        <v/>
      </c>
      <c r="T76" s="117" t="str">
        <f>IF(kokpit!T76&lt;&gt;"",kokpit!T76,"")</f>
        <v/>
      </c>
      <c r="U76" s="141" t="str">
        <f>IF(R76&lt;&gt;"",SUMIFS('JPK_KR-1'!AL:AL,'JPK_KR-1'!W:W,S76),"")</f>
        <v/>
      </c>
      <c r="V76" s="144" t="str">
        <f>IF(R76&lt;&gt;"",SUMIFS('JPK_KR-1'!AM:AM,'JPK_KR-1'!W:W,S76),"")</f>
        <v/>
      </c>
    </row>
    <row r="77" spans="1:22" x14ac:dyDescent="0.3">
      <c r="A77" s="5" t="str">
        <f>IF(kokpit!A77&lt;&gt;"",kokpit!A77,"")</f>
        <v/>
      </c>
      <c r="B77" s="5" t="str">
        <f>IF(kokpit!B77&lt;&gt;"",kokpit!B77,"")</f>
        <v/>
      </c>
      <c r="C77" s="24" t="str">
        <f>IF(A77&lt;&gt;"",SUMIFS('JPK_KR-1'!AL:AL,'JPK_KR-1'!W:W,B77),"")</f>
        <v/>
      </c>
      <c r="D77" s="126" t="str">
        <f>IF(A77&lt;&gt;"",SUMIFS('JPK_KR-1'!AM:AM,'JPK_KR-1'!W:W,B77),"")</f>
        <v/>
      </c>
      <c r="E77" s="5" t="str">
        <f>IF(kokpit!E77&lt;&gt;"",kokpit!E77,"")</f>
        <v/>
      </c>
      <c r="F77" s="127" t="str">
        <f>IF(kokpit!F77&lt;&gt;"",kokpit!F77,"")</f>
        <v/>
      </c>
      <c r="G77" s="24" t="str">
        <f>IF(E77&lt;&gt;"",SUMIFS('JPK_KR-1'!AL:AL,'JPK_KR-1'!W:W,F77),"")</f>
        <v/>
      </c>
      <c r="H77" s="126" t="str">
        <f>IF(E77&lt;&gt;"",SUMIFS('JPK_KR-1'!AM:AM,'JPK_KR-1'!W:W,F77),"")</f>
        <v/>
      </c>
      <c r="I77" s="5" t="str">
        <f>IF(kokpit!I77&lt;&gt;"",kokpit!I77,"")</f>
        <v/>
      </c>
      <c r="J77" s="5" t="str">
        <f>IF(kokpit!J77&lt;&gt;"",kokpit!J77,"")</f>
        <v/>
      </c>
      <c r="K77" s="24" t="str">
        <f>IF(I77&lt;&gt;"",SUMIFS('JPK_KR-1'!AL:AL,'JPK_KR-1'!W:W,J77),"")</f>
        <v/>
      </c>
      <c r="L77" s="141" t="str">
        <f>IF(I77&lt;&gt;"",SUMIFS('JPK_KR-1'!AM:AM,'JPK_KR-1'!W:W,J77),"")</f>
        <v/>
      </c>
      <c r="M77" s="143" t="str">
        <f>IF(kokpit!M77&lt;&gt;"",kokpit!M77,"")</f>
        <v/>
      </c>
      <c r="N77" s="117" t="str">
        <f>IF(kokpit!N77&lt;&gt;"",kokpit!N77,"")</f>
        <v/>
      </c>
      <c r="O77" s="117" t="str">
        <f>IF(kokpit!O77&lt;&gt;"",kokpit!O77,"")</f>
        <v/>
      </c>
      <c r="P77" s="141" t="str">
        <f>IF(M77&lt;&gt;"",IF(O77="",SUMIFS('JPK_KR-1'!AL:AL,'JPK_KR-1'!W:W,N77),SUMIFS('JPK_KR-1'!BF:BF,'JPK_KR-1'!BE:BE,N77,'JPK_KR-1'!BG:BG,O77)),"")</f>
        <v/>
      </c>
      <c r="Q77" s="144" t="str">
        <f>IF(M77&lt;&gt;"",IF(O77="",SUMIFS('JPK_KR-1'!AM:AM,'JPK_KR-1'!W:W,N77),SUMIFS('JPK_KR-1'!BI:BI,'JPK_KR-1'!BH:BH,N77,'JPK_KR-1'!BJ:BJ,O77)),"")</f>
        <v/>
      </c>
      <c r="R77" s="117" t="str">
        <f>IF(kokpit!R77&lt;&gt;"",kokpit!R77,"")</f>
        <v/>
      </c>
      <c r="S77" s="117" t="str">
        <f>IF(kokpit!S77&lt;&gt;"",kokpit!S77,"")</f>
        <v/>
      </c>
      <c r="T77" s="117" t="str">
        <f>IF(kokpit!T77&lt;&gt;"",kokpit!T77,"")</f>
        <v/>
      </c>
      <c r="U77" s="141" t="str">
        <f>IF(R77&lt;&gt;"",SUMIFS('JPK_KR-1'!AL:AL,'JPK_KR-1'!W:W,S77),"")</f>
        <v/>
      </c>
      <c r="V77" s="144" t="str">
        <f>IF(R77&lt;&gt;"",SUMIFS('JPK_KR-1'!AM:AM,'JPK_KR-1'!W:W,S77),"")</f>
        <v/>
      </c>
    </row>
    <row r="78" spans="1:22" x14ac:dyDescent="0.3">
      <c r="A78" s="5" t="str">
        <f>IF(kokpit!A78&lt;&gt;"",kokpit!A78,"")</f>
        <v/>
      </c>
      <c r="B78" s="5" t="str">
        <f>IF(kokpit!B78&lt;&gt;"",kokpit!B78,"")</f>
        <v/>
      </c>
      <c r="C78" s="24" t="str">
        <f>IF(A78&lt;&gt;"",SUMIFS('JPK_KR-1'!AL:AL,'JPK_KR-1'!W:W,B78),"")</f>
        <v/>
      </c>
      <c r="D78" s="126" t="str">
        <f>IF(A78&lt;&gt;"",SUMIFS('JPK_KR-1'!AM:AM,'JPK_KR-1'!W:W,B78),"")</f>
        <v/>
      </c>
      <c r="E78" s="5" t="str">
        <f>IF(kokpit!E78&lt;&gt;"",kokpit!E78,"")</f>
        <v/>
      </c>
      <c r="F78" s="127" t="str">
        <f>IF(kokpit!F78&lt;&gt;"",kokpit!F78,"")</f>
        <v/>
      </c>
      <c r="G78" s="24" t="str">
        <f>IF(E78&lt;&gt;"",SUMIFS('JPK_KR-1'!AL:AL,'JPK_KR-1'!W:W,F78),"")</f>
        <v/>
      </c>
      <c r="H78" s="126" t="str">
        <f>IF(E78&lt;&gt;"",SUMIFS('JPK_KR-1'!AM:AM,'JPK_KR-1'!W:W,F78),"")</f>
        <v/>
      </c>
      <c r="I78" s="5" t="str">
        <f>IF(kokpit!I78&lt;&gt;"",kokpit!I78,"")</f>
        <v/>
      </c>
      <c r="J78" s="5" t="str">
        <f>IF(kokpit!J78&lt;&gt;"",kokpit!J78,"")</f>
        <v/>
      </c>
      <c r="K78" s="24" t="str">
        <f>IF(I78&lt;&gt;"",SUMIFS('JPK_KR-1'!AL:AL,'JPK_KR-1'!W:W,J78),"")</f>
        <v/>
      </c>
      <c r="L78" s="141" t="str">
        <f>IF(I78&lt;&gt;"",SUMIFS('JPK_KR-1'!AM:AM,'JPK_KR-1'!W:W,J78),"")</f>
        <v/>
      </c>
      <c r="M78" s="143" t="str">
        <f>IF(kokpit!M78&lt;&gt;"",kokpit!M78,"")</f>
        <v/>
      </c>
      <c r="N78" s="117" t="str">
        <f>IF(kokpit!N78&lt;&gt;"",kokpit!N78,"")</f>
        <v/>
      </c>
      <c r="O78" s="117" t="str">
        <f>IF(kokpit!O78&lt;&gt;"",kokpit!O78,"")</f>
        <v/>
      </c>
      <c r="P78" s="141" t="str">
        <f>IF(M78&lt;&gt;"",IF(O78="",SUMIFS('JPK_KR-1'!AL:AL,'JPK_KR-1'!W:W,N78),SUMIFS('JPK_KR-1'!BF:BF,'JPK_KR-1'!BE:BE,N78,'JPK_KR-1'!BG:BG,O78)),"")</f>
        <v/>
      </c>
      <c r="Q78" s="144" t="str">
        <f>IF(M78&lt;&gt;"",IF(O78="",SUMIFS('JPK_KR-1'!AM:AM,'JPK_KR-1'!W:W,N78),SUMIFS('JPK_KR-1'!BI:BI,'JPK_KR-1'!BH:BH,N78,'JPK_KR-1'!BJ:BJ,O78)),"")</f>
        <v/>
      </c>
      <c r="R78" s="117" t="str">
        <f>IF(kokpit!R78&lt;&gt;"",kokpit!R78,"")</f>
        <v/>
      </c>
      <c r="S78" s="117" t="str">
        <f>IF(kokpit!S78&lt;&gt;"",kokpit!S78,"")</f>
        <v/>
      </c>
      <c r="T78" s="117" t="str">
        <f>IF(kokpit!T78&lt;&gt;"",kokpit!T78,"")</f>
        <v/>
      </c>
      <c r="U78" s="141" t="str">
        <f>IF(R78&lt;&gt;"",SUMIFS('JPK_KR-1'!AL:AL,'JPK_KR-1'!W:W,S78),"")</f>
        <v/>
      </c>
      <c r="V78" s="144" t="str">
        <f>IF(R78&lt;&gt;"",SUMIFS('JPK_KR-1'!AM:AM,'JPK_KR-1'!W:W,S78),"")</f>
        <v/>
      </c>
    </row>
    <row r="79" spans="1:22" x14ac:dyDescent="0.3">
      <c r="A79" s="5" t="str">
        <f>IF(kokpit!A79&lt;&gt;"",kokpit!A79,"")</f>
        <v/>
      </c>
      <c r="B79" s="5" t="str">
        <f>IF(kokpit!B79&lt;&gt;"",kokpit!B79,"")</f>
        <v/>
      </c>
      <c r="C79" s="24" t="str">
        <f>IF(A79&lt;&gt;"",SUMIFS('JPK_KR-1'!AL:AL,'JPK_KR-1'!W:W,B79),"")</f>
        <v/>
      </c>
      <c r="D79" s="126" t="str">
        <f>IF(A79&lt;&gt;"",SUMIFS('JPK_KR-1'!AM:AM,'JPK_KR-1'!W:W,B79),"")</f>
        <v/>
      </c>
      <c r="E79" s="5" t="str">
        <f>IF(kokpit!E79&lt;&gt;"",kokpit!E79,"")</f>
        <v/>
      </c>
      <c r="F79" s="127" t="str">
        <f>IF(kokpit!F79&lt;&gt;"",kokpit!F79,"")</f>
        <v/>
      </c>
      <c r="G79" s="24" t="str">
        <f>IF(E79&lt;&gt;"",SUMIFS('JPK_KR-1'!AL:AL,'JPK_KR-1'!W:W,F79),"")</f>
        <v/>
      </c>
      <c r="H79" s="126" t="str">
        <f>IF(E79&lt;&gt;"",SUMIFS('JPK_KR-1'!AM:AM,'JPK_KR-1'!W:W,F79),"")</f>
        <v/>
      </c>
      <c r="I79" s="5" t="str">
        <f>IF(kokpit!I79&lt;&gt;"",kokpit!I79,"")</f>
        <v/>
      </c>
      <c r="J79" s="5" t="str">
        <f>IF(kokpit!J79&lt;&gt;"",kokpit!J79,"")</f>
        <v/>
      </c>
      <c r="K79" s="24" t="str">
        <f>IF(I79&lt;&gt;"",SUMIFS('JPK_KR-1'!AL:AL,'JPK_KR-1'!W:W,J79),"")</f>
        <v/>
      </c>
      <c r="L79" s="141" t="str">
        <f>IF(I79&lt;&gt;"",SUMIFS('JPK_KR-1'!AM:AM,'JPK_KR-1'!W:W,J79),"")</f>
        <v/>
      </c>
      <c r="M79" s="143" t="str">
        <f>IF(kokpit!M79&lt;&gt;"",kokpit!M79,"")</f>
        <v/>
      </c>
      <c r="N79" s="117" t="str">
        <f>IF(kokpit!N79&lt;&gt;"",kokpit!N79,"")</f>
        <v/>
      </c>
      <c r="O79" s="117" t="str">
        <f>IF(kokpit!O79&lt;&gt;"",kokpit!O79,"")</f>
        <v/>
      </c>
      <c r="P79" s="141" t="str">
        <f>IF(M79&lt;&gt;"",IF(O79="",SUMIFS('JPK_KR-1'!AL:AL,'JPK_KR-1'!W:W,N79),SUMIFS('JPK_KR-1'!BF:BF,'JPK_KR-1'!BE:BE,N79,'JPK_KR-1'!BG:BG,O79)),"")</f>
        <v/>
      </c>
      <c r="Q79" s="144" t="str">
        <f>IF(M79&lt;&gt;"",IF(O79="",SUMIFS('JPK_KR-1'!AM:AM,'JPK_KR-1'!W:W,N79),SUMIFS('JPK_KR-1'!BI:BI,'JPK_KR-1'!BH:BH,N79,'JPK_KR-1'!BJ:BJ,O79)),"")</f>
        <v/>
      </c>
      <c r="R79" s="117" t="str">
        <f>IF(kokpit!R79&lt;&gt;"",kokpit!R79,"")</f>
        <v/>
      </c>
      <c r="S79" s="117" t="str">
        <f>IF(kokpit!S79&lt;&gt;"",kokpit!S79,"")</f>
        <v/>
      </c>
      <c r="T79" s="117" t="str">
        <f>IF(kokpit!T79&lt;&gt;"",kokpit!T79,"")</f>
        <v/>
      </c>
      <c r="U79" s="141" t="str">
        <f>IF(R79&lt;&gt;"",SUMIFS('JPK_KR-1'!AL:AL,'JPK_KR-1'!W:W,S79),"")</f>
        <v/>
      </c>
      <c r="V79" s="144" t="str">
        <f>IF(R79&lt;&gt;"",SUMIFS('JPK_KR-1'!AM:AM,'JPK_KR-1'!W:W,S79),"")</f>
        <v/>
      </c>
    </row>
    <row r="80" spans="1:22" x14ac:dyDescent="0.3">
      <c r="A80" s="5" t="str">
        <f>IF(kokpit!A80&lt;&gt;"",kokpit!A80,"")</f>
        <v/>
      </c>
      <c r="B80" s="5" t="str">
        <f>IF(kokpit!B80&lt;&gt;"",kokpit!B80,"")</f>
        <v/>
      </c>
      <c r="C80" s="24" t="str">
        <f>IF(A80&lt;&gt;"",SUMIFS('JPK_KR-1'!AL:AL,'JPK_KR-1'!W:W,B80),"")</f>
        <v/>
      </c>
      <c r="D80" s="126" t="str">
        <f>IF(A80&lt;&gt;"",SUMIFS('JPK_KR-1'!AM:AM,'JPK_KR-1'!W:W,B80),"")</f>
        <v/>
      </c>
      <c r="E80" s="5" t="str">
        <f>IF(kokpit!E80&lt;&gt;"",kokpit!E80,"")</f>
        <v/>
      </c>
      <c r="F80" s="127" t="str">
        <f>IF(kokpit!F80&lt;&gt;"",kokpit!F80,"")</f>
        <v/>
      </c>
      <c r="G80" s="24" t="str">
        <f>IF(E80&lt;&gt;"",SUMIFS('JPK_KR-1'!AL:AL,'JPK_KR-1'!W:W,F80),"")</f>
        <v/>
      </c>
      <c r="H80" s="126" t="str">
        <f>IF(E80&lt;&gt;"",SUMIFS('JPK_KR-1'!AM:AM,'JPK_KR-1'!W:W,F80),"")</f>
        <v/>
      </c>
      <c r="I80" s="5" t="str">
        <f>IF(kokpit!I80&lt;&gt;"",kokpit!I80,"")</f>
        <v/>
      </c>
      <c r="J80" s="5" t="str">
        <f>IF(kokpit!J80&lt;&gt;"",kokpit!J80,"")</f>
        <v/>
      </c>
      <c r="K80" s="24" t="str">
        <f>IF(I80&lt;&gt;"",SUMIFS('JPK_KR-1'!AL:AL,'JPK_KR-1'!W:W,J80),"")</f>
        <v/>
      </c>
      <c r="L80" s="141" t="str">
        <f>IF(I80&lt;&gt;"",SUMIFS('JPK_KR-1'!AM:AM,'JPK_KR-1'!W:W,J80),"")</f>
        <v/>
      </c>
      <c r="M80" s="143" t="str">
        <f>IF(kokpit!M80&lt;&gt;"",kokpit!M80,"")</f>
        <v/>
      </c>
      <c r="N80" s="117" t="str">
        <f>IF(kokpit!N80&lt;&gt;"",kokpit!N80,"")</f>
        <v/>
      </c>
      <c r="O80" s="117" t="str">
        <f>IF(kokpit!O80&lt;&gt;"",kokpit!O80,"")</f>
        <v/>
      </c>
      <c r="P80" s="141" t="str">
        <f>IF(M80&lt;&gt;"",IF(O80="",SUMIFS('JPK_KR-1'!AL:AL,'JPK_KR-1'!W:W,N80),SUMIFS('JPK_KR-1'!BF:BF,'JPK_KR-1'!BE:BE,N80,'JPK_KR-1'!BG:BG,O80)),"")</f>
        <v/>
      </c>
      <c r="Q80" s="144" t="str">
        <f>IF(M80&lt;&gt;"",IF(O80="",SUMIFS('JPK_KR-1'!AM:AM,'JPK_KR-1'!W:W,N80),SUMIFS('JPK_KR-1'!BI:BI,'JPK_KR-1'!BH:BH,N80,'JPK_KR-1'!BJ:BJ,O80)),"")</f>
        <v/>
      </c>
      <c r="R80" s="117" t="str">
        <f>IF(kokpit!R80&lt;&gt;"",kokpit!R80,"")</f>
        <v/>
      </c>
      <c r="S80" s="117" t="str">
        <f>IF(kokpit!S80&lt;&gt;"",kokpit!S80,"")</f>
        <v/>
      </c>
      <c r="T80" s="117" t="str">
        <f>IF(kokpit!T80&lt;&gt;"",kokpit!T80,"")</f>
        <v/>
      </c>
      <c r="U80" s="141" t="str">
        <f>IF(R80&lt;&gt;"",SUMIFS('JPK_KR-1'!AL:AL,'JPK_KR-1'!W:W,S80),"")</f>
        <v/>
      </c>
      <c r="V80" s="144" t="str">
        <f>IF(R80&lt;&gt;"",SUMIFS('JPK_KR-1'!AM:AM,'JPK_KR-1'!W:W,S80),"")</f>
        <v/>
      </c>
    </row>
    <row r="81" spans="1:22" x14ac:dyDescent="0.3">
      <c r="A81" s="5" t="str">
        <f>IF(kokpit!A81&lt;&gt;"",kokpit!A81,"")</f>
        <v/>
      </c>
      <c r="B81" s="5" t="str">
        <f>IF(kokpit!B81&lt;&gt;"",kokpit!B81,"")</f>
        <v/>
      </c>
      <c r="C81" s="24" t="str">
        <f>IF(A81&lt;&gt;"",SUMIFS('JPK_KR-1'!AL:AL,'JPK_KR-1'!W:W,B81),"")</f>
        <v/>
      </c>
      <c r="D81" s="126" t="str">
        <f>IF(A81&lt;&gt;"",SUMIFS('JPK_KR-1'!AM:AM,'JPK_KR-1'!W:W,B81),"")</f>
        <v/>
      </c>
      <c r="E81" s="5" t="str">
        <f>IF(kokpit!E81&lt;&gt;"",kokpit!E81,"")</f>
        <v/>
      </c>
      <c r="F81" s="127" t="str">
        <f>IF(kokpit!F81&lt;&gt;"",kokpit!F81,"")</f>
        <v/>
      </c>
      <c r="G81" s="24" t="str">
        <f>IF(E81&lt;&gt;"",SUMIFS('JPK_KR-1'!AL:AL,'JPK_KR-1'!W:W,F81),"")</f>
        <v/>
      </c>
      <c r="H81" s="126" t="str">
        <f>IF(E81&lt;&gt;"",SUMIFS('JPK_KR-1'!AM:AM,'JPK_KR-1'!W:W,F81),"")</f>
        <v/>
      </c>
      <c r="I81" s="5" t="str">
        <f>IF(kokpit!I81&lt;&gt;"",kokpit!I81,"")</f>
        <v/>
      </c>
      <c r="J81" s="5" t="str">
        <f>IF(kokpit!J81&lt;&gt;"",kokpit!J81,"")</f>
        <v/>
      </c>
      <c r="K81" s="24" t="str">
        <f>IF(I81&lt;&gt;"",SUMIFS('JPK_KR-1'!AL:AL,'JPK_KR-1'!W:W,J81),"")</f>
        <v/>
      </c>
      <c r="L81" s="141" t="str">
        <f>IF(I81&lt;&gt;"",SUMIFS('JPK_KR-1'!AM:AM,'JPK_KR-1'!W:W,J81),"")</f>
        <v/>
      </c>
      <c r="M81" s="143" t="str">
        <f>IF(kokpit!M81&lt;&gt;"",kokpit!M81,"")</f>
        <v/>
      </c>
      <c r="N81" s="117" t="str">
        <f>IF(kokpit!N81&lt;&gt;"",kokpit!N81,"")</f>
        <v/>
      </c>
      <c r="O81" s="117" t="str">
        <f>IF(kokpit!O81&lt;&gt;"",kokpit!O81,"")</f>
        <v/>
      </c>
      <c r="P81" s="141" t="str">
        <f>IF(M81&lt;&gt;"",IF(O81="",SUMIFS('JPK_KR-1'!AL:AL,'JPK_KR-1'!W:W,N81),SUMIFS('JPK_KR-1'!BF:BF,'JPK_KR-1'!BE:BE,N81,'JPK_KR-1'!BG:BG,O81)),"")</f>
        <v/>
      </c>
      <c r="Q81" s="144" t="str">
        <f>IF(M81&lt;&gt;"",IF(O81="",SUMIFS('JPK_KR-1'!AM:AM,'JPK_KR-1'!W:W,N81),SUMIFS('JPK_KR-1'!BI:BI,'JPK_KR-1'!BH:BH,N81,'JPK_KR-1'!BJ:BJ,O81)),"")</f>
        <v/>
      </c>
      <c r="R81" s="117" t="str">
        <f>IF(kokpit!R81&lt;&gt;"",kokpit!R81,"")</f>
        <v/>
      </c>
      <c r="S81" s="117" t="str">
        <f>IF(kokpit!S81&lt;&gt;"",kokpit!S81,"")</f>
        <v/>
      </c>
      <c r="T81" s="117" t="str">
        <f>IF(kokpit!T81&lt;&gt;"",kokpit!T81,"")</f>
        <v/>
      </c>
      <c r="U81" s="141" t="str">
        <f>IF(R81&lt;&gt;"",SUMIFS('JPK_KR-1'!AL:AL,'JPK_KR-1'!W:W,S81),"")</f>
        <v/>
      </c>
      <c r="V81" s="144" t="str">
        <f>IF(R81&lt;&gt;"",SUMIFS('JPK_KR-1'!AM:AM,'JPK_KR-1'!W:W,S81),"")</f>
        <v/>
      </c>
    </row>
    <row r="82" spans="1:22" x14ac:dyDescent="0.3">
      <c r="A82" s="5" t="str">
        <f>IF(kokpit!A82&lt;&gt;"",kokpit!A82,"")</f>
        <v/>
      </c>
      <c r="B82" s="5" t="str">
        <f>IF(kokpit!B82&lt;&gt;"",kokpit!B82,"")</f>
        <v/>
      </c>
      <c r="C82" s="24" t="str">
        <f>IF(A82&lt;&gt;"",SUMIFS('JPK_KR-1'!AL:AL,'JPK_KR-1'!W:W,B82),"")</f>
        <v/>
      </c>
      <c r="D82" s="126" t="str">
        <f>IF(A82&lt;&gt;"",SUMIFS('JPK_KR-1'!AM:AM,'JPK_KR-1'!W:W,B82),"")</f>
        <v/>
      </c>
      <c r="E82" s="5" t="str">
        <f>IF(kokpit!E82&lt;&gt;"",kokpit!E82,"")</f>
        <v/>
      </c>
      <c r="F82" s="127" t="str">
        <f>IF(kokpit!F82&lt;&gt;"",kokpit!F82,"")</f>
        <v/>
      </c>
      <c r="G82" s="24" t="str">
        <f>IF(E82&lt;&gt;"",SUMIFS('JPK_KR-1'!AL:AL,'JPK_KR-1'!W:W,F82),"")</f>
        <v/>
      </c>
      <c r="H82" s="126" t="str">
        <f>IF(E82&lt;&gt;"",SUMIFS('JPK_KR-1'!AM:AM,'JPK_KR-1'!W:W,F82),"")</f>
        <v/>
      </c>
      <c r="I82" s="5" t="str">
        <f>IF(kokpit!I82&lt;&gt;"",kokpit!I82,"")</f>
        <v/>
      </c>
      <c r="J82" s="5" t="str">
        <f>IF(kokpit!J82&lt;&gt;"",kokpit!J82,"")</f>
        <v/>
      </c>
      <c r="K82" s="24" t="str">
        <f>IF(I82&lt;&gt;"",SUMIFS('JPK_KR-1'!AL:AL,'JPK_KR-1'!W:W,J82),"")</f>
        <v/>
      </c>
      <c r="L82" s="141" t="str">
        <f>IF(I82&lt;&gt;"",SUMIFS('JPK_KR-1'!AM:AM,'JPK_KR-1'!W:W,J82),"")</f>
        <v/>
      </c>
      <c r="M82" s="143" t="str">
        <f>IF(kokpit!M82&lt;&gt;"",kokpit!M82,"")</f>
        <v/>
      </c>
      <c r="N82" s="117" t="str">
        <f>IF(kokpit!N82&lt;&gt;"",kokpit!N82,"")</f>
        <v/>
      </c>
      <c r="O82" s="117" t="str">
        <f>IF(kokpit!O82&lt;&gt;"",kokpit!O82,"")</f>
        <v/>
      </c>
      <c r="P82" s="141" t="str">
        <f>IF(M82&lt;&gt;"",IF(O82="",SUMIFS('JPK_KR-1'!AL:AL,'JPK_KR-1'!W:W,N82),SUMIFS('JPK_KR-1'!BF:BF,'JPK_KR-1'!BE:BE,N82,'JPK_KR-1'!BG:BG,O82)),"")</f>
        <v/>
      </c>
      <c r="Q82" s="144" t="str">
        <f>IF(M82&lt;&gt;"",IF(O82="",SUMIFS('JPK_KR-1'!AM:AM,'JPK_KR-1'!W:W,N82),SUMIFS('JPK_KR-1'!BI:BI,'JPK_KR-1'!BH:BH,N82,'JPK_KR-1'!BJ:BJ,O82)),"")</f>
        <v/>
      </c>
      <c r="R82" s="117" t="str">
        <f>IF(kokpit!R82&lt;&gt;"",kokpit!R82,"")</f>
        <v/>
      </c>
      <c r="S82" s="117" t="str">
        <f>IF(kokpit!S82&lt;&gt;"",kokpit!S82,"")</f>
        <v/>
      </c>
      <c r="T82" s="117" t="str">
        <f>IF(kokpit!T82&lt;&gt;"",kokpit!T82,"")</f>
        <v/>
      </c>
      <c r="U82" s="141" t="str">
        <f>IF(R82&lt;&gt;"",SUMIFS('JPK_KR-1'!AL:AL,'JPK_KR-1'!W:W,S82),"")</f>
        <v/>
      </c>
      <c r="V82" s="144" t="str">
        <f>IF(R82&lt;&gt;"",SUMIFS('JPK_KR-1'!AM:AM,'JPK_KR-1'!W:W,S82),"")</f>
        <v/>
      </c>
    </row>
    <row r="83" spans="1:22" x14ac:dyDescent="0.3">
      <c r="A83" s="5" t="str">
        <f>IF(kokpit!A83&lt;&gt;"",kokpit!A83,"")</f>
        <v/>
      </c>
      <c r="B83" s="5" t="str">
        <f>IF(kokpit!B83&lt;&gt;"",kokpit!B83,"")</f>
        <v/>
      </c>
      <c r="C83" s="24" t="str">
        <f>IF(A83&lt;&gt;"",SUMIFS('JPK_KR-1'!AL:AL,'JPK_KR-1'!W:W,B83),"")</f>
        <v/>
      </c>
      <c r="D83" s="126" t="str">
        <f>IF(A83&lt;&gt;"",SUMIFS('JPK_KR-1'!AM:AM,'JPK_KR-1'!W:W,B83),"")</f>
        <v/>
      </c>
      <c r="E83" s="5" t="str">
        <f>IF(kokpit!E83&lt;&gt;"",kokpit!E83,"")</f>
        <v/>
      </c>
      <c r="F83" s="127" t="str">
        <f>IF(kokpit!F83&lt;&gt;"",kokpit!F83,"")</f>
        <v/>
      </c>
      <c r="G83" s="24" t="str">
        <f>IF(E83&lt;&gt;"",SUMIFS('JPK_KR-1'!AL:AL,'JPK_KR-1'!W:W,F83),"")</f>
        <v/>
      </c>
      <c r="H83" s="126" t="str">
        <f>IF(E83&lt;&gt;"",SUMIFS('JPK_KR-1'!AM:AM,'JPK_KR-1'!W:W,F83),"")</f>
        <v/>
      </c>
      <c r="I83" s="5" t="str">
        <f>IF(kokpit!I83&lt;&gt;"",kokpit!I83,"")</f>
        <v/>
      </c>
      <c r="J83" s="5" t="str">
        <f>IF(kokpit!J83&lt;&gt;"",kokpit!J83,"")</f>
        <v/>
      </c>
      <c r="K83" s="24" t="str">
        <f>IF(I83&lt;&gt;"",SUMIFS('JPK_KR-1'!AL:AL,'JPK_KR-1'!W:W,J83),"")</f>
        <v/>
      </c>
      <c r="L83" s="141" t="str">
        <f>IF(I83&lt;&gt;"",SUMIFS('JPK_KR-1'!AM:AM,'JPK_KR-1'!W:W,J83),"")</f>
        <v/>
      </c>
      <c r="M83" s="143" t="str">
        <f>IF(kokpit!M83&lt;&gt;"",kokpit!M83,"")</f>
        <v/>
      </c>
      <c r="N83" s="117" t="str">
        <f>IF(kokpit!N83&lt;&gt;"",kokpit!N83,"")</f>
        <v/>
      </c>
      <c r="O83" s="117" t="str">
        <f>IF(kokpit!O83&lt;&gt;"",kokpit!O83,"")</f>
        <v/>
      </c>
      <c r="P83" s="141" t="str">
        <f>IF(M83&lt;&gt;"",IF(O83="",SUMIFS('JPK_KR-1'!AL:AL,'JPK_KR-1'!W:W,N83),SUMIFS('JPK_KR-1'!BF:BF,'JPK_KR-1'!BE:BE,N83,'JPK_KR-1'!BG:BG,O83)),"")</f>
        <v/>
      </c>
      <c r="Q83" s="144" t="str">
        <f>IF(M83&lt;&gt;"",IF(O83="",SUMIFS('JPK_KR-1'!AM:AM,'JPK_KR-1'!W:W,N83),SUMIFS('JPK_KR-1'!BI:BI,'JPK_KR-1'!BH:BH,N83,'JPK_KR-1'!BJ:BJ,O83)),"")</f>
        <v/>
      </c>
      <c r="R83" s="117" t="str">
        <f>IF(kokpit!R83&lt;&gt;"",kokpit!R83,"")</f>
        <v/>
      </c>
      <c r="S83" s="117" t="str">
        <f>IF(kokpit!S83&lt;&gt;"",kokpit!S83,"")</f>
        <v/>
      </c>
      <c r="T83" s="117" t="str">
        <f>IF(kokpit!T83&lt;&gt;"",kokpit!T83,"")</f>
        <v/>
      </c>
      <c r="U83" s="141" t="str">
        <f>IF(R83&lt;&gt;"",SUMIFS('JPK_KR-1'!AL:AL,'JPK_KR-1'!W:W,S83),"")</f>
        <v/>
      </c>
      <c r="V83" s="144" t="str">
        <f>IF(R83&lt;&gt;"",SUMIFS('JPK_KR-1'!AM:AM,'JPK_KR-1'!W:W,S83),"")</f>
        <v/>
      </c>
    </row>
    <row r="84" spans="1:22" x14ac:dyDescent="0.3">
      <c r="A84" s="5" t="str">
        <f>IF(kokpit!A84&lt;&gt;"",kokpit!A84,"")</f>
        <v/>
      </c>
      <c r="B84" s="5" t="str">
        <f>IF(kokpit!B84&lt;&gt;"",kokpit!B84,"")</f>
        <v/>
      </c>
      <c r="C84" s="24" t="str">
        <f>IF(A84&lt;&gt;"",SUMIFS('JPK_KR-1'!AL:AL,'JPK_KR-1'!W:W,B84),"")</f>
        <v/>
      </c>
      <c r="D84" s="126" t="str">
        <f>IF(A84&lt;&gt;"",SUMIFS('JPK_KR-1'!AM:AM,'JPK_KR-1'!W:W,B84),"")</f>
        <v/>
      </c>
      <c r="E84" s="5" t="str">
        <f>IF(kokpit!E84&lt;&gt;"",kokpit!E84,"")</f>
        <v/>
      </c>
      <c r="F84" s="127" t="str">
        <f>IF(kokpit!F84&lt;&gt;"",kokpit!F84,"")</f>
        <v/>
      </c>
      <c r="G84" s="24" t="str">
        <f>IF(E84&lt;&gt;"",SUMIFS('JPK_KR-1'!AL:AL,'JPK_KR-1'!W:W,F84),"")</f>
        <v/>
      </c>
      <c r="H84" s="126" t="str">
        <f>IF(E84&lt;&gt;"",SUMIFS('JPK_KR-1'!AM:AM,'JPK_KR-1'!W:W,F84),"")</f>
        <v/>
      </c>
      <c r="I84" s="5" t="str">
        <f>IF(kokpit!I84&lt;&gt;"",kokpit!I84,"")</f>
        <v/>
      </c>
      <c r="J84" s="5" t="str">
        <f>IF(kokpit!J84&lt;&gt;"",kokpit!J84,"")</f>
        <v/>
      </c>
      <c r="K84" s="24" t="str">
        <f>IF(I84&lt;&gt;"",SUMIFS('JPK_KR-1'!AL:AL,'JPK_KR-1'!W:W,J84),"")</f>
        <v/>
      </c>
      <c r="L84" s="141" t="str">
        <f>IF(I84&lt;&gt;"",SUMIFS('JPK_KR-1'!AM:AM,'JPK_KR-1'!W:W,J84),"")</f>
        <v/>
      </c>
      <c r="M84" s="143" t="str">
        <f>IF(kokpit!M84&lt;&gt;"",kokpit!M84,"")</f>
        <v/>
      </c>
      <c r="N84" s="117" t="str">
        <f>IF(kokpit!N84&lt;&gt;"",kokpit!N84,"")</f>
        <v/>
      </c>
      <c r="O84" s="117" t="str">
        <f>IF(kokpit!O84&lt;&gt;"",kokpit!O84,"")</f>
        <v/>
      </c>
      <c r="P84" s="141" t="str">
        <f>IF(M84&lt;&gt;"",IF(O84="",SUMIFS('JPK_KR-1'!AL:AL,'JPK_KR-1'!W:W,N84),SUMIFS('JPK_KR-1'!BF:BF,'JPK_KR-1'!BE:BE,N84,'JPK_KR-1'!BG:BG,O84)),"")</f>
        <v/>
      </c>
      <c r="Q84" s="144" t="str">
        <f>IF(M84&lt;&gt;"",IF(O84="",SUMIFS('JPK_KR-1'!AM:AM,'JPK_KR-1'!W:W,N84),SUMIFS('JPK_KR-1'!BI:BI,'JPK_KR-1'!BH:BH,N84,'JPK_KR-1'!BJ:BJ,O84)),"")</f>
        <v/>
      </c>
      <c r="R84" s="117" t="str">
        <f>IF(kokpit!R84&lt;&gt;"",kokpit!R84,"")</f>
        <v/>
      </c>
      <c r="S84" s="117" t="str">
        <f>IF(kokpit!S84&lt;&gt;"",kokpit!S84,"")</f>
        <v/>
      </c>
      <c r="T84" s="117" t="str">
        <f>IF(kokpit!T84&lt;&gt;"",kokpit!T84,"")</f>
        <v/>
      </c>
      <c r="U84" s="141" t="str">
        <f>IF(R84&lt;&gt;"",SUMIFS('JPK_KR-1'!AL:AL,'JPK_KR-1'!W:W,S84),"")</f>
        <v/>
      </c>
      <c r="V84" s="144" t="str">
        <f>IF(R84&lt;&gt;"",SUMIFS('JPK_KR-1'!AM:AM,'JPK_KR-1'!W:W,S84),"")</f>
        <v/>
      </c>
    </row>
    <row r="85" spans="1:22" x14ac:dyDescent="0.3">
      <c r="A85" s="5" t="str">
        <f>IF(kokpit!A85&lt;&gt;"",kokpit!A85,"")</f>
        <v/>
      </c>
      <c r="B85" s="5" t="str">
        <f>IF(kokpit!B85&lt;&gt;"",kokpit!B85,"")</f>
        <v/>
      </c>
      <c r="C85" s="24" t="str">
        <f>IF(A85&lt;&gt;"",SUMIFS('JPK_KR-1'!AL:AL,'JPK_KR-1'!W:W,B85),"")</f>
        <v/>
      </c>
      <c r="D85" s="126" t="str">
        <f>IF(A85&lt;&gt;"",SUMIFS('JPK_KR-1'!AM:AM,'JPK_KR-1'!W:W,B85),"")</f>
        <v/>
      </c>
      <c r="E85" s="5" t="str">
        <f>IF(kokpit!E85&lt;&gt;"",kokpit!E85,"")</f>
        <v/>
      </c>
      <c r="F85" s="127" t="str">
        <f>IF(kokpit!F85&lt;&gt;"",kokpit!F85,"")</f>
        <v/>
      </c>
      <c r="G85" s="24" t="str">
        <f>IF(E85&lt;&gt;"",SUMIFS('JPK_KR-1'!AL:AL,'JPK_KR-1'!W:W,F85),"")</f>
        <v/>
      </c>
      <c r="H85" s="126" t="str">
        <f>IF(E85&lt;&gt;"",SUMIFS('JPK_KR-1'!AM:AM,'JPK_KR-1'!W:W,F85),"")</f>
        <v/>
      </c>
      <c r="I85" s="5" t="str">
        <f>IF(kokpit!I85&lt;&gt;"",kokpit!I85,"")</f>
        <v/>
      </c>
      <c r="J85" s="5" t="str">
        <f>IF(kokpit!J85&lt;&gt;"",kokpit!J85,"")</f>
        <v/>
      </c>
      <c r="K85" s="24" t="str">
        <f>IF(I85&lt;&gt;"",SUMIFS('JPK_KR-1'!AL:AL,'JPK_KR-1'!W:W,J85),"")</f>
        <v/>
      </c>
      <c r="L85" s="141" t="str">
        <f>IF(I85&lt;&gt;"",SUMIFS('JPK_KR-1'!AM:AM,'JPK_KR-1'!W:W,J85),"")</f>
        <v/>
      </c>
      <c r="M85" s="143" t="str">
        <f>IF(kokpit!M85&lt;&gt;"",kokpit!M85,"")</f>
        <v/>
      </c>
      <c r="N85" s="117" t="str">
        <f>IF(kokpit!N85&lt;&gt;"",kokpit!N85,"")</f>
        <v/>
      </c>
      <c r="O85" s="117" t="str">
        <f>IF(kokpit!O85&lt;&gt;"",kokpit!O85,"")</f>
        <v/>
      </c>
      <c r="P85" s="141" t="str">
        <f>IF(M85&lt;&gt;"",IF(O85="",SUMIFS('JPK_KR-1'!AL:AL,'JPK_KR-1'!W:W,N85),SUMIFS('JPK_KR-1'!BF:BF,'JPK_KR-1'!BE:BE,N85,'JPK_KR-1'!BG:BG,O85)),"")</f>
        <v/>
      </c>
      <c r="Q85" s="144" t="str">
        <f>IF(M85&lt;&gt;"",IF(O85="",SUMIFS('JPK_KR-1'!AM:AM,'JPK_KR-1'!W:W,N85),SUMIFS('JPK_KR-1'!BI:BI,'JPK_KR-1'!BH:BH,N85,'JPK_KR-1'!BJ:BJ,O85)),"")</f>
        <v/>
      </c>
      <c r="R85" s="117" t="str">
        <f>IF(kokpit!R85&lt;&gt;"",kokpit!R85,"")</f>
        <v/>
      </c>
      <c r="S85" s="117" t="str">
        <f>IF(kokpit!S85&lt;&gt;"",kokpit!S85,"")</f>
        <v/>
      </c>
      <c r="T85" s="117" t="str">
        <f>IF(kokpit!T85&lt;&gt;"",kokpit!T85,"")</f>
        <v/>
      </c>
      <c r="U85" s="141" t="str">
        <f>IF(R85&lt;&gt;"",SUMIFS('JPK_KR-1'!AL:AL,'JPK_KR-1'!W:W,S85),"")</f>
        <v/>
      </c>
      <c r="V85" s="144" t="str">
        <f>IF(R85&lt;&gt;"",SUMIFS('JPK_KR-1'!AM:AM,'JPK_KR-1'!W:W,S85),"")</f>
        <v/>
      </c>
    </row>
    <row r="86" spans="1:22" x14ac:dyDescent="0.3">
      <c r="A86" s="5" t="str">
        <f>IF(kokpit!A86&lt;&gt;"",kokpit!A86,"")</f>
        <v/>
      </c>
      <c r="B86" s="5" t="str">
        <f>IF(kokpit!B86&lt;&gt;"",kokpit!B86,"")</f>
        <v/>
      </c>
      <c r="C86" s="24" t="str">
        <f>IF(A86&lt;&gt;"",SUMIFS('JPK_KR-1'!AL:AL,'JPK_KR-1'!W:W,B86),"")</f>
        <v/>
      </c>
      <c r="D86" s="126" t="str">
        <f>IF(A86&lt;&gt;"",SUMIFS('JPK_KR-1'!AM:AM,'JPK_KR-1'!W:W,B86),"")</f>
        <v/>
      </c>
      <c r="E86" s="5" t="str">
        <f>IF(kokpit!E86&lt;&gt;"",kokpit!E86,"")</f>
        <v/>
      </c>
      <c r="F86" s="127" t="str">
        <f>IF(kokpit!F86&lt;&gt;"",kokpit!F86,"")</f>
        <v/>
      </c>
      <c r="G86" s="24" t="str">
        <f>IF(E86&lt;&gt;"",SUMIFS('JPK_KR-1'!AL:AL,'JPK_KR-1'!W:W,F86),"")</f>
        <v/>
      </c>
      <c r="H86" s="126" t="str">
        <f>IF(E86&lt;&gt;"",SUMIFS('JPK_KR-1'!AM:AM,'JPK_KR-1'!W:W,F86),"")</f>
        <v/>
      </c>
      <c r="I86" s="5" t="str">
        <f>IF(kokpit!I86&lt;&gt;"",kokpit!I86,"")</f>
        <v/>
      </c>
      <c r="J86" s="5" t="str">
        <f>IF(kokpit!J86&lt;&gt;"",kokpit!J86,"")</f>
        <v/>
      </c>
      <c r="K86" s="24" t="str">
        <f>IF(I86&lt;&gt;"",SUMIFS('JPK_KR-1'!AL:AL,'JPK_KR-1'!W:W,J86),"")</f>
        <v/>
      </c>
      <c r="L86" s="141" t="str">
        <f>IF(I86&lt;&gt;"",SUMIFS('JPK_KR-1'!AM:AM,'JPK_KR-1'!W:W,J86),"")</f>
        <v/>
      </c>
      <c r="M86" s="143" t="str">
        <f>IF(kokpit!M86&lt;&gt;"",kokpit!M86,"")</f>
        <v/>
      </c>
      <c r="N86" s="117" t="str">
        <f>IF(kokpit!N86&lt;&gt;"",kokpit!N86,"")</f>
        <v/>
      </c>
      <c r="O86" s="117" t="str">
        <f>IF(kokpit!O86&lt;&gt;"",kokpit!O86,"")</f>
        <v/>
      </c>
      <c r="P86" s="141" t="str">
        <f>IF(M86&lt;&gt;"",IF(O86="",SUMIFS('JPK_KR-1'!AL:AL,'JPK_KR-1'!W:W,N86),SUMIFS('JPK_KR-1'!BF:BF,'JPK_KR-1'!BE:BE,N86,'JPK_KR-1'!BG:BG,O86)),"")</f>
        <v/>
      </c>
      <c r="Q86" s="144" t="str">
        <f>IF(M86&lt;&gt;"",IF(O86="",SUMIFS('JPK_KR-1'!AM:AM,'JPK_KR-1'!W:W,N86),SUMIFS('JPK_KR-1'!BI:BI,'JPK_KR-1'!BH:BH,N86,'JPK_KR-1'!BJ:BJ,O86)),"")</f>
        <v/>
      </c>
      <c r="R86" s="117" t="str">
        <f>IF(kokpit!R86&lt;&gt;"",kokpit!R86,"")</f>
        <v/>
      </c>
      <c r="S86" s="117" t="str">
        <f>IF(kokpit!S86&lt;&gt;"",kokpit!S86,"")</f>
        <v/>
      </c>
      <c r="T86" s="117" t="str">
        <f>IF(kokpit!T86&lt;&gt;"",kokpit!T86,"")</f>
        <v/>
      </c>
      <c r="U86" s="141" t="str">
        <f>IF(R86&lt;&gt;"",SUMIFS('JPK_KR-1'!AL:AL,'JPK_KR-1'!W:W,S86),"")</f>
        <v/>
      </c>
      <c r="V86" s="144" t="str">
        <f>IF(R86&lt;&gt;"",SUMIFS('JPK_KR-1'!AM:AM,'JPK_KR-1'!W:W,S86),"")</f>
        <v/>
      </c>
    </row>
    <row r="87" spans="1:22" x14ac:dyDescent="0.3">
      <c r="A87" s="5" t="str">
        <f>IF(kokpit!A87&lt;&gt;"",kokpit!A87,"")</f>
        <v/>
      </c>
      <c r="B87" s="5" t="str">
        <f>IF(kokpit!B87&lt;&gt;"",kokpit!B87,"")</f>
        <v/>
      </c>
      <c r="C87" s="24" t="str">
        <f>IF(A87&lt;&gt;"",SUMIFS('JPK_KR-1'!AL:AL,'JPK_KR-1'!W:W,B87),"")</f>
        <v/>
      </c>
      <c r="D87" s="126" t="str">
        <f>IF(A87&lt;&gt;"",SUMIFS('JPK_KR-1'!AM:AM,'JPK_KR-1'!W:W,B87),"")</f>
        <v/>
      </c>
      <c r="E87" s="5" t="str">
        <f>IF(kokpit!E87&lt;&gt;"",kokpit!E87,"")</f>
        <v/>
      </c>
      <c r="F87" s="127" t="str">
        <f>IF(kokpit!F87&lt;&gt;"",kokpit!F87,"")</f>
        <v/>
      </c>
      <c r="G87" s="24" t="str">
        <f>IF(E87&lt;&gt;"",SUMIFS('JPK_KR-1'!AL:AL,'JPK_KR-1'!W:W,F87),"")</f>
        <v/>
      </c>
      <c r="H87" s="126" t="str">
        <f>IF(E87&lt;&gt;"",SUMIFS('JPK_KR-1'!AM:AM,'JPK_KR-1'!W:W,F87),"")</f>
        <v/>
      </c>
      <c r="I87" s="5" t="str">
        <f>IF(kokpit!I87&lt;&gt;"",kokpit!I87,"")</f>
        <v/>
      </c>
      <c r="J87" s="5" t="str">
        <f>IF(kokpit!J87&lt;&gt;"",kokpit!J87,"")</f>
        <v/>
      </c>
      <c r="K87" s="24" t="str">
        <f>IF(I87&lt;&gt;"",SUMIFS('JPK_KR-1'!AL:AL,'JPK_KR-1'!W:W,J87),"")</f>
        <v/>
      </c>
      <c r="L87" s="141" t="str">
        <f>IF(I87&lt;&gt;"",SUMIFS('JPK_KR-1'!AM:AM,'JPK_KR-1'!W:W,J87),"")</f>
        <v/>
      </c>
      <c r="M87" s="143" t="str">
        <f>IF(kokpit!M87&lt;&gt;"",kokpit!M87,"")</f>
        <v/>
      </c>
      <c r="N87" s="117" t="str">
        <f>IF(kokpit!N87&lt;&gt;"",kokpit!N87,"")</f>
        <v/>
      </c>
      <c r="O87" s="117" t="str">
        <f>IF(kokpit!O87&lt;&gt;"",kokpit!O87,"")</f>
        <v/>
      </c>
      <c r="P87" s="141" t="str">
        <f>IF(M87&lt;&gt;"",IF(O87="",SUMIFS('JPK_KR-1'!AL:AL,'JPK_KR-1'!W:W,N87),SUMIFS('JPK_KR-1'!BF:BF,'JPK_KR-1'!BE:BE,N87,'JPK_KR-1'!BG:BG,O87)),"")</f>
        <v/>
      </c>
      <c r="Q87" s="144" t="str">
        <f>IF(M87&lt;&gt;"",IF(O87="",SUMIFS('JPK_KR-1'!AM:AM,'JPK_KR-1'!W:W,N87),SUMIFS('JPK_KR-1'!BI:BI,'JPK_KR-1'!BH:BH,N87,'JPK_KR-1'!BJ:BJ,O87)),"")</f>
        <v/>
      </c>
      <c r="R87" s="117" t="str">
        <f>IF(kokpit!R87&lt;&gt;"",kokpit!R87,"")</f>
        <v/>
      </c>
      <c r="S87" s="117" t="str">
        <f>IF(kokpit!S87&lt;&gt;"",kokpit!S87,"")</f>
        <v/>
      </c>
      <c r="T87" s="117" t="str">
        <f>IF(kokpit!T87&lt;&gt;"",kokpit!T87,"")</f>
        <v/>
      </c>
      <c r="U87" s="141" t="str">
        <f>IF(R87&lt;&gt;"",SUMIFS('JPK_KR-1'!AL:AL,'JPK_KR-1'!W:W,S87),"")</f>
        <v/>
      </c>
      <c r="V87" s="144" t="str">
        <f>IF(R87&lt;&gt;"",SUMIFS('JPK_KR-1'!AM:AM,'JPK_KR-1'!W:W,S87),"")</f>
        <v/>
      </c>
    </row>
    <row r="88" spans="1:22" x14ac:dyDescent="0.3">
      <c r="A88" s="5" t="str">
        <f>IF(kokpit!A88&lt;&gt;"",kokpit!A88,"")</f>
        <v/>
      </c>
      <c r="B88" s="5" t="str">
        <f>IF(kokpit!B88&lt;&gt;"",kokpit!B88,"")</f>
        <v/>
      </c>
      <c r="C88" s="24" t="str">
        <f>IF(A88&lt;&gt;"",SUMIFS('JPK_KR-1'!AL:AL,'JPK_KR-1'!W:W,B88),"")</f>
        <v/>
      </c>
      <c r="D88" s="126" t="str">
        <f>IF(A88&lt;&gt;"",SUMIFS('JPK_KR-1'!AM:AM,'JPK_KR-1'!W:W,B88),"")</f>
        <v/>
      </c>
      <c r="E88" s="5" t="str">
        <f>IF(kokpit!E88&lt;&gt;"",kokpit!E88,"")</f>
        <v/>
      </c>
      <c r="F88" s="127" t="str">
        <f>IF(kokpit!F88&lt;&gt;"",kokpit!F88,"")</f>
        <v/>
      </c>
      <c r="G88" s="24" t="str">
        <f>IF(E88&lt;&gt;"",SUMIFS('JPK_KR-1'!AL:AL,'JPK_KR-1'!W:W,F88),"")</f>
        <v/>
      </c>
      <c r="H88" s="126" t="str">
        <f>IF(E88&lt;&gt;"",SUMIFS('JPK_KR-1'!AM:AM,'JPK_KR-1'!W:W,F88),"")</f>
        <v/>
      </c>
      <c r="I88" s="5" t="str">
        <f>IF(kokpit!I88&lt;&gt;"",kokpit!I88,"")</f>
        <v/>
      </c>
      <c r="J88" s="5" t="str">
        <f>IF(kokpit!J88&lt;&gt;"",kokpit!J88,"")</f>
        <v/>
      </c>
      <c r="K88" s="24" t="str">
        <f>IF(I88&lt;&gt;"",SUMIFS('JPK_KR-1'!AL:AL,'JPK_KR-1'!W:W,J88),"")</f>
        <v/>
      </c>
      <c r="L88" s="141" t="str">
        <f>IF(I88&lt;&gt;"",SUMIFS('JPK_KR-1'!AM:AM,'JPK_KR-1'!W:W,J88),"")</f>
        <v/>
      </c>
      <c r="M88" s="143" t="str">
        <f>IF(kokpit!M88&lt;&gt;"",kokpit!M88,"")</f>
        <v/>
      </c>
      <c r="N88" s="117" t="str">
        <f>IF(kokpit!N88&lt;&gt;"",kokpit!N88,"")</f>
        <v/>
      </c>
      <c r="O88" s="117" t="str">
        <f>IF(kokpit!O88&lt;&gt;"",kokpit!O88,"")</f>
        <v/>
      </c>
      <c r="P88" s="141" t="str">
        <f>IF(M88&lt;&gt;"",IF(O88="",SUMIFS('JPK_KR-1'!AL:AL,'JPK_KR-1'!W:W,N88),SUMIFS('JPK_KR-1'!BF:BF,'JPK_KR-1'!BE:BE,N88,'JPK_KR-1'!BG:BG,O88)),"")</f>
        <v/>
      </c>
      <c r="Q88" s="144" t="str">
        <f>IF(M88&lt;&gt;"",IF(O88="",SUMIFS('JPK_KR-1'!AM:AM,'JPK_KR-1'!W:W,N88),SUMIFS('JPK_KR-1'!BI:BI,'JPK_KR-1'!BH:BH,N88,'JPK_KR-1'!BJ:BJ,O88)),"")</f>
        <v/>
      </c>
      <c r="R88" s="117" t="str">
        <f>IF(kokpit!R88&lt;&gt;"",kokpit!R88,"")</f>
        <v/>
      </c>
      <c r="S88" s="117" t="str">
        <f>IF(kokpit!S88&lt;&gt;"",kokpit!S88,"")</f>
        <v/>
      </c>
      <c r="T88" s="117" t="str">
        <f>IF(kokpit!T88&lt;&gt;"",kokpit!T88,"")</f>
        <v/>
      </c>
      <c r="U88" s="141" t="str">
        <f>IF(R88&lt;&gt;"",SUMIFS('JPK_KR-1'!AL:AL,'JPK_KR-1'!W:W,S88),"")</f>
        <v/>
      </c>
      <c r="V88" s="144" t="str">
        <f>IF(R88&lt;&gt;"",SUMIFS('JPK_KR-1'!AM:AM,'JPK_KR-1'!W:W,S88),"")</f>
        <v/>
      </c>
    </row>
    <row r="89" spans="1:22" x14ac:dyDescent="0.3">
      <c r="A89" s="5" t="str">
        <f>IF(kokpit!A89&lt;&gt;"",kokpit!A89,"")</f>
        <v/>
      </c>
      <c r="B89" s="5" t="str">
        <f>IF(kokpit!B89&lt;&gt;"",kokpit!B89,"")</f>
        <v/>
      </c>
      <c r="C89" s="24" t="str">
        <f>IF(A89&lt;&gt;"",SUMIFS('JPK_KR-1'!AL:AL,'JPK_KR-1'!W:W,B89),"")</f>
        <v/>
      </c>
      <c r="D89" s="126" t="str">
        <f>IF(A89&lt;&gt;"",SUMIFS('JPK_KR-1'!AM:AM,'JPK_KR-1'!W:W,B89),"")</f>
        <v/>
      </c>
      <c r="E89" s="5" t="str">
        <f>IF(kokpit!E89&lt;&gt;"",kokpit!E89,"")</f>
        <v/>
      </c>
      <c r="F89" s="127" t="str">
        <f>IF(kokpit!F89&lt;&gt;"",kokpit!F89,"")</f>
        <v/>
      </c>
      <c r="G89" s="24" t="str">
        <f>IF(E89&lt;&gt;"",SUMIFS('JPK_KR-1'!AL:AL,'JPK_KR-1'!W:W,F89),"")</f>
        <v/>
      </c>
      <c r="H89" s="126" t="str">
        <f>IF(E89&lt;&gt;"",SUMIFS('JPK_KR-1'!AM:AM,'JPK_KR-1'!W:W,F89),"")</f>
        <v/>
      </c>
      <c r="I89" s="5" t="str">
        <f>IF(kokpit!I89&lt;&gt;"",kokpit!I89,"")</f>
        <v/>
      </c>
      <c r="J89" s="5" t="str">
        <f>IF(kokpit!J89&lt;&gt;"",kokpit!J89,"")</f>
        <v/>
      </c>
      <c r="K89" s="24" t="str">
        <f>IF(I89&lt;&gt;"",SUMIFS('JPK_KR-1'!AL:AL,'JPK_KR-1'!W:W,J89),"")</f>
        <v/>
      </c>
      <c r="L89" s="141" t="str">
        <f>IF(I89&lt;&gt;"",SUMIFS('JPK_KR-1'!AM:AM,'JPK_KR-1'!W:W,J89),"")</f>
        <v/>
      </c>
      <c r="M89" s="143" t="str">
        <f>IF(kokpit!M89&lt;&gt;"",kokpit!M89,"")</f>
        <v/>
      </c>
      <c r="N89" s="117" t="str">
        <f>IF(kokpit!N89&lt;&gt;"",kokpit!N89,"")</f>
        <v/>
      </c>
      <c r="O89" s="117" t="str">
        <f>IF(kokpit!O89&lt;&gt;"",kokpit!O89,"")</f>
        <v/>
      </c>
      <c r="P89" s="141" t="str">
        <f>IF(M89&lt;&gt;"",IF(O89="",SUMIFS('JPK_KR-1'!AL:AL,'JPK_KR-1'!W:W,N89),SUMIFS('JPK_KR-1'!BF:BF,'JPK_KR-1'!BE:BE,N89,'JPK_KR-1'!BG:BG,O89)),"")</f>
        <v/>
      </c>
      <c r="Q89" s="144" t="str">
        <f>IF(M89&lt;&gt;"",IF(O89="",SUMIFS('JPK_KR-1'!AM:AM,'JPK_KR-1'!W:W,N89),SUMIFS('JPK_KR-1'!BI:BI,'JPK_KR-1'!BH:BH,N89,'JPK_KR-1'!BJ:BJ,O89)),"")</f>
        <v/>
      </c>
      <c r="R89" s="117" t="str">
        <f>IF(kokpit!R89&lt;&gt;"",kokpit!R89,"")</f>
        <v/>
      </c>
      <c r="S89" s="117" t="str">
        <f>IF(kokpit!S89&lt;&gt;"",kokpit!S89,"")</f>
        <v/>
      </c>
      <c r="T89" s="117" t="str">
        <f>IF(kokpit!T89&lt;&gt;"",kokpit!T89,"")</f>
        <v/>
      </c>
      <c r="U89" s="141" t="str">
        <f>IF(R89&lt;&gt;"",SUMIFS('JPK_KR-1'!AL:AL,'JPK_KR-1'!W:W,S89),"")</f>
        <v/>
      </c>
      <c r="V89" s="144" t="str">
        <f>IF(R89&lt;&gt;"",SUMIFS('JPK_KR-1'!AM:AM,'JPK_KR-1'!W:W,S89),"")</f>
        <v/>
      </c>
    </row>
    <row r="90" spans="1:22" x14ac:dyDescent="0.3">
      <c r="A90" s="5" t="str">
        <f>IF(kokpit!A90&lt;&gt;"",kokpit!A90,"")</f>
        <v/>
      </c>
      <c r="B90" s="5" t="str">
        <f>IF(kokpit!B90&lt;&gt;"",kokpit!B90,"")</f>
        <v/>
      </c>
      <c r="C90" s="24" t="str">
        <f>IF(A90&lt;&gt;"",SUMIFS('JPK_KR-1'!AL:AL,'JPK_KR-1'!W:W,B90),"")</f>
        <v/>
      </c>
      <c r="D90" s="126" t="str">
        <f>IF(A90&lt;&gt;"",SUMIFS('JPK_KR-1'!AM:AM,'JPK_KR-1'!W:W,B90),"")</f>
        <v/>
      </c>
      <c r="E90" s="5" t="str">
        <f>IF(kokpit!E90&lt;&gt;"",kokpit!E90,"")</f>
        <v/>
      </c>
      <c r="F90" s="127" t="str">
        <f>IF(kokpit!F90&lt;&gt;"",kokpit!F90,"")</f>
        <v/>
      </c>
      <c r="G90" s="24" t="str">
        <f>IF(E90&lt;&gt;"",SUMIFS('JPK_KR-1'!AL:AL,'JPK_KR-1'!W:W,F90),"")</f>
        <v/>
      </c>
      <c r="H90" s="126" t="str">
        <f>IF(E90&lt;&gt;"",SUMIFS('JPK_KR-1'!AM:AM,'JPK_KR-1'!W:W,F90),"")</f>
        <v/>
      </c>
      <c r="I90" s="5" t="str">
        <f>IF(kokpit!I90&lt;&gt;"",kokpit!I90,"")</f>
        <v/>
      </c>
      <c r="J90" s="5" t="str">
        <f>IF(kokpit!J90&lt;&gt;"",kokpit!J90,"")</f>
        <v/>
      </c>
      <c r="K90" s="24" t="str">
        <f>IF(I90&lt;&gt;"",SUMIFS('JPK_KR-1'!AL:AL,'JPK_KR-1'!W:W,J90),"")</f>
        <v/>
      </c>
      <c r="L90" s="141" t="str">
        <f>IF(I90&lt;&gt;"",SUMIFS('JPK_KR-1'!AM:AM,'JPK_KR-1'!W:W,J90),"")</f>
        <v/>
      </c>
      <c r="M90" s="143" t="str">
        <f>IF(kokpit!M90&lt;&gt;"",kokpit!M90,"")</f>
        <v/>
      </c>
      <c r="N90" s="117" t="str">
        <f>IF(kokpit!N90&lt;&gt;"",kokpit!N90,"")</f>
        <v/>
      </c>
      <c r="O90" s="117" t="str">
        <f>IF(kokpit!O90&lt;&gt;"",kokpit!O90,"")</f>
        <v/>
      </c>
      <c r="P90" s="141" t="str">
        <f>IF(M90&lt;&gt;"",IF(O90="",SUMIFS('JPK_KR-1'!AL:AL,'JPK_KR-1'!W:W,N90),SUMIFS('JPK_KR-1'!BF:BF,'JPK_KR-1'!BE:BE,N90,'JPK_KR-1'!BG:BG,O90)),"")</f>
        <v/>
      </c>
      <c r="Q90" s="144" t="str">
        <f>IF(M90&lt;&gt;"",IF(O90="",SUMIFS('JPK_KR-1'!AM:AM,'JPK_KR-1'!W:W,N90),SUMIFS('JPK_KR-1'!BI:BI,'JPK_KR-1'!BH:BH,N90,'JPK_KR-1'!BJ:BJ,O90)),"")</f>
        <v/>
      </c>
      <c r="R90" s="117" t="str">
        <f>IF(kokpit!R90&lt;&gt;"",kokpit!R90,"")</f>
        <v/>
      </c>
      <c r="S90" s="117" t="str">
        <f>IF(kokpit!S90&lt;&gt;"",kokpit!S90,"")</f>
        <v/>
      </c>
      <c r="T90" s="117" t="str">
        <f>IF(kokpit!T90&lt;&gt;"",kokpit!T90,"")</f>
        <v/>
      </c>
      <c r="U90" s="141" t="str">
        <f>IF(R90&lt;&gt;"",SUMIFS('JPK_KR-1'!AL:AL,'JPK_KR-1'!W:W,S90),"")</f>
        <v/>
      </c>
      <c r="V90" s="144" t="str">
        <f>IF(R90&lt;&gt;"",SUMIFS('JPK_KR-1'!AM:AM,'JPK_KR-1'!W:W,S90),"")</f>
        <v/>
      </c>
    </row>
    <row r="91" spans="1:22" x14ac:dyDescent="0.3">
      <c r="A91" s="5" t="str">
        <f>IF(kokpit!A91&lt;&gt;"",kokpit!A91,"")</f>
        <v/>
      </c>
      <c r="B91" s="5" t="str">
        <f>IF(kokpit!B91&lt;&gt;"",kokpit!B91,"")</f>
        <v/>
      </c>
      <c r="C91" s="24" t="str">
        <f>IF(A91&lt;&gt;"",SUMIFS('JPK_KR-1'!AL:AL,'JPK_KR-1'!W:W,B91),"")</f>
        <v/>
      </c>
      <c r="D91" s="126" t="str">
        <f>IF(A91&lt;&gt;"",SUMIFS('JPK_KR-1'!AM:AM,'JPK_KR-1'!W:W,B91),"")</f>
        <v/>
      </c>
      <c r="E91" s="5" t="str">
        <f>IF(kokpit!E91&lt;&gt;"",kokpit!E91,"")</f>
        <v/>
      </c>
      <c r="F91" s="127" t="str">
        <f>IF(kokpit!F91&lt;&gt;"",kokpit!F91,"")</f>
        <v/>
      </c>
      <c r="G91" s="24" t="str">
        <f>IF(E91&lt;&gt;"",SUMIFS('JPK_KR-1'!AL:AL,'JPK_KR-1'!W:W,F91),"")</f>
        <v/>
      </c>
      <c r="H91" s="126" t="str">
        <f>IF(E91&lt;&gt;"",SUMIFS('JPK_KR-1'!AM:AM,'JPK_KR-1'!W:W,F91),"")</f>
        <v/>
      </c>
      <c r="I91" s="5" t="str">
        <f>IF(kokpit!I91&lt;&gt;"",kokpit!I91,"")</f>
        <v/>
      </c>
      <c r="J91" s="5" t="str">
        <f>IF(kokpit!J91&lt;&gt;"",kokpit!J91,"")</f>
        <v/>
      </c>
      <c r="K91" s="24" t="str">
        <f>IF(I91&lt;&gt;"",SUMIFS('JPK_KR-1'!AL:AL,'JPK_KR-1'!W:W,J91),"")</f>
        <v/>
      </c>
      <c r="L91" s="141" t="str">
        <f>IF(I91&lt;&gt;"",SUMIFS('JPK_KR-1'!AM:AM,'JPK_KR-1'!W:W,J91),"")</f>
        <v/>
      </c>
      <c r="M91" s="143" t="str">
        <f>IF(kokpit!M91&lt;&gt;"",kokpit!M91,"")</f>
        <v/>
      </c>
      <c r="N91" s="117" t="str">
        <f>IF(kokpit!N91&lt;&gt;"",kokpit!N91,"")</f>
        <v/>
      </c>
      <c r="O91" s="117" t="str">
        <f>IF(kokpit!O91&lt;&gt;"",kokpit!O91,"")</f>
        <v/>
      </c>
      <c r="P91" s="141" t="str">
        <f>IF(M91&lt;&gt;"",IF(O91="",SUMIFS('JPK_KR-1'!AL:AL,'JPK_KR-1'!W:W,N91),SUMIFS('JPK_KR-1'!BF:BF,'JPK_KR-1'!BE:BE,N91,'JPK_KR-1'!BG:BG,O91)),"")</f>
        <v/>
      </c>
      <c r="Q91" s="144" t="str">
        <f>IF(M91&lt;&gt;"",IF(O91="",SUMIFS('JPK_KR-1'!AM:AM,'JPK_KR-1'!W:W,N91),SUMIFS('JPK_KR-1'!BI:BI,'JPK_KR-1'!BH:BH,N91,'JPK_KR-1'!BJ:BJ,O91)),"")</f>
        <v/>
      </c>
      <c r="R91" s="117" t="str">
        <f>IF(kokpit!R91&lt;&gt;"",kokpit!R91,"")</f>
        <v/>
      </c>
      <c r="S91" s="117" t="str">
        <f>IF(kokpit!S91&lt;&gt;"",kokpit!S91,"")</f>
        <v/>
      </c>
      <c r="T91" s="117" t="str">
        <f>IF(kokpit!T91&lt;&gt;"",kokpit!T91,"")</f>
        <v/>
      </c>
      <c r="U91" s="141" t="str">
        <f>IF(R91&lt;&gt;"",SUMIFS('JPK_KR-1'!AL:AL,'JPK_KR-1'!W:W,S91),"")</f>
        <v/>
      </c>
      <c r="V91" s="144" t="str">
        <f>IF(R91&lt;&gt;"",SUMIFS('JPK_KR-1'!AM:AM,'JPK_KR-1'!W:W,S91),"")</f>
        <v/>
      </c>
    </row>
    <row r="92" spans="1:22" x14ac:dyDescent="0.3">
      <c r="A92" s="5" t="str">
        <f>IF(kokpit!A92&lt;&gt;"",kokpit!A92,"")</f>
        <v/>
      </c>
      <c r="B92" s="5" t="str">
        <f>IF(kokpit!B92&lt;&gt;"",kokpit!B92,"")</f>
        <v/>
      </c>
      <c r="C92" s="24" t="str">
        <f>IF(A92&lt;&gt;"",SUMIFS('JPK_KR-1'!AL:AL,'JPK_KR-1'!W:W,B92),"")</f>
        <v/>
      </c>
      <c r="D92" s="126" t="str">
        <f>IF(A92&lt;&gt;"",SUMIFS('JPK_KR-1'!AM:AM,'JPK_KR-1'!W:W,B92),"")</f>
        <v/>
      </c>
      <c r="E92" s="5" t="str">
        <f>IF(kokpit!E92&lt;&gt;"",kokpit!E92,"")</f>
        <v/>
      </c>
      <c r="F92" s="127" t="str">
        <f>IF(kokpit!F92&lt;&gt;"",kokpit!F92,"")</f>
        <v/>
      </c>
      <c r="G92" s="24" t="str">
        <f>IF(E92&lt;&gt;"",SUMIFS('JPK_KR-1'!AL:AL,'JPK_KR-1'!W:W,F92),"")</f>
        <v/>
      </c>
      <c r="H92" s="126" t="str">
        <f>IF(E92&lt;&gt;"",SUMIFS('JPK_KR-1'!AM:AM,'JPK_KR-1'!W:W,F92),"")</f>
        <v/>
      </c>
      <c r="I92" s="5" t="str">
        <f>IF(kokpit!I92&lt;&gt;"",kokpit!I92,"")</f>
        <v/>
      </c>
      <c r="J92" s="5" t="str">
        <f>IF(kokpit!J92&lt;&gt;"",kokpit!J92,"")</f>
        <v/>
      </c>
      <c r="K92" s="24" t="str">
        <f>IF(I92&lt;&gt;"",SUMIFS('JPK_KR-1'!AL:AL,'JPK_KR-1'!W:W,J92),"")</f>
        <v/>
      </c>
      <c r="L92" s="141" t="str">
        <f>IF(I92&lt;&gt;"",SUMIFS('JPK_KR-1'!AM:AM,'JPK_KR-1'!W:W,J92),"")</f>
        <v/>
      </c>
      <c r="M92" s="143" t="str">
        <f>IF(kokpit!M92&lt;&gt;"",kokpit!M92,"")</f>
        <v/>
      </c>
      <c r="N92" s="117" t="str">
        <f>IF(kokpit!N92&lt;&gt;"",kokpit!N92,"")</f>
        <v/>
      </c>
      <c r="O92" s="117" t="str">
        <f>IF(kokpit!O92&lt;&gt;"",kokpit!O92,"")</f>
        <v/>
      </c>
      <c r="P92" s="141" t="str">
        <f>IF(M92&lt;&gt;"",IF(O92="",SUMIFS('JPK_KR-1'!AL:AL,'JPK_KR-1'!W:W,N92),SUMIFS('JPK_KR-1'!BF:BF,'JPK_KR-1'!BE:BE,N92,'JPK_KR-1'!BG:BG,O92)),"")</f>
        <v/>
      </c>
      <c r="Q92" s="144" t="str">
        <f>IF(M92&lt;&gt;"",IF(O92="",SUMIFS('JPK_KR-1'!AM:AM,'JPK_KR-1'!W:W,N92),SUMIFS('JPK_KR-1'!BI:BI,'JPK_KR-1'!BH:BH,N92,'JPK_KR-1'!BJ:BJ,O92)),"")</f>
        <v/>
      </c>
      <c r="R92" s="117" t="str">
        <f>IF(kokpit!R92&lt;&gt;"",kokpit!R92,"")</f>
        <v/>
      </c>
      <c r="S92" s="117" t="str">
        <f>IF(kokpit!S92&lt;&gt;"",kokpit!S92,"")</f>
        <v/>
      </c>
      <c r="T92" s="117" t="str">
        <f>IF(kokpit!T92&lt;&gt;"",kokpit!T92,"")</f>
        <v/>
      </c>
      <c r="U92" s="141" t="str">
        <f>IF(R92&lt;&gt;"",SUMIFS('JPK_KR-1'!AL:AL,'JPK_KR-1'!W:W,S92),"")</f>
        <v/>
      </c>
      <c r="V92" s="144" t="str">
        <f>IF(R92&lt;&gt;"",SUMIFS('JPK_KR-1'!AM:AM,'JPK_KR-1'!W:W,S92),"")</f>
        <v/>
      </c>
    </row>
    <row r="93" spans="1:22" x14ac:dyDescent="0.3">
      <c r="A93" s="5" t="str">
        <f>IF(kokpit!A93&lt;&gt;"",kokpit!A93,"")</f>
        <v/>
      </c>
      <c r="B93" s="5" t="str">
        <f>IF(kokpit!B93&lt;&gt;"",kokpit!B93,"")</f>
        <v/>
      </c>
      <c r="C93" s="24" t="str">
        <f>IF(A93&lt;&gt;"",SUMIFS('JPK_KR-1'!AL:AL,'JPK_KR-1'!W:W,B93),"")</f>
        <v/>
      </c>
      <c r="D93" s="126" t="str">
        <f>IF(A93&lt;&gt;"",SUMIFS('JPK_KR-1'!AM:AM,'JPK_KR-1'!W:W,B93),"")</f>
        <v/>
      </c>
      <c r="E93" s="5" t="str">
        <f>IF(kokpit!E93&lt;&gt;"",kokpit!E93,"")</f>
        <v/>
      </c>
      <c r="F93" s="127" t="str">
        <f>IF(kokpit!F93&lt;&gt;"",kokpit!F93,"")</f>
        <v/>
      </c>
      <c r="G93" s="24" t="str">
        <f>IF(E93&lt;&gt;"",SUMIFS('JPK_KR-1'!AL:AL,'JPK_KR-1'!W:W,F93),"")</f>
        <v/>
      </c>
      <c r="H93" s="126" t="str">
        <f>IF(E93&lt;&gt;"",SUMIFS('JPK_KR-1'!AM:AM,'JPK_KR-1'!W:W,F93),"")</f>
        <v/>
      </c>
      <c r="I93" s="5" t="str">
        <f>IF(kokpit!I93&lt;&gt;"",kokpit!I93,"")</f>
        <v/>
      </c>
      <c r="J93" s="5" t="str">
        <f>IF(kokpit!J93&lt;&gt;"",kokpit!J93,"")</f>
        <v/>
      </c>
      <c r="K93" s="24" t="str">
        <f>IF(I93&lt;&gt;"",SUMIFS('JPK_KR-1'!AL:AL,'JPK_KR-1'!W:W,J93),"")</f>
        <v/>
      </c>
      <c r="L93" s="141" t="str">
        <f>IF(I93&lt;&gt;"",SUMIFS('JPK_KR-1'!AM:AM,'JPK_KR-1'!W:W,J93),"")</f>
        <v/>
      </c>
      <c r="M93" s="143" t="str">
        <f>IF(kokpit!M93&lt;&gt;"",kokpit!M93,"")</f>
        <v/>
      </c>
      <c r="N93" s="117" t="str">
        <f>IF(kokpit!N93&lt;&gt;"",kokpit!N93,"")</f>
        <v/>
      </c>
      <c r="O93" s="117" t="str">
        <f>IF(kokpit!O93&lt;&gt;"",kokpit!O93,"")</f>
        <v/>
      </c>
      <c r="P93" s="141" t="str">
        <f>IF(M93&lt;&gt;"",IF(O93="",SUMIFS('JPK_KR-1'!AL:AL,'JPK_KR-1'!W:W,N93),SUMIFS('JPK_KR-1'!BF:BF,'JPK_KR-1'!BE:BE,N93,'JPK_KR-1'!BG:BG,O93)),"")</f>
        <v/>
      </c>
      <c r="Q93" s="144" t="str">
        <f>IF(M93&lt;&gt;"",IF(O93="",SUMIFS('JPK_KR-1'!AM:AM,'JPK_KR-1'!W:W,N93),SUMIFS('JPK_KR-1'!BI:BI,'JPK_KR-1'!BH:BH,N93,'JPK_KR-1'!BJ:BJ,O93)),"")</f>
        <v/>
      </c>
      <c r="R93" s="117" t="str">
        <f>IF(kokpit!R93&lt;&gt;"",kokpit!R93,"")</f>
        <v/>
      </c>
      <c r="S93" s="117" t="str">
        <f>IF(kokpit!S93&lt;&gt;"",kokpit!S93,"")</f>
        <v/>
      </c>
      <c r="T93" s="117" t="str">
        <f>IF(kokpit!T93&lt;&gt;"",kokpit!T93,"")</f>
        <v/>
      </c>
      <c r="U93" s="141" t="str">
        <f>IF(R93&lt;&gt;"",SUMIFS('JPK_KR-1'!AL:AL,'JPK_KR-1'!W:W,S93),"")</f>
        <v/>
      </c>
      <c r="V93" s="144" t="str">
        <f>IF(R93&lt;&gt;"",SUMIFS('JPK_KR-1'!AM:AM,'JPK_KR-1'!W:W,S93),"")</f>
        <v/>
      </c>
    </row>
    <row r="94" spans="1:22" x14ac:dyDescent="0.3">
      <c r="A94" s="5" t="str">
        <f>IF(kokpit!A94&lt;&gt;"",kokpit!A94,"")</f>
        <v/>
      </c>
      <c r="B94" s="5" t="str">
        <f>IF(kokpit!B94&lt;&gt;"",kokpit!B94,"")</f>
        <v/>
      </c>
      <c r="C94" s="24" t="str">
        <f>IF(A94&lt;&gt;"",SUMIFS('JPK_KR-1'!AL:AL,'JPK_KR-1'!W:W,B94),"")</f>
        <v/>
      </c>
      <c r="D94" s="126" t="str">
        <f>IF(A94&lt;&gt;"",SUMIFS('JPK_KR-1'!AM:AM,'JPK_KR-1'!W:W,B94),"")</f>
        <v/>
      </c>
      <c r="E94" s="5" t="str">
        <f>IF(kokpit!E94&lt;&gt;"",kokpit!E94,"")</f>
        <v/>
      </c>
      <c r="F94" s="127" t="str">
        <f>IF(kokpit!F94&lt;&gt;"",kokpit!F94,"")</f>
        <v/>
      </c>
      <c r="G94" s="24" t="str">
        <f>IF(E94&lt;&gt;"",SUMIFS('JPK_KR-1'!AL:AL,'JPK_KR-1'!W:W,F94),"")</f>
        <v/>
      </c>
      <c r="H94" s="126" t="str">
        <f>IF(E94&lt;&gt;"",SUMIFS('JPK_KR-1'!AM:AM,'JPK_KR-1'!W:W,F94),"")</f>
        <v/>
      </c>
      <c r="I94" s="5" t="str">
        <f>IF(kokpit!I94&lt;&gt;"",kokpit!I94,"")</f>
        <v/>
      </c>
      <c r="J94" s="5" t="str">
        <f>IF(kokpit!J94&lt;&gt;"",kokpit!J94,"")</f>
        <v/>
      </c>
      <c r="K94" s="24" t="str">
        <f>IF(I94&lt;&gt;"",SUMIFS('JPK_KR-1'!AL:AL,'JPK_KR-1'!W:W,J94),"")</f>
        <v/>
      </c>
      <c r="L94" s="141" t="str">
        <f>IF(I94&lt;&gt;"",SUMIFS('JPK_KR-1'!AM:AM,'JPK_KR-1'!W:W,J94),"")</f>
        <v/>
      </c>
      <c r="M94" s="143" t="str">
        <f>IF(kokpit!M94&lt;&gt;"",kokpit!M94,"")</f>
        <v/>
      </c>
      <c r="N94" s="117" t="str">
        <f>IF(kokpit!N94&lt;&gt;"",kokpit!N94,"")</f>
        <v/>
      </c>
      <c r="O94" s="117" t="str">
        <f>IF(kokpit!O94&lt;&gt;"",kokpit!O94,"")</f>
        <v/>
      </c>
      <c r="P94" s="141" t="str">
        <f>IF(M94&lt;&gt;"",IF(O94="",SUMIFS('JPK_KR-1'!AL:AL,'JPK_KR-1'!W:W,N94),SUMIFS('JPK_KR-1'!BF:BF,'JPK_KR-1'!BE:BE,N94,'JPK_KR-1'!BG:BG,O94)),"")</f>
        <v/>
      </c>
      <c r="Q94" s="144" t="str">
        <f>IF(M94&lt;&gt;"",IF(O94="",SUMIFS('JPK_KR-1'!AM:AM,'JPK_KR-1'!W:W,N94),SUMIFS('JPK_KR-1'!BI:BI,'JPK_KR-1'!BH:BH,N94,'JPK_KR-1'!BJ:BJ,O94)),"")</f>
        <v/>
      </c>
      <c r="R94" s="117" t="str">
        <f>IF(kokpit!R94&lt;&gt;"",kokpit!R94,"")</f>
        <v/>
      </c>
      <c r="S94" s="117" t="str">
        <f>IF(kokpit!S94&lt;&gt;"",kokpit!S94,"")</f>
        <v/>
      </c>
      <c r="T94" s="117" t="str">
        <f>IF(kokpit!T94&lt;&gt;"",kokpit!T94,"")</f>
        <v/>
      </c>
      <c r="U94" s="141" t="str">
        <f>IF(R94&lt;&gt;"",SUMIFS('JPK_KR-1'!AL:AL,'JPK_KR-1'!W:W,S94),"")</f>
        <v/>
      </c>
      <c r="V94" s="144" t="str">
        <f>IF(R94&lt;&gt;"",SUMIFS('JPK_KR-1'!AM:AM,'JPK_KR-1'!W:W,S94),"")</f>
        <v/>
      </c>
    </row>
    <row r="95" spans="1:22" x14ac:dyDescent="0.3">
      <c r="A95" s="5" t="str">
        <f>IF(kokpit!A95&lt;&gt;"",kokpit!A95,"")</f>
        <v/>
      </c>
      <c r="B95" s="5" t="str">
        <f>IF(kokpit!B95&lt;&gt;"",kokpit!B95,"")</f>
        <v/>
      </c>
      <c r="C95" s="24" t="str">
        <f>IF(A95&lt;&gt;"",SUMIFS('JPK_KR-1'!AL:AL,'JPK_KR-1'!W:W,B95),"")</f>
        <v/>
      </c>
      <c r="D95" s="126" t="str">
        <f>IF(A95&lt;&gt;"",SUMIFS('JPK_KR-1'!AM:AM,'JPK_KR-1'!W:W,B95),"")</f>
        <v/>
      </c>
      <c r="E95" s="5" t="str">
        <f>IF(kokpit!E95&lt;&gt;"",kokpit!E95,"")</f>
        <v/>
      </c>
      <c r="F95" s="127" t="str">
        <f>IF(kokpit!F95&lt;&gt;"",kokpit!F95,"")</f>
        <v/>
      </c>
      <c r="G95" s="24" t="str">
        <f>IF(E95&lt;&gt;"",SUMIFS('JPK_KR-1'!AL:AL,'JPK_KR-1'!W:W,F95),"")</f>
        <v/>
      </c>
      <c r="H95" s="126" t="str">
        <f>IF(E95&lt;&gt;"",SUMIFS('JPK_KR-1'!AM:AM,'JPK_KR-1'!W:W,F95),"")</f>
        <v/>
      </c>
      <c r="I95" s="5" t="str">
        <f>IF(kokpit!I95&lt;&gt;"",kokpit!I95,"")</f>
        <v/>
      </c>
      <c r="J95" s="5" t="str">
        <f>IF(kokpit!J95&lt;&gt;"",kokpit!J95,"")</f>
        <v/>
      </c>
      <c r="K95" s="24" t="str">
        <f>IF(I95&lt;&gt;"",SUMIFS('JPK_KR-1'!AL:AL,'JPK_KR-1'!W:W,J95),"")</f>
        <v/>
      </c>
      <c r="L95" s="141" t="str">
        <f>IF(I95&lt;&gt;"",SUMIFS('JPK_KR-1'!AM:AM,'JPK_KR-1'!W:W,J95),"")</f>
        <v/>
      </c>
      <c r="M95" s="143" t="str">
        <f>IF(kokpit!M95&lt;&gt;"",kokpit!M95,"")</f>
        <v/>
      </c>
      <c r="N95" s="117" t="str">
        <f>IF(kokpit!N95&lt;&gt;"",kokpit!N95,"")</f>
        <v/>
      </c>
      <c r="O95" s="117" t="str">
        <f>IF(kokpit!O95&lt;&gt;"",kokpit!O95,"")</f>
        <v/>
      </c>
      <c r="P95" s="141" t="str">
        <f>IF(M95&lt;&gt;"",IF(O95="",SUMIFS('JPK_KR-1'!AL:AL,'JPK_KR-1'!W:W,N95),SUMIFS('JPK_KR-1'!BF:BF,'JPK_KR-1'!BE:BE,N95,'JPK_KR-1'!BG:BG,O95)),"")</f>
        <v/>
      </c>
      <c r="Q95" s="144" t="str">
        <f>IF(M95&lt;&gt;"",IF(O95="",SUMIFS('JPK_KR-1'!AM:AM,'JPK_KR-1'!W:W,N95),SUMIFS('JPK_KR-1'!BI:BI,'JPK_KR-1'!BH:BH,N95,'JPK_KR-1'!BJ:BJ,O95)),"")</f>
        <v/>
      </c>
      <c r="R95" s="117" t="str">
        <f>IF(kokpit!R95&lt;&gt;"",kokpit!R95,"")</f>
        <v/>
      </c>
      <c r="S95" s="117" t="str">
        <f>IF(kokpit!S95&lt;&gt;"",kokpit!S95,"")</f>
        <v/>
      </c>
      <c r="T95" s="117" t="str">
        <f>IF(kokpit!T95&lt;&gt;"",kokpit!T95,"")</f>
        <v/>
      </c>
      <c r="U95" s="141" t="str">
        <f>IF(R95&lt;&gt;"",SUMIFS('JPK_KR-1'!AL:AL,'JPK_KR-1'!W:W,S95),"")</f>
        <v/>
      </c>
      <c r="V95" s="144" t="str">
        <f>IF(R95&lt;&gt;"",SUMIFS('JPK_KR-1'!AM:AM,'JPK_KR-1'!W:W,S95),"")</f>
        <v/>
      </c>
    </row>
    <row r="96" spans="1:22" x14ac:dyDescent="0.3">
      <c r="A96" s="5" t="str">
        <f>IF(kokpit!A96&lt;&gt;"",kokpit!A96,"")</f>
        <v/>
      </c>
      <c r="B96" s="5" t="str">
        <f>IF(kokpit!B96&lt;&gt;"",kokpit!B96,"")</f>
        <v/>
      </c>
      <c r="C96" s="24" t="str">
        <f>IF(A96&lt;&gt;"",SUMIFS('JPK_KR-1'!AL:AL,'JPK_KR-1'!W:W,B96),"")</f>
        <v/>
      </c>
      <c r="D96" s="126" t="str">
        <f>IF(A96&lt;&gt;"",SUMIFS('JPK_KR-1'!AM:AM,'JPK_KR-1'!W:W,B96),"")</f>
        <v/>
      </c>
      <c r="E96" s="5" t="str">
        <f>IF(kokpit!E96&lt;&gt;"",kokpit!E96,"")</f>
        <v/>
      </c>
      <c r="F96" s="127" t="str">
        <f>IF(kokpit!F96&lt;&gt;"",kokpit!F96,"")</f>
        <v/>
      </c>
      <c r="G96" s="24" t="str">
        <f>IF(E96&lt;&gt;"",SUMIFS('JPK_KR-1'!AL:AL,'JPK_KR-1'!W:W,F96),"")</f>
        <v/>
      </c>
      <c r="H96" s="126" t="str">
        <f>IF(E96&lt;&gt;"",SUMIFS('JPK_KR-1'!AM:AM,'JPK_KR-1'!W:W,F96),"")</f>
        <v/>
      </c>
      <c r="I96" s="5" t="str">
        <f>IF(kokpit!I96&lt;&gt;"",kokpit!I96,"")</f>
        <v/>
      </c>
      <c r="J96" s="5" t="str">
        <f>IF(kokpit!J96&lt;&gt;"",kokpit!J96,"")</f>
        <v/>
      </c>
      <c r="K96" s="24" t="str">
        <f>IF(I96&lt;&gt;"",SUMIFS('JPK_KR-1'!AL:AL,'JPK_KR-1'!W:W,J96),"")</f>
        <v/>
      </c>
      <c r="L96" s="141" t="str">
        <f>IF(I96&lt;&gt;"",SUMIFS('JPK_KR-1'!AM:AM,'JPK_KR-1'!W:W,J96),"")</f>
        <v/>
      </c>
      <c r="M96" s="143" t="str">
        <f>IF(kokpit!M96&lt;&gt;"",kokpit!M96,"")</f>
        <v/>
      </c>
      <c r="N96" s="117" t="str">
        <f>IF(kokpit!N96&lt;&gt;"",kokpit!N96,"")</f>
        <v/>
      </c>
      <c r="O96" s="117" t="str">
        <f>IF(kokpit!O96&lt;&gt;"",kokpit!O96,"")</f>
        <v/>
      </c>
      <c r="P96" s="141" t="str">
        <f>IF(M96&lt;&gt;"",IF(O96="",SUMIFS('JPK_KR-1'!AL:AL,'JPK_KR-1'!W:W,N96),SUMIFS('JPK_KR-1'!BF:BF,'JPK_KR-1'!BE:BE,N96,'JPK_KR-1'!BG:BG,O96)),"")</f>
        <v/>
      </c>
      <c r="Q96" s="144" t="str">
        <f>IF(M96&lt;&gt;"",IF(O96="",SUMIFS('JPK_KR-1'!AM:AM,'JPK_KR-1'!W:W,N96),SUMIFS('JPK_KR-1'!BI:BI,'JPK_KR-1'!BH:BH,N96,'JPK_KR-1'!BJ:BJ,O96)),"")</f>
        <v/>
      </c>
      <c r="R96" s="117" t="str">
        <f>IF(kokpit!R96&lt;&gt;"",kokpit!R96,"")</f>
        <v/>
      </c>
      <c r="S96" s="117" t="str">
        <f>IF(kokpit!S96&lt;&gt;"",kokpit!S96,"")</f>
        <v/>
      </c>
      <c r="T96" s="117" t="str">
        <f>IF(kokpit!T96&lt;&gt;"",kokpit!T96,"")</f>
        <v/>
      </c>
      <c r="U96" s="141" t="str">
        <f>IF(R96&lt;&gt;"",SUMIFS('JPK_KR-1'!AL:AL,'JPK_KR-1'!W:W,S96),"")</f>
        <v/>
      </c>
      <c r="V96" s="144" t="str">
        <f>IF(R96&lt;&gt;"",SUMIFS('JPK_KR-1'!AM:AM,'JPK_KR-1'!W:W,S96),"")</f>
        <v/>
      </c>
    </row>
    <row r="97" spans="1:22" x14ac:dyDescent="0.3">
      <c r="A97" s="5" t="str">
        <f>IF(kokpit!A97&lt;&gt;"",kokpit!A97,"")</f>
        <v/>
      </c>
      <c r="B97" s="5" t="str">
        <f>IF(kokpit!B97&lt;&gt;"",kokpit!B97,"")</f>
        <v/>
      </c>
      <c r="C97" s="24" t="str">
        <f>IF(A97&lt;&gt;"",SUMIFS('JPK_KR-1'!AL:AL,'JPK_KR-1'!W:W,B97),"")</f>
        <v/>
      </c>
      <c r="D97" s="126" t="str">
        <f>IF(A97&lt;&gt;"",SUMIFS('JPK_KR-1'!AM:AM,'JPK_KR-1'!W:W,B97),"")</f>
        <v/>
      </c>
      <c r="E97" s="5" t="str">
        <f>IF(kokpit!E97&lt;&gt;"",kokpit!E97,"")</f>
        <v/>
      </c>
      <c r="F97" s="127" t="str">
        <f>IF(kokpit!F97&lt;&gt;"",kokpit!F97,"")</f>
        <v/>
      </c>
      <c r="G97" s="24" t="str">
        <f>IF(E97&lt;&gt;"",SUMIFS('JPK_KR-1'!AL:AL,'JPK_KR-1'!W:W,F97),"")</f>
        <v/>
      </c>
      <c r="H97" s="126" t="str">
        <f>IF(E97&lt;&gt;"",SUMIFS('JPK_KR-1'!AM:AM,'JPK_KR-1'!W:W,F97),"")</f>
        <v/>
      </c>
      <c r="I97" s="5" t="str">
        <f>IF(kokpit!I97&lt;&gt;"",kokpit!I97,"")</f>
        <v/>
      </c>
      <c r="J97" s="5" t="str">
        <f>IF(kokpit!J97&lt;&gt;"",kokpit!J97,"")</f>
        <v/>
      </c>
      <c r="K97" s="24" t="str">
        <f>IF(I97&lt;&gt;"",SUMIFS('JPK_KR-1'!AL:AL,'JPK_KR-1'!W:W,J97),"")</f>
        <v/>
      </c>
      <c r="L97" s="141" t="str">
        <f>IF(I97&lt;&gt;"",SUMIFS('JPK_KR-1'!AM:AM,'JPK_KR-1'!W:W,J97),"")</f>
        <v/>
      </c>
      <c r="M97" s="143" t="str">
        <f>IF(kokpit!M97&lt;&gt;"",kokpit!M97,"")</f>
        <v/>
      </c>
      <c r="N97" s="117" t="str">
        <f>IF(kokpit!N97&lt;&gt;"",kokpit!N97,"")</f>
        <v/>
      </c>
      <c r="O97" s="117" t="str">
        <f>IF(kokpit!O97&lt;&gt;"",kokpit!O97,"")</f>
        <v/>
      </c>
      <c r="P97" s="141" t="str">
        <f>IF(M97&lt;&gt;"",IF(O97="",SUMIFS('JPK_KR-1'!AL:AL,'JPK_KR-1'!W:W,N97),SUMIFS('JPK_KR-1'!BF:BF,'JPK_KR-1'!BE:BE,N97,'JPK_KR-1'!BG:BG,O97)),"")</f>
        <v/>
      </c>
      <c r="Q97" s="144" t="str">
        <f>IF(M97&lt;&gt;"",IF(O97="",SUMIFS('JPK_KR-1'!AM:AM,'JPK_KR-1'!W:W,N97),SUMIFS('JPK_KR-1'!BI:BI,'JPK_KR-1'!BH:BH,N97,'JPK_KR-1'!BJ:BJ,O97)),"")</f>
        <v/>
      </c>
      <c r="R97" s="117" t="str">
        <f>IF(kokpit!R97&lt;&gt;"",kokpit!R97,"")</f>
        <v/>
      </c>
      <c r="S97" s="117" t="str">
        <f>IF(kokpit!S97&lt;&gt;"",kokpit!S97,"")</f>
        <v/>
      </c>
      <c r="T97" s="117" t="str">
        <f>IF(kokpit!T97&lt;&gt;"",kokpit!T97,"")</f>
        <v/>
      </c>
      <c r="U97" s="141" t="str">
        <f>IF(R97&lt;&gt;"",SUMIFS('JPK_KR-1'!AL:AL,'JPK_KR-1'!W:W,S97),"")</f>
        <v/>
      </c>
      <c r="V97" s="144" t="str">
        <f>IF(R97&lt;&gt;"",SUMIFS('JPK_KR-1'!AM:AM,'JPK_KR-1'!W:W,S97),"")</f>
        <v/>
      </c>
    </row>
    <row r="98" spans="1:22" x14ac:dyDescent="0.3">
      <c r="A98" s="5" t="str">
        <f>IF(kokpit!A98&lt;&gt;"",kokpit!A98,"")</f>
        <v/>
      </c>
      <c r="B98" s="5" t="str">
        <f>IF(kokpit!B98&lt;&gt;"",kokpit!B98,"")</f>
        <v/>
      </c>
      <c r="C98" s="24" t="str">
        <f>IF(A98&lt;&gt;"",SUMIFS('JPK_KR-1'!AL:AL,'JPK_KR-1'!W:W,B98),"")</f>
        <v/>
      </c>
      <c r="D98" s="126" t="str">
        <f>IF(A98&lt;&gt;"",SUMIFS('JPK_KR-1'!AM:AM,'JPK_KR-1'!W:W,B98),"")</f>
        <v/>
      </c>
      <c r="E98" s="5" t="str">
        <f>IF(kokpit!E98&lt;&gt;"",kokpit!E98,"")</f>
        <v/>
      </c>
      <c r="F98" s="127" t="str">
        <f>IF(kokpit!F98&lt;&gt;"",kokpit!F98,"")</f>
        <v/>
      </c>
      <c r="G98" s="24" t="str">
        <f>IF(E98&lt;&gt;"",SUMIFS('JPK_KR-1'!AL:AL,'JPK_KR-1'!W:W,F98),"")</f>
        <v/>
      </c>
      <c r="H98" s="126" t="str">
        <f>IF(E98&lt;&gt;"",SUMIFS('JPK_KR-1'!AM:AM,'JPK_KR-1'!W:W,F98),"")</f>
        <v/>
      </c>
      <c r="I98" s="5" t="str">
        <f>IF(kokpit!I98&lt;&gt;"",kokpit!I98,"")</f>
        <v/>
      </c>
      <c r="J98" s="5" t="str">
        <f>IF(kokpit!J98&lt;&gt;"",kokpit!J98,"")</f>
        <v/>
      </c>
      <c r="K98" s="24" t="str">
        <f>IF(I98&lt;&gt;"",SUMIFS('JPK_KR-1'!AL:AL,'JPK_KR-1'!W:W,J98),"")</f>
        <v/>
      </c>
      <c r="L98" s="141" t="str">
        <f>IF(I98&lt;&gt;"",SUMIFS('JPK_KR-1'!AM:AM,'JPK_KR-1'!W:W,J98),"")</f>
        <v/>
      </c>
      <c r="M98" s="143" t="str">
        <f>IF(kokpit!M98&lt;&gt;"",kokpit!M98,"")</f>
        <v/>
      </c>
      <c r="N98" s="117" t="str">
        <f>IF(kokpit!N98&lt;&gt;"",kokpit!N98,"")</f>
        <v/>
      </c>
      <c r="O98" s="117" t="str">
        <f>IF(kokpit!O98&lt;&gt;"",kokpit!O98,"")</f>
        <v/>
      </c>
      <c r="P98" s="141" t="str">
        <f>IF(M98&lt;&gt;"",IF(O98="",SUMIFS('JPK_KR-1'!AL:AL,'JPK_KR-1'!W:W,N98),SUMIFS('JPK_KR-1'!BF:BF,'JPK_KR-1'!BE:BE,N98,'JPK_KR-1'!BG:BG,O98)),"")</f>
        <v/>
      </c>
      <c r="Q98" s="144" t="str">
        <f>IF(M98&lt;&gt;"",IF(O98="",SUMIFS('JPK_KR-1'!AM:AM,'JPK_KR-1'!W:W,N98),SUMIFS('JPK_KR-1'!BI:BI,'JPK_KR-1'!BH:BH,N98,'JPK_KR-1'!BJ:BJ,O98)),"")</f>
        <v/>
      </c>
      <c r="R98" s="117" t="str">
        <f>IF(kokpit!R98&lt;&gt;"",kokpit!R98,"")</f>
        <v/>
      </c>
      <c r="S98" s="117" t="str">
        <f>IF(kokpit!S98&lt;&gt;"",kokpit!S98,"")</f>
        <v/>
      </c>
      <c r="T98" s="117" t="str">
        <f>IF(kokpit!T98&lt;&gt;"",kokpit!T98,"")</f>
        <v/>
      </c>
      <c r="U98" s="141" t="str">
        <f>IF(R98&lt;&gt;"",SUMIFS('JPK_KR-1'!AL:AL,'JPK_KR-1'!W:W,S98),"")</f>
        <v/>
      </c>
      <c r="V98" s="144" t="str">
        <f>IF(R98&lt;&gt;"",SUMIFS('JPK_KR-1'!AM:AM,'JPK_KR-1'!W:W,S98),"")</f>
        <v/>
      </c>
    </row>
    <row r="99" spans="1:22" x14ac:dyDescent="0.3">
      <c r="A99" s="5" t="str">
        <f>IF(kokpit!A99&lt;&gt;"",kokpit!A99,"")</f>
        <v/>
      </c>
      <c r="B99" s="5" t="str">
        <f>IF(kokpit!B99&lt;&gt;"",kokpit!B99,"")</f>
        <v/>
      </c>
      <c r="C99" s="24" t="str">
        <f>IF(A99&lt;&gt;"",SUMIFS('JPK_KR-1'!AL:AL,'JPK_KR-1'!W:W,B99),"")</f>
        <v/>
      </c>
      <c r="D99" s="126" t="str">
        <f>IF(A99&lt;&gt;"",SUMIFS('JPK_KR-1'!AM:AM,'JPK_KR-1'!W:W,B99),"")</f>
        <v/>
      </c>
      <c r="E99" s="5" t="str">
        <f>IF(kokpit!E99&lt;&gt;"",kokpit!E99,"")</f>
        <v/>
      </c>
      <c r="F99" s="127" t="str">
        <f>IF(kokpit!F99&lt;&gt;"",kokpit!F99,"")</f>
        <v/>
      </c>
      <c r="G99" s="24" t="str">
        <f>IF(E99&lt;&gt;"",SUMIFS('JPK_KR-1'!AL:AL,'JPK_KR-1'!W:W,F99),"")</f>
        <v/>
      </c>
      <c r="H99" s="126" t="str">
        <f>IF(E99&lt;&gt;"",SUMIFS('JPK_KR-1'!AM:AM,'JPK_KR-1'!W:W,F99),"")</f>
        <v/>
      </c>
      <c r="I99" s="5" t="str">
        <f>IF(kokpit!I99&lt;&gt;"",kokpit!I99,"")</f>
        <v/>
      </c>
      <c r="J99" s="5" t="str">
        <f>IF(kokpit!J99&lt;&gt;"",kokpit!J99,"")</f>
        <v/>
      </c>
      <c r="K99" s="24" t="str">
        <f>IF(I99&lt;&gt;"",SUMIFS('JPK_KR-1'!AL:AL,'JPK_KR-1'!W:W,J99),"")</f>
        <v/>
      </c>
      <c r="L99" s="141" t="str">
        <f>IF(I99&lt;&gt;"",SUMIFS('JPK_KR-1'!AM:AM,'JPK_KR-1'!W:W,J99),"")</f>
        <v/>
      </c>
      <c r="M99" s="143" t="str">
        <f>IF(kokpit!M99&lt;&gt;"",kokpit!M99,"")</f>
        <v/>
      </c>
      <c r="N99" s="117" t="str">
        <f>IF(kokpit!N99&lt;&gt;"",kokpit!N99,"")</f>
        <v/>
      </c>
      <c r="O99" s="117" t="str">
        <f>IF(kokpit!O99&lt;&gt;"",kokpit!O99,"")</f>
        <v/>
      </c>
      <c r="P99" s="141" t="str">
        <f>IF(M99&lt;&gt;"",IF(O99="",SUMIFS('JPK_KR-1'!AL:AL,'JPK_KR-1'!W:W,N99),SUMIFS('JPK_KR-1'!BF:BF,'JPK_KR-1'!BE:BE,N99,'JPK_KR-1'!BG:BG,O99)),"")</f>
        <v/>
      </c>
      <c r="Q99" s="144" t="str">
        <f>IF(M99&lt;&gt;"",IF(O99="",SUMIFS('JPK_KR-1'!AM:AM,'JPK_KR-1'!W:W,N99),SUMIFS('JPK_KR-1'!BI:BI,'JPK_KR-1'!BH:BH,N99,'JPK_KR-1'!BJ:BJ,O99)),"")</f>
        <v/>
      </c>
      <c r="R99" s="117" t="str">
        <f>IF(kokpit!R99&lt;&gt;"",kokpit!R99,"")</f>
        <v/>
      </c>
      <c r="S99" s="117" t="str">
        <f>IF(kokpit!S99&lt;&gt;"",kokpit!S99,"")</f>
        <v/>
      </c>
      <c r="T99" s="117" t="str">
        <f>IF(kokpit!T99&lt;&gt;"",kokpit!T99,"")</f>
        <v/>
      </c>
      <c r="U99" s="141" t="str">
        <f>IF(R99&lt;&gt;"",SUMIFS('JPK_KR-1'!AL:AL,'JPK_KR-1'!W:W,S99),"")</f>
        <v/>
      </c>
      <c r="V99" s="144" t="str">
        <f>IF(R99&lt;&gt;"",SUMIFS('JPK_KR-1'!AM:AM,'JPK_KR-1'!W:W,S99),"")</f>
        <v/>
      </c>
    </row>
    <row r="100" spans="1:22" x14ac:dyDescent="0.3">
      <c r="A100" s="5" t="str">
        <f>IF(kokpit!A100&lt;&gt;"",kokpit!A100,"")</f>
        <v/>
      </c>
      <c r="B100" s="5" t="str">
        <f>IF(kokpit!B100&lt;&gt;"",kokpit!B100,"")</f>
        <v/>
      </c>
      <c r="C100" s="24" t="str">
        <f>IF(A100&lt;&gt;"",SUMIFS('JPK_KR-1'!AL:AL,'JPK_KR-1'!W:W,B100),"")</f>
        <v/>
      </c>
      <c r="D100" s="126" t="str">
        <f>IF(A100&lt;&gt;"",SUMIFS('JPK_KR-1'!AM:AM,'JPK_KR-1'!W:W,B100),"")</f>
        <v/>
      </c>
      <c r="E100" s="5" t="str">
        <f>IF(kokpit!E100&lt;&gt;"",kokpit!E100,"")</f>
        <v/>
      </c>
      <c r="F100" s="127" t="str">
        <f>IF(kokpit!F100&lt;&gt;"",kokpit!F100,"")</f>
        <v/>
      </c>
      <c r="G100" s="24" t="str">
        <f>IF(E100&lt;&gt;"",SUMIFS('JPK_KR-1'!AL:AL,'JPK_KR-1'!W:W,F100),"")</f>
        <v/>
      </c>
      <c r="H100" s="126" t="str">
        <f>IF(E100&lt;&gt;"",SUMIFS('JPK_KR-1'!AM:AM,'JPK_KR-1'!W:W,F100),"")</f>
        <v/>
      </c>
      <c r="I100" s="5" t="str">
        <f>IF(kokpit!I100&lt;&gt;"",kokpit!I100,"")</f>
        <v/>
      </c>
      <c r="J100" s="5" t="str">
        <f>IF(kokpit!J100&lt;&gt;"",kokpit!J100,"")</f>
        <v/>
      </c>
      <c r="K100" s="24" t="str">
        <f>IF(I100&lt;&gt;"",SUMIFS('JPK_KR-1'!AL:AL,'JPK_KR-1'!W:W,J100),"")</f>
        <v/>
      </c>
      <c r="L100" s="141" t="str">
        <f>IF(I100&lt;&gt;"",SUMIFS('JPK_KR-1'!AM:AM,'JPK_KR-1'!W:W,J100),"")</f>
        <v/>
      </c>
      <c r="M100" s="143" t="str">
        <f>IF(kokpit!M100&lt;&gt;"",kokpit!M100,"")</f>
        <v/>
      </c>
      <c r="N100" s="117" t="str">
        <f>IF(kokpit!N100&lt;&gt;"",kokpit!N100,"")</f>
        <v/>
      </c>
      <c r="O100" s="117" t="str">
        <f>IF(kokpit!O100&lt;&gt;"",kokpit!O100,"")</f>
        <v/>
      </c>
      <c r="P100" s="141" t="str">
        <f>IF(M100&lt;&gt;"",IF(O100="",SUMIFS('JPK_KR-1'!AL:AL,'JPK_KR-1'!W:W,N100),SUMIFS('JPK_KR-1'!BF:BF,'JPK_KR-1'!BE:BE,N100,'JPK_KR-1'!BG:BG,O100)),"")</f>
        <v/>
      </c>
      <c r="Q100" s="144" t="str">
        <f>IF(M100&lt;&gt;"",IF(O100="",SUMIFS('JPK_KR-1'!AM:AM,'JPK_KR-1'!W:W,N100),SUMIFS('JPK_KR-1'!BI:BI,'JPK_KR-1'!BH:BH,N100,'JPK_KR-1'!BJ:BJ,O100)),"")</f>
        <v/>
      </c>
      <c r="R100" s="117" t="str">
        <f>IF(kokpit!R100&lt;&gt;"",kokpit!R100,"")</f>
        <v/>
      </c>
      <c r="S100" s="117" t="str">
        <f>IF(kokpit!S100&lt;&gt;"",kokpit!S100,"")</f>
        <v/>
      </c>
      <c r="T100" s="117" t="str">
        <f>IF(kokpit!T100&lt;&gt;"",kokpit!T100,"")</f>
        <v/>
      </c>
      <c r="U100" s="141" t="str">
        <f>IF(R100&lt;&gt;"",SUMIFS('JPK_KR-1'!AL:AL,'JPK_KR-1'!W:W,S100),"")</f>
        <v/>
      </c>
      <c r="V100" s="144" t="str">
        <f>IF(R100&lt;&gt;"",SUMIFS('JPK_KR-1'!AM:AM,'JPK_KR-1'!W:W,S100),"")</f>
        <v/>
      </c>
    </row>
    <row r="101" spans="1:22" x14ac:dyDescent="0.3">
      <c r="A101" s="5" t="str">
        <f>IF(kokpit!A101&lt;&gt;"",kokpit!A101,"")</f>
        <v/>
      </c>
      <c r="B101" s="5" t="str">
        <f>IF(kokpit!B101&lt;&gt;"",kokpit!B101,"")</f>
        <v/>
      </c>
      <c r="C101" s="24" t="str">
        <f>IF(A101&lt;&gt;"",SUMIFS('JPK_KR-1'!AL:AL,'JPK_KR-1'!W:W,B101),"")</f>
        <v/>
      </c>
      <c r="D101" s="126" t="str">
        <f>IF(A101&lt;&gt;"",SUMIFS('JPK_KR-1'!AM:AM,'JPK_KR-1'!W:W,B101),"")</f>
        <v/>
      </c>
      <c r="E101" s="5" t="str">
        <f>IF(kokpit!E101&lt;&gt;"",kokpit!E101,"")</f>
        <v/>
      </c>
      <c r="F101" s="127" t="str">
        <f>IF(kokpit!F101&lt;&gt;"",kokpit!F101,"")</f>
        <v/>
      </c>
      <c r="G101" s="24" t="str">
        <f>IF(E101&lt;&gt;"",SUMIFS('JPK_KR-1'!AL:AL,'JPK_KR-1'!W:W,F101),"")</f>
        <v/>
      </c>
      <c r="H101" s="126" t="str">
        <f>IF(E101&lt;&gt;"",SUMIFS('JPK_KR-1'!AM:AM,'JPK_KR-1'!W:W,F101),"")</f>
        <v/>
      </c>
      <c r="I101" s="5" t="str">
        <f>IF(kokpit!I101&lt;&gt;"",kokpit!I101,"")</f>
        <v/>
      </c>
      <c r="J101" s="5" t="str">
        <f>IF(kokpit!J101&lt;&gt;"",kokpit!J101,"")</f>
        <v/>
      </c>
      <c r="K101" s="24" t="str">
        <f>IF(I101&lt;&gt;"",SUMIFS('JPK_KR-1'!AL:AL,'JPK_KR-1'!W:W,J101),"")</f>
        <v/>
      </c>
      <c r="L101" s="141" t="str">
        <f>IF(I101&lt;&gt;"",SUMIFS('JPK_KR-1'!AM:AM,'JPK_KR-1'!W:W,J101),"")</f>
        <v/>
      </c>
      <c r="M101" s="143" t="str">
        <f>IF(kokpit!M101&lt;&gt;"",kokpit!M101,"")</f>
        <v/>
      </c>
      <c r="N101" s="117" t="str">
        <f>IF(kokpit!N101&lt;&gt;"",kokpit!N101,"")</f>
        <v/>
      </c>
      <c r="O101" s="117" t="str">
        <f>IF(kokpit!O101&lt;&gt;"",kokpit!O101,"")</f>
        <v/>
      </c>
      <c r="P101" s="141" t="str">
        <f>IF(M101&lt;&gt;"",IF(O101="",SUMIFS('JPK_KR-1'!AL:AL,'JPK_KR-1'!W:W,N101),SUMIFS('JPK_KR-1'!BF:BF,'JPK_KR-1'!BE:BE,N101,'JPK_KR-1'!BG:BG,O101)),"")</f>
        <v/>
      </c>
      <c r="Q101" s="144" t="str">
        <f>IF(M101&lt;&gt;"",IF(O101="",SUMIFS('JPK_KR-1'!AM:AM,'JPK_KR-1'!W:W,N101),SUMIFS('JPK_KR-1'!BI:BI,'JPK_KR-1'!BH:BH,N101,'JPK_KR-1'!BJ:BJ,O101)),"")</f>
        <v/>
      </c>
      <c r="R101" s="117" t="str">
        <f>IF(kokpit!R101&lt;&gt;"",kokpit!R101,"")</f>
        <v/>
      </c>
      <c r="S101" s="117" t="str">
        <f>IF(kokpit!S101&lt;&gt;"",kokpit!S101,"")</f>
        <v/>
      </c>
      <c r="T101" s="117" t="str">
        <f>IF(kokpit!T101&lt;&gt;"",kokpit!T101,"")</f>
        <v/>
      </c>
      <c r="U101" s="141" t="str">
        <f>IF(R101&lt;&gt;"",SUMIFS('JPK_KR-1'!AL:AL,'JPK_KR-1'!W:W,S101),"")</f>
        <v/>
      </c>
      <c r="V101" s="144" t="str">
        <f>IF(R101&lt;&gt;"",SUMIFS('JPK_KR-1'!AM:AM,'JPK_KR-1'!W:W,S101),"")</f>
        <v/>
      </c>
    </row>
    <row r="102" spans="1:22" x14ac:dyDescent="0.3">
      <c r="A102" s="5" t="str">
        <f>IF(kokpit!A102&lt;&gt;"",kokpit!A102,"")</f>
        <v/>
      </c>
      <c r="B102" s="5" t="str">
        <f>IF(kokpit!B102&lt;&gt;"",kokpit!B102,"")</f>
        <v/>
      </c>
      <c r="C102" s="24" t="str">
        <f>IF(A102&lt;&gt;"",SUMIFS('JPK_KR-1'!AL:AL,'JPK_KR-1'!W:W,B102),"")</f>
        <v/>
      </c>
      <c r="D102" s="126" t="str">
        <f>IF(A102&lt;&gt;"",SUMIFS('JPK_KR-1'!AM:AM,'JPK_KR-1'!W:W,B102),"")</f>
        <v/>
      </c>
      <c r="E102" s="5" t="str">
        <f>IF(kokpit!E102&lt;&gt;"",kokpit!E102,"")</f>
        <v/>
      </c>
      <c r="F102" s="127" t="str">
        <f>IF(kokpit!F102&lt;&gt;"",kokpit!F102,"")</f>
        <v/>
      </c>
      <c r="G102" s="24" t="str">
        <f>IF(E102&lt;&gt;"",SUMIFS('JPK_KR-1'!AL:AL,'JPK_KR-1'!W:W,F102),"")</f>
        <v/>
      </c>
      <c r="H102" s="126" t="str">
        <f>IF(E102&lt;&gt;"",SUMIFS('JPK_KR-1'!AM:AM,'JPK_KR-1'!W:W,F102),"")</f>
        <v/>
      </c>
      <c r="I102" s="5" t="str">
        <f>IF(kokpit!I102&lt;&gt;"",kokpit!I102,"")</f>
        <v/>
      </c>
      <c r="J102" s="5" t="str">
        <f>IF(kokpit!J102&lt;&gt;"",kokpit!J102,"")</f>
        <v/>
      </c>
      <c r="K102" s="24" t="str">
        <f>IF(I102&lt;&gt;"",SUMIFS('JPK_KR-1'!AL:AL,'JPK_KR-1'!W:W,J102),"")</f>
        <v/>
      </c>
      <c r="L102" s="141" t="str">
        <f>IF(I102&lt;&gt;"",SUMIFS('JPK_KR-1'!AM:AM,'JPK_KR-1'!W:W,J102),"")</f>
        <v/>
      </c>
      <c r="M102" s="143" t="str">
        <f>IF(kokpit!M102&lt;&gt;"",kokpit!M102,"")</f>
        <v/>
      </c>
      <c r="N102" s="117" t="str">
        <f>IF(kokpit!N102&lt;&gt;"",kokpit!N102,"")</f>
        <v/>
      </c>
      <c r="O102" s="117" t="str">
        <f>IF(kokpit!O102&lt;&gt;"",kokpit!O102,"")</f>
        <v/>
      </c>
      <c r="P102" s="141" t="str">
        <f>IF(M102&lt;&gt;"",IF(O102="",SUMIFS('JPK_KR-1'!AL:AL,'JPK_KR-1'!W:W,N102),SUMIFS('JPK_KR-1'!BF:BF,'JPK_KR-1'!BE:BE,N102,'JPK_KR-1'!BG:BG,O102)),"")</f>
        <v/>
      </c>
      <c r="Q102" s="144" t="str">
        <f>IF(M102&lt;&gt;"",IF(O102="",SUMIFS('JPK_KR-1'!AM:AM,'JPK_KR-1'!W:W,N102),SUMIFS('JPK_KR-1'!BI:BI,'JPK_KR-1'!BH:BH,N102,'JPK_KR-1'!BJ:BJ,O102)),"")</f>
        <v/>
      </c>
      <c r="R102" s="117" t="str">
        <f>IF(kokpit!R102&lt;&gt;"",kokpit!R102,"")</f>
        <v/>
      </c>
      <c r="S102" s="117" t="str">
        <f>IF(kokpit!S102&lt;&gt;"",kokpit!S102,"")</f>
        <v/>
      </c>
      <c r="T102" s="117" t="str">
        <f>IF(kokpit!T102&lt;&gt;"",kokpit!T102,"")</f>
        <v/>
      </c>
      <c r="U102" s="141" t="str">
        <f>IF(R102&lt;&gt;"",SUMIFS('JPK_KR-1'!AL:AL,'JPK_KR-1'!W:W,S102),"")</f>
        <v/>
      </c>
      <c r="V102" s="144" t="str">
        <f>IF(R102&lt;&gt;"",SUMIFS('JPK_KR-1'!AM:AM,'JPK_KR-1'!W:W,S102),"")</f>
        <v/>
      </c>
    </row>
    <row r="103" spans="1:22" x14ac:dyDescent="0.3">
      <c r="A103" s="5" t="str">
        <f>IF(kokpit!A103&lt;&gt;"",kokpit!A103,"")</f>
        <v/>
      </c>
      <c r="B103" s="5" t="str">
        <f>IF(kokpit!B103&lt;&gt;"",kokpit!B103,"")</f>
        <v/>
      </c>
      <c r="C103" s="24" t="str">
        <f>IF(A103&lt;&gt;"",SUMIFS('JPK_KR-1'!AL:AL,'JPK_KR-1'!W:W,B103),"")</f>
        <v/>
      </c>
      <c r="D103" s="126" t="str">
        <f>IF(A103&lt;&gt;"",SUMIFS('JPK_KR-1'!AM:AM,'JPK_KR-1'!W:W,B103),"")</f>
        <v/>
      </c>
      <c r="E103" s="5" t="str">
        <f>IF(kokpit!E103&lt;&gt;"",kokpit!E103,"")</f>
        <v/>
      </c>
      <c r="F103" s="127" t="str">
        <f>IF(kokpit!F103&lt;&gt;"",kokpit!F103,"")</f>
        <v/>
      </c>
      <c r="G103" s="24" t="str">
        <f>IF(E103&lt;&gt;"",SUMIFS('JPK_KR-1'!AL:AL,'JPK_KR-1'!W:W,F103),"")</f>
        <v/>
      </c>
      <c r="H103" s="126" t="str">
        <f>IF(E103&lt;&gt;"",SUMIFS('JPK_KR-1'!AM:AM,'JPK_KR-1'!W:W,F103),"")</f>
        <v/>
      </c>
      <c r="I103" s="5" t="str">
        <f>IF(kokpit!I103&lt;&gt;"",kokpit!I103,"")</f>
        <v/>
      </c>
      <c r="J103" s="5" t="str">
        <f>IF(kokpit!J103&lt;&gt;"",kokpit!J103,"")</f>
        <v/>
      </c>
      <c r="K103" s="24" t="str">
        <f>IF(I103&lt;&gt;"",SUMIFS('JPK_KR-1'!AL:AL,'JPK_KR-1'!W:W,J103),"")</f>
        <v/>
      </c>
      <c r="L103" s="141" t="str">
        <f>IF(I103&lt;&gt;"",SUMIFS('JPK_KR-1'!AM:AM,'JPK_KR-1'!W:W,J103),"")</f>
        <v/>
      </c>
      <c r="M103" s="143" t="str">
        <f>IF(kokpit!M103&lt;&gt;"",kokpit!M103,"")</f>
        <v/>
      </c>
      <c r="N103" s="117" t="str">
        <f>IF(kokpit!N103&lt;&gt;"",kokpit!N103,"")</f>
        <v/>
      </c>
      <c r="O103" s="117" t="str">
        <f>IF(kokpit!O103&lt;&gt;"",kokpit!O103,"")</f>
        <v/>
      </c>
      <c r="P103" s="141" t="str">
        <f>IF(M103&lt;&gt;"",IF(O103="",SUMIFS('JPK_KR-1'!AL:AL,'JPK_KR-1'!W:W,N103),SUMIFS('JPK_KR-1'!BF:BF,'JPK_KR-1'!BE:BE,N103,'JPK_KR-1'!BG:BG,O103)),"")</f>
        <v/>
      </c>
      <c r="Q103" s="144" t="str">
        <f>IF(M103&lt;&gt;"",IF(O103="",SUMIFS('JPK_KR-1'!AM:AM,'JPK_KR-1'!W:W,N103),SUMIFS('JPK_KR-1'!BI:BI,'JPK_KR-1'!BH:BH,N103,'JPK_KR-1'!BJ:BJ,O103)),"")</f>
        <v/>
      </c>
      <c r="R103" s="117" t="str">
        <f>IF(kokpit!R103&lt;&gt;"",kokpit!R103,"")</f>
        <v/>
      </c>
      <c r="S103" s="117" t="str">
        <f>IF(kokpit!S103&lt;&gt;"",kokpit!S103,"")</f>
        <v/>
      </c>
      <c r="T103" s="117" t="str">
        <f>IF(kokpit!T103&lt;&gt;"",kokpit!T103,"")</f>
        <v/>
      </c>
      <c r="U103" s="141" t="str">
        <f>IF(R103&lt;&gt;"",SUMIFS('JPK_KR-1'!AL:AL,'JPK_KR-1'!W:W,S103),"")</f>
        <v/>
      </c>
      <c r="V103" s="144" t="str">
        <f>IF(R103&lt;&gt;"",SUMIFS('JPK_KR-1'!AM:AM,'JPK_KR-1'!W:W,S103),"")</f>
        <v/>
      </c>
    </row>
    <row r="104" spans="1:22" x14ac:dyDescent="0.3">
      <c r="A104" s="5" t="str">
        <f>IF(kokpit!A104&lt;&gt;"",kokpit!A104,"")</f>
        <v/>
      </c>
      <c r="B104" s="5" t="str">
        <f>IF(kokpit!B104&lt;&gt;"",kokpit!B104,"")</f>
        <v/>
      </c>
      <c r="C104" s="24" t="str">
        <f>IF(A104&lt;&gt;"",SUMIFS('JPK_KR-1'!AL:AL,'JPK_KR-1'!W:W,B104),"")</f>
        <v/>
      </c>
      <c r="D104" s="126" t="str">
        <f>IF(A104&lt;&gt;"",SUMIFS('JPK_KR-1'!AM:AM,'JPK_KR-1'!W:W,B104),"")</f>
        <v/>
      </c>
      <c r="E104" s="5" t="str">
        <f>IF(kokpit!E104&lt;&gt;"",kokpit!E104,"")</f>
        <v/>
      </c>
      <c r="F104" s="127" t="str">
        <f>IF(kokpit!F104&lt;&gt;"",kokpit!F104,"")</f>
        <v/>
      </c>
      <c r="G104" s="24" t="str">
        <f>IF(E104&lt;&gt;"",SUMIFS('JPK_KR-1'!AL:AL,'JPK_KR-1'!W:W,F104),"")</f>
        <v/>
      </c>
      <c r="H104" s="126" t="str">
        <f>IF(E104&lt;&gt;"",SUMIFS('JPK_KR-1'!AM:AM,'JPK_KR-1'!W:W,F104),"")</f>
        <v/>
      </c>
      <c r="I104" s="5" t="str">
        <f>IF(kokpit!I104&lt;&gt;"",kokpit!I104,"")</f>
        <v/>
      </c>
      <c r="J104" s="5" t="str">
        <f>IF(kokpit!J104&lt;&gt;"",kokpit!J104,"")</f>
        <v/>
      </c>
      <c r="K104" s="24" t="str">
        <f>IF(I104&lt;&gt;"",SUMIFS('JPK_KR-1'!AL:AL,'JPK_KR-1'!W:W,J104),"")</f>
        <v/>
      </c>
      <c r="L104" s="141" t="str">
        <f>IF(I104&lt;&gt;"",SUMIFS('JPK_KR-1'!AM:AM,'JPK_KR-1'!W:W,J104),"")</f>
        <v/>
      </c>
      <c r="M104" s="143" t="str">
        <f>IF(kokpit!M104&lt;&gt;"",kokpit!M104,"")</f>
        <v/>
      </c>
      <c r="N104" s="117" t="str">
        <f>IF(kokpit!N104&lt;&gt;"",kokpit!N104,"")</f>
        <v/>
      </c>
      <c r="O104" s="117" t="str">
        <f>IF(kokpit!O104&lt;&gt;"",kokpit!O104,"")</f>
        <v/>
      </c>
      <c r="P104" s="141" t="str">
        <f>IF(M104&lt;&gt;"",IF(O104="",SUMIFS('JPK_KR-1'!AL:AL,'JPK_KR-1'!W:W,N104),SUMIFS('JPK_KR-1'!BF:BF,'JPK_KR-1'!BE:BE,N104,'JPK_KR-1'!BG:BG,O104)),"")</f>
        <v/>
      </c>
      <c r="Q104" s="144" t="str">
        <f>IF(M104&lt;&gt;"",IF(O104="",SUMIFS('JPK_KR-1'!AM:AM,'JPK_KR-1'!W:W,N104),SUMIFS('JPK_KR-1'!BI:BI,'JPK_KR-1'!BH:BH,N104,'JPK_KR-1'!BJ:BJ,O104)),"")</f>
        <v/>
      </c>
      <c r="R104" s="117" t="str">
        <f>IF(kokpit!R104&lt;&gt;"",kokpit!R104,"")</f>
        <v/>
      </c>
      <c r="S104" s="117" t="str">
        <f>IF(kokpit!S104&lt;&gt;"",kokpit!S104,"")</f>
        <v/>
      </c>
      <c r="T104" s="117" t="str">
        <f>IF(kokpit!T104&lt;&gt;"",kokpit!T104,"")</f>
        <v/>
      </c>
      <c r="U104" s="141" t="str">
        <f>IF(R104&lt;&gt;"",SUMIFS('JPK_KR-1'!AL:AL,'JPK_KR-1'!W:W,S104),"")</f>
        <v/>
      </c>
      <c r="V104" s="144" t="str">
        <f>IF(R104&lt;&gt;"",SUMIFS('JPK_KR-1'!AM:AM,'JPK_KR-1'!W:W,S104),"")</f>
        <v/>
      </c>
    </row>
    <row r="105" spans="1:22" x14ac:dyDescent="0.3">
      <c r="A105" s="5" t="str">
        <f>IF(kokpit!A105&lt;&gt;"",kokpit!A105,"")</f>
        <v/>
      </c>
      <c r="B105" s="5" t="str">
        <f>IF(kokpit!B105&lt;&gt;"",kokpit!B105,"")</f>
        <v/>
      </c>
      <c r="C105" s="24" t="str">
        <f>IF(A105&lt;&gt;"",SUMIFS('JPK_KR-1'!AL:AL,'JPK_KR-1'!W:W,B105),"")</f>
        <v/>
      </c>
      <c r="D105" s="126" t="str">
        <f>IF(A105&lt;&gt;"",SUMIFS('JPK_KR-1'!AM:AM,'JPK_KR-1'!W:W,B105),"")</f>
        <v/>
      </c>
      <c r="E105" s="5" t="str">
        <f>IF(kokpit!E105&lt;&gt;"",kokpit!E105,"")</f>
        <v/>
      </c>
      <c r="F105" s="127" t="str">
        <f>IF(kokpit!F105&lt;&gt;"",kokpit!F105,"")</f>
        <v/>
      </c>
      <c r="G105" s="24" t="str">
        <f>IF(E105&lt;&gt;"",SUMIFS('JPK_KR-1'!AL:AL,'JPK_KR-1'!W:W,F105),"")</f>
        <v/>
      </c>
      <c r="H105" s="126" t="str">
        <f>IF(E105&lt;&gt;"",SUMIFS('JPK_KR-1'!AM:AM,'JPK_KR-1'!W:W,F105),"")</f>
        <v/>
      </c>
      <c r="I105" s="5" t="str">
        <f>IF(kokpit!I105&lt;&gt;"",kokpit!I105,"")</f>
        <v/>
      </c>
      <c r="J105" s="5" t="str">
        <f>IF(kokpit!J105&lt;&gt;"",kokpit!J105,"")</f>
        <v/>
      </c>
      <c r="K105" s="24" t="str">
        <f>IF(I105&lt;&gt;"",SUMIFS('JPK_KR-1'!AL:AL,'JPK_KR-1'!W:W,J105),"")</f>
        <v/>
      </c>
      <c r="L105" s="141" t="str">
        <f>IF(I105&lt;&gt;"",SUMIFS('JPK_KR-1'!AM:AM,'JPK_KR-1'!W:W,J105),"")</f>
        <v/>
      </c>
      <c r="M105" s="143" t="str">
        <f>IF(kokpit!M105&lt;&gt;"",kokpit!M105,"")</f>
        <v/>
      </c>
      <c r="N105" s="117" t="str">
        <f>IF(kokpit!N105&lt;&gt;"",kokpit!N105,"")</f>
        <v/>
      </c>
      <c r="O105" s="117" t="str">
        <f>IF(kokpit!O105&lt;&gt;"",kokpit!O105,"")</f>
        <v/>
      </c>
      <c r="P105" s="141" t="str">
        <f>IF(M105&lt;&gt;"",IF(O105="",SUMIFS('JPK_KR-1'!AL:AL,'JPK_KR-1'!W:W,N105),SUMIFS('JPK_KR-1'!BF:BF,'JPK_KR-1'!BE:BE,N105,'JPK_KR-1'!BG:BG,O105)),"")</f>
        <v/>
      </c>
      <c r="Q105" s="144" t="str">
        <f>IF(M105&lt;&gt;"",IF(O105="",SUMIFS('JPK_KR-1'!AM:AM,'JPK_KR-1'!W:W,N105),SUMIFS('JPK_KR-1'!BI:BI,'JPK_KR-1'!BH:BH,N105,'JPK_KR-1'!BJ:BJ,O105)),"")</f>
        <v/>
      </c>
      <c r="R105" s="117" t="str">
        <f>IF(kokpit!R105&lt;&gt;"",kokpit!R105,"")</f>
        <v/>
      </c>
      <c r="S105" s="117" t="str">
        <f>IF(kokpit!S105&lt;&gt;"",kokpit!S105,"")</f>
        <v/>
      </c>
      <c r="T105" s="117" t="str">
        <f>IF(kokpit!T105&lt;&gt;"",kokpit!T105,"")</f>
        <v/>
      </c>
      <c r="U105" s="141" t="str">
        <f>IF(R105&lt;&gt;"",SUMIFS('JPK_KR-1'!AL:AL,'JPK_KR-1'!W:W,S105),"")</f>
        <v/>
      </c>
      <c r="V105" s="144" t="str">
        <f>IF(R105&lt;&gt;"",SUMIFS('JPK_KR-1'!AM:AM,'JPK_KR-1'!W:W,S105),"")</f>
        <v/>
      </c>
    </row>
    <row r="106" spans="1:22" x14ac:dyDescent="0.3">
      <c r="A106" s="5" t="str">
        <f>IF(kokpit!A106&lt;&gt;"",kokpit!A106,"")</f>
        <v/>
      </c>
      <c r="B106" s="5" t="str">
        <f>IF(kokpit!B106&lt;&gt;"",kokpit!B106,"")</f>
        <v/>
      </c>
      <c r="C106" s="24" t="str">
        <f>IF(A106&lt;&gt;"",SUMIFS('JPK_KR-1'!AL:AL,'JPK_KR-1'!W:W,B106),"")</f>
        <v/>
      </c>
      <c r="D106" s="126" t="str">
        <f>IF(A106&lt;&gt;"",SUMIFS('JPK_KR-1'!AM:AM,'JPK_KR-1'!W:W,B106),"")</f>
        <v/>
      </c>
      <c r="E106" s="5" t="str">
        <f>IF(kokpit!E106&lt;&gt;"",kokpit!E106,"")</f>
        <v/>
      </c>
      <c r="F106" s="127" t="str">
        <f>IF(kokpit!F106&lt;&gt;"",kokpit!F106,"")</f>
        <v/>
      </c>
      <c r="G106" s="24" t="str">
        <f>IF(E106&lt;&gt;"",SUMIFS('JPK_KR-1'!AL:AL,'JPK_KR-1'!W:W,F106),"")</f>
        <v/>
      </c>
      <c r="H106" s="126" t="str">
        <f>IF(E106&lt;&gt;"",SUMIFS('JPK_KR-1'!AM:AM,'JPK_KR-1'!W:W,F106),"")</f>
        <v/>
      </c>
      <c r="I106" s="5" t="str">
        <f>IF(kokpit!I106&lt;&gt;"",kokpit!I106,"")</f>
        <v/>
      </c>
      <c r="J106" s="5" t="str">
        <f>IF(kokpit!J106&lt;&gt;"",kokpit!J106,"")</f>
        <v/>
      </c>
      <c r="K106" s="24" t="str">
        <f>IF(I106&lt;&gt;"",SUMIFS('JPK_KR-1'!AL:AL,'JPK_KR-1'!W:W,J106),"")</f>
        <v/>
      </c>
      <c r="L106" s="141" t="str">
        <f>IF(I106&lt;&gt;"",SUMIFS('JPK_KR-1'!AM:AM,'JPK_KR-1'!W:W,J106),"")</f>
        <v/>
      </c>
      <c r="M106" s="143" t="str">
        <f>IF(kokpit!M106&lt;&gt;"",kokpit!M106,"")</f>
        <v/>
      </c>
      <c r="N106" s="117" t="str">
        <f>IF(kokpit!N106&lt;&gt;"",kokpit!N106,"")</f>
        <v/>
      </c>
      <c r="O106" s="117" t="str">
        <f>IF(kokpit!O106&lt;&gt;"",kokpit!O106,"")</f>
        <v/>
      </c>
      <c r="P106" s="141" t="str">
        <f>IF(M106&lt;&gt;"",IF(O106="",SUMIFS('JPK_KR-1'!AL:AL,'JPK_KR-1'!W:W,N106),SUMIFS('JPK_KR-1'!BF:BF,'JPK_KR-1'!BE:BE,N106,'JPK_KR-1'!BG:BG,O106)),"")</f>
        <v/>
      </c>
      <c r="Q106" s="144" t="str">
        <f>IF(M106&lt;&gt;"",IF(O106="",SUMIFS('JPK_KR-1'!AM:AM,'JPK_KR-1'!W:W,N106),SUMIFS('JPK_KR-1'!BI:BI,'JPK_KR-1'!BH:BH,N106,'JPK_KR-1'!BJ:BJ,O106)),"")</f>
        <v/>
      </c>
      <c r="R106" s="117" t="str">
        <f>IF(kokpit!R106&lt;&gt;"",kokpit!R106,"")</f>
        <v/>
      </c>
      <c r="S106" s="117" t="str">
        <f>IF(kokpit!S106&lt;&gt;"",kokpit!S106,"")</f>
        <v/>
      </c>
      <c r="T106" s="117" t="str">
        <f>IF(kokpit!T106&lt;&gt;"",kokpit!T106,"")</f>
        <v/>
      </c>
      <c r="U106" s="141" t="str">
        <f>IF(R106&lt;&gt;"",SUMIFS('JPK_KR-1'!AL:AL,'JPK_KR-1'!W:W,S106),"")</f>
        <v/>
      </c>
      <c r="V106" s="144" t="str">
        <f>IF(R106&lt;&gt;"",SUMIFS('JPK_KR-1'!AM:AM,'JPK_KR-1'!W:W,S106),"")</f>
        <v/>
      </c>
    </row>
    <row r="107" spans="1:22" x14ac:dyDescent="0.3">
      <c r="A107" s="5" t="str">
        <f>IF(kokpit!A107&lt;&gt;"",kokpit!A107,"")</f>
        <v/>
      </c>
      <c r="B107" s="5" t="str">
        <f>IF(kokpit!B107&lt;&gt;"",kokpit!B107,"")</f>
        <v/>
      </c>
      <c r="C107" s="24" t="str">
        <f>IF(A107&lt;&gt;"",SUMIFS('JPK_KR-1'!AL:AL,'JPK_KR-1'!W:W,B107),"")</f>
        <v/>
      </c>
      <c r="D107" s="126" t="str">
        <f>IF(A107&lt;&gt;"",SUMIFS('JPK_KR-1'!AM:AM,'JPK_KR-1'!W:W,B107),"")</f>
        <v/>
      </c>
      <c r="E107" s="5" t="str">
        <f>IF(kokpit!E107&lt;&gt;"",kokpit!E107,"")</f>
        <v/>
      </c>
      <c r="F107" s="127" t="str">
        <f>IF(kokpit!F107&lt;&gt;"",kokpit!F107,"")</f>
        <v/>
      </c>
      <c r="G107" s="24" t="str">
        <f>IF(E107&lt;&gt;"",SUMIFS('JPK_KR-1'!AL:AL,'JPK_KR-1'!W:W,F107),"")</f>
        <v/>
      </c>
      <c r="H107" s="126" t="str">
        <f>IF(E107&lt;&gt;"",SUMIFS('JPK_KR-1'!AM:AM,'JPK_KR-1'!W:W,F107),"")</f>
        <v/>
      </c>
      <c r="I107" s="5" t="str">
        <f>IF(kokpit!I107&lt;&gt;"",kokpit!I107,"")</f>
        <v/>
      </c>
      <c r="J107" s="5" t="str">
        <f>IF(kokpit!J107&lt;&gt;"",kokpit!J107,"")</f>
        <v/>
      </c>
      <c r="K107" s="24" t="str">
        <f>IF(I107&lt;&gt;"",SUMIFS('JPK_KR-1'!AL:AL,'JPK_KR-1'!W:W,J107),"")</f>
        <v/>
      </c>
      <c r="L107" s="141" t="str">
        <f>IF(I107&lt;&gt;"",SUMIFS('JPK_KR-1'!AM:AM,'JPK_KR-1'!W:W,J107),"")</f>
        <v/>
      </c>
      <c r="M107" s="143" t="str">
        <f>IF(kokpit!M107&lt;&gt;"",kokpit!M107,"")</f>
        <v/>
      </c>
      <c r="N107" s="117" t="str">
        <f>IF(kokpit!N107&lt;&gt;"",kokpit!N107,"")</f>
        <v/>
      </c>
      <c r="O107" s="117" t="str">
        <f>IF(kokpit!O107&lt;&gt;"",kokpit!O107,"")</f>
        <v/>
      </c>
      <c r="P107" s="141" t="str">
        <f>IF(M107&lt;&gt;"",IF(O107="",SUMIFS('JPK_KR-1'!AL:AL,'JPK_KR-1'!W:W,N107),SUMIFS('JPK_KR-1'!BF:BF,'JPK_KR-1'!BE:BE,N107,'JPK_KR-1'!BG:BG,O107)),"")</f>
        <v/>
      </c>
      <c r="Q107" s="144" t="str">
        <f>IF(M107&lt;&gt;"",IF(O107="",SUMIFS('JPK_KR-1'!AM:AM,'JPK_KR-1'!W:W,N107),SUMIFS('JPK_KR-1'!BI:BI,'JPK_KR-1'!BH:BH,N107,'JPK_KR-1'!BJ:BJ,O107)),"")</f>
        <v/>
      </c>
      <c r="R107" s="117" t="str">
        <f>IF(kokpit!R107&lt;&gt;"",kokpit!R107,"")</f>
        <v/>
      </c>
      <c r="S107" s="117" t="str">
        <f>IF(kokpit!S107&lt;&gt;"",kokpit!S107,"")</f>
        <v/>
      </c>
      <c r="T107" s="117" t="str">
        <f>IF(kokpit!T107&lt;&gt;"",kokpit!T107,"")</f>
        <v/>
      </c>
      <c r="U107" s="141" t="str">
        <f>IF(R107&lt;&gt;"",SUMIFS('JPK_KR-1'!AL:AL,'JPK_KR-1'!W:W,S107),"")</f>
        <v/>
      </c>
      <c r="V107" s="144" t="str">
        <f>IF(R107&lt;&gt;"",SUMIFS('JPK_KR-1'!AM:AM,'JPK_KR-1'!W:W,S107),"")</f>
        <v/>
      </c>
    </row>
    <row r="108" spans="1:22" x14ac:dyDescent="0.3">
      <c r="A108" s="5" t="str">
        <f>IF(kokpit!A108&lt;&gt;"",kokpit!A108,"")</f>
        <v/>
      </c>
      <c r="B108" s="5" t="str">
        <f>IF(kokpit!B108&lt;&gt;"",kokpit!B108,"")</f>
        <v/>
      </c>
      <c r="C108" s="24" t="str">
        <f>IF(A108&lt;&gt;"",SUMIFS('JPK_KR-1'!AL:AL,'JPK_KR-1'!W:W,B108),"")</f>
        <v/>
      </c>
      <c r="D108" s="126" t="str">
        <f>IF(A108&lt;&gt;"",SUMIFS('JPK_KR-1'!AM:AM,'JPK_KR-1'!W:W,B108),"")</f>
        <v/>
      </c>
      <c r="E108" s="5" t="str">
        <f>IF(kokpit!E108&lt;&gt;"",kokpit!E108,"")</f>
        <v/>
      </c>
      <c r="F108" s="127" t="str">
        <f>IF(kokpit!F108&lt;&gt;"",kokpit!F108,"")</f>
        <v/>
      </c>
      <c r="G108" s="24" t="str">
        <f>IF(E108&lt;&gt;"",SUMIFS('JPK_KR-1'!AL:AL,'JPK_KR-1'!W:W,F108),"")</f>
        <v/>
      </c>
      <c r="H108" s="126" t="str">
        <f>IF(E108&lt;&gt;"",SUMIFS('JPK_KR-1'!AM:AM,'JPK_KR-1'!W:W,F108),"")</f>
        <v/>
      </c>
      <c r="I108" s="5" t="str">
        <f>IF(kokpit!I108&lt;&gt;"",kokpit!I108,"")</f>
        <v/>
      </c>
      <c r="J108" s="5" t="str">
        <f>IF(kokpit!J108&lt;&gt;"",kokpit!J108,"")</f>
        <v/>
      </c>
      <c r="K108" s="24" t="str">
        <f>IF(I108&lt;&gt;"",SUMIFS('JPK_KR-1'!AL:AL,'JPK_KR-1'!W:W,J108),"")</f>
        <v/>
      </c>
      <c r="L108" s="141" t="str">
        <f>IF(I108&lt;&gt;"",SUMIFS('JPK_KR-1'!AM:AM,'JPK_KR-1'!W:W,J108),"")</f>
        <v/>
      </c>
      <c r="M108" s="143" t="str">
        <f>IF(kokpit!M108&lt;&gt;"",kokpit!M108,"")</f>
        <v/>
      </c>
      <c r="N108" s="117" t="str">
        <f>IF(kokpit!N108&lt;&gt;"",kokpit!N108,"")</f>
        <v/>
      </c>
      <c r="O108" s="117" t="str">
        <f>IF(kokpit!O108&lt;&gt;"",kokpit!O108,"")</f>
        <v/>
      </c>
      <c r="P108" s="141" t="str">
        <f>IF(M108&lt;&gt;"",IF(O108="",SUMIFS('JPK_KR-1'!AL:AL,'JPK_KR-1'!W:W,N108),SUMIFS('JPK_KR-1'!BF:BF,'JPK_KR-1'!BE:BE,N108,'JPK_KR-1'!BG:BG,O108)),"")</f>
        <v/>
      </c>
      <c r="Q108" s="144" t="str">
        <f>IF(M108&lt;&gt;"",IF(O108="",SUMIFS('JPK_KR-1'!AM:AM,'JPK_KR-1'!W:W,N108),SUMIFS('JPK_KR-1'!BI:BI,'JPK_KR-1'!BH:BH,N108,'JPK_KR-1'!BJ:BJ,O108)),"")</f>
        <v/>
      </c>
      <c r="R108" s="117" t="str">
        <f>IF(kokpit!R108&lt;&gt;"",kokpit!R108,"")</f>
        <v/>
      </c>
      <c r="S108" s="117" t="str">
        <f>IF(kokpit!S108&lt;&gt;"",kokpit!S108,"")</f>
        <v/>
      </c>
      <c r="T108" s="117" t="str">
        <f>IF(kokpit!T108&lt;&gt;"",kokpit!T108,"")</f>
        <v/>
      </c>
      <c r="U108" s="141" t="str">
        <f>IF(R108&lt;&gt;"",SUMIFS('JPK_KR-1'!AL:AL,'JPK_KR-1'!W:W,S108),"")</f>
        <v/>
      </c>
      <c r="V108" s="144" t="str">
        <f>IF(R108&lt;&gt;"",SUMIFS('JPK_KR-1'!AM:AM,'JPK_KR-1'!W:W,S108),"")</f>
        <v/>
      </c>
    </row>
    <row r="109" spans="1:22" x14ac:dyDescent="0.3">
      <c r="A109" s="5" t="str">
        <f>IF(kokpit!A109&lt;&gt;"",kokpit!A109,"")</f>
        <v/>
      </c>
      <c r="B109" s="5" t="str">
        <f>IF(kokpit!B109&lt;&gt;"",kokpit!B109,"")</f>
        <v/>
      </c>
      <c r="C109" s="24" t="str">
        <f>IF(A109&lt;&gt;"",SUMIFS('JPK_KR-1'!AL:AL,'JPK_KR-1'!W:W,B109),"")</f>
        <v/>
      </c>
      <c r="D109" s="126" t="str">
        <f>IF(A109&lt;&gt;"",SUMIFS('JPK_KR-1'!AM:AM,'JPK_KR-1'!W:W,B109),"")</f>
        <v/>
      </c>
      <c r="E109" s="5" t="str">
        <f>IF(kokpit!E109&lt;&gt;"",kokpit!E109,"")</f>
        <v/>
      </c>
      <c r="F109" s="127" t="str">
        <f>IF(kokpit!F109&lt;&gt;"",kokpit!F109,"")</f>
        <v/>
      </c>
      <c r="G109" s="24" t="str">
        <f>IF(E109&lt;&gt;"",SUMIFS('JPK_KR-1'!AL:AL,'JPK_KR-1'!W:W,F109),"")</f>
        <v/>
      </c>
      <c r="H109" s="126" t="str">
        <f>IF(E109&lt;&gt;"",SUMIFS('JPK_KR-1'!AM:AM,'JPK_KR-1'!W:W,F109),"")</f>
        <v/>
      </c>
      <c r="I109" s="5" t="str">
        <f>IF(kokpit!I109&lt;&gt;"",kokpit!I109,"")</f>
        <v/>
      </c>
      <c r="J109" s="5" t="str">
        <f>IF(kokpit!J109&lt;&gt;"",kokpit!J109,"")</f>
        <v/>
      </c>
      <c r="K109" s="24" t="str">
        <f>IF(I109&lt;&gt;"",SUMIFS('JPK_KR-1'!AL:AL,'JPK_KR-1'!W:W,J109),"")</f>
        <v/>
      </c>
      <c r="L109" s="141" t="str">
        <f>IF(I109&lt;&gt;"",SUMIFS('JPK_KR-1'!AM:AM,'JPK_KR-1'!W:W,J109),"")</f>
        <v/>
      </c>
      <c r="M109" s="143" t="str">
        <f>IF(kokpit!M109&lt;&gt;"",kokpit!M109,"")</f>
        <v/>
      </c>
      <c r="N109" s="117" t="str">
        <f>IF(kokpit!N109&lt;&gt;"",kokpit!N109,"")</f>
        <v/>
      </c>
      <c r="O109" s="117" t="str">
        <f>IF(kokpit!O109&lt;&gt;"",kokpit!O109,"")</f>
        <v/>
      </c>
      <c r="P109" s="141" t="str">
        <f>IF(M109&lt;&gt;"",IF(O109="",SUMIFS('JPK_KR-1'!AL:AL,'JPK_KR-1'!W:W,N109),SUMIFS('JPK_KR-1'!BF:BF,'JPK_KR-1'!BE:BE,N109,'JPK_KR-1'!BG:BG,O109)),"")</f>
        <v/>
      </c>
      <c r="Q109" s="144" t="str">
        <f>IF(M109&lt;&gt;"",IF(O109="",SUMIFS('JPK_KR-1'!AM:AM,'JPK_KR-1'!W:W,N109),SUMIFS('JPK_KR-1'!BI:BI,'JPK_KR-1'!BH:BH,N109,'JPK_KR-1'!BJ:BJ,O109)),"")</f>
        <v/>
      </c>
      <c r="R109" s="117" t="str">
        <f>IF(kokpit!R109&lt;&gt;"",kokpit!R109,"")</f>
        <v/>
      </c>
      <c r="S109" s="117" t="str">
        <f>IF(kokpit!S109&lt;&gt;"",kokpit!S109,"")</f>
        <v/>
      </c>
      <c r="T109" s="117" t="str">
        <f>IF(kokpit!T109&lt;&gt;"",kokpit!T109,"")</f>
        <v/>
      </c>
      <c r="U109" s="141" t="str">
        <f>IF(R109&lt;&gt;"",SUMIFS('JPK_KR-1'!AL:AL,'JPK_KR-1'!W:W,S109),"")</f>
        <v/>
      </c>
      <c r="V109" s="144" t="str">
        <f>IF(R109&lt;&gt;"",SUMIFS('JPK_KR-1'!AM:AM,'JPK_KR-1'!W:W,S109),"")</f>
        <v/>
      </c>
    </row>
    <row r="110" spans="1:22" x14ac:dyDescent="0.3">
      <c r="A110" s="5" t="str">
        <f>IF(kokpit!A110&lt;&gt;"",kokpit!A110,"")</f>
        <v/>
      </c>
      <c r="B110" s="5" t="str">
        <f>IF(kokpit!B110&lt;&gt;"",kokpit!B110,"")</f>
        <v/>
      </c>
      <c r="C110" s="24" t="str">
        <f>IF(A110&lt;&gt;"",SUMIFS('JPK_KR-1'!AL:AL,'JPK_KR-1'!W:W,B110),"")</f>
        <v/>
      </c>
      <c r="D110" s="126" t="str">
        <f>IF(A110&lt;&gt;"",SUMIFS('JPK_KR-1'!AM:AM,'JPK_KR-1'!W:W,B110),"")</f>
        <v/>
      </c>
      <c r="E110" s="5" t="str">
        <f>IF(kokpit!E110&lt;&gt;"",kokpit!E110,"")</f>
        <v/>
      </c>
      <c r="F110" s="127" t="str">
        <f>IF(kokpit!F110&lt;&gt;"",kokpit!F110,"")</f>
        <v/>
      </c>
      <c r="G110" s="24" t="str">
        <f>IF(E110&lt;&gt;"",SUMIFS('JPK_KR-1'!AL:AL,'JPK_KR-1'!W:W,F110),"")</f>
        <v/>
      </c>
      <c r="H110" s="126" t="str">
        <f>IF(E110&lt;&gt;"",SUMIFS('JPK_KR-1'!AM:AM,'JPK_KR-1'!W:W,F110),"")</f>
        <v/>
      </c>
      <c r="I110" s="5" t="str">
        <f>IF(kokpit!I110&lt;&gt;"",kokpit!I110,"")</f>
        <v/>
      </c>
      <c r="J110" s="5" t="str">
        <f>IF(kokpit!J110&lt;&gt;"",kokpit!J110,"")</f>
        <v/>
      </c>
      <c r="K110" s="24" t="str">
        <f>IF(I110&lt;&gt;"",SUMIFS('JPK_KR-1'!AL:AL,'JPK_KR-1'!W:W,J110),"")</f>
        <v/>
      </c>
      <c r="L110" s="141" t="str">
        <f>IF(I110&lt;&gt;"",SUMIFS('JPK_KR-1'!AM:AM,'JPK_KR-1'!W:W,J110),"")</f>
        <v/>
      </c>
      <c r="M110" s="143" t="str">
        <f>IF(kokpit!M110&lt;&gt;"",kokpit!M110,"")</f>
        <v/>
      </c>
      <c r="N110" s="117" t="str">
        <f>IF(kokpit!N110&lt;&gt;"",kokpit!N110,"")</f>
        <v/>
      </c>
      <c r="O110" s="117" t="str">
        <f>IF(kokpit!O110&lt;&gt;"",kokpit!O110,"")</f>
        <v/>
      </c>
      <c r="P110" s="141" t="str">
        <f>IF(M110&lt;&gt;"",IF(O110="",SUMIFS('JPK_KR-1'!AL:AL,'JPK_KR-1'!W:W,N110),SUMIFS('JPK_KR-1'!BF:BF,'JPK_KR-1'!BE:BE,N110,'JPK_KR-1'!BG:BG,O110)),"")</f>
        <v/>
      </c>
      <c r="Q110" s="144" t="str">
        <f>IF(M110&lt;&gt;"",IF(O110="",SUMIFS('JPK_KR-1'!AM:AM,'JPK_KR-1'!W:W,N110),SUMIFS('JPK_KR-1'!BI:BI,'JPK_KR-1'!BH:BH,N110,'JPK_KR-1'!BJ:BJ,O110)),"")</f>
        <v/>
      </c>
      <c r="R110" s="117" t="str">
        <f>IF(kokpit!R110&lt;&gt;"",kokpit!R110,"")</f>
        <v/>
      </c>
      <c r="S110" s="117" t="str">
        <f>IF(kokpit!S110&lt;&gt;"",kokpit!S110,"")</f>
        <v/>
      </c>
      <c r="T110" s="117" t="str">
        <f>IF(kokpit!T110&lt;&gt;"",kokpit!T110,"")</f>
        <v/>
      </c>
      <c r="U110" s="141" t="str">
        <f>IF(R110&lt;&gt;"",SUMIFS('JPK_KR-1'!AL:AL,'JPK_KR-1'!W:W,S110),"")</f>
        <v/>
      </c>
      <c r="V110" s="144" t="str">
        <f>IF(R110&lt;&gt;"",SUMIFS('JPK_KR-1'!AM:AM,'JPK_KR-1'!W:W,S110),"")</f>
        <v/>
      </c>
    </row>
    <row r="111" spans="1:22" x14ac:dyDescent="0.3">
      <c r="A111" s="5" t="str">
        <f>IF(kokpit!A111&lt;&gt;"",kokpit!A111,"")</f>
        <v/>
      </c>
      <c r="B111" s="5" t="str">
        <f>IF(kokpit!B111&lt;&gt;"",kokpit!B111,"")</f>
        <v/>
      </c>
      <c r="C111" s="24" t="str">
        <f>IF(A111&lt;&gt;"",SUMIFS('JPK_KR-1'!AL:AL,'JPK_KR-1'!W:W,B111),"")</f>
        <v/>
      </c>
      <c r="D111" s="126" t="str">
        <f>IF(A111&lt;&gt;"",SUMIFS('JPK_KR-1'!AM:AM,'JPK_KR-1'!W:W,B111),"")</f>
        <v/>
      </c>
      <c r="E111" s="5" t="str">
        <f>IF(kokpit!E111&lt;&gt;"",kokpit!E111,"")</f>
        <v/>
      </c>
      <c r="F111" s="127" t="str">
        <f>IF(kokpit!F111&lt;&gt;"",kokpit!F111,"")</f>
        <v/>
      </c>
      <c r="G111" s="24" t="str">
        <f>IF(E111&lt;&gt;"",SUMIFS('JPK_KR-1'!AL:AL,'JPK_KR-1'!W:W,F111),"")</f>
        <v/>
      </c>
      <c r="H111" s="126" t="str">
        <f>IF(E111&lt;&gt;"",SUMIFS('JPK_KR-1'!AM:AM,'JPK_KR-1'!W:W,F111),"")</f>
        <v/>
      </c>
      <c r="I111" s="5" t="str">
        <f>IF(kokpit!I111&lt;&gt;"",kokpit!I111,"")</f>
        <v/>
      </c>
      <c r="J111" s="5" t="str">
        <f>IF(kokpit!J111&lt;&gt;"",kokpit!J111,"")</f>
        <v/>
      </c>
      <c r="K111" s="24" t="str">
        <f>IF(I111&lt;&gt;"",SUMIFS('JPK_KR-1'!AL:AL,'JPK_KR-1'!W:W,J111),"")</f>
        <v/>
      </c>
      <c r="L111" s="141" t="str">
        <f>IF(I111&lt;&gt;"",SUMIFS('JPK_KR-1'!AM:AM,'JPK_KR-1'!W:W,J111),"")</f>
        <v/>
      </c>
      <c r="M111" s="143" t="str">
        <f>IF(kokpit!M111&lt;&gt;"",kokpit!M111,"")</f>
        <v/>
      </c>
      <c r="N111" s="117" t="str">
        <f>IF(kokpit!N111&lt;&gt;"",kokpit!N111,"")</f>
        <v/>
      </c>
      <c r="O111" s="117" t="str">
        <f>IF(kokpit!O111&lt;&gt;"",kokpit!O111,"")</f>
        <v/>
      </c>
      <c r="P111" s="141" t="str">
        <f>IF(M111&lt;&gt;"",IF(O111="",SUMIFS('JPK_KR-1'!AL:AL,'JPK_KR-1'!W:W,N111),SUMIFS('JPK_KR-1'!BF:BF,'JPK_KR-1'!BE:BE,N111,'JPK_KR-1'!BG:BG,O111)),"")</f>
        <v/>
      </c>
      <c r="Q111" s="144" t="str">
        <f>IF(M111&lt;&gt;"",IF(O111="",SUMIFS('JPK_KR-1'!AM:AM,'JPK_KR-1'!W:W,N111),SUMIFS('JPK_KR-1'!BI:BI,'JPK_KR-1'!BH:BH,N111,'JPK_KR-1'!BJ:BJ,O111)),"")</f>
        <v/>
      </c>
      <c r="R111" s="117" t="str">
        <f>IF(kokpit!R111&lt;&gt;"",kokpit!R111,"")</f>
        <v/>
      </c>
      <c r="S111" s="117" t="str">
        <f>IF(kokpit!S111&lt;&gt;"",kokpit!S111,"")</f>
        <v/>
      </c>
      <c r="T111" s="117" t="str">
        <f>IF(kokpit!T111&lt;&gt;"",kokpit!T111,"")</f>
        <v/>
      </c>
      <c r="U111" s="141" t="str">
        <f>IF(R111&lt;&gt;"",SUMIFS('JPK_KR-1'!AL:AL,'JPK_KR-1'!W:W,S111),"")</f>
        <v/>
      </c>
      <c r="V111" s="144" t="str">
        <f>IF(R111&lt;&gt;"",SUMIFS('JPK_KR-1'!AM:AM,'JPK_KR-1'!W:W,S111),"")</f>
        <v/>
      </c>
    </row>
    <row r="112" spans="1:22" x14ac:dyDescent="0.3">
      <c r="A112" s="5" t="str">
        <f>IF(kokpit!A112&lt;&gt;"",kokpit!A112,"")</f>
        <v/>
      </c>
      <c r="B112" s="5" t="str">
        <f>IF(kokpit!B112&lt;&gt;"",kokpit!B112,"")</f>
        <v/>
      </c>
      <c r="C112" s="24" t="str">
        <f>IF(A112&lt;&gt;"",SUMIFS('JPK_KR-1'!AL:AL,'JPK_KR-1'!W:W,B112),"")</f>
        <v/>
      </c>
      <c r="D112" s="126" t="str">
        <f>IF(A112&lt;&gt;"",SUMIFS('JPK_KR-1'!AM:AM,'JPK_KR-1'!W:W,B112),"")</f>
        <v/>
      </c>
      <c r="E112" s="5" t="str">
        <f>IF(kokpit!E112&lt;&gt;"",kokpit!E112,"")</f>
        <v/>
      </c>
      <c r="F112" s="127" t="str">
        <f>IF(kokpit!F112&lt;&gt;"",kokpit!F112,"")</f>
        <v/>
      </c>
      <c r="G112" s="24" t="str">
        <f>IF(E112&lt;&gt;"",SUMIFS('JPK_KR-1'!AL:AL,'JPK_KR-1'!W:W,F112),"")</f>
        <v/>
      </c>
      <c r="H112" s="126" t="str">
        <f>IF(E112&lt;&gt;"",SUMIFS('JPK_KR-1'!AM:AM,'JPK_KR-1'!W:W,F112),"")</f>
        <v/>
      </c>
      <c r="I112" s="5" t="str">
        <f>IF(kokpit!I112&lt;&gt;"",kokpit!I112,"")</f>
        <v/>
      </c>
      <c r="J112" s="5" t="str">
        <f>IF(kokpit!J112&lt;&gt;"",kokpit!J112,"")</f>
        <v/>
      </c>
      <c r="K112" s="24" t="str">
        <f>IF(I112&lt;&gt;"",SUMIFS('JPK_KR-1'!AL:AL,'JPK_KR-1'!W:W,J112),"")</f>
        <v/>
      </c>
      <c r="L112" s="141" t="str">
        <f>IF(I112&lt;&gt;"",SUMIFS('JPK_KR-1'!AM:AM,'JPK_KR-1'!W:W,J112),"")</f>
        <v/>
      </c>
      <c r="M112" s="143" t="str">
        <f>IF(kokpit!M112&lt;&gt;"",kokpit!M112,"")</f>
        <v/>
      </c>
      <c r="N112" s="117" t="str">
        <f>IF(kokpit!N112&lt;&gt;"",kokpit!N112,"")</f>
        <v/>
      </c>
      <c r="O112" s="117" t="str">
        <f>IF(kokpit!O112&lt;&gt;"",kokpit!O112,"")</f>
        <v/>
      </c>
      <c r="P112" s="141" t="str">
        <f>IF(M112&lt;&gt;"",IF(O112="",SUMIFS('JPK_KR-1'!AL:AL,'JPK_KR-1'!W:W,N112),SUMIFS('JPK_KR-1'!BF:BF,'JPK_KR-1'!BE:BE,N112,'JPK_KR-1'!BG:BG,O112)),"")</f>
        <v/>
      </c>
      <c r="Q112" s="144" t="str">
        <f>IF(M112&lt;&gt;"",IF(O112="",SUMIFS('JPK_KR-1'!AM:AM,'JPK_KR-1'!W:W,N112),SUMIFS('JPK_KR-1'!BI:BI,'JPK_KR-1'!BH:BH,N112,'JPK_KR-1'!BJ:BJ,O112)),"")</f>
        <v/>
      </c>
      <c r="R112" s="117" t="str">
        <f>IF(kokpit!R112&lt;&gt;"",kokpit!R112,"")</f>
        <v/>
      </c>
      <c r="S112" s="117" t="str">
        <f>IF(kokpit!S112&lt;&gt;"",kokpit!S112,"")</f>
        <v/>
      </c>
      <c r="T112" s="117" t="str">
        <f>IF(kokpit!T112&lt;&gt;"",kokpit!T112,"")</f>
        <v/>
      </c>
      <c r="U112" s="141" t="str">
        <f>IF(R112&lt;&gt;"",SUMIFS('JPK_KR-1'!AL:AL,'JPK_KR-1'!W:W,S112),"")</f>
        <v/>
      </c>
      <c r="V112" s="144" t="str">
        <f>IF(R112&lt;&gt;"",SUMIFS('JPK_KR-1'!AM:AM,'JPK_KR-1'!W:W,S112),"")</f>
        <v/>
      </c>
    </row>
    <row r="113" spans="1:22" x14ac:dyDescent="0.3">
      <c r="A113" s="5" t="str">
        <f>IF(kokpit!A113&lt;&gt;"",kokpit!A113,"")</f>
        <v/>
      </c>
      <c r="B113" s="5" t="str">
        <f>IF(kokpit!B113&lt;&gt;"",kokpit!B113,"")</f>
        <v/>
      </c>
      <c r="C113" s="24" t="str">
        <f>IF(A113&lt;&gt;"",SUMIFS('JPK_KR-1'!AL:AL,'JPK_KR-1'!W:W,B113),"")</f>
        <v/>
      </c>
      <c r="D113" s="126" t="str">
        <f>IF(A113&lt;&gt;"",SUMIFS('JPK_KR-1'!AM:AM,'JPK_KR-1'!W:W,B113),"")</f>
        <v/>
      </c>
      <c r="E113" s="5" t="str">
        <f>IF(kokpit!E113&lt;&gt;"",kokpit!E113,"")</f>
        <v/>
      </c>
      <c r="F113" s="127" t="str">
        <f>IF(kokpit!F113&lt;&gt;"",kokpit!F113,"")</f>
        <v/>
      </c>
      <c r="G113" s="24" t="str">
        <f>IF(E113&lt;&gt;"",SUMIFS('JPK_KR-1'!AL:AL,'JPK_KR-1'!W:W,F113),"")</f>
        <v/>
      </c>
      <c r="H113" s="126" t="str">
        <f>IF(E113&lt;&gt;"",SUMIFS('JPK_KR-1'!AM:AM,'JPK_KR-1'!W:W,F113),"")</f>
        <v/>
      </c>
      <c r="I113" s="5" t="str">
        <f>IF(kokpit!I113&lt;&gt;"",kokpit!I113,"")</f>
        <v/>
      </c>
      <c r="J113" s="5" t="str">
        <f>IF(kokpit!J113&lt;&gt;"",kokpit!J113,"")</f>
        <v/>
      </c>
      <c r="K113" s="24" t="str">
        <f>IF(I113&lt;&gt;"",SUMIFS('JPK_KR-1'!AL:AL,'JPK_KR-1'!W:W,J113),"")</f>
        <v/>
      </c>
      <c r="L113" s="141" t="str">
        <f>IF(I113&lt;&gt;"",SUMIFS('JPK_KR-1'!AM:AM,'JPK_KR-1'!W:W,J113),"")</f>
        <v/>
      </c>
      <c r="M113" s="143" t="str">
        <f>IF(kokpit!M113&lt;&gt;"",kokpit!M113,"")</f>
        <v/>
      </c>
      <c r="N113" s="117" t="str">
        <f>IF(kokpit!N113&lt;&gt;"",kokpit!N113,"")</f>
        <v/>
      </c>
      <c r="O113" s="117" t="str">
        <f>IF(kokpit!O113&lt;&gt;"",kokpit!O113,"")</f>
        <v/>
      </c>
      <c r="P113" s="141" t="str">
        <f>IF(M113&lt;&gt;"",IF(O113="",SUMIFS('JPK_KR-1'!AL:AL,'JPK_KR-1'!W:W,N113),SUMIFS('JPK_KR-1'!BF:BF,'JPK_KR-1'!BE:BE,N113,'JPK_KR-1'!BG:BG,O113)),"")</f>
        <v/>
      </c>
      <c r="Q113" s="144" t="str">
        <f>IF(M113&lt;&gt;"",IF(O113="",SUMIFS('JPK_KR-1'!AM:AM,'JPK_KR-1'!W:W,N113),SUMIFS('JPK_KR-1'!BI:BI,'JPK_KR-1'!BH:BH,N113,'JPK_KR-1'!BJ:BJ,O113)),"")</f>
        <v/>
      </c>
      <c r="R113" s="117" t="str">
        <f>IF(kokpit!R113&lt;&gt;"",kokpit!R113,"")</f>
        <v/>
      </c>
      <c r="S113" s="117" t="str">
        <f>IF(kokpit!S113&lt;&gt;"",kokpit!S113,"")</f>
        <v/>
      </c>
      <c r="T113" s="117" t="str">
        <f>IF(kokpit!T113&lt;&gt;"",kokpit!T113,"")</f>
        <v/>
      </c>
      <c r="U113" s="141" t="str">
        <f>IF(R113&lt;&gt;"",SUMIFS('JPK_KR-1'!AL:AL,'JPK_KR-1'!W:W,S113),"")</f>
        <v/>
      </c>
      <c r="V113" s="144" t="str">
        <f>IF(R113&lt;&gt;"",SUMIFS('JPK_KR-1'!AM:AM,'JPK_KR-1'!W:W,S113),"")</f>
        <v/>
      </c>
    </row>
    <row r="114" spans="1:22" x14ac:dyDescent="0.3">
      <c r="A114" s="5" t="str">
        <f>IF(kokpit!A114&lt;&gt;"",kokpit!A114,"")</f>
        <v/>
      </c>
      <c r="B114" s="5" t="str">
        <f>IF(kokpit!B114&lt;&gt;"",kokpit!B114,"")</f>
        <v/>
      </c>
      <c r="C114" s="24" t="str">
        <f>IF(A114&lt;&gt;"",SUMIFS('JPK_KR-1'!AL:AL,'JPK_KR-1'!W:W,B114),"")</f>
        <v/>
      </c>
      <c r="D114" s="126" t="str">
        <f>IF(A114&lt;&gt;"",SUMIFS('JPK_KR-1'!AM:AM,'JPK_KR-1'!W:W,B114),"")</f>
        <v/>
      </c>
      <c r="E114" s="5" t="str">
        <f>IF(kokpit!E114&lt;&gt;"",kokpit!E114,"")</f>
        <v/>
      </c>
      <c r="F114" s="127" t="str">
        <f>IF(kokpit!F114&lt;&gt;"",kokpit!F114,"")</f>
        <v/>
      </c>
      <c r="G114" s="24" t="str">
        <f>IF(E114&lt;&gt;"",SUMIFS('JPK_KR-1'!AL:AL,'JPK_KR-1'!W:W,F114),"")</f>
        <v/>
      </c>
      <c r="H114" s="126" t="str">
        <f>IF(E114&lt;&gt;"",SUMIFS('JPK_KR-1'!AM:AM,'JPK_KR-1'!W:W,F114),"")</f>
        <v/>
      </c>
      <c r="I114" s="5" t="str">
        <f>IF(kokpit!I114&lt;&gt;"",kokpit!I114,"")</f>
        <v/>
      </c>
      <c r="J114" s="5" t="str">
        <f>IF(kokpit!J114&lt;&gt;"",kokpit!J114,"")</f>
        <v/>
      </c>
      <c r="K114" s="24" t="str">
        <f>IF(I114&lt;&gt;"",SUMIFS('JPK_KR-1'!AL:AL,'JPK_KR-1'!W:W,J114),"")</f>
        <v/>
      </c>
      <c r="L114" s="141" t="str">
        <f>IF(I114&lt;&gt;"",SUMIFS('JPK_KR-1'!AM:AM,'JPK_KR-1'!W:W,J114),"")</f>
        <v/>
      </c>
      <c r="M114" s="143" t="str">
        <f>IF(kokpit!M114&lt;&gt;"",kokpit!M114,"")</f>
        <v/>
      </c>
      <c r="N114" s="117" t="str">
        <f>IF(kokpit!N114&lt;&gt;"",kokpit!N114,"")</f>
        <v/>
      </c>
      <c r="O114" s="117" t="str">
        <f>IF(kokpit!O114&lt;&gt;"",kokpit!O114,"")</f>
        <v/>
      </c>
      <c r="P114" s="141" t="str">
        <f>IF(M114&lt;&gt;"",IF(O114="",SUMIFS('JPK_KR-1'!AL:AL,'JPK_KR-1'!W:W,N114),SUMIFS('JPK_KR-1'!BF:BF,'JPK_KR-1'!BE:BE,N114,'JPK_KR-1'!BG:BG,O114)),"")</f>
        <v/>
      </c>
      <c r="Q114" s="144" t="str">
        <f>IF(M114&lt;&gt;"",IF(O114="",SUMIFS('JPK_KR-1'!AM:AM,'JPK_KR-1'!W:W,N114),SUMIFS('JPK_KR-1'!BI:BI,'JPK_KR-1'!BH:BH,N114,'JPK_KR-1'!BJ:BJ,O114)),"")</f>
        <v/>
      </c>
      <c r="R114" s="117" t="str">
        <f>IF(kokpit!R114&lt;&gt;"",kokpit!R114,"")</f>
        <v/>
      </c>
      <c r="S114" s="117" t="str">
        <f>IF(kokpit!S114&lt;&gt;"",kokpit!S114,"")</f>
        <v/>
      </c>
      <c r="T114" s="117" t="str">
        <f>IF(kokpit!T114&lt;&gt;"",kokpit!T114,"")</f>
        <v/>
      </c>
      <c r="U114" s="141" t="str">
        <f>IF(R114&lt;&gt;"",SUMIFS('JPK_KR-1'!AL:AL,'JPK_KR-1'!W:W,S114),"")</f>
        <v/>
      </c>
      <c r="V114" s="144" t="str">
        <f>IF(R114&lt;&gt;"",SUMIFS('JPK_KR-1'!AM:AM,'JPK_KR-1'!W:W,S114),"")</f>
        <v/>
      </c>
    </row>
    <row r="115" spans="1:22" x14ac:dyDescent="0.3">
      <c r="A115" s="5" t="str">
        <f>IF(kokpit!A115&lt;&gt;"",kokpit!A115,"")</f>
        <v/>
      </c>
      <c r="B115" s="5" t="str">
        <f>IF(kokpit!B115&lt;&gt;"",kokpit!B115,"")</f>
        <v/>
      </c>
      <c r="C115" s="24" t="str">
        <f>IF(A115&lt;&gt;"",SUMIFS('JPK_KR-1'!AL:AL,'JPK_KR-1'!W:W,B115),"")</f>
        <v/>
      </c>
      <c r="D115" s="126" t="str">
        <f>IF(A115&lt;&gt;"",SUMIFS('JPK_KR-1'!AM:AM,'JPK_KR-1'!W:W,B115),"")</f>
        <v/>
      </c>
      <c r="E115" s="5" t="str">
        <f>IF(kokpit!E115&lt;&gt;"",kokpit!E115,"")</f>
        <v/>
      </c>
      <c r="F115" s="127" t="str">
        <f>IF(kokpit!F115&lt;&gt;"",kokpit!F115,"")</f>
        <v/>
      </c>
      <c r="G115" s="24" t="str">
        <f>IF(E115&lt;&gt;"",SUMIFS('JPK_KR-1'!AL:AL,'JPK_KR-1'!W:W,F115),"")</f>
        <v/>
      </c>
      <c r="H115" s="126" t="str">
        <f>IF(E115&lt;&gt;"",SUMIFS('JPK_KR-1'!AM:AM,'JPK_KR-1'!W:W,F115),"")</f>
        <v/>
      </c>
      <c r="I115" s="5" t="str">
        <f>IF(kokpit!I115&lt;&gt;"",kokpit!I115,"")</f>
        <v/>
      </c>
      <c r="J115" s="5" t="str">
        <f>IF(kokpit!J115&lt;&gt;"",kokpit!J115,"")</f>
        <v/>
      </c>
      <c r="K115" s="24" t="str">
        <f>IF(I115&lt;&gt;"",SUMIFS('JPK_KR-1'!AL:AL,'JPK_KR-1'!W:W,J115),"")</f>
        <v/>
      </c>
      <c r="L115" s="141" t="str">
        <f>IF(I115&lt;&gt;"",SUMIFS('JPK_KR-1'!AM:AM,'JPK_KR-1'!W:W,J115),"")</f>
        <v/>
      </c>
      <c r="M115" s="143" t="str">
        <f>IF(kokpit!M115&lt;&gt;"",kokpit!M115,"")</f>
        <v/>
      </c>
      <c r="N115" s="117" t="str">
        <f>IF(kokpit!N115&lt;&gt;"",kokpit!N115,"")</f>
        <v/>
      </c>
      <c r="O115" s="117" t="str">
        <f>IF(kokpit!O115&lt;&gt;"",kokpit!O115,"")</f>
        <v/>
      </c>
      <c r="P115" s="141" t="str">
        <f>IF(M115&lt;&gt;"",IF(O115="",SUMIFS('JPK_KR-1'!AL:AL,'JPK_KR-1'!W:W,N115),SUMIFS('JPK_KR-1'!BF:BF,'JPK_KR-1'!BE:BE,N115,'JPK_KR-1'!BG:BG,O115)),"")</f>
        <v/>
      </c>
      <c r="Q115" s="144" t="str">
        <f>IF(M115&lt;&gt;"",IF(O115="",SUMIFS('JPK_KR-1'!AM:AM,'JPK_KR-1'!W:W,N115),SUMIFS('JPK_KR-1'!BI:BI,'JPK_KR-1'!BH:BH,N115,'JPK_KR-1'!BJ:BJ,O115)),"")</f>
        <v/>
      </c>
      <c r="R115" s="117" t="str">
        <f>IF(kokpit!R115&lt;&gt;"",kokpit!R115,"")</f>
        <v/>
      </c>
      <c r="S115" s="117" t="str">
        <f>IF(kokpit!S115&lt;&gt;"",kokpit!S115,"")</f>
        <v/>
      </c>
      <c r="T115" s="117" t="str">
        <f>IF(kokpit!T115&lt;&gt;"",kokpit!T115,"")</f>
        <v/>
      </c>
      <c r="U115" s="141" t="str">
        <f>IF(R115&lt;&gt;"",SUMIFS('JPK_KR-1'!AL:AL,'JPK_KR-1'!W:W,S115),"")</f>
        <v/>
      </c>
      <c r="V115" s="144" t="str">
        <f>IF(R115&lt;&gt;"",SUMIFS('JPK_KR-1'!AM:AM,'JPK_KR-1'!W:W,S115),"")</f>
        <v/>
      </c>
    </row>
    <row r="116" spans="1:22" x14ac:dyDescent="0.3">
      <c r="A116" s="5" t="str">
        <f>IF(kokpit!A116&lt;&gt;"",kokpit!A116,"")</f>
        <v/>
      </c>
      <c r="B116" s="5" t="str">
        <f>IF(kokpit!B116&lt;&gt;"",kokpit!B116,"")</f>
        <v/>
      </c>
      <c r="C116" s="24" t="str">
        <f>IF(A116&lt;&gt;"",SUMIFS('JPK_KR-1'!AL:AL,'JPK_KR-1'!W:W,B116),"")</f>
        <v/>
      </c>
      <c r="D116" s="126" t="str">
        <f>IF(A116&lt;&gt;"",SUMIFS('JPK_KR-1'!AM:AM,'JPK_KR-1'!W:W,B116),"")</f>
        <v/>
      </c>
      <c r="E116" s="5" t="str">
        <f>IF(kokpit!E116&lt;&gt;"",kokpit!E116,"")</f>
        <v/>
      </c>
      <c r="F116" s="127" t="str">
        <f>IF(kokpit!F116&lt;&gt;"",kokpit!F116,"")</f>
        <v/>
      </c>
      <c r="G116" s="24" t="str">
        <f>IF(E116&lt;&gt;"",SUMIFS('JPK_KR-1'!AL:AL,'JPK_KR-1'!W:W,F116),"")</f>
        <v/>
      </c>
      <c r="H116" s="126" t="str">
        <f>IF(E116&lt;&gt;"",SUMIFS('JPK_KR-1'!AM:AM,'JPK_KR-1'!W:W,F116),"")</f>
        <v/>
      </c>
      <c r="I116" s="5" t="str">
        <f>IF(kokpit!I116&lt;&gt;"",kokpit!I116,"")</f>
        <v/>
      </c>
      <c r="J116" s="5" t="str">
        <f>IF(kokpit!J116&lt;&gt;"",kokpit!J116,"")</f>
        <v/>
      </c>
      <c r="K116" s="24" t="str">
        <f>IF(I116&lt;&gt;"",SUMIFS('JPK_KR-1'!AL:AL,'JPK_KR-1'!W:W,J116),"")</f>
        <v/>
      </c>
      <c r="L116" s="141" t="str">
        <f>IF(I116&lt;&gt;"",SUMIFS('JPK_KR-1'!AM:AM,'JPK_KR-1'!W:W,J116),"")</f>
        <v/>
      </c>
      <c r="M116" s="143" t="str">
        <f>IF(kokpit!M116&lt;&gt;"",kokpit!M116,"")</f>
        <v/>
      </c>
      <c r="N116" s="117" t="str">
        <f>IF(kokpit!N116&lt;&gt;"",kokpit!N116,"")</f>
        <v/>
      </c>
      <c r="O116" s="117" t="str">
        <f>IF(kokpit!O116&lt;&gt;"",kokpit!O116,"")</f>
        <v/>
      </c>
      <c r="P116" s="141" t="str">
        <f>IF(M116&lt;&gt;"",IF(O116="",SUMIFS('JPK_KR-1'!AL:AL,'JPK_KR-1'!W:W,N116),SUMIFS('JPK_KR-1'!BF:BF,'JPK_KR-1'!BE:BE,N116,'JPK_KR-1'!BG:BG,O116)),"")</f>
        <v/>
      </c>
      <c r="Q116" s="144" t="str">
        <f>IF(M116&lt;&gt;"",IF(O116="",SUMIFS('JPK_KR-1'!AM:AM,'JPK_KR-1'!W:W,N116),SUMIFS('JPK_KR-1'!BI:BI,'JPK_KR-1'!BH:BH,N116,'JPK_KR-1'!BJ:BJ,O116)),"")</f>
        <v/>
      </c>
      <c r="R116" s="117" t="str">
        <f>IF(kokpit!R116&lt;&gt;"",kokpit!R116,"")</f>
        <v/>
      </c>
      <c r="S116" s="117" t="str">
        <f>IF(kokpit!S116&lt;&gt;"",kokpit!S116,"")</f>
        <v/>
      </c>
      <c r="T116" s="117" t="str">
        <f>IF(kokpit!T116&lt;&gt;"",kokpit!T116,"")</f>
        <v/>
      </c>
      <c r="U116" s="141" t="str">
        <f>IF(R116&lt;&gt;"",SUMIFS('JPK_KR-1'!AL:AL,'JPK_KR-1'!W:W,S116),"")</f>
        <v/>
      </c>
      <c r="V116" s="144" t="str">
        <f>IF(R116&lt;&gt;"",SUMIFS('JPK_KR-1'!AM:AM,'JPK_KR-1'!W:W,S116),"")</f>
        <v/>
      </c>
    </row>
    <row r="117" spans="1:22" x14ac:dyDescent="0.3">
      <c r="A117" s="5" t="str">
        <f>IF(kokpit!A117&lt;&gt;"",kokpit!A117,"")</f>
        <v/>
      </c>
      <c r="B117" s="5" t="str">
        <f>IF(kokpit!B117&lt;&gt;"",kokpit!B117,"")</f>
        <v/>
      </c>
      <c r="C117" s="24" t="str">
        <f>IF(A117&lt;&gt;"",SUMIFS('JPK_KR-1'!AL:AL,'JPK_KR-1'!W:W,B117),"")</f>
        <v/>
      </c>
      <c r="D117" s="126" t="str">
        <f>IF(A117&lt;&gt;"",SUMIFS('JPK_KR-1'!AM:AM,'JPK_KR-1'!W:W,B117),"")</f>
        <v/>
      </c>
      <c r="E117" s="5" t="str">
        <f>IF(kokpit!E117&lt;&gt;"",kokpit!E117,"")</f>
        <v/>
      </c>
      <c r="F117" s="127" t="str">
        <f>IF(kokpit!F117&lt;&gt;"",kokpit!F117,"")</f>
        <v/>
      </c>
      <c r="G117" s="24" t="str">
        <f>IF(E117&lt;&gt;"",SUMIFS('JPK_KR-1'!AL:AL,'JPK_KR-1'!W:W,F117),"")</f>
        <v/>
      </c>
      <c r="H117" s="126" t="str">
        <f>IF(E117&lt;&gt;"",SUMIFS('JPK_KR-1'!AM:AM,'JPK_KR-1'!W:W,F117),"")</f>
        <v/>
      </c>
      <c r="I117" s="5" t="str">
        <f>IF(kokpit!I117&lt;&gt;"",kokpit!I117,"")</f>
        <v/>
      </c>
      <c r="J117" s="5" t="str">
        <f>IF(kokpit!J117&lt;&gt;"",kokpit!J117,"")</f>
        <v/>
      </c>
      <c r="K117" s="24" t="str">
        <f>IF(I117&lt;&gt;"",SUMIFS('JPK_KR-1'!AL:AL,'JPK_KR-1'!W:W,J117),"")</f>
        <v/>
      </c>
      <c r="L117" s="141" t="str">
        <f>IF(I117&lt;&gt;"",SUMIFS('JPK_KR-1'!AM:AM,'JPK_KR-1'!W:W,J117),"")</f>
        <v/>
      </c>
      <c r="M117" s="143" t="str">
        <f>IF(kokpit!M117&lt;&gt;"",kokpit!M117,"")</f>
        <v/>
      </c>
      <c r="N117" s="117" t="str">
        <f>IF(kokpit!N117&lt;&gt;"",kokpit!N117,"")</f>
        <v/>
      </c>
      <c r="O117" s="117" t="str">
        <f>IF(kokpit!O117&lt;&gt;"",kokpit!O117,"")</f>
        <v/>
      </c>
      <c r="P117" s="141" t="str">
        <f>IF(M117&lt;&gt;"",IF(O117="",SUMIFS('JPK_KR-1'!AL:AL,'JPK_KR-1'!W:W,N117),SUMIFS('JPK_KR-1'!BF:BF,'JPK_KR-1'!BE:BE,N117,'JPK_KR-1'!BG:BG,O117)),"")</f>
        <v/>
      </c>
      <c r="Q117" s="144" t="str">
        <f>IF(M117&lt;&gt;"",IF(O117="",SUMIFS('JPK_KR-1'!AM:AM,'JPK_KR-1'!W:W,N117),SUMIFS('JPK_KR-1'!BI:BI,'JPK_KR-1'!BH:BH,N117,'JPK_KR-1'!BJ:BJ,O117)),"")</f>
        <v/>
      </c>
      <c r="R117" s="117" t="str">
        <f>IF(kokpit!R117&lt;&gt;"",kokpit!R117,"")</f>
        <v/>
      </c>
      <c r="S117" s="117" t="str">
        <f>IF(kokpit!S117&lt;&gt;"",kokpit!S117,"")</f>
        <v/>
      </c>
      <c r="T117" s="117" t="str">
        <f>IF(kokpit!T117&lt;&gt;"",kokpit!T117,"")</f>
        <v/>
      </c>
      <c r="U117" s="141" t="str">
        <f>IF(R117&lt;&gt;"",SUMIFS('JPK_KR-1'!AL:AL,'JPK_KR-1'!W:W,S117),"")</f>
        <v/>
      </c>
      <c r="V117" s="144" t="str">
        <f>IF(R117&lt;&gt;"",SUMIFS('JPK_KR-1'!AM:AM,'JPK_KR-1'!W:W,S117),"")</f>
        <v/>
      </c>
    </row>
    <row r="118" spans="1:22" x14ac:dyDescent="0.3">
      <c r="A118" s="5" t="str">
        <f>IF(kokpit!A118&lt;&gt;"",kokpit!A118,"")</f>
        <v/>
      </c>
      <c r="B118" s="5" t="str">
        <f>IF(kokpit!B118&lt;&gt;"",kokpit!B118,"")</f>
        <v/>
      </c>
      <c r="C118" s="24" t="str">
        <f>IF(A118&lt;&gt;"",SUMIFS('JPK_KR-1'!AL:AL,'JPK_KR-1'!W:W,B118),"")</f>
        <v/>
      </c>
      <c r="D118" s="126" t="str">
        <f>IF(A118&lt;&gt;"",SUMIFS('JPK_KR-1'!AM:AM,'JPK_KR-1'!W:W,B118),"")</f>
        <v/>
      </c>
      <c r="E118" s="5" t="str">
        <f>IF(kokpit!E118&lt;&gt;"",kokpit!E118,"")</f>
        <v/>
      </c>
      <c r="F118" s="127" t="str">
        <f>IF(kokpit!F118&lt;&gt;"",kokpit!F118,"")</f>
        <v/>
      </c>
      <c r="G118" s="24" t="str">
        <f>IF(E118&lt;&gt;"",SUMIFS('JPK_KR-1'!AL:AL,'JPK_KR-1'!W:W,F118),"")</f>
        <v/>
      </c>
      <c r="H118" s="126" t="str">
        <f>IF(E118&lt;&gt;"",SUMIFS('JPK_KR-1'!AM:AM,'JPK_KR-1'!W:W,F118),"")</f>
        <v/>
      </c>
      <c r="I118" s="5" t="str">
        <f>IF(kokpit!I118&lt;&gt;"",kokpit!I118,"")</f>
        <v/>
      </c>
      <c r="J118" s="5" t="str">
        <f>IF(kokpit!J118&lt;&gt;"",kokpit!J118,"")</f>
        <v/>
      </c>
      <c r="K118" s="24" t="str">
        <f>IF(I118&lt;&gt;"",SUMIFS('JPK_KR-1'!AL:AL,'JPK_KR-1'!W:W,J118),"")</f>
        <v/>
      </c>
      <c r="L118" s="141" t="str">
        <f>IF(I118&lt;&gt;"",SUMIFS('JPK_KR-1'!AM:AM,'JPK_KR-1'!W:W,J118),"")</f>
        <v/>
      </c>
      <c r="M118" s="143" t="str">
        <f>IF(kokpit!M118&lt;&gt;"",kokpit!M118,"")</f>
        <v/>
      </c>
      <c r="N118" s="117" t="str">
        <f>IF(kokpit!N118&lt;&gt;"",kokpit!N118,"")</f>
        <v/>
      </c>
      <c r="O118" s="117" t="str">
        <f>IF(kokpit!O118&lt;&gt;"",kokpit!O118,"")</f>
        <v/>
      </c>
      <c r="P118" s="141" t="str">
        <f>IF(M118&lt;&gt;"",IF(O118="",SUMIFS('JPK_KR-1'!AL:AL,'JPK_KR-1'!W:W,N118),SUMIFS('JPK_KR-1'!BF:BF,'JPK_KR-1'!BE:BE,N118,'JPK_KR-1'!BG:BG,O118)),"")</f>
        <v/>
      </c>
      <c r="Q118" s="144" t="str">
        <f>IF(M118&lt;&gt;"",IF(O118="",SUMIFS('JPK_KR-1'!AM:AM,'JPK_KR-1'!W:W,N118),SUMIFS('JPK_KR-1'!BI:BI,'JPK_KR-1'!BH:BH,N118,'JPK_KR-1'!BJ:BJ,O118)),"")</f>
        <v/>
      </c>
      <c r="R118" s="117" t="str">
        <f>IF(kokpit!R118&lt;&gt;"",kokpit!R118,"")</f>
        <v/>
      </c>
      <c r="S118" s="117" t="str">
        <f>IF(kokpit!S118&lt;&gt;"",kokpit!S118,"")</f>
        <v/>
      </c>
      <c r="T118" s="117" t="str">
        <f>IF(kokpit!T118&lt;&gt;"",kokpit!T118,"")</f>
        <v/>
      </c>
      <c r="U118" s="141" t="str">
        <f>IF(R118&lt;&gt;"",SUMIFS('JPK_KR-1'!AL:AL,'JPK_KR-1'!W:W,S118),"")</f>
        <v/>
      </c>
      <c r="V118" s="144" t="str">
        <f>IF(R118&lt;&gt;"",SUMIFS('JPK_KR-1'!AM:AM,'JPK_KR-1'!W:W,S118),"")</f>
        <v/>
      </c>
    </row>
    <row r="119" spans="1:22" x14ac:dyDescent="0.3">
      <c r="A119" s="5" t="str">
        <f>IF(kokpit!A119&lt;&gt;"",kokpit!A119,"")</f>
        <v/>
      </c>
      <c r="B119" s="5" t="str">
        <f>IF(kokpit!B119&lt;&gt;"",kokpit!B119,"")</f>
        <v/>
      </c>
      <c r="C119" s="24" t="str">
        <f>IF(A119&lt;&gt;"",SUMIFS('JPK_KR-1'!AL:AL,'JPK_KR-1'!W:W,B119),"")</f>
        <v/>
      </c>
      <c r="D119" s="126" t="str">
        <f>IF(A119&lt;&gt;"",SUMIFS('JPK_KR-1'!AM:AM,'JPK_KR-1'!W:W,B119),"")</f>
        <v/>
      </c>
      <c r="E119" s="5" t="str">
        <f>IF(kokpit!E119&lt;&gt;"",kokpit!E119,"")</f>
        <v/>
      </c>
      <c r="F119" s="127" t="str">
        <f>IF(kokpit!F119&lt;&gt;"",kokpit!F119,"")</f>
        <v/>
      </c>
      <c r="G119" s="24" t="str">
        <f>IF(E119&lt;&gt;"",SUMIFS('JPK_KR-1'!AL:AL,'JPK_KR-1'!W:W,F119),"")</f>
        <v/>
      </c>
      <c r="H119" s="126" t="str">
        <f>IF(E119&lt;&gt;"",SUMIFS('JPK_KR-1'!AM:AM,'JPK_KR-1'!W:W,F119),"")</f>
        <v/>
      </c>
      <c r="I119" s="5" t="str">
        <f>IF(kokpit!I119&lt;&gt;"",kokpit!I119,"")</f>
        <v/>
      </c>
      <c r="J119" s="5" t="str">
        <f>IF(kokpit!J119&lt;&gt;"",kokpit!J119,"")</f>
        <v/>
      </c>
      <c r="K119" s="24" t="str">
        <f>IF(I119&lt;&gt;"",SUMIFS('JPK_KR-1'!AL:AL,'JPK_KR-1'!W:W,J119),"")</f>
        <v/>
      </c>
      <c r="L119" s="141" t="str">
        <f>IF(I119&lt;&gt;"",SUMIFS('JPK_KR-1'!AM:AM,'JPK_KR-1'!W:W,J119),"")</f>
        <v/>
      </c>
      <c r="M119" s="143" t="str">
        <f>IF(kokpit!M119&lt;&gt;"",kokpit!M119,"")</f>
        <v/>
      </c>
      <c r="N119" s="117" t="str">
        <f>IF(kokpit!N119&lt;&gt;"",kokpit!N119,"")</f>
        <v/>
      </c>
      <c r="O119" s="117" t="str">
        <f>IF(kokpit!O119&lt;&gt;"",kokpit!O119,"")</f>
        <v/>
      </c>
      <c r="P119" s="141" t="str">
        <f>IF(M119&lt;&gt;"",IF(O119="",SUMIFS('JPK_KR-1'!AL:AL,'JPK_KR-1'!W:W,N119),SUMIFS('JPK_KR-1'!BF:BF,'JPK_KR-1'!BE:BE,N119,'JPK_KR-1'!BG:BG,O119)),"")</f>
        <v/>
      </c>
      <c r="Q119" s="144" t="str">
        <f>IF(M119&lt;&gt;"",IF(O119="",SUMIFS('JPK_KR-1'!AM:AM,'JPK_KR-1'!W:W,N119),SUMIFS('JPK_KR-1'!BI:BI,'JPK_KR-1'!BH:BH,N119,'JPK_KR-1'!BJ:BJ,O119)),"")</f>
        <v/>
      </c>
      <c r="R119" s="117" t="str">
        <f>IF(kokpit!R119&lt;&gt;"",kokpit!R119,"")</f>
        <v/>
      </c>
      <c r="S119" s="117" t="str">
        <f>IF(kokpit!S119&lt;&gt;"",kokpit!S119,"")</f>
        <v/>
      </c>
      <c r="T119" s="117" t="str">
        <f>IF(kokpit!T119&lt;&gt;"",kokpit!T119,"")</f>
        <v/>
      </c>
      <c r="U119" s="141" t="str">
        <f>IF(R119&lt;&gt;"",SUMIFS('JPK_KR-1'!AL:AL,'JPK_KR-1'!W:W,S119),"")</f>
        <v/>
      </c>
      <c r="V119" s="144" t="str">
        <f>IF(R119&lt;&gt;"",SUMIFS('JPK_KR-1'!AM:AM,'JPK_KR-1'!W:W,S119),"")</f>
        <v/>
      </c>
    </row>
    <row r="120" spans="1:22" x14ac:dyDescent="0.3">
      <c r="A120" s="5" t="str">
        <f>IF(kokpit!A120&lt;&gt;"",kokpit!A120,"")</f>
        <v/>
      </c>
      <c r="B120" s="5" t="str">
        <f>IF(kokpit!B120&lt;&gt;"",kokpit!B120,"")</f>
        <v/>
      </c>
      <c r="C120" s="24" t="str">
        <f>IF(A120&lt;&gt;"",SUMIFS('JPK_KR-1'!AL:AL,'JPK_KR-1'!W:W,B120),"")</f>
        <v/>
      </c>
      <c r="D120" s="126" t="str">
        <f>IF(A120&lt;&gt;"",SUMIFS('JPK_KR-1'!AM:AM,'JPK_KR-1'!W:W,B120),"")</f>
        <v/>
      </c>
      <c r="E120" s="5" t="str">
        <f>IF(kokpit!E120&lt;&gt;"",kokpit!E120,"")</f>
        <v/>
      </c>
      <c r="F120" s="127" t="str">
        <f>IF(kokpit!F120&lt;&gt;"",kokpit!F120,"")</f>
        <v/>
      </c>
      <c r="G120" s="24" t="str">
        <f>IF(E120&lt;&gt;"",SUMIFS('JPK_KR-1'!AL:AL,'JPK_KR-1'!W:W,F120),"")</f>
        <v/>
      </c>
      <c r="H120" s="126" t="str">
        <f>IF(E120&lt;&gt;"",SUMIFS('JPK_KR-1'!AM:AM,'JPK_KR-1'!W:W,F120),"")</f>
        <v/>
      </c>
      <c r="I120" s="5" t="str">
        <f>IF(kokpit!I120&lt;&gt;"",kokpit!I120,"")</f>
        <v/>
      </c>
      <c r="J120" s="5" t="str">
        <f>IF(kokpit!J120&lt;&gt;"",kokpit!J120,"")</f>
        <v/>
      </c>
      <c r="K120" s="24" t="str">
        <f>IF(I120&lt;&gt;"",SUMIFS('JPK_KR-1'!AL:AL,'JPK_KR-1'!W:W,J120),"")</f>
        <v/>
      </c>
      <c r="L120" s="141" t="str">
        <f>IF(I120&lt;&gt;"",SUMIFS('JPK_KR-1'!AM:AM,'JPK_KR-1'!W:W,J120),"")</f>
        <v/>
      </c>
      <c r="M120" s="143" t="str">
        <f>IF(kokpit!M120&lt;&gt;"",kokpit!M120,"")</f>
        <v/>
      </c>
      <c r="N120" s="117" t="str">
        <f>IF(kokpit!N120&lt;&gt;"",kokpit!N120,"")</f>
        <v/>
      </c>
      <c r="O120" s="117" t="str">
        <f>IF(kokpit!O120&lt;&gt;"",kokpit!O120,"")</f>
        <v/>
      </c>
      <c r="P120" s="141" t="str">
        <f>IF(M120&lt;&gt;"",IF(O120="",SUMIFS('JPK_KR-1'!AL:AL,'JPK_KR-1'!W:W,N120),SUMIFS('JPK_KR-1'!BF:BF,'JPK_KR-1'!BE:BE,N120,'JPK_KR-1'!BG:BG,O120)),"")</f>
        <v/>
      </c>
      <c r="Q120" s="144" t="str">
        <f>IF(M120&lt;&gt;"",IF(O120="",SUMIFS('JPK_KR-1'!AM:AM,'JPK_KR-1'!W:W,N120),SUMIFS('JPK_KR-1'!BI:BI,'JPK_KR-1'!BH:BH,N120,'JPK_KR-1'!BJ:BJ,O120)),"")</f>
        <v/>
      </c>
      <c r="R120" s="117" t="str">
        <f>IF(kokpit!R120&lt;&gt;"",kokpit!R120,"")</f>
        <v/>
      </c>
      <c r="S120" s="117" t="str">
        <f>IF(kokpit!S120&lt;&gt;"",kokpit!S120,"")</f>
        <v/>
      </c>
      <c r="T120" s="117" t="str">
        <f>IF(kokpit!T120&lt;&gt;"",kokpit!T120,"")</f>
        <v/>
      </c>
      <c r="U120" s="141" t="str">
        <f>IF(R120&lt;&gt;"",SUMIFS('JPK_KR-1'!AL:AL,'JPK_KR-1'!W:W,S120),"")</f>
        <v/>
      </c>
      <c r="V120" s="144" t="str">
        <f>IF(R120&lt;&gt;"",SUMIFS('JPK_KR-1'!AM:AM,'JPK_KR-1'!W:W,S120),"")</f>
        <v/>
      </c>
    </row>
    <row r="121" spans="1:22" x14ac:dyDescent="0.3">
      <c r="A121" s="5" t="str">
        <f>IF(kokpit!A121&lt;&gt;"",kokpit!A121,"")</f>
        <v/>
      </c>
      <c r="B121" s="5" t="str">
        <f>IF(kokpit!B121&lt;&gt;"",kokpit!B121,"")</f>
        <v/>
      </c>
      <c r="C121" s="24" t="str">
        <f>IF(A121&lt;&gt;"",SUMIFS('JPK_KR-1'!AL:AL,'JPK_KR-1'!W:W,B121),"")</f>
        <v/>
      </c>
      <c r="D121" s="126" t="str">
        <f>IF(A121&lt;&gt;"",SUMIFS('JPK_KR-1'!AM:AM,'JPK_KR-1'!W:W,B121),"")</f>
        <v/>
      </c>
      <c r="E121" s="5" t="str">
        <f>IF(kokpit!E121&lt;&gt;"",kokpit!E121,"")</f>
        <v/>
      </c>
      <c r="F121" s="127" t="str">
        <f>IF(kokpit!F121&lt;&gt;"",kokpit!F121,"")</f>
        <v/>
      </c>
      <c r="G121" s="24" t="str">
        <f>IF(E121&lt;&gt;"",SUMIFS('JPK_KR-1'!AL:AL,'JPK_KR-1'!W:W,F121),"")</f>
        <v/>
      </c>
      <c r="H121" s="126" t="str">
        <f>IF(E121&lt;&gt;"",SUMIFS('JPK_KR-1'!AM:AM,'JPK_KR-1'!W:W,F121),"")</f>
        <v/>
      </c>
      <c r="I121" s="5" t="str">
        <f>IF(kokpit!I121&lt;&gt;"",kokpit!I121,"")</f>
        <v/>
      </c>
      <c r="J121" s="5" t="str">
        <f>IF(kokpit!J121&lt;&gt;"",kokpit!J121,"")</f>
        <v/>
      </c>
      <c r="K121" s="24" t="str">
        <f>IF(I121&lt;&gt;"",SUMIFS('JPK_KR-1'!AL:AL,'JPK_KR-1'!W:W,J121),"")</f>
        <v/>
      </c>
      <c r="L121" s="141" t="str">
        <f>IF(I121&lt;&gt;"",SUMIFS('JPK_KR-1'!AM:AM,'JPK_KR-1'!W:W,J121),"")</f>
        <v/>
      </c>
      <c r="M121" s="143" t="str">
        <f>IF(kokpit!M121&lt;&gt;"",kokpit!M121,"")</f>
        <v/>
      </c>
      <c r="N121" s="117" t="str">
        <f>IF(kokpit!N121&lt;&gt;"",kokpit!N121,"")</f>
        <v/>
      </c>
      <c r="O121" s="117" t="str">
        <f>IF(kokpit!O121&lt;&gt;"",kokpit!O121,"")</f>
        <v/>
      </c>
      <c r="P121" s="141" t="str">
        <f>IF(M121&lt;&gt;"",IF(O121="",SUMIFS('JPK_KR-1'!AL:AL,'JPK_KR-1'!W:W,N121),SUMIFS('JPK_KR-1'!BF:BF,'JPK_KR-1'!BE:BE,N121,'JPK_KR-1'!BG:BG,O121)),"")</f>
        <v/>
      </c>
      <c r="Q121" s="144" t="str">
        <f>IF(M121&lt;&gt;"",IF(O121="",SUMIFS('JPK_KR-1'!AM:AM,'JPK_KR-1'!W:W,N121),SUMIFS('JPK_KR-1'!BI:BI,'JPK_KR-1'!BH:BH,N121,'JPK_KR-1'!BJ:BJ,O121)),"")</f>
        <v/>
      </c>
      <c r="R121" s="117" t="str">
        <f>IF(kokpit!R121&lt;&gt;"",kokpit!R121,"")</f>
        <v/>
      </c>
      <c r="S121" s="117" t="str">
        <f>IF(kokpit!S121&lt;&gt;"",kokpit!S121,"")</f>
        <v/>
      </c>
      <c r="T121" s="117" t="str">
        <f>IF(kokpit!T121&lt;&gt;"",kokpit!T121,"")</f>
        <v/>
      </c>
      <c r="U121" s="141" t="str">
        <f>IF(R121&lt;&gt;"",SUMIFS('JPK_KR-1'!AL:AL,'JPK_KR-1'!W:W,S121),"")</f>
        <v/>
      </c>
      <c r="V121" s="144" t="str">
        <f>IF(R121&lt;&gt;"",SUMIFS('JPK_KR-1'!AM:AM,'JPK_KR-1'!W:W,S121),"")</f>
        <v/>
      </c>
    </row>
    <row r="122" spans="1:22" x14ac:dyDescent="0.3">
      <c r="A122" s="5" t="str">
        <f>IF(kokpit!A122&lt;&gt;"",kokpit!A122,"")</f>
        <v/>
      </c>
      <c r="B122" s="5" t="str">
        <f>IF(kokpit!B122&lt;&gt;"",kokpit!B122,"")</f>
        <v/>
      </c>
      <c r="C122" s="24" t="str">
        <f>IF(A122&lt;&gt;"",SUMIFS('JPK_KR-1'!AL:AL,'JPK_KR-1'!W:W,B122),"")</f>
        <v/>
      </c>
      <c r="D122" s="126" t="str">
        <f>IF(A122&lt;&gt;"",SUMIFS('JPK_KR-1'!AM:AM,'JPK_KR-1'!W:W,B122),"")</f>
        <v/>
      </c>
      <c r="E122" s="5" t="str">
        <f>IF(kokpit!E122&lt;&gt;"",kokpit!E122,"")</f>
        <v/>
      </c>
      <c r="F122" s="127" t="str">
        <f>IF(kokpit!F122&lt;&gt;"",kokpit!F122,"")</f>
        <v/>
      </c>
      <c r="G122" s="24" t="str">
        <f>IF(E122&lt;&gt;"",SUMIFS('JPK_KR-1'!AL:AL,'JPK_KR-1'!W:W,F122),"")</f>
        <v/>
      </c>
      <c r="H122" s="126" t="str">
        <f>IF(E122&lt;&gt;"",SUMIFS('JPK_KR-1'!AM:AM,'JPK_KR-1'!W:W,F122),"")</f>
        <v/>
      </c>
      <c r="I122" s="5" t="str">
        <f>IF(kokpit!I122&lt;&gt;"",kokpit!I122,"")</f>
        <v/>
      </c>
      <c r="J122" s="5" t="str">
        <f>IF(kokpit!J122&lt;&gt;"",kokpit!J122,"")</f>
        <v/>
      </c>
      <c r="K122" s="24" t="str">
        <f>IF(I122&lt;&gt;"",SUMIFS('JPK_KR-1'!AL:AL,'JPK_KR-1'!W:W,J122),"")</f>
        <v/>
      </c>
      <c r="L122" s="141" t="str">
        <f>IF(I122&lt;&gt;"",SUMIFS('JPK_KR-1'!AM:AM,'JPK_KR-1'!W:W,J122),"")</f>
        <v/>
      </c>
      <c r="M122" s="143" t="str">
        <f>IF(kokpit!M122&lt;&gt;"",kokpit!M122,"")</f>
        <v/>
      </c>
      <c r="N122" s="117" t="str">
        <f>IF(kokpit!N122&lt;&gt;"",kokpit!N122,"")</f>
        <v/>
      </c>
      <c r="O122" s="117" t="str">
        <f>IF(kokpit!O122&lt;&gt;"",kokpit!O122,"")</f>
        <v/>
      </c>
      <c r="P122" s="141" t="str">
        <f>IF(M122&lt;&gt;"",IF(O122="",SUMIFS('JPK_KR-1'!AL:AL,'JPK_KR-1'!W:W,N122),SUMIFS('JPK_KR-1'!BF:BF,'JPK_KR-1'!BE:BE,N122,'JPK_KR-1'!BG:BG,O122)),"")</f>
        <v/>
      </c>
      <c r="Q122" s="144" t="str">
        <f>IF(M122&lt;&gt;"",IF(O122="",SUMIFS('JPK_KR-1'!AM:AM,'JPK_KR-1'!W:W,N122),SUMIFS('JPK_KR-1'!BI:BI,'JPK_KR-1'!BH:BH,N122,'JPK_KR-1'!BJ:BJ,O122)),"")</f>
        <v/>
      </c>
      <c r="R122" s="117" t="str">
        <f>IF(kokpit!R122&lt;&gt;"",kokpit!R122,"")</f>
        <v/>
      </c>
      <c r="S122" s="117" t="str">
        <f>IF(kokpit!S122&lt;&gt;"",kokpit!S122,"")</f>
        <v/>
      </c>
      <c r="T122" s="117" t="str">
        <f>IF(kokpit!T122&lt;&gt;"",kokpit!T122,"")</f>
        <v/>
      </c>
      <c r="U122" s="141" t="str">
        <f>IF(R122&lt;&gt;"",SUMIFS('JPK_KR-1'!AL:AL,'JPK_KR-1'!W:W,S122),"")</f>
        <v/>
      </c>
      <c r="V122" s="144" t="str">
        <f>IF(R122&lt;&gt;"",SUMIFS('JPK_KR-1'!AM:AM,'JPK_KR-1'!W:W,S122),"")</f>
        <v/>
      </c>
    </row>
    <row r="123" spans="1:22" x14ac:dyDescent="0.3">
      <c r="A123" s="5" t="str">
        <f>IF(kokpit!A123&lt;&gt;"",kokpit!A123,"")</f>
        <v/>
      </c>
      <c r="B123" s="5" t="str">
        <f>IF(kokpit!B123&lt;&gt;"",kokpit!B123,"")</f>
        <v/>
      </c>
      <c r="C123" s="24" t="str">
        <f>IF(A123&lt;&gt;"",SUMIFS('JPK_KR-1'!AL:AL,'JPK_KR-1'!W:W,B123),"")</f>
        <v/>
      </c>
      <c r="D123" s="126" t="str">
        <f>IF(A123&lt;&gt;"",SUMIFS('JPK_KR-1'!AM:AM,'JPK_KR-1'!W:W,B123),"")</f>
        <v/>
      </c>
      <c r="E123" s="5" t="str">
        <f>IF(kokpit!E123&lt;&gt;"",kokpit!E123,"")</f>
        <v/>
      </c>
      <c r="F123" s="127" t="str">
        <f>IF(kokpit!F123&lt;&gt;"",kokpit!F123,"")</f>
        <v/>
      </c>
      <c r="G123" s="24" t="str">
        <f>IF(E123&lt;&gt;"",SUMIFS('JPK_KR-1'!AL:AL,'JPK_KR-1'!W:W,F123),"")</f>
        <v/>
      </c>
      <c r="H123" s="126" t="str">
        <f>IF(E123&lt;&gt;"",SUMIFS('JPK_KR-1'!AM:AM,'JPK_KR-1'!W:W,F123),"")</f>
        <v/>
      </c>
      <c r="I123" s="5" t="str">
        <f>IF(kokpit!I123&lt;&gt;"",kokpit!I123,"")</f>
        <v/>
      </c>
      <c r="J123" s="5" t="str">
        <f>IF(kokpit!J123&lt;&gt;"",kokpit!J123,"")</f>
        <v/>
      </c>
      <c r="K123" s="24" t="str">
        <f>IF(I123&lt;&gt;"",SUMIFS('JPK_KR-1'!AL:AL,'JPK_KR-1'!W:W,J123),"")</f>
        <v/>
      </c>
      <c r="L123" s="141" t="str">
        <f>IF(I123&lt;&gt;"",SUMIFS('JPK_KR-1'!AM:AM,'JPK_KR-1'!W:W,J123),"")</f>
        <v/>
      </c>
      <c r="M123" s="143" t="str">
        <f>IF(kokpit!M123&lt;&gt;"",kokpit!M123,"")</f>
        <v/>
      </c>
      <c r="N123" s="117" t="str">
        <f>IF(kokpit!N123&lt;&gt;"",kokpit!N123,"")</f>
        <v/>
      </c>
      <c r="O123" s="117" t="str">
        <f>IF(kokpit!O123&lt;&gt;"",kokpit!O123,"")</f>
        <v/>
      </c>
      <c r="P123" s="141" t="str">
        <f>IF(M123&lt;&gt;"",IF(O123="",SUMIFS('JPK_KR-1'!AL:AL,'JPK_KR-1'!W:W,N123),SUMIFS('JPK_KR-1'!BF:BF,'JPK_KR-1'!BE:BE,N123,'JPK_KR-1'!BG:BG,O123)),"")</f>
        <v/>
      </c>
      <c r="Q123" s="144" t="str">
        <f>IF(M123&lt;&gt;"",IF(O123="",SUMIFS('JPK_KR-1'!AM:AM,'JPK_KR-1'!W:W,N123),SUMIFS('JPK_KR-1'!BI:BI,'JPK_KR-1'!BH:BH,N123,'JPK_KR-1'!BJ:BJ,O123)),"")</f>
        <v/>
      </c>
      <c r="R123" s="117" t="str">
        <f>IF(kokpit!R123&lt;&gt;"",kokpit!R123,"")</f>
        <v/>
      </c>
      <c r="S123" s="117" t="str">
        <f>IF(kokpit!S123&lt;&gt;"",kokpit!S123,"")</f>
        <v/>
      </c>
      <c r="T123" s="117" t="str">
        <f>IF(kokpit!T123&lt;&gt;"",kokpit!T123,"")</f>
        <v/>
      </c>
      <c r="U123" s="141" t="str">
        <f>IF(R123&lt;&gt;"",SUMIFS('JPK_KR-1'!AL:AL,'JPK_KR-1'!W:W,S123),"")</f>
        <v/>
      </c>
      <c r="V123" s="144" t="str">
        <f>IF(R123&lt;&gt;"",SUMIFS('JPK_KR-1'!AM:AM,'JPK_KR-1'!W:W,S123),"")</f>
        <v/>
      </c>
    </row>
    <row r="124" spans="1:22" x14ac:dyDescent="0.3">
      <c r="A124" s="5" t="str">
        <f>IF(kokpit!A124&lt;&gt;"",kokpit!A124,"")</f>
        <v/>
      </c>
      <c r="B124" s="5" t="str">
        <f>IF(kokpit!B124&lt;&gt;"",kokpit!B124,"")</f>
        <v/>
      </c>
      <c r="C124" s="24" t="str">
        <f>IF(A124&lt;&gt;"",SUMIFS('JPK_KR-1'!AL:AL,'JPK_KR-1'!W:W,B124),"")</f>
        <v/>
      </c>
      <c r="D124" s="126" t="str">
        <f>IF(A124&lt;&gt;"",SUMIFS('JPK_KR-1'!AM:AM,'JPK_KR-1'!W:W,B124),"")</f>
        <v/>
      </c>
      <c r="E124" s="5" t="str">
        <f>IF(kokpit!E124&lt;&gt;"",kokpit!E124,"")</f>
        <v/>
      </c>
      <c r="F124" s="127" t="str">
        <f>IF(kokpit!F124&lt;&gt;"",kokpit!F124,"")</f>
        <v/>
      </c>
      <c r="G124" s="24" t="str">
        <f>IF(E124&lt;&gt;"",SUMIFS('JPK_KR-1'!AL:AL,'JPK_KR-1'!W:W,F124),"")</f>
        <v/>
      </c>
      <c r="H124" s="126" t="str">
        <f>IF(E124&lt;&gt;"",SUMIFS('JPK_KR-1'!AM:AM,'JPK_KR-1'!W:W,F124),"")</f>
        <v/>
      </c>
      <c r="I124" s="5" t="str">
        <f>IF(kokpit!I124&lt;&gt;"",kokpit!I124,"")</f>
        <v/>
      </c>
      <c r="J124" s="5" t="str">
        <f>IF(kokpit!J124&lt;&gt;"",kokpit!J124,"")</f>
        <v/>
      </c>
      <c r="K124" s="24" t="str">
        <f>IF(I124&lt;&gt;"",SUMIFS('JPK_KR-1'!AL:AL,'JPK_KR-1'!W:W,J124),"")</f>
        <v/>
      </c>
      <c r="L124" s="141" t="str">
        <f>IF(I124&lt;&gt;"",SUMIFS('JPK_KR-1'!AM:AM,'JPK_KR-1'!W:W,J124),"")</f>
        <v/>
      </c>
      <c r="M124" s="143" t="str">
        <f>IF(kokpit!M124&lt;&gt;"",kokpit!M124,"")</f>
        <v/>
      </c>
      <c r="N124" s="117" t="str">
        <f>IF(kokpit!N124&lt;&gt;"",kokpit!N124,"")</f>
        <v/>
      </c>
      <c r="O124" s="117" t="str">
        <f>IF(kokpit!O124&lt;&gt;"",kokpit!O124,"")</f>
        <v/>
      </c>
      <c r="P124" s="141" t="str">
        <f>IF(M124&lt;&gt;"",IF(O124="",SUMIFS('JPK_KR-1'!AL:AL,'JPK_KR-1'!W:W,N124),SUMIFS('JPK_KR-1'!BF:BF,'JPK_KR-1'!BE:BE,N124,'JPK_KR-1'!BG:BG,O124)),"")</f>
        <v/>
      </c>
      <c r="Q124" s="144" t="str">
        <f>IF(M124&lt;&gt;"",IF(O124="",SUMIFS('JPK_KR-1'!AM:AM,'JPK_KR-1'!W:W,N124),SUMIFS('JPK_KR-1'!BI:BI,'JPK_KR-1'!BH:BH,N124,'JPK_KR-1'!BJ:BJ,O124)),"")</f>
        <v/>
      </c>
      <c r="R124" s="117" t="str">
        <f>IF(kokpit!R124&lt;&gt;"",kokpit!R124,"")</f>
        <v/>
      </c>
      <c r="S124" s="117" t="str">
        <f>IF(kokpit!S124&lt;&gt;"",kokpit!S124,"")</f>
        <v/>
      </c>
      <c r="T124" s="117" t="str">
        <f>IF(kokpit!T124&lt;&gt;"",kokpit!T124,"")</f>
        <v/>
      </c>
      <c r="U124" s="141" t="str">
        <f>IF(R124&lt;&gt;"",SUMIFS('JPK_KR-1'!AL:AL,'JPK_KR-1'!W:W,S124),"")</f>
        <v/>
      </c>
      <c r="V124" s="144" t="str">
        <f>IF(R124&lt;&gt;"",SUMIFS('JPK_KR-1'!AM:AM,'JPK_KR-1'!W:W,S124),"")</f>
        <v/>
      </c>
    </row>
    <row r="125" spans="1:22" x14ac:dyDescent="0.3">
      <c r="A125" s="5" t="str">
        <f>IF(kokpit!A125&lt;&gt;"",kokpit!A125,"")</f>
        <v/>
      </c>
      <c r="B125" s="5" t="str">
        <f>IF(kokpit!B125&lt;&gt;"",kokpit!B125,"")</f>
        <v/>
      </c>
      <c r="C125" s="24" t="str">
        <f>IF(A125&lt;&gt;"",SUMIFS('JPK_KR-1'!AL:AL,'JPK_KR-1'!W:W,B125),"")</f>
        <v/>
      </c>
      <c r="D125" s="126" t="str">
        <f>IF(A125&lt;&gt;"",SUMIFS('JPK_KR-1'!AM:AM,'JPK_KR-1'!W:W,B125),"")</f>
        <v/>
      </c>
      <c r="E125" s="5" t="str">
        <f>IF(kokpit!E125&lt;&gt;"",kokpit!E125,"")</f>
        <v/>
      </c>
      <c r="F125" s="127" t="str">
        <f>IF(kokpit!F125&lt;&gt;"",kokpit!F125,"")</f>
        <v/>
      </c>
      <c r="G125" s="24" t="str">
        <f>IF(E125&lt;&gt;"",SUMIFS('JPK_KR-1'!AL:AL,'JPK_KR-1'!W:W,F125),"")</f>
        <v/>
      </c>
      <c r="H125" s="126" t="str">
        <f>IF(E125&lt;&gt;"",SUMIFS('JPK_KR-1'!AM:AM,'JPK_KR-1'!W:W,F125),"")</f>
        <v/>
      </c>
      <c r="I125" s="5" t="str">
        <f>IF(kokpit!I125&lt;&gt;"",kokpit!I125,"")</f>
        <v/>
      </c>
      <c r="J125" s="5" t="str">
        <f>IF(kokpit!J125&lt;&gt;"",kokpit!J125,"")</f>
        <v/>
      </c>
      <c r="K125" s="24" t="str">
        <f>IF(I125&lt;&gt;"",SUMIFS('JPK_KR-1'!AL:AL,'JPK_KR-1'!W:W,J125),"")</f>
        <v/>
      </c>
      <c r="L125" s="141" t="str">
        <f>IF(I125&lt;&gt;"",SUMIFS('JPK_KR-1'!AM:AM,'JPK_KR-1'!W:W,J125),"")</f>
        <v/>
      </c>
      <c r="M125" s="143" t="str">
        <f>IF(kokpit!M125&lt;&gt;"",kokpit!M125,"")</f>
        <v/>
      </c>
      <c r="N125" s="117" t="str">
        <f>IF(kokpit!N125&lt;&gt;"",kokpit!N125,"")</f>
        <v/>
      </c>
      <c r="O125" s="117" t="str">
        <f>IF(kokpit!O125&lt;&gt;"",kokpit!O125,"")</f>
        <v/>
      </c>
      <c r="P125" s="141" t="str">
        <f>IF(M125&lt;&gt;"",IF(O125="",SUMIFS('JPK_KR-1'!AL:AL,'JPK_KR-1'!W:W,N125),SUMIFS('JPK_KR-1'!BF:BF,'JPK_KR-1'!BE:BE,N125,'JPK_KR-1'!BG:BG,O125)),"")</f>
        <v/>
      </c>
      <c r="Q125" s="144" t="str">
        <f>IF(M125&lt;&gt;"",IF(O125="",SUMIFS('JPK_KR-1'!AM:AM,'JPK_KR-1'!W:W,N125),SUMIFS('JPK_KR-1'!BI:BI,'JPK_KR-1'!BH:BH,N125,'JPK_KR-1'!BJ:BJ,O125)),"")</f>
        <v/>
      </c>
      <c r="R125" s="117" t="str">
        <f>IF(kokpit!R125&lt;&gt;"",kokpit!R125,"")</f>
        <v/>
      </c>
      <c r="S125" s="117" t="str">
        <f>IF(kokpit!S125&lt;&gt;"",kokpit!S125,"")</f>
        <v/>
      </c>
      <c r="T125" s="117" t="str">
        <f>IF(kokpit!T125&lt;&gt;"",kokpit!T125,"")</f>
        <v/>
      </c>
      <c r="U125" s="141" t="str">
        <f>IF(R125&lt;&gt;"",SUMIFS('JPK_KR-1'!AL:AL,'JPK_KR-1'!W:W,S125),"")</f>
        <v/>
      </c>
      <c r="V125" s="144" t="str">
        <f>IF(R125&lt;&gt;"",SUMIFS('JPK_KR-1'!AM:AM,'JPK_KR-1'!W:W,S125),"")</f>
        <v/>
      </c>
    </row>
    <row r="126" spans="1:22" x14ac:dyDescent="0.3">
      <c r="A126" s="5" t="str">
        <f>IF(kokpit!A126&lt;&gt;"",kokpit!A126,"")</f>
        <v/>
      </c>
      <c r="B126" s="5" t="str">
        <f>IF(kokpit!B126&lt;&gt;"",kokpit!B126,"")</f>
        <v/>
      </c>
      <c r="C126" s="24" t="str">
        <f>IF(A126&lt;&gt;"",SUMIFS('JPK_KR-1'!AL:AL,'JPK_KR-1'!W:W,B126),"")</f>
        <v/>
      </c>
      <c r="D126" s="126" t="str">
        <f>IF(A126&lt;&gt;"",SUMIFS('JPK_KR-1'!AM:AM,'JPK_KR-1'!W:W,B126),"")</f>
        <v/>
      </c>
      <c r="E126" s="5" t="str">
        <f>IF(kokpit!E126&lt;&gt;"",kokpit!E126,"")</f>
        <v/>
      </c>
      <c r="F126" s="127" t="str">
        <f>IF(kokpit!F126&lt;&gt;"",kokpit!F126,"")</f>
        <v/>
      </c>
      <c r="G126" s="24" t="str">
        <f>IF(E126&lt;&gt;"",SUMIFS('JPK_KR-1'!AL:AL,'JPK_KR-1'!W:W,F126),"")</f>
        <v/>
      </c>
      <c r="H126" s="126" t="str">
        <f>IF(E126&lt;&gt;"",SUMIFS('JPK_KR-1'!AM:AM,'JPK_KR-1'!W:W,F126),"")</f>
        <v/>
      </c>
      <c r="I126" s="5" t="str">
        <f>IF(kokpit!I126&lt;&gt;"",kokpit!I126,"")</f>
        <v/>
      </c>
      <c r="J126" s="5" t="str">
        <f>IF(kokpit!J126&lt;&gt;"",kokpit!J126,"")</f>
        <v/>
      </c>
      <c r="K126" s="24" t="str">
        <f>IF(I126&lt;&gt;"",SUMIFS('JPK_KR-1'!AL:AL,'JPK_KR-1'!W:W,J126),"")</f>
        <v/>
      </c>
      <c r="L126" s="141" t="str">
        <f>IF(I126&lt;&gt;"",SUMIFS('JPK_KR-1'!AM:AM,'JPK_KR-1'!W:W,J126),"")</f>
        <v/>
      </c>
      <c r="M126" s="143" t="str">
        <f>IF(kokpit!M126&lt;&gt;"",kokpit!M126,"")</f>
        <v/>
      </c>
      <c r="N126" s="117" t="str">
        <f>IF(kokpit!N126&lt;&gt;"",kokpit!N126,"")</f>
        <v/>
      </c>
      <c r="O126" s="117" t="str">
        <f>IF(kokpit!O126&lt;&gt;"",kokpit!O126,"")</f>
        <v/>
      </c>
      <c r="P126" s="141" t="str">
        <f>IF(M126&lt;&gt;"",IF(O126="",SUMIFS('JPK_KR-1'!AL:AL,'JPK_KR-1'!W:W,N126),SUMIFS('JPK_KR-1'!BF:BF,'JPK_KR-1'!BE:BE,N126,'JPK_KR-1'!BG:BG,O126)),"")</f>
        <v/>
      </c>
      <c r="Q126" s="144" t="str">
        <f>IF(M126&lt;&gt;"",IF(O126="",SUMIFS('JPK_KR-1'!AM:AM,'JPK_KR-1'!W:W,N126),SUMIFS('JPK_KR-1'!BI:BI,'JPK_KR-1'!BH:BH,N126,'JPK_KR-1'!BJ:BJ,O126)),"")</f>
        <v/>
      </c>
      <c r="R126" s="117" t="str">
        <f>IF(kokpit!R126&lt;&gt;"",kokpit!R126,"")</f>
        <v/>
      </c>
      <c r="S126" s="117" t="str">
        <f>IF(kokpit!S126&lt;&gt;"",kokpit!S126,"")</f>
        <v/>
      </c>
      <c r="T126" s="117" t="str">
        <f>IF(kokpit!T126&lt;&gt;"",kokpit!T126,"")</f>
        <v/>
      </c>
      <c r="U126" s="141" t="str">
        <f>IF(R126&lt;&gt;"",SUMIFS('JPK_KR-1'!AL:AL,'JPK_KR-1'!W:W,S126),"")</f>
        <v/>
      </c>
      <c r="V126" s="144" t="str">
        <f>IF(R126&lt;&gt;"",SUMIFS('JPK_KR-1'!AM:AM,'JPK_KR-1'!W:W,S126),"")</f>
        <v/>
      </c>
    </row>
    <row r="127" spans="1:22" x14ac:dyDescent="0.3">
      <c r="A127" s="5" t="str">
        <f>IF(kokpit!A127&lt;&gt;"",kokpit!A127,"")</f>
        <v/>
      </c>
      <c r="B127" s="5" t="str">
        <f>IF(kokpit!B127&lt;&gt;"",kokpit!B127,"")</f>
        <v/>
      </c>
      <c r="C127" s="24" t="str">
        <f>IF(A127&lt;&gt;"",SUMIFS('JPK_KR-1'!AL:AL,'JPK_KR-1'!W:W,B127),"")</f>
        <v/>
      </c>
      <c r="D127" s="126" t="str">
        <f>IF(A127&lt;&gt;"",SUMIFS('JPK_KR-1'!AM:AM,'JPK_KR-1'!W:W,B127),"")</f>
        <v/>
      </c>
      <c r="E127" s="5" t="str">
        <f>IF(kokpit!E127&lt;&gt;"",kokpit!E127,"")</f>
        <v/>
      </c>
      <c r="F127" s="127" t="str">
        <f>IF(kokpit!F127&lt;&gt;"",kokpit!F127,"")</f>
        <v/>
      </c>
      <c r="G127" s="24" t="str">
        <f>IF(E127&lt;&gt;"",SUMIFS('JPK_KR-1'!AL:AL,'JPK_KR-1'!W:W,F127),"")</f>
        <v/>
      </c>
      <c r="H127" s="126" t="str">
        <f>IF(E127&lt;&gt;"",SUMIFS('JPK_KR-1'!AM:AM,'JPK_KR-1'!W:W,F127),"")</f>
        <v/>
      </c>
      <c r="I127" s="5" t="str">
        <f>IF(kokpit!I127&lt;&gt;"",kokpit!I127,"")</f>
        <v/>
      </c>
      <c r="J127" s="5" t="str">
        <f>IF(kokpit!J127&lt;&gt;"",kokpit!J127,"")</f>
        <v/>
      </c>
      <c r="K127" s="24" t="str">
        <f>IF(I127&lt;&gt;"",SUMIFS('JPK_KR-1'!AL:AL,'JPK_KR-1'!W:W,J127),"")</f>
        <v/>
      </c>
      <c r="L127" s="141" t="str">
        <f>IF(I127&lt;&gt;"",SUMIFS('JPK_KR-1'!AM:AM,'JPK_KR-1'!W:W,J127),"")</f>
        <v/>
      </c>
      <c r="M127" s="143" t="str">
        <f>IF(kokpit!M127&lt;&gt;"",kokpit!M127,"")</f>
        <v/>
      </c>
      <c r="N127" s="117" t="str">
        <f>IF(kokpit!N127&lt;&gt;"",kokpit!N127,"")</f>
        <v/>
      </c>
      <c r="O127" s="117" t="str">
        <f>IF(kokpit!O127&lt;&gt;"",kokpit!O127,"")</f>
        <v/>
      </c>
      <c r="P127" s="141" t="str">
        <f>IF(M127&lt;&gt;"",IF(O127="",SUMIFS('JPK_KR-1'!AL:AL,'JPK_KR-1'!W:W,N127),SUMIFS('JPK_KR-1'!BF:BF,'JPK_KR-1'!BE:BE,N127,'JPK_KR-1'!BG:BG,O127)),"")</f>
        <v/>
      </c>
      <c r="Q127" s="144" t="str">
        <f>IF(M127&lt;&gt;"",IF(O127="",SUMIFS('JPK_KR-1'!AM:AM,'JPK_KR-1'!W:W,N127),SUMIFS('JPK_KR-1'!BI:BI,'JPK_KR-1'!BH:BH,N127,'JPK_KR-1'!BJ:BJ,O127)),"")</f>
        <v/>
      </c>
      <c r="R127" s="117" t="str">
        <f>IF(kokpit!R127&lt;&gt;"",kokpit!R127,"")</f>
        <v/>
      </c>
      <c r="S127" s="117" t="str">
        <f>IF(kokpit!S127&lt;&gt;"",kokpit!S127,"")</f>
        <v/>
      </c>
      <c r="T127" s="117" t="str">
        <f>IF(kokpit!T127&lt;&gt;"",kokpit!T127,"")</f>
        <v/>
      </c>
      <c r="U127" s="141" t="str">
        <f>IF(R127&lt;&gt;"",SUMIFS('JPK_KR-1'!AL:AL,'JPK_KR-1'!W:W,S127),"")</f>
        <v/>
      </c>
      <c r="V127" s="144" t="str">
        <f>IF(R127&lt;&gt;"",SUMIFS('JPK_KR-1'!AM:AM,'JPK_KR-1'!W:W,S127),"")</f>
        <v/>
      </c>
    </row>
    <row r="128" spans="1:22" x14ac:dyDescent="0.3">
      <c r="A128" s="5" t="str">
        <f>IF(kokpit!A128&lt;&gt;"",kokpit!A128,"")</f>
        <v/>
      </c>
      <c r="B128" s="5" t="str">
        <f>IF(kokpit!B128&lt;&gt;"",kokpit!B128,"")</f>
        <v/>
      </c>
      <c r="C128" s="24" t="str">
        <f>IF(A128&lt;&gt;"",SUMIFS('JPK_KR-1'!AL:AL,'JPK_KR-1'!W:W,B128),"")</f>
        <v/>
      </c>
      <c r="D128" s="126" t="str">
        <f>IF(A128&lt;&gt;"",SUMIFS('JPK_KR-1'!AM:AM,'JPK_KR-1'!W:W,B128),"")</f>
        <v/>
      </c>
      <c r="E128" s="5" t="str">
        <f>IF(kokpit!E128&lt;&gt;"",kokpit!E128,"")</f>
        <v/>
      </c>
      <c r="F128" s="127" t="str">
        <f>IF(kokpit!F128&lt;&gt;"",kokpit!F128,"")</f>
        <v/>
      </c>
      <c r="G128" s="24" t="str">
        <f>IF(E128&lt;&gt;"",SUMIFS('JPK_KR-1'!AL:AL,'JPK_KR-1'!W:W,F128),"")</f>
        <v/>
      </c>
      <c r="H128" s="126" t="str">
        <f>IF(E128&lt;&gt;"",SUMIFS('JPK_KR-1'!AM:AM,'JPK_KR-1'!W:W,F128),"")</f>
        <v/>
      </c>
      <c r="I128" s="5" t="str">
        <f>IF(kokpit!I128&lt;&gt;"",kokpit!I128,"")</f>
        <v/>
      </c>
      <c r="J128" s="5" t="str">
        <f>IF(kokpit!J128&lt;&gt;"",kokpit!J128,"")</f>
        <v/>
      </c>
      <c r="K128" s="24" t="str">
        <f>IF(I128&lt;&gt;"",SUMIFS('JPK_KR-1'!AL:AL,'JPK_KR-1'!W:W,J128),"")</f>
        <v/>
      </c>
      <c r="L128" s="141" t="str">
        <f>IF(I128&lt;&gt;"",SUMIFS('JPK_KR-1'!AM:AM,'JPK_KR-1'!W:W,J128),"")</f>
        <v/>
      </c>
      <c r="M128" s="143" t="str">
        <f>IF(kokpit!M128&lt;&gt;"",kokpit!M128,"")</f>
        <v/>
      </c>
      <c r="N128" s="117" t="str">
        <f>IF(kokpit!N128&lt;&gt;"",kokpit!N128,"")</f>
        <v/>
      </c>
      <c r="O128" s="117" t="str">
        <f>IF(kokpit!O128&lt;&gt;"",kokpit!O128,"")</f>
        <v/>
      </c>
      <c r="P128" s="141" t="str">
        <f>IF(M128&lt;&gt;"",IF(O128="",SUMIFS('JPK_KR-1'!AL:AL,'JPK_KR-1'!W:W,N128),SUMIFS('JPK_KR-1'!BF:BF,'JPK_KR-1'!BE:BE,N128,'JPK_KR-1'!BG:BG,O128)),"")</f>
        <v/>
      </c>
      <c r="Q128" s="144" t="str">
        <f>IF(M128&lt;&gt;"",IF(O128="",SUMIFS('JPK_KR-1'!AM:AM,'JPK_KR-1'!W:W,N128),SUMIFS('JPK_KR-1'!BI:BI,'JPK_KR-1'!BH:BH,N128,'JPK_KR-1'!BJ:BJ,O128)),"")</f>
        <v/>
      </c>
      <c r="R128" s="117" t="str">
        <f>IF(kokpit!R128&lt;&gt;"",kokpit!R128,"")</f>
        <v/>
      </c>
      <c r="S128" s="117" t="str">
        <f>IF(kokpit!S128&lt;&gt;"",kokpit!S128,"")</f>
        <v/>
      </c>
      <c r="T128" s="117" t="str">
        <f>IF(kokpit!T128&lt;&gt;"",kokpit!T128,"")</f>
        <v/>
      </c>
      <c r="U128" s="141" t="str">
        <f>IF(R128&lt;&gt;"",SUMIFS('JPK_KR-1'!AL:AL,'JPK_KR-1'!W:W,S128),"")</f>
        <v/>
      </c>
      <c r="V128" s="144" t="str">
        <f>IF(R128&lt;&gt;"",SUMIFS('JPK_KR-1'!AM:AM,'JPK_KR-1'!W:W,S128),"")</f>
        <v/>
      </c>
    </row>
    <row r="129" spans="1:22" x14ac:dyDescent="0.3">
      <c r="A129" s="5" t="str">
        <f>IF(kokpit!A129&lt;&gt;"",kokpit!A129,"")</f>
        <v/>
      </c>
      <c r="B129" s="5" t="str">
        <f>IF(kokpit!B129&lt;&gt;"",kokpit!B129,"")</f>
        <v/>
      </c>
      <c r="C129" s="24" t="str">
        <f>IF(A129&lt;&gt;"",SUMIFS('JPK_KR-1'!AL:AL,'JPK_KR-1'!W:W,B129),"")</f>
        <v/>
      </c>
      <c r="D129" s="126" t="str">
        <f>IF(A129&lt;&gt;"",SUMIFS('JPK_KR-1'!AM:AM,'JPK_KR-1'!W:W,B129),"")</f>
        <v/>
      </c>
      <c r="E129" s="5" t="str">
        <f>IF(kokpit!E129&lt;&gt;"",kokpit!E129,"")</f>
        <v/>
      </c>
      <c r="F129" s="127" t="str">
        <f>IF(kokpit!F129&lt;&gt;"",kokpit!F129,"")</f>
        <v/>
      </c>
      <c r="G129" s="24" t="str">
        <f>IF(E129&lt;&gt;"",SUMIFS('JPK_KR-1'!AL:AL,'JPK_KR-1'!W:W,F129),"")</f>
        <v/>
      </c>
      <c r="H129" s="126" t="str">
        <f>IF(E129&lt;&gt;"",SUMIFS('JPK_KR-1'!AM:AM,'JPK_KR-1'!W:W,F129),"")</f>
        <v/>
      </c>
      <c r="I129" s="5" t="str">
        <f>IF(kokpit!I129&lt;&gt;"",kokpit!I129,"")</f>
        <v/>
      </c>
      <c r="J129" s="5" t="str">
        <f>IF(kokpit!J129&lt;&gt;"",kokpit!J129,"")</f>
        <v/>
      </c>
      <c r="K129" s="24" t="str">
        <f>IF(I129&lt;&gt;"",SUMIFS('JPK_KR-1'!AL:AL,'JPK_KR-1'!W:W,J129),"")</f>
        <v/>
      </c>
      <c r="L129" s="141" t="str">
        <f>IF(I129&lt;&gt;"",SUMIFS('JPK_KR-1'!AM:AM,'JPK_KR-1'!W:W,J129),"")</f>
        <v/>
      </c>
      <c r="M129" s="143" t="str">
        <f>IF(kokpit!M129&lt;&gt;"",kokpit!M129,"")</f>
        <v/>
      </c>
      <c r="N129" s="117" t="str">
        <f>IF(kokpit!N129&lt;&gt;"",kokpit!N129,"")</f>
        <v/>
      </c>
      <c r="O129" s="117" t="str">
        <f>IF(kokpit!O129&lt;&gt;"",kokpit!O129,"")</f>
        <v/>
      </c>
      <c r="P129" s="141" t="str">
        <f>IF(M129&lt;&gt;"",IF(O129="",SUMIFS('JPK_KR-1'!AL:AL,'JPK_KR-1'!W:W,N129),SUMIFS('JPK_KR-1'!BF:BF,'JPK_KR-1'!BE:BE,N129,'JPK_KR-1'!BG:BG,O129)),"")</f>
        <v/>
      </c>
      <c r="Q129" s="144" t="str">
        <f>IF(M129&lt;&gt;"",IF(O129="",SUMIFS('JPK_KR-1'!AM:AM,'JPK_KR-1'!W:W,N129),SUMIFS('JPK_KR-1'!BI:BI,'JPK_KR-1'!BH:BH,N129,'JPK_KR-1'!BJ:BJ,O129)),"")</f>
        <v/>
      </c>
      <c r="R129" s="117" t="str">
        <f>IF(kokpit!R129&lt;&gt;"",kokpit!R129,"")</f>
        <v/>
      </c>
      <c r="S129" s="117" t="str">
        <f>IF(kokpit!S129&lt;&gt;"",kokpit!S129,"")</f>
        <v/>
      </c>
      <c r="T129" s="117" t="str">
        <f>IF(kokpit!T129&lt;&gt;"",kokpit!T129,"")</f>
        <v/>
      </c>
      <c r="U129" s="141" t="str">
        <f>IF(R129&lt;&gt;"",SUMIFS('JPK_KR-1'!AL:AL,'JPK_KR-1'!W:W,S129),"")</f>
        <v/>
      </c>
      <c r="V129" s="144" t="str">
        <f>IF(R129&lt;&gt;"",SUMIFS('JPK_KR-1'!AM:AM,'JPK_KR-1'!W:W,S129),"")</f>
        <v/>
      </c>
    </row>
    <row r="130" spans="1:22" x14ac:dyDescent="0.3">
      <c r="A130" s="5" t="str">
        <f>IF(kokpit!A130&lt;&gt;"",kokpit!A130,"")</f>
        <v/>
      </c>
      <c r="B130" s="5" t="str">
        <f>IF(kokpit!B130&lt;&gt;"",kokpit!B130,"")</f>
        <v/>
      </c>
      <c r="C130" s="24" t="str">
        <f>IF(A130&lt;&gt;"",SUMIFS('JPK_KR-1'!AL:AL,'JPK_KR-1'!W:W,B130),"")</f>
        <v/>
      </c>
      <c r="D130" s="126" t="str">
        <f>IF(A130&lt;&gt;"",SUMIFS('JPK_KR-1'!AM:AM,'JPK_KR-1'!W:W,B130),"")</f>
        <v/>
      </c>
      <c r="E130" s="5" t="str">
        <f>IF(kokpit!E130&lt;&gt;"",kokpit!E130,"")</f>
        <v/>
      </c>
      <c r="F130" s="127" t="str">
        <f>IF(kokpit!F130&lt;&gt;"",kokpit!F130,"")</f>
        <v/>
      </c>
      <c r="G130" s="24" t="str">
        <f>IF(E130&lt;&gt;"",SUMIFS('JPK_KR-1'!AL:AL,'JPK_KR-1'!W:W,F130),"")</f>
        <v/>
      </c>
      <c r="H130" s="126" t="str">
        <f>IF(E130&lt;&gt;"",SUMIFS('JPK_KR-1'!AM:AM,'JPK_KR-1'!W:W,F130),"")</f>
        <v/>
      </c>
      <c r="I130" s="5" t="str">
        <f>IF(kokpit!I130&lt;&gt;"",kokpit!I130,"")</f>
        <v/>
      </c>
      <c r="J130" s="5" t="str">
        <f>IF(kokpit!J130&lt;&gt;"",kokpit!J130,"")</f>
        <v/>
      </c>
      <c r="K130" s="24" t="str">
        <f>IF(I130&lt;&gt;"",SUMIFS('JPK_KR-1'!AL:AL,'JPK_KR-1'!W:W,J130),"")</f>
        <v/>
      </c>
      <c r="L130" s="141" t="str">
        <f>IF(I130&lt;&gt;"",SUMIFS('JPK_KR-1'!AM:AM,'JPK_KR-1'!W:W,J130),"")</f>
        <v/>
      </c>
      <c r="M130" s="143" t="str">
        <f>IF(kokpit!M130&lt;&gt;"",kokpit!M130,"")</f>
        <v/>
      </c>
      <c r="N130" s="117" t="str">
        <f>IF(kokpit!N130&lt;&gt;"",kokpit!N130,"")</f>
        <v/>
      </c>
      <c r="O130" s="117" t="str">
        <f>IF(kokpit!O130&lt;&gt;"",kokpit!O130,"")</f>
        <v/>
      </c>
      <c r="P130" s="141" t="str">
        <f>IF(M130&lt;&gt;"",IF(O130="",SUMIFS('JPK_KR-1'!AL:AL,'JPK_KR-1'!W:W,N130),SUMIFS('JPK_KR-1'!BF:BF,'JPK_KR-1'!BE:BE,N130,'JPK_KR-1'!BG:BG,O130)),"")</f>
        <v/>
      </c>
      <c r="Q130" s="144" t="str">
        <f>IF(M130&lt;&gt;"",IF(O130="",SUMIFS('JPK_KR-1'!AM:AM,'JPK_KR-1'!W:W,N130),SUMIFS('JPK_KR-1'!BI:BI,'JPK_KR-1'!BH:BH,N130,'JPK_KR-1'!BJ:BJ,O130)),"")</f>
        <v/>
      </c>
      <c r="R130" s="117" t="str">
        <f>IF(kokpit!R130&lt;&gt;"",kokpit!R130,"")</f>
        <v/>
      </c>
      <c r="S130" s="117" t="str">
        <f>IF(kokpit!S130&lt;&gt;"",kokpit!S130,"")</f>
        <v/>
      </c>
      <c r="T130" s="117" t="str">
        <f>IF(kokpit!T130&lt;&gt;"",kokpit!T130,"")</f>
        <v/>
      </c>
      <c r="U130" s="141" t="str">
        <f>IF(R130&lt;&gt;"",SUMIFS('JPK_KR-1'!AL:AL,'JPK_KR-1'!W:W,S130),"")</f>
        <v/>
      </c>
      <c r="V130" s="144" t="str">
        <f>IF(R130&lt;&gt;"",SUMIFS('JPK_KR-1'!AM:AM,'JPK_KR-1'!W:W,S130),"")</f>
        <v/>
      </c>
    </row>
    <row r="131" spans="1:22" x14ac:dyDescent="0.3">
      <c r="A131" s="5" t="str">
        <f>IF(kokpit!A131&lt;&gt;"",kokpit!A131,"")</f>
        <v/>
      </c>
      <c r="B131" s="5" t="str">
        <f>IF(kokpit!B131&lt;&gt;"",kokpit!B131,"")</f>
        <v/>
      </c>
      <c r="C131" s="24" t="str">
        <f>IF(A131&lt;&gt;"",SUMIFS('JPK_KR-1'!AL:AL,'JPK_KR-1'!W:W,B131),"")</f>
        <v/>
      </c>
      <c r="D131" s="126" t="str">
        <f>IF(A131&lt;&gt;"",SUMIFS('JPK_KR-1'!AM:AM,'JPK_KR-1'!W:W,B131),"")</f>
        <v/>
      </c>
      <c r="E131" s="5" t="str">
        <f>IF(kokpit!E131&lt;&gt;"",kokpit!E131,"")</f>
        <v/>
      </c>
      <c r="F131" s="127" t="str">
        <f>IF(kokpit!F131&lt;&gt;"",kokpit!F131,"")</f>
        <v/>
      </c>
      <c r="G131" s="24" t="str">
        <f>IF(E131&lt;&gt;"",SUMIFS('JPK_KR-1'!AL:AL,'JPK_KR-1'!W:W,F131),"")</f>
        <v/>
      </c>
      <c r="H131" s="126" t="str">
        <f>IF(E131&lt;&gt;"",SUMIFS('JPK_KR-1'!AM:AM,'JPK_KR-1'!W:W,F131),"")</f>
        <v/>
      </c>
      <c r="I131" s="5" t="str">
        <f>IF(kokpit!I131&lt;&gt;"",kokpit!I131,"")</f>
        <v/>
      </c>
      <c r="J131" s="5" t="str">
        <f>IF(kokpit!J131&lt;&gt;"",kokpit!J131,"")</f>
        <v/>
      </c>
      <c r="K131" s="24" t="str">
        <f>IF(I131&lt;&gt;"",SUMIFS('JPK_KR-1'!AL:AL,'JPK_KR-1'!W:W,J131),"")</f>
        <v/>
      </c>
      <c r="L131" s="141" t="str">
        <f>IF(I131&lt;&gt;"",SUMIFS('JPK_KR-1'!AM:AM,'JPK_KR-1'!W:W,J131),"")</f>
        <v/>
      </c>
      <c r="M131" s="143" t="str">
        <f>IF(kokpit!M131&lt;&gt;"",kokpit!M131,"")</f>
        <v/>
      </c>
      <c r="N131" s="117" t="str">
        <f>IF(kokpit!N131&lt;&gt;"",kokpit!N131,"")</f>
        <v/>
      </c>
      <c r="O131" s="117" t="str">
        <f>IF(kokpit!O131&lt;&gt;"",kokpit!O131,"")</f>
        <v/>
      </c>
      <c r="P131" s="141" t="str">
        <f>IF(M131&lt;&gt;"",IF(O131="",SUMIFS('JPK_KR-1'!AL:AL,'JPK_KR-1'!W:W,N131),SUMIFS('JPK_KR-1'!BF:BF,'JPK_KR-1'!BE:BE,N131,'JPK_KR-1'!BG:BG,O131)),"")</f>
        <v/>
      </c>
      <c r="Q131" s="144" t="str">
        <f>IF(M131&lt;&gt;"",IF(O131="",SUMIFS('JPK_KR-1'!AM:AM,'JPK_KR-1'!W:W,N131),SUMIFS('JPK_KR-1'!BI:BI,'JPK_KR-1'!BH:BH,N131,'JPK_KR-1'!BJ:BJ,O131)),"")</f>
        <v/>
      </c>
      <c r="R131" s="117" t="str">
        <f>IF(kokpit!R131&lt;&gt;"",kokpit!R131,"")</f>
        <v/>
      </c>
      <c r="S131" s="117" t="str">
        <f>IF(kokpit!S131&lt;&gt;"",kokpit!S131,"")</f>
        <v/>
      </c>
      <c r="T131" s="117" t="str">
        <f>IF(kokpit!T131&lt;&gt;"",kokpit!T131,"")</f>
        <v/>
      </c>
      <c r="U131" s="141" t="str">
        <f>IF(R131&lt;&gt;"",SUMIFS('JPK_KR-1'!AL:AL,'JPK_KR-1'!W:W,S131),"")</f>
        <v/>
      </c>
      <c r="V131" s="144" t="str">
        <f>IF(R131&lt;&gt;"",SUMIFS('JPK_KR-1'!AM:AM,'JPK_KR-1'!W:W,S131),"")</f>
        <v/>
      </c>
    </row>
    <row r="132" spans="1:22" x14ac:dyDescent="0.3">
      <c r="A132" s="5" t="str">
        <f>IF(kokpit!A132&lt;&gt;"",kokpit!A132,"")</f>
        <v/>
      </c>
      <c r="B132" s="5" t="str">
        <f>IF(kokpit!B132&lt;&gt;"",kokpit!B132,"")</f>
        <v/>
      </c>
      <c r="C132" s="24" t="str">
        <f>IF(A132&lt;&gt;"",SUMIFS('JPK_KR-1'!AL:AL,'JPK_KR-1'!W:W,B132),"")</f>
        <v/>
      </c>
      <c r="D132" s="126" t="str">
        <f>IF(A132&lt;&gt;"",SUMIFS('JPK_KR-1'!AM:AM,'JPK_KR-1'!W:W,B132),"")</f>
        <v/>
      </c>
      <c r="E132" s="5" t="str">
        <f>IF(kokpit!E132&lt;&gt;"",kokpit!E132,"")</f>
        <v/>
      </c>
      <c r="F132" s="127" t="str">
        <f>IF(kokpit!F132&lt;&gt;"",kokpit!F132,"")</f>
        <v/>
      </c>
      <c r="G132" s="24" t="str">
        <f>IF(E132&lt;&gt;"",SUMIFS('JPK_KR-1'!AL:AL,'JPK_KR-1'!W:W,F132),"")</f>
        <v/>
      </c>
      <c r="H132" s="126" t="str">
        <f>IF(E132&lt;&gt;"",SUMIFS('JPK_KR-1'!AM:AM,'JPK_KR-1'!W:W,F132),"")</f>
        <v/>
      </c>
      <c r="I132" s="5" t="str">
        <f>IF(kokpit!I132&lt;&gt;"",kokpit!I132,"")</f>
        <v/>
      </c>
      <c r="J132" s="5" t="str">
        <f>IF(kokpit!J132&lt;&gt;"",kokpit!J132,"")</f>
        <v/>
      </c>
      <c r="K132" s="24" t="str">
        <f>IF(I132&lt;&gt;"",SUMIFS('JPK_KR-1'!AL:AL,'JPK_KR-1'!W:W,J132),"")</f>
        <v/>
      </c>
      <c r="L132" s="141" t="str">
        <f>IF(I132&lt;&gt;"",SUMIFS('JPK_KR-1'!AM:AM,'JPK_KR-1'!W:W,J132),"")</f>
        <v/>
      </c>
      <c r="M132" s="143" t="str">
        <f>IF(kokpit!M132&lt;&gt;"",kokpit!M132,"")</f>
        <v/>
      </c>
      <c r="N132" s="117" t="str">
        <f>IF(kokpit!N132&lt;&gt;"",kokpit!N132,"")</f>
        <v/>
      </c>
      <c r="O132" s="117" t="str">
        <f>IF(kokpit!O132&lt;&gt;"",kokpit!O132,"")</f>
        <v/>
      </c>
      <c r="P132" s="141" t="str">
        <f>IF(M132&lt;&gt;"",IF(O132="",SUMIFS('JPK_KR-1'!AL:AL,'JPK_KR-1'!W:W,N132),SUMIFS('JPK_KR-1'!BF:BF,'JPK_KR-1'!BE:BE,N132,'JPK_KR-1'!BG:BG,O132)),"")</f>
        <v/>
      </c>
      <c r="Q132" s="144" t="str">
        <f>IF(M132&lt;&gt;"",IF(O132="",SUMIFS('JPK_KR-1'!AM:AM,'JPK_KR-1'!W:W,N132),SUMIFS('JPK_KR-1'!BI:BI,'JPK_KR-1'!BH:BH,N132,'JPK_KR-1'!BJ:BJ,O132)),"")</f>
        <v/>
      </c>
      <c r="R132" s="117" t="str">
        <f>IF(kokpit!R132&lt;&gt;"",kokpit!R132,"")</f>
        <v/>
      </c>
      <c r="S132" s="117" t="str">
        <f>IF(kokpit!S132&lt;&gt;"",kokpit!S132,"")</f>
        <v/>
      </c>
      <c r="T132" s="117" t="str">
        <f>IF(kokpit!T132&lt;&gt;"",kokpit!T132,"")</f>
        <v/>
      </c>
      <c r="U132" s="141" t="str">
        <f>IF(R132&lt;&gt;"",SUMIFS('JPK_KR-1'!AL:AL,'JPK_KR-1'!W:W,S132),"")</f>
        <v/>
      </c>
      <c r="V132" s="144" t="str">
        <f>IF(R132&lt;&gt;"",SUMIFS('JPK_KR-1'!AM:AM,'JPK_KR-1'!W:W,S132),"")</f>
        <v/>
      </c>
    </row>
    <row r="133" spans="1:22" x14ac:dyDescent="0.3">
      <c r="A133" s="5" t="str">
        <f>IF(kokpit!A133&lt;&gt;"",kokpit!A133,"")</f>
        <v/>
      </c>
      <c r="B133" s="5" t="str">
        <f>IF(kokpit!B133&lt;&gt;"",kokpit!B133,"")</f>
        <v/>
      </c>
      <c r="C133" s="24" t="str">
        <f>IF(A133&lt;&gt;"",SUMIFS('JPK_KR-1'!AL:AL,'JPK_KR-1'!W:W,B133),"")</f>
        <v/>
      </c>
      <c r="D133" s="126" t="str">
        <f>IF(A133&lt;&gt;"",SUMIFS('JPK_KR-1'!AM:AM,'JPK_KR-1'!W:W,B133),"")</f>
        <v/>
      </c>
      <c r="E133" s="5" t="str">
        <f>IF(kokpit!E133&lt;&gt;"",kokpit!E133,"")</f>
        <v/>
      </c>
      <c r="F133" s="127" t="str">
        <f>IF(kokpit!F133&lt;&gt;"",kokpit!F133,"")</f>
        <v/>
      </c>
      <c r="G133" s="24" t="str">
        <f>IF(E133&lt;&gt;"",SUMIFS('JPK_KR-1'!AL:AL,'JPK_KR-1'!W:W,F133),"")</f>
        <v/>
      </c>
      <c r="H133" s="126" t="str">
        <f>IF(E133&lt;&gt;"",SUMIFS('JPK_KR-1'!AM:AM,'JPK_KR-1'!W:W,F133),"")</f>
        <v/>
      </c>
      <c r="I133" s="5" t="str">
        <f>IF(kokpit!I133&lt;&gt;"",kokpit!I133,"")</f>
        <v/>
      </c>
      <c r="J133" s="5" t="str">
        <f>IF(kokpit!J133&lt;&gt;"",kokpit!J133,"")</f>
        <v/>
      </c>
      <c r="K133" s="24" t="str">
        <f>IF(I133&lt;&gt;"",SUMIFS('JPK_KR-1'!AL:AL,'JPK_KR-1'!W:W,J133),"")</f>
        <v/>
      </c>
      <c r="L133" s="141" t="str">
        <f>IF(I133&lt;&gt;"",SUMIFS('JPK_KR-1'!AM:AM,'JPK_KR-1'!W:W,J133),"")</f>
        <v/>
      </c>
      <c r="M133" s="143" t="str">
        <f>IF(kokpit!M133&lt;&gt;"",kokpit!M133,"")</f>
        <v/>
      </c>
      <c r="N133" s="117" t="str">
        <f>IF(kokpit!N133&lt;&gt;"",kokpit!N133,"")</f>
        <v/>
      </c>
      <c r="O133" s="117" t="str">
        <f>IF(kokpit!O133&lt;&gt;"",kokpit!O133,"")</f>
        <v/>
      </c>
      <c r="P133" s="141" t="str">
        <f>IF(M133&lt;&gt;"",IF(O133="",SUMIFS('JPK_KR-1'!AL:AL,'JPK_KR-1'!W:W,N133),SUMIFS('JPK_KR-1'!BF:BF,'JPK_KR-1'!BE:BE,N133,'JPK_KR-1'!BG:BG,O133)),"")</f>
        <v/>
      </c>
      <c r="Q133" s="144" t="str">
        <f>IF(M133&lt;&gt;"",IF(O133="",SUMIFS('JPK_KR-1'!AM:AM,'JPK_KR-1'!W:W,N133),SUMIFS('JPK_KR-1'!BI:BI,'JPK_KR-1'!BH:BH,N133,'JPK_KR-1'!BJ:BJ,O133)),"")</f>
        <v/>
      </c>
      <c r="R133" s="117" t="str">
        <f>IF(kokpit!R133&lt;&gt;"",kokpit!R133,"")</f>
        <v/>
      </c>
      <c r="S133" s="117" t="str">
        <f>IF(kokpit!S133&lt;&gt;"",kokpit!S133,"")</f>
        <v/>
      </c>
      <c r="T133" s="117" t="str">
        <f>IF(kokpit!T133&lt;&gt;"",kokpit!T133,"")</f>
        <v/>
      </c>
      <c r="U133" s="141" t="str">
        <f>IF(R133&lt;&gt;"",SUMIFS('JPK_KR-1'!AL:AL,'JPK_KR-1'!W:W,S133),"")</f>
        <v/>
      </c>
      <c r="V133" s="144" t="str">
        <f>IF(R133&lt;&gt;"",SUMIFS('JPK_KR-1'!AM:AM,'JPK_KR-1'!W:W,S133),"")</f>
        <v/>
      </c>
    </row>
    <row r="134" spans="1:22" x14ac:dyDescent="0.3">
      <c r="A134" s="5" t="str">
        <f>IF(kokpit!A134&lt;&gt;"",kokpit!A134,"")</f>
        <v/>
      </c>
      <c r="B134" s="5" t="str">
        <f>IF(kokpit!B134&lt;&gt;"",kokpit!B134,"")</f>
        <v/>
      </c>
      <c r="C134" s="24" t="str">
        <f>IF(A134&lt;&gt;"",SUMIFS('JPK_KR-1'!AL:AL,'JPK_KR-1'!W:W,B134),"")</f>
        <v/>
      </c>
      <c r="D134" s="126" t="str">
        <f>IF(A134&lt;&gt;"",SUMIFS('JPK_KR-1'!AM:AM,'JPK_KR-1'!W:W,B134),"")</f>
        <v/>
      </c>
      <c r="E134" s="5" t="str">
        <f>IF(kokpit!E134&lt;&gt;"",kokpit!E134,"")</f>
        <v/>
      </c>
      <c r="F134" s="127" t="str">
        <f>IF(kokpit!F134&lt;&gt;"",kokpit!F134,"")</f>
        <v/>
      </c>
      <c r="G134" s="24" t="str">
        <f>IF(E134&lt;&gt;"",SUMIFS('JPK_KR-1'!AL:AL,'JPK_KR-1'!W:W,F134),"")</f>
        <v/>
      </c>
      <c r="H134" s="126" t="str">
        <f>IF(E134&lt;&gt;"",SUMIFS('JPK_KR-1'!AM:AM,'JPK_KR-1'!W:W,F134),"")</f>
        <v/>
      </c>
      <c r="I134" s="5" t="str">
        <f>IF(kokpit!I134&lt;&gt;"",kokpit!I134,"")</f>
        <v/>
      </c>
      <c r="J134" s="5" t="str">
        <f>IF(kokpit!J134&lt;&gt;"",kokpit!J134,"")</f>
        <v/>
      </c>
      <c r="K134" s="24" t="str">
        <f>IF(I134&lt;&gt;"",SUMIFS('JPK_KR-1'!AL:AL,'JPK_KR-1'!W:W,J134),"")</f>
        <v/>
      </c>
      <c r="L134" s="141" t="str">
        <f>IF(I134&lt;&gt;"",SUMIFS('JPK_KR-1'!AM:AM,'JPK_KR-1'!W:W,J134),"")</f>
        <v/>
      </c>
      <c r="M134" s="143" t="str">
        <f>IF(kokpit!M134&lt;&gt;"",kokpit!M134,"")</f>
        <v/>
      </c>
      <c r="N134" s="117" t="str">
        <f>IF(kokpit!N134&lt;&gt;"",kokpit!N134,"")</f>
        <v/>
      </c>
      <c r="O134" s="117" t="str">
        <f>IF(kokpit!O134&lt;&gt;"",kokpit!O134,"")</f>
        <v/>
      </c>
      <c r="P134" s="141" t="str">
        <f>IF(M134&lt;&gt;"",IF(O134="",SUMIFS('JPK_KR-1'!AL:AL,'JPK_KR-1'!W:W,N134),SUMIFS('JPK_KR-1'!BF:BF,'JPK_KR-1'!BE:BE,N134,'JPK_KR-1'!BG:BG,O134)),"")</f>
        <v/>
      </c>
      <c r="Q134" s="144" t="str">
        <f>IF(M134&lt;&gt;"",IF(O134="",SUMIFS('JPK_KR-1'!AM:AM,'JPK_KR-1'!W:W,N134),SUMIFS('JPK_KR-1'!BI:BI,'JPK_KR-1'!BH:BH,N134,'JPK_KR-1'!BJ:BJ,O134)),"")</f>
        <v/>
      </c>
      <c r="R134" s="117" t="str">
        <f>IF(kokpit!R134&lt;&gt;"",kokpit!R134,"")</f>
        <v/>
      </c>
      <c r="S134" s="117" t="str">
        <f>IF(kokpit!S134&lt;&gt;"",kokpit!S134,"")</f>
        <v/>
      </c>
      <c r="T134" s="117" t="str">
        <f>IF(kokpit!T134&lt;&gt;"",kokpit!T134,"")</f>
        <v/>
      </c>
      <c r="U134" s="141" t="str">
        <f>IF(R134&lt;&gt;"",SUMIFS('JPK_KR-1'!AL:AL,'JPK_KR-1'!W:W,S134),"")</f>
        <v/>
      </c>
      <c r="V134" s="144" t="str">
        <f>IF(R134&lt;&gt;"",SUMIFS('JPK_KR-1'!AM:AM,'JPK_KR-1'!W:W,S134),"")</f>
        <v/>
      </c>
    </row>
    <row r="135" spans="1:22" x14ac:dyDescent="0.3">
      <c r="A135" s="5" t="str">
        <f>IF(kokpit!A135&lt;&gt;"",kokpit!A135,"")</f>
        <v/>
      </c>
      <c r="B135" s="5" t="str">
        <f>IF(kokpit!B135&lt;&gt;"",kokpit!B135,"")</f>
        <v/>
      </c>
      <c r="C135" s="24" t="str">
        <f>IF(A135&lt;&gt;"",SUMIFS('JPK_KR-1'!AL:AL,'JPK_KR-1'!W:W,B135),"")</f>
        <v/>
      </c>
      <c r="D135" s="126" t="str">
        <f>IF(A135&lt;&gt;"",SUMIFS('JPK_KR-1'!AM:AM,'JPK_KR-1'!W:W,B135),"")</f>
        <v/>
      </c>
      <c r="E135" s="5" t="str">
        <f>IF(kokpit!E135&lt;&gt;"",kokpit!E135,"")</f>
        <v/>
      </c>
      <c r="F135" s="127" t="str">
        <f>IF(kokpit!F135&lt;&gt;"",kokpit!F135,"")</f>
        <v/>
      </c>
      <c r="G135" s="24" t="str">
        <f>IF(E135&lt;&gt;"",SUMIFS('JPK_KR-1'!AL:AL,'JPK_KR-1'!W:W,F135),"")</f>
        <v/>
      </c>
      <c r="H135" s="126" t="str">
        <f>IF(E135&lt;&gt;"",SUMIFS('JPK_KR-1'!AM:AM,'JPK_KR-1'!W:W,F135),"")</f>
        <v/>
      </c>
      <c r="I135" s="5" t="str">
        <f>IF(kokpit!I135&lt;&gt;"",kokpit!I135,"")</f>
        <v/>
      </c>
      <c r="J135" s="5" t="str">
        <f>IF(kokpit!J135&lt;&gt;"",kokpit!J135,"")</f>
        <v/>
      </c>
      <c r="K135" s="24" t="str">
        <f>IF(I135&lt;&gt;"",SUMIFS('JPK_KR-1'!AL:AL,'JPK_KR-1'!W:W,J135),"")</f>
        <v/>
      </c>
      <c r="L135" s="141" t="str">
        <f>IF(I135&lt;&gt;"",SUMIFS('JPK_KR-1'!AM:AM,'JPK_KR-1'!W:W,J135),"")</f>
        <v/>
      </c>
      <c r="M135" s="143" t="str">
        <f>IF(kokpit!M135&lt;&gt;"",kokpit!M135,"")</f>
        <v/>
      </c>
      <c r="N135" s="117" t="str">
        <f>IF(kokpit!N135&lt;&gt;"",kokpit!N135,"")</f>
        <v/>
      </c>
      <c r="O135" s="117" t="str">
        <f>IF(kokpit!O135&lt;&gt;"",kokpit!O135,"")</f>
        <v/>
      </c>
      <c r="P135" s="141" t="str">
        <f>IF(M135&lt;&gt;"",IF(O135="",SUMIFS('JPK_KR-1'!AL:AL,'JPK_KR-1'!W:W,N135),SUMIFS('JPK_KR-1'!BF:BF,'JPK_KR-1'!BE:BE,N135,'JPK_KR-1'!BG:BG,O135)),"")</f>
        <v/>
      </c>
      <c r="Q135" s="144" t="str">
        <f>IF(M135&lt;&gt;"",IF(O135="",SUMIFS('JPK_KR-1'!AM:AM,'JPK_KR-1'!W:W,N135),SUMIFS('JPK_KR-1'!BI:BI,'JPK_KR-1'!BH:BH,N135,'JPK_KR-1'!BJ:BJ,O135)),"")</f>
        <v/>
      </c>
      <c r="R135" s="117" t="str">
        <f>IF(kokpit!R135&lt;&gt;"",kokpit!R135,"")</f>
        <v/>
      </c>
      <c r="S135" s="117" t="str">
        <f>IF(kokpit!S135&lt;&gt;"",kokpit!S135,"")</f>
        <v/>
      </c>
      <c r="T135" s="117" t="str">
        <f>IF(kokpit!T135&lt;&gt;"",kokpit!T135,"")</f>
        <v/>
      </c>
      <c r="U135" s="141" t="str">
        <f>IF(R135&lt;&gt;"",SUMIFS('JPK_KR-1'!AL:AL,'JPK_KR-1'!W:W,S135),"")</f>
        <v/>
      </c>
      <c r="V135" s="144" t="str">
        <f>IF(R135&lt;&gt;"",SUMIFS('JPK_KR-1'!AM:AM,'JPK_KR-1'!W:W,S135),"")</f>
        <v/>
      </c>
    </row>
    <row r="136" spans="1:22" x14ac:dyDescent="0.3">
      <c r="A136" s="5" t="str">
        <f>IF(kokpit!A136&lt;&gt;"",kokpit!A136,"")</f>
        <v/>
      </c>
      <c r="B136" s="5" t="str">
        <f>IF(kokpit!B136&lt;&gt;"",kokpit!B136,"")</f>
        <v/>
      </c>
      <c r="C136" s="24" t="str">
        <f>IF(A136&lt;&gt;"",SUMIFS('JPK_KR-1'!AL:AL,'JPK_KR-1'!W:W,B136),"")</f>
        <v/>
      </c>
      <c r="D136" s="126" t="str">
        <f>IF(A136&lt;&gt;"",SUMIFS('JPK_KR-1'!AM:AM,'JPK_KR-1'!W:W,B136),"")</f>
        <v/>
      </c>
      <c r="E136" s="5" t="str">
        <f>IF(kokpit!E136&lt;&gt;"",kokpit!E136,"")</f>
        <v/>
      </c>
      <c r="F136" s="127" t="str">
        <f>IF(kokpit!F136&lt;&gt;"",kokpit!F136,"")</f>
        <v/>
      </c>
      <c r="G136" s="24" t="str">
        <f>IF(E136&lt;&gt;"",SUMIFS('JPK_KR-1'!AL:AL,'JPK_KR-1'!W:W,F136),"")</f>
        <v/>
      </c>
      <c r="H136" s="126" t="str">
        <f>IF(E136&lt;&gt;"",SUMIFS('JPK_KR-1'!AM:AM,'JPK_KR-1'!W:W,F136),"")</f>
        <v/>
      </c>
      <c r="I136" s="5" t="str">
        <f>IF(kokpit!I136&lt;&gt;"",kokpit!I136,"")</f>
        <v/>
      </c>
      <c r="J136" s="5" t="str">
        <f>IF(kokpit!J136&lt;&gt;"",kokpit!J136,"")</f>
        <v/>
      </c>
      <c r="K136" s="24" t="str">
        <f>IF(I136&lt;&gt;"",SUMIFS('JPK_KR-1'!AL:AL,'JPK_KR-1'!W:W,J136),"")</f>
        <v/>
      </c>
      <c r="L136" s="141" t="str">
        <f>IF(I136&lt;&gt;"",SUMIFS('JPK_KR-1'!AM:AM,'JPK_KR-1'!W:W,J136),"")</f>
        <v/>
      </c>
      <c r="M136" s="143" t="str">
        <f>IF(kokpit!M136&lt;&gt;"",kokpit!M136,"")</f>
        <v/>
      </c>
      <c r="N136" s="117" t="str">
        <f>IF(kokpit!N136&lt;&gt;"",kokpit!N136,"")</f>
        <v/>
      </c>
      <c r="O136" s="117" t="str">
        <f>IF(kokpit!O136&lt;&gt;"",kokpit!O136,"")</f>
        <v/>
      </c>
      <c r="P136" s="141" t="str">
        <f>IF(M136&lt;&gt;"",IF(O136="",SUMIFS('JPK_KR-1'!AL:AL,'JPK_KR-1'!W:W,N136),SUMIFS('JPK_KR-1'!BF:BF,'JPK_KR-1'!BE:BE,N136,'JPK_KR-1'!BG:BG,O136)),"")</f>
        <v/>
      </c>
      <c r="Q136" s="144" t="str">
        <f>IF(M136&lt;&gt;"",IF(O136="",SUMIFS('JPK_KR-1'!AM:AM,'JPK_KR-1'!W:W,N136),SUMIFS('JPK_KR-1'!BI:BI,'JPK_KR-1'!BH:BH,N136,'JPK_KR-1'!BJ:BJ,O136)),"")</f>
        <v/>
      </c>
      <c r="R136" s="117" t="str">
        <f>IF(kokpit!R136&lt;&gt;"",kokpit!R136,"")</f>
        <v/>
      </c>
      <c r="S136" s="117" t="str">
        <f>IF(kokpit!S136&lt;&gt;"",kokpit!S136,"")</f>
        <v/>
      </c>
      <c r="T136" s="117" t="str">
        <f>IF(kokpit!T136&lt;&gt;"",kokpit!T136,"")</f>
        <v/>
      </c>
      <c r="U136" s="141" t="str">
        <f>IF(R136&lt;&gt;"",SUMIFS('JPK_KR-1'!AL:AL,'JPK_KR-1'!W:W,S136),"")</f>
        <v/>
      </c>
      <c r="V136" s="144" t="str">
        <f>IF(R136&lt;&gt;"",SUMIFS('JPK_KR-1'!AM:AM,'JPK_KR-1'!W:W,S136),"")</f>
        <v/>
      </c>
    </row>
    <row r="137" spans="1:22" x14ac:dyDescent="0.3">
      <c r="A137" s="5" t="str">
        <f>IF(kokpit!A137&lt;&gt;"",kokpit!A137,"")</f>
        <v/>
      </c>
      <c r="B137" s="5" t="str">
        <f>IF(kokpit!B137&lt;&gt;"",kokpit!B137,"")</f>
        <v/>
      </c>
      <c r="C137" s="24" t="str">
        <f>IF(A137&lt;&gt;"",SUMIFS('JPK_KR-1'!AL:AL,'JPK_KR-1'!W:W,B137),"")</f>
        <v/>
      </c>
      <c r="D137" s="126" t="str">
        <f>IF(A137&lt;&gt;"",SUMIFS('JPK_KR-1'!AM:AM,'JPK_KR-1'!W:W,B137),"")</f>
        <v/>
      </c>
      <c r="E137" s="5" t="str">
        <f>IF(kokpit!E137&lt;&gt;"",kokpit!E137,"")</f>
        <v/>
      </c>
      <c r="F137" s="127" t="str">
        <f>IF(kokpit!F137&lt;&gt;"",kokpit!F137,"")</f>
        <v/>
      </c>
      <c r="G137" s="24" t="str">
        <f>IF(E137&lt;&gt;"",SUMIFS('JPK_KR-1'!AL:AL,'JPK_KR-1'!W:W,F137),"")</f>
        <v/>
      </c>
      <c r="H137" s="126" t="str">
        <f>IF(E137&lt;&gt;"",SUMIFS('JPK_KR-1'!AM:AM,'JPK_KR-1'!W:W,F137),"")</f>
        <v/>
      </c>
      <c r="I137" s="5" t="str">
        <f>IF(kokpit!I137&lt;&gt;"",kokpit!I137,"")</f>
        <v/>
      </c>
      <c r="J137" s="5" t="str">
        <f>IF(kokpit!J137&lt;&gt;"",kokpit!J137,"")</f>
        <v/>
      </c>
      <c r="K137" s="24" t="str">
        <f>IF(I137&lt;&gt;"",SUMIFS('JPK_KR-1'!AL:AL,'JPK_KR-1'!W:W,J137),"")</f>
        <v/>
      </c>
      <c r="L137" s="141" t="str">
        <f>IF(I137&lt;&gt;"",SUMIFS('JPK_KR-1'!AM:AM,'JPK_KR-1'!W:W,J137),"")</f>
        <v/>
      </c>
      <c r="M137" s="143" t="str">
        <f>IF(kokpit!M137&lt;&gt;"",kokpit!M137,"")</f>
        <v/>
      </c>
      <c r="N137" s="117" t="str">
        <f>IF(kokpit!N137&lt;&gt;"",kokpit!N137,"")</f>
        <v/>
      </c>
      <c r="O137" s="117" t="str">
        <f>IF(kokpit!O137&lt;&gt;"",kokpit!O137,"")</f>
        <v/>
      </c>
      <c r="P137" s="141" t="str">
        <f>IF(M137&lt;&gt;"",IF(O137="",SUMIFS('JPK_KR-1'!AL:AL,'JPK_KR-1'!W:W,N137),SUMIFS('JPK_KR-1'!BF:BF,'JPK_KR-1'!BE:BE,N137,'JPK_KR-1'!BG:BG,O137)),"")</f>
        <v/>
      </c>
      <c r="Q137" s="144" t="str">
        <f>IF(M137&lt;&gt;"",IF(O137="",SUMIFS('JPK_KR-1'!AM:AM,'JPK_KR-1'!W:W,N137),SUMIFS('JPK_KR-1'!BI:BI,'JPK_KR-1'!BH:BH,N137,'JPK_KR-1'!BJ:BJ,O137)),"")</f>
        <v/>
      </c>
      <c r="R137" s="117" t="str">
        <f>IF(kokpit!R137&lt;&gt;"",kokpit!R137,"")</f>
        <v/>
      </c>
      <c r="S137" s="117" t="str">
        <f>IF(kokpit!S137&lt;&gt;"",kokpit!S137,"")</f>
        <v/>
      </c>
      <c r="T137" s="117" t="str">
        <f>IF(kokpit!T137&lt;&gt;"",kokpit!T137,"")</f>
        <v/>
      </c>
      <c r="U137" s="141" t="str">
        <f>IF(R137&lt;&gt;"",SUMIFS('JPK_KR-1'!AL:AL,'JPK_KR-1'!W:W,S137),"")</f>
        <v/>
      </c>
      <c r="V137" s="144" t="str">
        <f>IF(R137&lt;&gt;"",SUMIFS('JPK_KR-1'!AM:AM,'JPK_KR-1'!W:W,S137),"")</f>
        <v/>
      </c>
    </row>
    <row r="138" spans="1:22" x14ac:dyDescent="0.3">
      <c r="A138" s="5" t="str">
        <f>IF(kokpit!A138&lt;&gt;"",kokpit!A138,"")</f>
        <v/>
      </c>
      <c r="B138" s="5" t="str">
        <f>IF(kokpit!B138&lt;&gt;"",kokpit!B138,"")</f>
        <v/>
      </c>
      <c r="C138" s="24" t="str">
        <f>IF(A138&lt;&gt;"",SUMIFS('JPK_KR-1'!AL:AL,'JPK_KR-1'!W:W,B138),"")</f>
        <v/>
      </c>
      <c r="D138" s="126" t="str">
        <f>IF(A138&lt;&gt;"",SUMIFS('JPK_KR-1'!AM:AM,'JPK_KR-1'!W:W,B138),"")</f>
        <v/>
      </c>
      <c r="E138" s="5" t="str">
        <f>IF(kokpit!E138&lt;&gt;"",kokpit!E138,"")</f>
        <v/>
      </c>
      <c r="F138" s="127" t="str">
        <f>IF(kokpit!F138&lt;&gt;"",kokpit!F138,"")</f>
        <v/>
      </c>
      <c r="G138" s="24" t="str">
        <f>IF(E138&lt;&gt;"",SUMIFS('JPK_KR-1'!AL:AL,'JPK_KR-1'!W:W,F138),"")</f>
        <v/>
      </c>
      <c r="H138" s="126" t="str">
        <f>IF(E138&lt;&gt;"",SUMIFS('JPK_KR-1'!AM:AM,'JPK_KR-1'!W:W,F138),"")</f>
        <v/>
      </c>
      <c r="I138" s="5" t="str">
        <f>IF(kokpit!I138&lt;&gt;"",kokpit!I138,"")</f>
        <v/>
      </c>
      <c r="J138" s="5" t="str">
        <f>IF(kokpit!J138&lt;&gt;"",kokpit!J138,"")</f>
        <v/>
      </c>
      <c r="K138" s="24" t="str">
        <f>IF(I138&lt;&gt;"",SUMIFS('JPK_KR-1'!AL:AL,'JPK_KR-1'!W:W,J138),"")</f>
        <v/>
      </c>
      <c r="L138" s="141" t="str">
        <f>IF(I138&lt;&gt;"",SUMIFS('JPK_KR-1'!AM:AM,'JPK_KR-1'!W:W,J138),"")</f>
        <v/>
      </c>
      <c r="M138" s="143" t="str">
        <f>IF(kokpit!M138&lt;&gt;"",kokpit!M138,"")</f>
        <v/>
      </c>
      <c r="N138" s="117" t="str">
        <f>IF(kokpit!N138&lt;&gt;"",kokpit!N138,"")</f>
        <v/>
      </c>
      <c r="O138" s="117" t="str">
        <f>IF(kokpit!O138&lt;&gt;"",kokpit!O138,"")</f>
        <v/>
      </c>
      <c r="P138" s="141" t="str">
        <f>IF(M138&lt;&gt;"",IF(O138="",SUMIFS('JPK_KR-1'!AL:AL,'JPK_KR-1'!W:W,N138),SUMIFS('JPK_KR-1'!BF:BF,'JPK_KR-1'!BE:BE,N138,'JPK_KR-1'!BG:BG,O138)),"")</f>
        <v/>
      </c>
      <c r="Q138" s="144" t="str">
        <f>IF(M138&lt;&gt;"",IF(O138="",SUMIFS('JPK_KR-1'!AM:AM,'JPK_KR-1'!W:W,N138),SUMIFS('JPK_KR-1'!BI:BI,'JPK_KR-1'!BH:BH,N138,'JPK_KR-1'!BJ:BJ,O138)),"")</f>
        <v/>
      </c>
      <c r="R138" s="117" t="str">
        <f>IF(kokpit!R138&lt;&gt;"",kokpit!R138,"")</f>
        <v/>
      </c>
      <c r="S138" s="117" t="str">
        <f>IF(kokpit!S138&lt;&gt;"",kokpit!S138,"")</f>
        <v/>
      </c>
      <c r="T138" s="117" t="str">
        <f>IF(kokpit!T138&lt;&gt;"",kokpit!T138,"")</f>
        <v/>
      </c>
      <c r="U138" s="141" t="str">
        <f>IF(R138&lt;&gt;"",SUMIFS('JPK_KR-1'!AL:AL,'JPK_KR-1'!W:W,S138),"")</f>
        <v/>
      </c>
      <c r="V138" s="144" t="str">
        <f>IF(R138&lt;&gt;"",SUMIFS('JPK_KR-1'!AM:AM,'JPK_KR-1'!W:W,S138),"")</f>
        <v/>
      </c>
    </row>
    <row r="139" spans="1:22" x14ac:dyDescent="0.3">
      <c r="A139" s="5" t="str">
        <f>IF(kokpit!A139&lt;&gt;"",kokpit!A139,"")</f>
        <v/>
      </c>
      <c r="B139" s="5" t="str">
        <f>IF(kokpit!B139&lt;&gt;"",kokpit!B139,"")</f>
        <v/>
      </c>
      <c r="C139" s="24" t="str">
        <f>IF(A139&lt;&gt;"",SUMIFS('JPK_KR-1'!AL:AL,'JPK_KR-1'!W:W,B139),"")</f>
        <v/>
      </c>
      <c r="D139" s="126" t="str">
        <f>IF(A139&lt;&gt;"",SUMIFS('JPK_KR-1'!AM:AM,'JPK_KR-1'!W:W,B139),"")</f>
        <v/>
      </c>
      <c r="E139" s="5" t="str">
        <f>IF(kokpit!E139&lt;&gt;"",kokpit!E139,"")</f>
        <v/>
      </c>
      <c r="F139" s="127" t="str">
        <f>IF(kokpit!F139&lt;&gt;"",kokpit!F139,"")</f>
        <v/>
      </c>
      <c r="G139" s="24" t="str">
        <f>IF(E139&lt;&gt;"",SUMIFS('JPK_KR-1'!AL:AL,'JPK_KR-1'!W:W,F139),"")</f>
        <v/>
      </c>
      <c r="H139" s="126" t="str">
        <f>IF(E139&lt;&gt;"",SUMIFS('JPK_KR-1'!AM:AM,'JPK_KR-1'!W:W,F139),"")</f>
        <v/>
      </c>
      <c r="I139" s="5" t="str">
        <f>IF(kokpit!I139&lt;&gt;"",kokpit!I139,"")</f>
        <v/>
      </c>
      <c r="J139" s="5" t="str">
        <f>IF(kokpit!J139&lt;&gt;"",kokpit!J139,"")</f>
        <v/>
      </c>
      <c r="K139" s="24" t="str">
        <f>IF(I139&lt;&gt;"",SUMIFS('JPK_KR-1'!AL:AL,'JPK_KR-1'!W:W,J139),"")</f>
        <v/>
      </c>
      <c r="L139" s="141" t="str">
        <f>IF(I139&lt;&gt;"",SUMIFS('JPK_KR-1'!AM:AM,'JPK_KR-1'!W:W,J139),"")</f>
        <v/>
      </c>
      <c r="M139" s="143" t="str">
        <f>IF(kokpit!M139&lt;&gt;"",kokpit!M139,"")</f>
        <v/>
      </c>
      <c r="N139" s="117" t="str">
        <f>IF(kokpit!N139&lt;&gt;"",kokpit!N139,"")</f>
        <v/>
      </c>
      <c r="O139" s="117" t="str">
        <f>IF(kokpit!O139&lt;&gt;"",kokpit!O139,"")</f>
        <v/>
      </c>
      <c r="P139" s="141" t="str">
        <f>IF(M139&lt;&gt;"",IF(O139="",SUMIFS('JPK_KR-1'!AL:AL,'JPK_KR-1'!W:W,N139),SUMIFS('JPK_KR-1'!BF:BF,'JPK_KR-1'!BE:BE,N139,'JPK_KR-1'!BG:BG,O139)),"")</f>
        <v/>
      </c>
      <c r="Q139" s="144" t="str">
        <f>IF(M139&lt;&gt;"",IF(O139="",SUMIFS('JPK_KR-1'!AM:AM,'JPK_KR-1'!W:W,N139),SUMIFS('JPK_KR-1'!BI:BI,'JPK_KR-1'!BH:BH,N139,'JPK_KR-1'!BJ:BJ,O139)),"")</f>
        <v/>
      </c>
      <c r="R139" s="117" t="str">
        <f>IF(kokpit!R139&lt;&gt;"",kokpit!R139,"")</f>
        <v/>
      </c>
      <c r="S139" s="117" t="str">
        <f>IF(kokpit!S139&lt;&gt;"",kokpit!S139,"")</f>
        <v/>
      </c>
      <c r="T139" s="117" t="str">
        <f>IF(kokpit!T139&lt;&gt;"",kokpit!T139,"")</f>
        <v/>
      </c>
      <c r="U139" s="141" t="str">
        <f>IF(R139&lt;&gt;"",SUMIFS('JPK_KR-1'!AL:AL,'JPK_KR-1'!W:W,S139),"")</f>
        <v/>
      </c>
      <c r="V139" s="144" t="str">
        <f>IF(R139&lt;&gt;"",SUMIFS('JPK_KR-1'!AM:AM,'JPK_KR-1'!W:W,S139),"")</f>
        <v/>
      </c>
    </row>
    <row r="140" spans="1:22" x14ac:dyDescent="0.3">
      <c r="A140" s="5" t="str">
        <f>IF(kokpit!A140&lt;&gt;"",kokpit!A140,"")</f>
        <v/>
      </c>
      <c r="B140" s="5" t="str">
        <f>IF(kokpit!B140&lt;&gt;"",kokpit!B140,"")</f>
        <v/>
      </c>
      <c r="C140" s="24" t="str">
        <f>IF(A140&lt;&gt;"",SUMIFS('JPK_KR-1'!AL:AL,'JPK_KR-1'!W:W,B140),"")</f>
        <v/>
      </c>
      <c r="D140" s="126" t="str">
        <f>IF(A140&lt;&gt;"",SUMIFS('JPK_KR-1'!AM:AM,'JPK_KR-1'!W:W,B140),"")</f>
        <v/>
      </c>
      <c r="E140" s="5" t="str">
        <f>IF(kokpit!E140&lt;&gt;"",kokpit!E140,"")</f>
        <v/>
      </c>
      <c r="F140" s="127" t="str">
        <f>IF(kokpit!F140&lt;&gt;"",kokpit!F140,"")</f>
        <v/>
      </c>
      <c r="G140" s="24" t="str">
        <f>IF(E140&lt;&gt;"",SUMIFS('JPK_KR-1'!AL:AL,'JPK_KR-1'!W:W,F140),"")</f>
        <v/>
      </c>
      <c r="H140" s="126" t="str">
        <f>IF(E140&lt;&gt;"",SUMIFS('JPK_KR-1'!AM:AM,'JPK_KR-1'!W:W,F140),"")</f>
        <v/>
      </c>
      <c r="I140" s="5" t="str">
        <f>IF(kokpit!I140&lt;&gt;"",kokpit!I140,"")</f>
        <v/>
      </c>
      <c r="J140" s="5" t="str">
        <f>IF(kokpit!J140&lt;&gt;"",kokpit!J140,"")</f>
        <v/>
      </c>
      <c r="K140" s="24" t="str">
        <f>IF(I140&lt;&gt;"",SUMIFS('JPK_KR-1'!AL:AL,'JPK_KR-1'!W:W,J140),"")</f>
        <v/>
      </c>
      <c r="L140" s="141" t="str">
        <f>IF(I140&lt;&gt;"",SUMIFS('JPK_KR-1'!AM:AM,'JPK_KR-1'!W:W,J140),"")</f>
        <v/>
      </c>
      <c r="M140" s="143" t="str">
        <f>IF(kokpit!M140&lt;&gt;"",kokpit!M140,"")</f>
        <v/>
      </c>
      <c r="N140" s="117" t="str">
        <f>IF(kokpit!N140&lt;&gt;"",kokpit!N140,"")</f>
        <v/>
      </c>
      <c r="O140" s="117" t="str">
        <f>IF(kokpit!O140&lt;&gt;"",kokpit!O140,"")</f>
        <v/>
      </c>
      <c r="P140" s="141" t="str">
        <f>IF(M140&lt;&gt;"",IF(O140="",SUMIFS('JPK_KR-1'!AL:AL,'JPK_KR-1'!W:W,N140),SUMIFS('JPK_KR-1'!BF:BF,'JPK_KR-1'!BE:BE,N140,'JPK_KR-1'!BG:BG,O140)),"")</f>
        <v/>
      </c>
      <c r="Q140" s="144" t="str">
        <f>IF(M140&lt;&gt;"",IF(O140="",SUMIFS('JPK_KR-1'!AM:AM,'JPK_KR-1'!W:W,N140),SUMIFS('JPK_KR-1'!BI:BI,'JPK_KR-1'!BH:BH,N140,'JPK_KR-1'!BJ:BJ,O140)),"")</f>
        <v/>
      </c>
      <c r="R140" s="117" t="str">
        <f>IF(kokpit!R140&lt;&gt;"",kokpit!R140,"")</f>
        <v/>
      </c>
      <c r="S140" s="117" t="str">
        <f>IF(kokpit!S140&lt;&gt;"",kokpit!S140,"")</f>
        <v/>
      </c>
      <c r="T140" s="117" t="str">
        <f>IF(kokpit!T140&lt;&gt;"",kokpit!T140,"")</f>
        <v/>
      </c>
      <c r="U140" s="141" t="str">
        <f>IF(R140&lt;&gt;"",SUMIFS('JPK_KR-1'!AL:AL,'JPK_KR-1'!W:W,S140),"")</f>
        <v/>
      </c>
      <c r="V140" s="144" t="str">
        <f>IF(R140&lt;&gt;"",SUMIFS('JPK_KR-1'!AM:AM,'JPK_KR-1'!W:W,S140),"")</f>
        <v/>
      </c>
    </row>
    <row r="141" spans="1:22" x14ac:dyDescent="0.3">
      <c r="A141" s="5" t="str">
        <f>IF(kokpit!A141&lt;&gt;"",kokpit!A141,"")</f>
        <v/>
      </c>
      <c r="B141" s="5" t="str">
        <f>IF(kokpit!B141&lt;&gt;"",kokpit!B141,"")</f>
        <v/>
      </c>
      <c r="C141" s="24" t="str">
        <f>IF(A141&lt;&gt;"",SUMIFS('JPK_KR-1'!AL:AL,'JPK_KR-1'!W:W,B141),"")</f>
        <v/>
      </c>
      <c r="D141" s="126" t="str">
        <f>IF(A141&lt;&gt;"",SUMIFS('JPK_KR-1'!AM:AM,'JPK_KR-1'!W:W,B141),"")</f>
        <v/>
      </c>
      <c r="E141" s="5" t="str">
        <f>IF(kokpit!E141&lt;&gt;"",kokpit!E141,"")</f>
        <v/>
      </c>
      <c r="F141" s="127" t="str">
        <f>IF(kokpit!F141&lt;&gt;"",kokpit!F141,"")</f>
        <v/>
      </c>
      <c r="G141" s="24" t="str">
        <f>IF(E141&lt;&gt;"",SUMIFS('JPK_KR-1'!AL:AL,'JPK_KR-1'!W:W,F141),"")</f>
        <v/>
      </c>
      <c r="H141" s="126" t="str">
        <f>IF(E141&lt;&gt;"",SUMIFS('JPK_KR-1'!AM:AM,'JPK_KR-1'!W:W,F141),"")</f>
        <v/>
      </c>
      <c r="I141" s="5" t="str">
        <f>IF(kokpit!I141&lt;&gt;"",kokpit!I141,"")</f>
        <v/>
      </c>
      <c r="J141" s="5" t="str">
        <f>IF(kokpit!J141&lt;&gt;"",kokpit!J141,"")</f>
        <v/>
      </c>
      <c r="K141" s="24" t="str">
        <f>IF(I141&lt;&gt;"",SUMIFS('JPK_KR-1'!AL:AL,'JPK_KR-1'!W:W,J141),"")</f>
        <v/>
      </c>
      <c r="L141" s="141" t="str">
        <f>IF(I141&lt;&gt;"",SUMIFS('JPK_KR-1'!AM:AM,'JPK_KR-1'!W:W,J141),"")</f>
        <v/>
      </c>
      <c r="M141" s="143" t="str">
        <f>IF(kokpit!M141&lt;&gt;"",kokpit!M141,"")</f>
        <v/>
      </c>
      <c r="N141" s="117" t="str">
        <f>IF(kokpit!N141&lt;&gt;"",kokpit!N141,"")</f>
        <v/>
      </c>
      <c r="O141" s="117" t="str">
        <f>IF(kokpit!O141&lt;&gt;"",kokpit!O141,"")</f>
        <v/>
      </c>
      <c r="P141" s="141" t="str">
        <f>IF(M141&lt;&gt;"",IF(O141="",SUMIFS('JPK_KR-1'!AL:AL,'JPK_KR-1'!W:W,N141),SUMIFS('JPK_KR-1'!BF:BF,'JPK_KR-1'!BE:BE,N141,'JPK_KR-1'!BG:BG,O141)),"")</f>
        <v/>
      </c>
      <c r="Q141" s="144" t="str">
        <f>IF(M141&lt;&gt;"",IF(O141="",SUMIFS('JPK_KR-1'!AM:AM,'JPK_KR-1'!W:W,N141),SUMIFS('JPK_KR-1'!BI:BI,'JPK_KR-1'!BH:BH,N141,'JPK_KR-1'!BJ:BJ,O141)),"")</f>
        <v/>
      </c>
      <c r="R141" s="117" t="str">
        <f>IF(kokpit!R141&lt;&gt;"",kokpit!R141,"")</f>
        <v/>
      </c>
      <c r="S141" s="117" t="str">
        <f>IF(kokpit!S141&lt;&gt;"",kokpit!S141,"")</f>
        <v/>
      </c>
      <c r="T141" s="117" t="str">
        <f>IF(kokpit!T141&lt;&gt;"",kokpit!T141,"")</f>
        <v/>
      </c>
      <c r="U141" s="141" t="str">
        <f>IF(R141&lt;&gt;"",SUMIFS('JPK_KR-1'!AL:AL,'JPK_KR-1'!W:W,S141),"")</f>
        <v/>
      </c>
      <c r="V141" s="144" t="str">
        <f>IF(R141&lt;&gt;"",SUMIFS('JPK_KR-1'!AM:AM,'JPK_KR-1'!W:W,S141),"")</f>
        <v/>
      </c>
    </row>
    <row r="142" spans="1:22" x14ac:dyDescent="0.3">
      <c r="A142" s="5" t="str">
        <f>IF(kokpit!A142&lt;&gt;"",kokpit!A142,"")</f>
        <v/>
      </c>
      <c r="B142" s="5" t="str">
        <f>IF(kokpit!B142&lt;&gt;"",kokpit!B142,"")</f>
        <v/>
      </c>
      <c r="C142" s="24" t="str">
        <f>IF(A142&lt;&gt;"",SUMIFS('JPK_KR-1'!AL:AL,'JPK_KR-1'!W:W,B142),"")</f>
        <v/>
      </c>
      <c r="D142" s="126" t="str">
        <f>IF(A142&lt;&gt;"",SUMIFS('JPK_KR-1'!AM:AM,'JPK_KR-1'!W:W,B142),"")</f>
        <v/>
      </c>
      <c r="E142" s="5" t="str">
        <f>IF(kokpit!E142&lt;&gt;"",kokpit!E142,"")</f>
        <v/>
      </c>
      <c r="F142" s="127" t="str">
        <f>IF(kokpit!F142&lt;&gt;"",kokpit!F142,"")</f>
        <v/>
      </c>
      <c r="G142" s="24" t="str">
        <f>IF(E142&lt;&gt;"",SUMIFS('JPK_KR-1'!AL:AL,'JPK_KR-1'!W:W,F142),"")</f>
        <v/>
      </c>
      <c r="H142" s="126" t="str">
        <f>IF(E142&lt;&gt;"",SUMIFS('JPK_KR-1'!AM:AM,'JPK_KR-1'!W:W,F142),"")</f>
        <v/>
      </c>
      <c r="I142" s="5" t="str">
        <f>IF(kokpit!I142&lt;&gt;"",kokpit!I142,"")</f>
        <v/>
      </c>
      <c r="J142" s="5" t="str">
        <f>IF(kokpit!J142&lt;&gt;"",kokpit!J142,"")</f>
        <v/>
      </c>
      <c r="K142" s="24" t="str">
        <f>IF(I142&lt;&gt;"",SUMIFS('JPK_KR-1'!AL:AL,'JPK_KR-1'!W:W,J142),"")</f>
        <v/>
      </c>
      <c r="L142" s="141" t="str">
        <f>IF(I142&lt;&gt;"",SUMIFS('JPK_KR-1'!AM:AM,'JPK_KR-1'!W:W,J142),"")</f>
        <v/>
      </c>
      <c r="M142" s="143" t="str">
        <f>IF(kokpit!M142&lt;&gt;"",kokpit!M142,"")</f>
        <v/>
      </c>
      <c r="N142" s="117" t="str">
        <f>IF(kokpit!N142&lt;&gt;"",kokpit!N142,"")</f>
        <v/>
      </c>
      <c r="O142" s="117" t="str">
        <f>IF(kokpit!O142&lt;&gt;"",kokpit!O142,"")</f>
        <v/>
      </c>
      <c r="P142" s="141" t="str">
        <f>IF(M142&lt;&gt;"",IF(O142="",SUMIFS('JPK_KR-1'!AL:AL,'JPK_KR-1'!W:W,N142),SUMIFS('JPK_KR-1'!BF:BF,'JPK_KR-1'!BE:BE,N142,'JPK_KR-1'!BG:BG,O142)),"")</f>
        <v/>
      </c>
      <c r="Q142" s="144" t="str">
        <f>IF(M142&lt;&gt;"",IF(O142="",SUMIFS('JPK_KR-1'!AM:AM,'JPK_KR-1'!W:W,N142),SUMIFS('JPK_KR-1'!BI:BI,'JPK_KR-1'!BH:BH,N142,'JPK_KR-1'!BJ:BJ,O142)),"")</f>
        <v/>
      </c>
      <c r="R142" s="117" t="str">
        <f>IF(kokpit!R142&lt;&gt;"",kokpit!R142,"")</f>
        <v/>
      </c>
      <c r="S142" s="117" t="str">
        <f>IF(kokpit!S142&lt;&gt;"",kokpit!S142,"")</f>
        <v/>
      </c>
      <c r="T142" s="117" t="str">
        <f>IF(kokpit!T142&lt;&gt;"",kokpit!T142,"")</f>
        <v/>
      </c>
      <c r="U142" s="141" t="str">
        <f>IF(R142&lt;&gt;"",SUMIFS('JPK_KR-1'!AL:AL,'JPK_KR-1'!W:W,S142),"")</f>
        <v/>
      </c>
      <c r="V142" s="144" t="str">
        <f>IF(R142&lt;&gt;"",SUMIFS('JPK_KR-1'!AM:AM,'JPK_KR-1'!W:W,S142),"")</f>
        <v/>
      </c>
    </row>
    <row r="143" spans="1:22" x14ac:dyDescent="0.3">
      <c r="A143" s="5" t="str">
        <f>IF(kokpit!A143&lt;&gt;"",kokpit!A143,"")</f>
        <v/>
      </c>
      <c r="B143" s="5" t="str">
        <f>IF(kokpit!B143&lt;&gt;"",kokpit!B143,"")</f>
        <v/>
      </c>
      <c r="C143" s="24" t="str">
        <f>IF(A143&lt;&gt;"",SUMIFS('JPK_KR-1'!AL:AL,'JPK_KR-1'!W:W,B143),"")</f>
        <v/>
      </c>
      <c r="D143" s="126" t="str">
        <f>IF(A143&lt;&gt;"",SUMIFS('JPK_KR-1'!AM:AM,'JPK_KR-1'!W:W,B143),"")</f>
        <v/>
      </c>
      <c r="E143" s="5" t="str">
        <f>IF(kokpit!E143&lt;&gt;"",kokpit!E143,"")</f>
        <v/>
      </c>
      <c r="F143" s="127" t="str">
        <f>IF(kokpit!F143&lt;&gt;"",kokpit!F143,"")</f>
        <v/>
      </c>
      <c r="G143" s="24" t="str">
        <f>IF(E143&lt;&gt;"",SUMIFS('JPK_KR-1'!AL:AL,'JPK_KR-1'!W:W,F143),"")</f>
        <v/>
      </c>
      <c r="H143" s="126" t="str">
        <f>IF(E143&lt;&gt;"",SUMIFS('JPK_KR-1'!AM:AM,'JPK_KR-1'!W:W,F143),"")</f>
        <v/>
      </c>
      <c r="I143" s="5" t="str">
        <f>IF(kokpit!I143&lt;&gt;"",kokpit!I143,"")</f>
        <v/>
      </c>
      <c r="J143" s="5" t="str">
        <f>IF(kokpit!J143&lt;&gt;"",kokpit!J143,"")</f>
        <v/>
      </c>
      <c r="K143" s="24" t="str">
        <f>IF(I143&lt;&gt;"",SUMIFS('JPK_KR-1'!AL:AL,'JPK_KR-1'!W:W,J143),"")</f>
        <v/>
      </c>
      <c r="L143" s="141" t="str">
        <f>IF(I143&lt;&gt;"",SUMIFS('JPK_KR-1'!AM:AM,'JPK_KR-1'!W:W,J143),"")</f>
        <v/>
      </c>
      <c r="M143" s="143" t="str">
        <f>IF(kokpit!M143&lt;&gt;"",kokpit!M143,"")</f>
        <v/>
      </c>
      <c r="N143" s="117" t="str">
        <f>IF(kokpit!N143&lt;&gt;"",kokpit!N143,"")</f>
        <v/>
      </c>
      <c r="O143" s="117" t="str">
        <f>IF(kokpit!O143&lt;&gt;"",kokpit!O143,"")</f>
        <v/>
      </c>
      <c r="P143" s="141" t="str">
        <f>IF(M143&lt;&gt;"",IF(O143="",SUMIFS('JPK_KR-1'!AL:AL,'JPK_KR-1'!W:W,N143),SUMIFS('JPK_KR-1'!BF:BF,'JPK_KR-1'!BE:BE,N143,'JPK_KR-1'!BG:BG,O143)),"")</f>
        <v/>
      </c>
      <c r="Q143" s="144" t="str">
        <f>IF(M143&lt;&gt;"",IF(O143="",SUMIFS('JPK_KR-1'!AM:AM,'JPK_KR-1'!W:W,N143),SUMIFS('JPK_KR-1'!BI:BI,'JPK_KR-1'!BH:BH,N143,'JPK_KR-1'!BJ:BJ,O143)),"")</f>
        <v/>
      </c>
      <c r="R143" s="117" t="str">
        <f>IF(kokpit!R143&lt;&gt;"",kokpit!R143,"")</f>
        <v/>
      </c>
      <c r="S143" s="117" t="str">
        <f>IF(kokpit!S143&lt;&gt;"",kokpit!S143,"")</f>
        <v/>
      </c>
      <c r="T143" s="117" t="str">
        <f>IF(kokpit!T143&lt;&gt;"",kokpit!T143,"")</f>
        <v/>
      </c>
      <c r="U143" s="141" t="str">
        <f>IF(R143&lt;&gt;"",SUMIFS('JPK_KR-1'!AL:AL,'JPK_KR-1'!W:W,S143),"")</f>
        <v/>
      </c>
      <c r="V143" s="144" t="str">
        <f>IF(R143&lt;&gt;"",SUMIFS('JPK_KR-1'!AM:AM,'JPK_KR-1'!W:W,S143),"")</f>
        <v/>
      </c>
    </row>
    <row r="144" spans="1:22" x14ac:dyDescent="0.3">
      <c r="A144" s="5" t="str">
        <f>IF(kokpit!A144&lt;&gt;"",kokpit!A144,"")</f>
        <v/>
      </c>
      <c r="B144" s="5" t="str">
        <f>IF(kokpit!B144&lt;&gt;"",kokpit!B144,"")</f>
        <v/>
      </c>
      <c r="C144" s="24" t="str">
        <f>IF(A144&lt;&gt;"",SUMIFS('JPK_KR-1'!AL:AL,'JPK_KR-1'!W:W,B144),"")</f>
        <v/>
      </c>
      <c r="D144" s="126" t="str">
        <f>IF(A144&lt;&gt;"",SUMIFS('JPK_KR-1'!AM:AM,'JPK_KR-1'!W:W,B144),"")</f>
        <v/>
      </c>
      <c r="E144" s="5" t="str">
        <f>IF(kokpit!E144&lt;&gt;"",kokpit!E144,"")</f>
        <v/>
      </c>
      <c r="F144" s="127" t="str">
        <f>IF(kokpit!F144&lt;&gt;"",kokpit!F144,"")</f>
        <v/>
      </c>
      <c r="G144" s="24" t="str">
        <f>IF(E144&lt;&gt;"",SUMIFS('JPK_KR-1'!AL:AL,'JPK_KR-1'!W:W,F144),"")</f>
        <v/>
      </c>
      <c r="H144" s="126" t="str">
        <f>IF(E144&lt;&gt;"",SUMIFS('JPK_KR-1'!AM:AM,'JPK_KR-1'!W:W,F144),"")</f>
        <v/>
      </c>
      <c r="I144" s="5" t="str">
        <f>IF(kokpit!I144&lt;&gt;"",kokpit!I144,"")</f>
        <v/>
      </c>
      <c r="J144" s="5" t="str">
        <f>IF(kokpit!J144&lt;&gt;"",kokpit!J144,"")</f>
        <v/>
      </c>
      <c r="K144" s="24" t="str">
        <f>IF(I144&lt;&gt;"",SUMIFS('JPK_KR-1'!AL:AL,'JPK_KR-1'!W:W,J144),"")</f>
        <v/>
      </c>
      <c r="L144" s="141" t="str">
        <f>IF(I144&lt;&gt;"",SUMIFS('JPK_KR-1'!AM:AM,'JPK_KR-1'!W:W,J144),"")</f>
        <v/>
      </c>
      <c r="M144" s="143" t="str">
        <f>IF(kokpit!M144&lt;&gt;"",kokpit!M144,"")</f>
        <v/>
      </c>
      <c r="N144" s="117" t="str">
        <f>IF(kokpit!N144&lt;&gt;"",kokpit!N144,"")</f>
        <v/>
      </c>
      <c r="O144" s="117" t="str">
        <f>IF(kokpit!O144&lt;&gt;"",kokpit!O144,"")</f>
        <v/>
      </c>
      <c r="P144" s="141" t="str">
        <f>IF(M144&lt;&gt;"",IF(O144="",SUMIFS('JPK_KR-1'!AL:AL,'JPK_KR-1'!W:W,N144),SUMIFS('JPK_KR-1'!BF:BF,'JPK_KR-1'!BE:BE,N144,'JPK_KR-1'!BG:BG,O144)),"")</f>
        <v/>
      </c>
      <c r="Q144" s="144" t="str">
        <f>IF(M144&lt;&gt;"",IF(O144="",SUMIFS('JPK_KR-1'!AM:AM,'JPK_KR-1'!W:W,N144),SUMIFS('JPK_KR-1'!BI:BI,'JPK_KR-1'!BH:BH,N144,'JPK_KR-1'!BJ:BJ,O144)),"")</f>
        <v/>
      </c>
      <c r="R144" s="117" t="str">
        <f>IF(kokpit!R144&lt;&gt;"",kokpit!R144,"")</f>
        <v/>
      </c>
      <c r="S144" s="117" t="str">
        <f>IF(kokpit!S144&lt;&gt;"",kokpit!S144,"")</f>
        <v/>
      </c>
      <c r="T144" s="117" t="str">
        <f>IF(kokpit!T144&lt;&gt;"",kokpit!T144,"")</f>
        <v/>
      </c>
      <c r="U144" s="141" t="str">
        <f>IF(R144&lt;&gt;"",SUMIFS('JPK_KR-1'!AL:AL,'JPK_KR-1'!W:W,S144),"")</f>
        <v/>
      </c>
      <c r="V144" s="144" t="str">
        <f>IF(R144&lt;&gt;"",SUMIFS('JPK_KR-1'!AM:AM,'JPK_KR-1'!W:W,S144),"")</f>
        <v/>
      </c>
    </row>
    <row r="145" spans="1:22" x14ac:dyDescent="0.3">
      <c r="A145" s="5" t="str">
        <f>IF(kokpit!A145&lt;&gt;"",kokpit!A145,"")</f>
        <v/>
      </c>
      <c r="B145" s="5" t="str">
        <f>IF(kokpit!B145&lt;&gt;"",kokpit!B145,"")</f>
        <v/>
      </c>
      <c r="C145" s="24" t="str">
        <f>IF(A145&lt;&gt;"",SUMIFS('JPK_KR-1'!AL:AL,'JPK_KR-1'!W:W,B145),"")</f>
        <v/>
      </c>
      <c r="D145" s="126" t="str">
        <f>IF(A145&lt;&gt;"",SUMIFS('JPK_KR-1'!AM:AM,'JPK_KR-1'!W:W,B145),"")</f>
        <v/>
      </c>
      <c r="E145" s="5" t="str">
        <f>IF(kokpit!E145&lt;&gt;"",kokpit!E145,"")</f>
        <v/>
      </c>
      <c r="F145" s="127" t="str">
        <f>IF(kokpit!F145&lt;&gt;"",kokpit!F145,"")</f>
        <v/>
      </c>
      <c r="G145" s="24" t="str">
        <f>IF(E145&lt;&gt;"",SUMIFS('JPK_KR-1'!AL:AL,'JPK_KR-1'!W:W,F145),"")</f>
        <v/>
      </c>
      <c r="H145" s="126" t="str">
        <f>IF(E145&lt;&gt;"",SUMIFS('JPK_KR-1'!AM:AM,'JPK_KR-1'!W:W,F145),"")</f>
        <v/>
      </c>
      <c r="I145" s="5" t="str">
        <f>IF(kokpit!I145&lt;&gt;"",kokpit!I145,"")</f>
        <v/>
      </c>
      <c r="J145" s="5" t="str">
        <f>IF(kokpit!J145&lt;&gt;"",kokpit!J145,"")</f>
        <v/>
      </c>
      <c r="K145" s="24" t="str">
        <f>IF(I145&lt;&gt;"",SUMIFS('JPK_KR-1'!AL:AL,'JPK_KR-1'!W:W,J145),"")</f>
        <v/>
      </c>
      <c r="L145" s="141" t="str">
        <f>IF(I145&lt;&gt;"",SUMIFS('JPK_KR-1'!AM:AM,'JPK_KR-1'!W:W,J145),"")</f>
        <v/>
      </c>
      <c r="M145" s="143" t="str">
        <f>IF(kokpit!M145&lt;&gt;"",kokpit!M145,"")</f>
        <v/>
      </c>
      <c r="N145" s="117" t="str">
        <f>IF(kokpit!N145&lt;&gt;"",kokpit!N145,"")</f>
        <v/>
      </c>
      <c r="O145" s="117" t="str">
        <f>IF(kokpit!O145&lt;&gt;"",kokpit!O145,"")</f>
        <v/>
      </c>
      <c r="P145" s="141" t="str">
        <f>IF(M145&lt;&gt;"",IF(O145="",SUMIFS('JPK_KR-1'!AL:AL,'JPK_KR-1'!W:W,N145),SUMIFS('JPK_KR-1'!BF:BF,'JPK_KR-1'!BE:BE,N145,'JPK_KR-1'!BG:BG,O145)),"")</f>
        <v/>
      </c>
      <c r="Q145" s="144" t="str">
        <f>IF(M145&lt;&gt;"",IF(O145="",SUMIFS('JPK_KR-1'!AM:AM,'JPK_KR-1'!W:W,N145),SUMIFS('JPK_KR-1'!BI:BI,'JPK_KR-1'!BH:BH,N145,'JPK_KR-1'!BJ:BJ,O145)),"")</f>
        <v/>
      </c>
      <c r="R145" s="117" t="str">
        <f>IF(kokpit!R145&lt;&gt;"",kokpit!R145,"")</f>
        <v/>
      </c>
      <c r="S145" s="117" t="str">
        <f>IF(kokpit!S145&lt;&gt;"",kokpit!S145,"")</f>
        <v/>
      </c>
      <c r="T145" s="117" t="str">
        <f>IF(kokpit!T145&lt;&gt;"",kokpit!T145,"")</f>
        <v/>
      </c>
      <c r="U145" s="141" t="str">
        <f>IF(R145&lt;&gt;"",SUMIFS('JPK_KR-1'!AL:AL,'JPK_KR-1'!W:W,S145),"")</f>
        <v/>
      </c>
      <c r="V145" s="144" t="str">
        <f>IF(R145&lt;&gt;"",SUMIFS('JPK_KR-1'!AM:AM,'JPK_KR-1'!W:W,S145),"")</f>
        <v/>
      </c>
    </row>
    <row r="146" spans="1:22" x14ac:dyDescent="0.3">
      <c r="A146" s="5" t="str">
        <f>IF(kokpit!A146&lt;&gt;"",kokpit!A146,"")</f>
        <v/>
      </c>
      <c r="B146" s="5" t="str">
        <f>IF(kokpit!B146&lt;&gt;"",kokpit!B146,"")</f>
        <v/>
      </c>
      <c r="C146" s="24" t="str">
        <f>IF(A146&lt;&gt;"",SUMIFS('JPK_KR-1'!AL:AL,'JPK_KR-1'!W:W,B146),"")</f>
        <v/>
      </c>
      <c r="D146" s="126" t="str">
        <f>IF(A146&lt;&gt;"",SUMIFS('JPK_KR-1'!AM:AM,'JPK_KR-1'!W:W,B146),"")</f>
        <v/>
      </c>
      <c r="E146" s="5" t="str">
        <f>IF(kokpit!E146&lt;&gt;"",kokpit!E146,"")</f>
        <v/>
      </c>
      <c r="F146" s="127" t="str">
        <f>IF(kokpit!F146&lt;&gt;"",kokpit!F146,"")</f>
        <v/>
      </c>
      <c r="G146" s="24" t="str">
        <f>IF(E146&lt;&gt;"",SUMIFS('JPK_KR-1'!AL:AL,'JPK_KR-1'!W:W,F146),"")</f>
        <v/>
      </c>
      <c r="H146" s="126" t="str">
        <f>IF(E146&lt;&gt;"",SUMIFS('JPK_KR-1'!AM:AM,'JPK_KR-1'!W:W,F146),"")</f>
        <v/>
      </c>
      <c r="I146" s="5" t="str">
        <f>IF(kokpit!I146&lt;&gt;"",kokpit!I146,"")</f>
        <v/>
      </c>
      <c r="J146" s="5" t="str">
        <f>IF(kokpit!J146&lt;&gt;"",kokpit!J146,"")</f>
        <v/>
      </c>
      <c r="K146" s="24" t="str">
        <f>IF(I146&lt;&gt;"",SUMIFS('JPK_KR-1'!AL:AL,'JPK_KR-1'!W:W,J146),"")</f>
        <v/>
      </c>
      <c r="L146" s="141" t="str">
        <f>IF(I146&lt;&gt;"",SUMIFS('JPK_KR-1'!AM:AM,'JPK_KR-1'!W:W,J146),"")</f>
        <v/>
      </c>
      <c r="M146" s="143" t="str">
        <f>IF(kokpit!M146&lt;&gt;"",kokpit!M146,"")</f>
        <v/>
      </c>
      <c r="N146" s="117" t="str">
        <f>IF(kokpit!N146&lt;&gt;"",kokpit!N146,"")</f>
        <v/>
      </c>
      <c r="O146" s="117" t="str">
        <f>IF(kokpit!O146&lt;&gt;"",kokpit!O146,"")</f>
        <v/>
      </c>
      <c r="P146" s="141" t="str">
        <f>IF(M146&lt;&gt;"",IF(O146="",SUMIFS('JPK_KR-1'!AL:AL,'JPK_KR-1'!W:W,N146),SUMIFS('JPK_KR-1'!BF:BF,'JPK_KR-1'!BE:BE,N146,'JPK_KR-1'!BG:BG,O146)),"")</f>
        <v/>
      </c>
      <c r="Q146" s="144" t="str">
        <f>IF(M146&lt;&gt;"",IF(O146="",SUMIFS('JPK_KR-1'!AM:AM,'JPK_KR-1'!W:W,N146),SUMIFS('JPK_KR-1'!BI:BI,'JPK_KR-1'!BH:BH,N146,'JPK_KR-1'!BJ:BJ,O146)),"")</f>
        <v/>
      </c>
      <c r="R146" s="117" t="str">
        <f>IF(kokpit!R146&lt;&gt;"",kokpit!R146,"")</f>
        <v/>
      </c>
      <c r="S146" s="117" t="str">
        <f>IF(kokpit!S146&lt;&gt;"",kokpit!S146,"")</f>
        <v/>
      </c>
      <c r="T146" s="117" t="str">
        <f>IF(kokpit!T146&lt;&gt;"",kokpit!T146,"")</f>
        <v/>
      </c>
      <c r="U146" s="141" t="str">
        <f>IF(R146&lt;&gt;"",SUMIFS('JPK_KR-1'!AL:AL,'JPK_KR-1'!W:W,S146),"")</f>
        <v/>
      </c>
      <c r="V146" s="144" t="str">
        <f>IF(R146&lt;&gt;"",SUMIFS('JPK_KR-1'!AM:AM,'JPK_KR-1'!W:W,S146),"")</f>
        <v/>
      </c>
    </row>
    <row r="147" spans="1:22" x14ac:dyDescent="0.3">
      <c r="A147" s="5" t="str">
        <f>IF(kokpit!A147&lt;&gt;"",kokpit!A147,"")</f>
        <v/>
      </c>
      <c r="B147" s="5" t="str">
        <f>IF(kokpit!B147&lt;&gt;"",kokpit!B147,"")</f>
        <v/>
      </c>
      <c r="C147" s="24" t="str">
        <f>IF(A147&lt;&gt;"",SUMIFS('JPK_KR-1'!AL:AL,'JPK_KR-1'!W:W,B147),"")</f>
        <v/>
      </c>
      <c r="D147" s="126" t="str">
        <f>IF(A147&lt;&gt;"",SUMIFS('JPK_KR-1'!AM:AM,'JPK_KR-1'!W:W,B147),"")</f>
        <v/>
      </c>
      <c r="E147" s="5" t="str">
        <f>IF(kokpit!E147&lt;&gt;"",kokpit!E147,"")</f>
        <v/>
      </c>
      <c r="F147" s="127" t="str">
        <f>IF(kokpit!F147&lt;&gt;"",kokpit!F147,"")</f>
        <v/>
      </c>
      <c r="G147" s="24" t="str">
        <f>IF(E147&lt;&gt;"",SUMIFS('JPK_KR-1'!AL:AL,'JPK_KR-1'!W:W,F147),"")</f>
        <v/>
      </c>
      <c r="H147" s="126" t="str">
        <f>IF(E147&lt;&gt;"",SUMIFS('JPK_KR-1'!AM:AM,'JPK_KR-1'!W:W,F147),"")</f>
        <v/>
      </c>
      <c r="I147" s="5" t="str">
        <f>IF(kokpit!I147&lt;&gt;"",kokpit!I147,"")</f>
        <v/>
      </c>
      <c r="J147" s="5" t="str">
        <f>IF(kokpit!J147&lt;&gt;"",kokpit!J147,"")</f>
        <v/>
      </c>
      <c r="K147" s="24" t="str">
        <f>IF(I147&lt;&gt;"",SUMIFS('JPK_KR-1'!AL:AL,'JPK_KR-1'!W:W,J147),"")</f>
        <v/>
      </c>
      <c r="L147" s="141" t="str">
        <f>IF(I147&lt;&gt;"",SUMIFS('JPK_KR-1'!AM:AM,'JPK_KR-1'!W:W,J147),"")</f>
        <v/>
      </c>
      <c r="M147" s="143" t="str">
        <f>IF(kokpit!M147&lt;&gt;"",kokpit!M147,"")</f>
        <v/>
      </c>
      <c r="N147" s="117" t="str">
        <f>IF(kokpit!N147&lt;&gt;"",kokpit!N147,"")</f>
        <v/>
      </c>
      <c r="O147" s="117" t="str">
        <f>IF(kokpit!O147&lt;&gt;"",kokpit!O147,"")</f>
        <v/>
      </c>
      <c r="P147" s="141" t="str">
        <f>IF(M147&lt;&gt;"",IF(O147="",SUMIFS('JPK_KR-1'!AL:AL,'JPK_KR-1'!W:W,N147),SUMIFS('JPK_KR-1'!BF:BF,'JPK_KR-1'!BE:BE,N147,'JPK_KR-1'!BG:BG,O147)),"")</f>
        <v/>
      </c>
      <c r="Q147" s="144" t="str">
        <f>IF(M147&lt;&gt;"",IF(O147="",SUMIFS('JPK_KR-1'!AM:AM,'JPK_KR-1'!W:W,N147),SUMIFS('JPK_KR-1'!BI:BI,'JPK_KR-1'!BH:BH,N147,'JPK_KR-1'!BJ:BJ,O147)),"")</f>
        <v/>
      </c>
      <c r="R147" s="117" t="str">
        <f>IF(kokpit!R147&lt;&gt;"",kokpit!R147,"")</f>
        <v/>
      </c>
      <c r="S147" s="117" t="str">
        <f>IF(kokpit!S147&lt;&gt;"",kokpit!S147,"")</f>
        <v/>
      </c>
      <c r="T147" s="117" t="str">
        <f>IF(kokpit!T147&lt;&gt;"",kokpit!T147,"")</f>
        <v/>
      </c>
      <c r="U147" s="141" t="str">
        <f>IF(R147&lt;&gt;"",SUMIFS('JPK_KR-1'!AL:AL,'JPK_KR-1'!W:W,S147),"")</f>
        <v/>
      </c>
      <c r="V147" s="144" t="str">
        <f>IF(R147&lt;&gt;"",SUMIFS('JPK_KR-1'!AM:AM,'JPK_KR-1'!W:W,S147),"")</f>
        <v/>
      </c>
    </row>
    <row r="148" spans="1:22" x14ac:dyDescent="0.3">
      <c r="A148" s="5" t="str">
        <f>IF(kokpit!A148&lt;&gt;"",kokpit!A148,"")</f>
        <v/>
      </c>
      <c r="B148" s="5" t="str">
        <f>IF(kokpit!B148&lt;&gt;"",kokpit!B148,"")</f>
        <v/>
      </c>
      <c r="C148" s="24" t="str">
        <f>IF(A148&lt;&gt;"",SUMIFS('JPK_KR-1'!AL:AL,'JPK_KR-1'!W:W,B148),"")</f>
        <v/>
      </c>
      <c r="D148" s="126" t="str">
        <f>IF(A148&lt;&gt;"",SUMIFS('JPK_KR-1'!AM:AM,'JPK_KR-1'!W:W,B148),"")</f>
        <v/>
      </c>
      <c r="E148" s="5" t="str">
        <f>IF(kokpit!E148&lt;&gt;"",kokpit!E148,"")</f>
        <v/>
      </c>
      <c r="F148" s="127" t="str">
        <f>IF(kokpit!F148&lt;&gt;"",kokpit!F148,"")</f>
        <v/>
      </c>
      <c r="G148" s="24" t="str">
        <f>IF(E148&lt;&gt;"",SUMIFS('JPK_KR-1'!AL:AL,'JPK_KR-1'!W:W,F148),"")</f>
        <v/>
      </c>
      <c r="H148" s="126" t="str">
        <f>IF(E148&lt;&gt;"",SUMIFS('JPK_KR-1'!AM:AM,'JPK_KR-1'!W:W,F148),"")</f>
        <v/>
      </c>
      <c r="I148" s="5" t="str">
        <f>IF(kokpit!I148&lt;&gt;"",kokpit!I148,"")</f>
        <v/>
      </c>
      <c r="J148" s="5" t="str">
        <f>IF(kokpit!J148&lt;&gt;"",kokpit!J148,"")</f>
        <v/>
      </c>
      <c r="K148" s="24" t="str">
        <f>IF(I148&lt;&gt;"",SUMIFS('JPK_KR-1'!AL:AL,'JPK_KR-1'!W:W,J148),"")</f>
        <v/>
      </c>
      <c r="L148" s="141" t="str">
        <f>IF(I148&lt;&gt;"",SUMIFS('JPK_KR-1'!AM:AM,'JPK_KR-1'!W:W,J148),"")</f>
        <v/>
      </c>
      <c r="M148" s="143" t="str">
        <f>IF(kokpit!M148&lt;&gt;"",kokpit!M148,"")</f>
        <v/>
      </c>
      <c r="N148" s="117" t="str">
        <f>IF(kokpit!N148&lt;&gt;"",kokpit!N148,"")</f>
        <v/>
      </c>
      <c r="O148" s="117" t="str">
        <f>IF(kokpit!O148&lt;&gt;"",kokpit!O148,"")</f>
        <v/>
      </c>
      <c r="P148" s="141" t="str">
        <f>IF(M148&lt;&gt;"",IF(O148="",SUMIFS('JPK_KR-1'!AL:AL,'JPK_KR-1'!W:W,N148),SUMIFS('JPK_KR-1'!BF:BF,'JPK_KR-1'!BE:BE,N148,'JPK_KR-1'!BG:BG,O148)),"")</f>
        <v/>
      </c>
      <c r="Q148" s="144" t="str">
        <f>IF(M148&lt;&gt;"",IF(O148="",SUMIFS('JPK_KR-1'!AM:AM,'JPK_KR-1'!W:W,N148),SUMIFS('JPK_KR-1'!BI:BI,'JPK_KR-1'!BH:BH,N148,'JPK_KR-1'!BJ:BJ,O148)),"")</f>
        <v/>
      </c>
      <c r="R148" s="117" t="str">
        <f>IF(kokpit!R148&lt;&gt;"",kokpit!R148,"")</f>
        <v/>
      </c>
      <c r="S148" s="117" t="str">
        <f>IF(kokpit!S148&lt;&gt;"",kokpit!S148,"")</f>
        <v/>
      </c>
      <c r="T148" s="117" t="str">
        <f>IF(kokpit!T148&lt;&gt;"",kokpit!T148,"")</f>
        <v/>
      </c>
      <c r="U148" s="141" t="str">
        <f>IF(R148&lt;&gt;"",SUMIFS('JPK_KR-1'!AL:AL,'JPK_KR-1'!W:W,S148),"")</f>
        <v/>
      </c>
      <c r="V148" s="144" t="str">
        <f>IF(R148&lt;&gt;"",SUMIFS('JPK_KR-1'!AM:AM,'JPK_KR-1'!W:W,S148),"")</f>
        <v/>
      </c>
    </row>
    <row r="149" spans="1:22" x14ac:dyDescent="0.3">
      <c r="A149" s="5" t="str">
        <f>IF(kokpit!A149&lt;&gt;"",kokpit!A149,"")</f>
        <v/>
      </c>
      <c r="B149" s="5" t="str">
        <f>IF(kokpit!B149&lt;&gt;"",kokpit!B149,"")</f>
        <v/>
      </c>
      <c r="C149" s="24" t="str">
        <f>IF(A149&lt;&gt;"",SUMIFS('JPK_KR-1'!AL:AL,'JPK_KR-1'!W:W,B149),"")</f>
        <v/>
      </c>
      <c r="D149" s="126" t="str">
        <f>IF(A149&lt;&gt;"",SUMIFS('JPK_KR-1'!AM:AM,'JPK_KR-1'!W:W,B149),"")</f>
        <v/>
      </c>
      <c r="E149" s="5" t="str">
        <f>IF(kokpit!E149&lt;&gt;"",kokpit!E149,"")</f>
        <v/>
      </c>
      <c r="F149" s="127" t="str">
        <f>IF(kokpit!F149&lt;&gt;"",kokpit!F149,"")</f>
        <v/>
      </c>
      <c r="G149" s="24" t="str">
        <f>IF(E149&lt;&gt;"",SUMIFS('JPK_KR-1'!AL:AL,'JPK_KR-1'!W:W,F149),"")</f>
        <v/>
      </c>
      <c r="H149" s="126" t="str">
        <f>IF(E149&lt;&gt;"",SUMIFS('JPK_KR-1'!AM:AM,'JPK_KR-1'!W:W,F149),"")</f>
        <v/>
      </c>
      <c r="I149" s="5" t="str">
        <f>IF(kokpit!I149&lt;&gt;"",kokpit!I149,"")</f>
        <v/>
      </c>
      <c r="J149" s="5" t="str">
        <f>IF(kokpit!J149&lt;&gt;"",kokpit!J149,"")</f>
        <v/>
      </c>
      <c r="K149" s="24" t="str">
        <f>IF(I149&lt;&gt;"",SUMIFS('JPK_KR-1'!AL:AL,'JPK_KR-1'!W:W,J149),"")</f>
        <v/>
      </c>
      <c r="L149" s="141" t="str">
        <f>IF(I149&lt;&gt;"",SUMIFS('JPK_KR-1'!AM:AM,'JPK_KR-1'!W:W,J149),"")</f>
        <v/>
      </c>
      <c r="M149" s="143" t="str">
        <f>IF(kokpit!M149&lt;&gt;"",kokpit!M149,"")</f>
        <v/>
      </c>
      <c r="N149" s="117" t="str">
        <f>IF(kokpit!N149&lt;&gt;"",kokpit!N149,"")</f>
        <v/>
      </c>
      <c r="O149" s="117" t="str">
        <f>IF(kokpit!O149&lt;&gt;"",kokpit!O149,"")</f>
        <v/>
      </c>
      <c r="P149" s="141" t="str">
        <f>IF(M149&lt;&gt;"",IF(O149="",SUMIFS('JPK_KR-1'!AL:AL,'JPK_KR-1'!W:W,N149),SUMIFS('JPK_KR-1'!BF:BF,'JPK_KR-1'!BE:BE,N149,'JPK_KR-1'!BG:BG,O149)),"")</f>
        <v/>
      </c>
      <c r="Q149" s="144" t="str">
        <f>IF(M149&lt;&gt;"",IF(O149="",SUMIFS('JPK_KR-1'!AM:AM,'JPK_KR-1'!W:W,N149),SUMIFS('JPK_KR-1'!BI:BI,'JPK_KR-1'!BH:BH,N149,'JPK_KR-1'!BJ:BJ,O149)),"")</f>
        <v/>
      </c>
      <c r="R149" s="117" t="str">
        <f>IF(kokpit!R149&lt;&gt;"",kokpit!R149,"")</f>
        <v/>
      </c>
      <c r="S149" s="117" t="str">
        <f>IF(kokpit!S149&lt;&gt;"",kokpit!S149,"")</f>
        <v/>
      </c>
      <c r="T149" s="117" t="str">
        <f>IF(kokpit!T149&lt;&gt;"",kokpit!T149,"")</f>
        <v/>
      </c>
      <c r="U149" s="141" t="str">
        <f>IF(R149&lt;&gt;"",SUMIFS('JPK_KR-1'!AL:AL,'JPK_KR-1'!W:W,S149),"")</f>
        <v/>
      </c>
      <c r="V149" s="144" t="str">
        <f>IF(R149&lt;&gt;"",SUMIFS('JPK_KR-1'!AM:AM,'JPK_KR-1'!W:W,S149),"")</f>
        <v/>
      </c>
    </row>
    <row r="150" spans="1:22" x14ac:dyDescent="0.3">
      <c r="A150" s="5" t="str">
        <f>IF(kokpit!A150&lt;&gt;"",kokpit!A150,"")</f>
        <v/>
      </c>
      <c r="B150" s="5" t="str">
        <f>IF(kokpit!B150&lt;&gt;"",kokpit!B150,"")</f>
        <v/>
      </c>
      <c r="C150" s="24" t="str">
        <f>IF(A150&lt;&gt;"",SUMIFS('JPK_KR-1'!AL:AL,'JPK_KR-1'!W:W,B150),"")</f>
        <v/>
      </c>
      <c r="D150" s="126" t="str">
        <f>IF(A150&lt;&gt;"",SUMIFS('JPK_KR-1'!AM:AM,'JPK_KR-1'!W:W,B150),"")</f>
        <v/>
      </c>
      <c r="E150" s="5" t="str">
        <f>IF(kokpit!E150&lt;&gt;"",kokpit!E150,"")</f>
        <v/>
      </c>
      <c r="F150" s="127" t="str">
        <f>IF(kokpit!F150&lt;&gt;"",kokpit!F150,"")</f>
        <v/>
      </c>
      <c r="G150" s="24" t="str">
        <f>IF(E150&lt;&gt;"",SUMIFS('JPK_KR-1'!AL:AL,'JPK_KR-1'!W:W,F150),"")</f>
        <v/>
      </c>
      <c r="H150" s="126" t="str">
        <f>IF(E150&lt;&gt;"",SUMIFS('JPK_KR-1'!AM:AM,'JPK_KR-1'!W:W,F150),"")</f>
        <v/>
      </c>
      <c r="I150" s="5" t="str">
        <f>IF(kokpit!I150&lt;&gt;"",kokpit!I150,"")</f>
        <v/>
      </c>
      <c r="J150" s="5" t="str">
        <f>IF(kokpit!J150&lt;&gt;"",kokpit!J150,"")</f>
        <v/>
      </c>
      <c r="K150" s="24" t="str">
        <f>IF(I150&lt;&gt;"",SUMIFS('JPK_KR-1'!AL:AL,'JPK_KR-1'!W:W,J150),"")</f>
        <v/>
      </c>
      <c r="L150" s="141" t="str">
        <f>IF(I150&lt;&gt;"",SUMIFS('JPK_KR-1'!AM:AM,'JPK_KR-1'!W:W,J150),"")</f>
        <v/>
      </c>
      <c r="M150" s="143" t="str">
        <f>IF(kokpit!M150&lt;&gt;"",kokpit!M150,"")</f>
        <v/>
      </c>
      <c r="N150" s="117" t="str">
        <f>IF(kokpit!N150&lt;&gt;"",kokpit!N150,"")</f>
        <v/>
      </c>
      <c r="O150" s="117" t="str">
        <f>IF(kokpit!O150&lt;&gt;"",kokpit!O150,"")</f>
        <v/>
      </c>
      <c r="P150" s="141" t="str">
        <f>IF(M150&lt;&gt;"",IF(O150="",SUMIFS('JPK_KR-1'!AL:AL,'JPK_KR-1'!W:W,N150),SUMIFS('JPK_KR-1'!BF:BF,'JPK_KR-1'!BE:BE,N150,'JPK_KR-1'!BG:BG,O150)),"")</f>
        <v/>
      </c>
      <c r="Q150" s="144" t="str">
        <f>IF(M150&lt;&gt;"",IF(O150="",SUMIFS('JPK_KR-1'!AM:AM,'JPK_KR-1'!W:W,N150),SUMIFS('JPK_KR-1'!BI:BI,'JPK_KR-1'!BH:BH,N150,'JPK_KR-1'!BJ:BJ,O150)),"")</f>
        <v/>
      </c>
      <c r="R150" s="117" t="str">
        <f>IF(kokpit!R150&lt;&gt;"",kokpit!R150,"")</f>
        <v/>
      </c>
      <c r="S150" s="117" t="str">
        <f>IF(kokpit!S150&lt;&gt;"",kokpit!S150,"")</f>
        <v/>
      </c>
      <c r="T150" s="117" t="str">
        <f>IF(kokpit!T150&lt;&gt;"",kokpit!T150,"")</f>
        <v/>
      </c>
      <c r="U150" s="141" t="str">
        <f>IF(R150&lt;&gt;"",SUMIFS('JPK_KR-1'!AL:AL,'JPK_KR-1'!W:W,S150),"")</f>
        <v/>
      </c>
      <c r="V150" s="144" t="str">
        <f>IF(R150&lt;&gt;"",SUMIFS('JPK_KR-1'!AM:AM,'JPK_KR-1'!W:W,S150),"")</f>
        <v/>
      </c>
    </row>
    <row r="151" spans="1:22" x14ac:dyDescent="0.3">
      <c r="A151" s="5" t="str">
        <f>IF(kokpit!A151&lt;&gt;"",kokpit!A151,"")</f>
        <v/>
      </c>
      <c r="B151" s="5" t="str">
        <f>IF(kokpit!B151&lt;&gt;"",kokpit!B151,"")</f>
        <v/>
      </c>
      <c r="C151" s="24" t="str">
        <f>IF(A151&lt;&gt;"",SUMIFS('JPK_KR-1'!AL:AL,'JPK_KR-1'!W:W,B151),"")</f>
        <v/>
      </c>
      <c r="D151" s="126" t="str">
        <f>IF(A151&lt;&gt;"",SUMIFS('JPK_KR-1'!AM:AM,'JPK_KR-1'!W:W,B151),"")</f>
        <v/>
      </c>
      <c r="E151" s="5" t="str">
        <f>IF(kokpit!E151&lt;&gt;"",kokpit!E151,"")</f>
        <v/>
      </c>
      <c r="F151" s="127" t="str">
        <f>IF(kokpit!F151&lt;&gt;"",kokpit!F151,"")</f>
        <v/>
      </c>
      <c r="G151" s="24" t="str">
        <f>IF(E151&lt;&gt;"",SUMIFS('JPK_KR-1'!AL:AL,'JPK_KR-1'!W:W,F151),"")</f>
        <v/>
      </c>
      <c r="H151" s="126" t="str">
        <f>IF(E151&lt;&gt;"",SUMIFS('JPK_KR-1'!AM:AM,'JPK_KR-1'!W:W,F151),"")</f>
        <v/>
      </c>
      <c r="I151" s="5" t="str">
        <f>IF(kokpit!I151&lt;&gt;"",kokpit!I151,"")</f>
        <v/>
      </c>
      <c r="J151" s="5" t="str">
        <f>IF(kokpit!J151&lt;&gt;"",kokpit!J151,"")</f>
        <v/>
      </c>
      <c r="K151" s="24" t="str">
        <f>IF(I151&lt;&gt;"",SUMIFS('JPK_KR-1'!AL:AL,'JPK_KR-1'!W:W,J151),"")</f>
        <v/>
      </c>
      <c r="L151" s="141" t="str">
        <f>IF(I151&lt;&gt;"",SUMIFS('JPK_KR-1'!AM:AM,'JPK_KR-1'!W:W,J151),"")</f>
        <v/>
      </c>
      <c r="M151" s="143" t="str">
        <f>IF(kokpit!M151&lt;&gt;"",kokpit!M151,"")</f>
        <v/>
      </c>
      <c r="N151" s="117" t="str">
        <f>IF(kokpit!N151&lt;&gt;"",kokpit!N151,"")</f>
        <v/>
      </c>
      <c r="O151" s="117" t="str">
        <f>IF(kokpit!O151&lt;&gt;"",kokpit!O151,"")</f>
        <v/>
      </c>
      <c r="P151" s="141" t="str">
        <f>IF(M151&lt;&gt;"",IF(O151="",SUMIFS('JPK_KR-1'!AL:AL,'JPK_KR-1'!W:W,N151),SUMIFS('JPK_KR-1'!BF:BF,'JPK_KR-1'!BE:BE,N151,'JPK_KR-1'!BG:BG,O151)),"")</f>
        <v/>
      </c>
      <c r="Q151" s="144" t="str">
        <f>IF(M151&lt;&gt;"",IF(O151="",SUMIFS('JPK_KR-1'!AM:AM,'JPK_KR-1'!W:W,N151),SUMIFS('JPK_KR-1'!BI:BI,'JPK_KR-1'!BH:BH,N151,'JPK_KR-1'!BJ:BJ,O151)),"")</f>
        <v/>
      </c>
      <c r="R151" s="117" t="str">
        <f>IF(kokpit!R151&lt;&gt;"",kokpit!R151,"")</f>
        <v/>
      </c>
      <c r="S151" s="117" t="str">
        <f>IF(kokpit!S151&lt;&gt;"",kokpit!S151,"")</f>
        <v/>
      </c>
      <c r="T151" s="117" t="str">
        <f>IF(kokpit!T151&lt;&gt;"",kokpit!T151,"")</f>
        <v/>
      </c>
      <c r="U151" s="141" t="str">
        <f>IF(R151&lt;&gt;"",SUMIFS('JPK_KR-1'!AL:AL,'JPK_KR-1'!W:W,S151),"")</f>
        <v/>
      </c>
      <c r="V151" s="144" t="str">
        <f>IF(R151&lt;&gt;"",SUMIFS('JPK_KR-1'!AM:AM,'JPK_KR-1'!W:W,S151),"")</f>
        <v/>
      </c>
    </row>
    <row r="152" spans="1:22" x14ac:dyDescent="0.3">
      <c r="A152" s="5" t="str">
        <f>IF(kokpit!A152&lt;&gt;"",kokpit!A152,"")</f>
        <v/>
      </c>
      <c r="B152" s="5" t="str">
        <f>IF(kokpit!B152&lt;&gt;"",kokpit!B152,"")</f>
        <v/>
      </c>
      <c r="C152" s="24" t="str">
        <f>IF(A152&lt;&gt;"",SUMIFS('JPK_KR-1'!AL:AL,'JPK_KR-1'!W:W,B152),"")</f>
        <v/>
      </c>
      <c r="D152" s="126" t="str">
        <f>IF(A152&lt;&gt;"",SUMIFS('JPK_KR-1'!AM:AM,'JPK_KR-1'!W:W,B152),"")</f>
        <v/>
      </c>
      <c r="E152" s="5" t="str">
        <f>IF(kokpit!E152&lt;&gt;"",kokpit!E152,"")</f>
        <v/>
      </c>
      <c r="F152" s="127" t="str">
        <f>IF(kokpit!F152&lt;&gt;"",kokpit!F152,"")</f>
        <v/>
      </c>
      <c r="G152" s="24" t="str">
        <f>IF(E152&lt;&gt;"",SUMIFS('JPK_KR-1'!AL:AL,'JPK_KR-1'!W:W,F152),"")</f>
        <v/>
      </c>
      <c r="H152" s="126" t="str">
        <f>IF(E152&lt;&gt;"",SUMIFS('JPK_KR-1'!AM:AM,'JPK_KR-1'!W:W,F152),"")</f>
        <v/>
      </c>
      <c r="I152" s="5" t="str">
        <f>IF(kokpit!I152&lt;&gt;"",kokpit!I152,"")</f>
        <v/>
      </c>
      <c r="J152" s="5" t="str">
        <f>IF(kokpit!J152&lt;&gt;"",kokpit!J152,"")</f>
        <v/>
      </c>
      <c r="K152" s="24" t="str">
        <f>IF(I152&lt;&gt;"",SUMIFS('JPK_KR-1'!AL:AL,'JPK_KR-1'!W:W,J152),"")</f>
        <v/>
      </c>
      <c r="L152" s="141" t="str">
        <f>IF(I152&lt;&gt;"",SUMIFS('JPK_KR-1'!AM:AM,'JPK_KR-1'!W:W,J152),"")</f>
        <v/>
      </c>
      <c r="M152" s="143" t="str">
        <f>IF(kokpit!M152&lt;&gt;"",kokpit!M152,"")</f>
        <v/>
      </c>
      <c r="N152" s="117" t="str">
        <f>IF(kokpit!N152&lt;&gt;"",kokpit!N152,"")</f>
        <v/>
      </c>
      <c r="O152" s="117" t="str">
        <f>IF(kokpit!O152&lt;&gt;"",kokpit!O152,"")</f>
        <v/>
      </c>
      <c r="P152" s="141" t="str">
        <f>IF(M152&lt;&gt;"",IF(O152="",SUMIFS('JPK_KR-1'!AL:AL,'JPK_KR-1'!W:W,N152),SUMIFS('JPK_KR-1'!BF:BF,'JPK_KR-1'!BE:BE,N152,'JPK_KR-1'!BG:BG,O152)),"")</f>
        <v/>
      </c>
      <c r="Q152" s="144" t="str">
        <f>IF(M152&lt;&gt;"",IF(O152="",SUMIFS('JPK_KR-1'!AM:AM,'JPK_KR-1'!W:W,N152),SUMIFS('JPK_KR-1'!BI:BI,'JPK_KR-1'!BH:BH,N152,'JPK_KR-1'!BJ:BJ,O152)),"")</f>
        <v/>
      </c>
      <c r="R152" s="117" t="str">
        <f>IF(kokpit!R152&lt;&gt;"",kokpit!R152,"")</f>
        <v/>
      </c>
      <c r="S152" s="117" t="str">
        <f>IF(kokpit!S152&lt;&gt;"",kokpit!S152,"")</f>
        <v/>
      </c>
      <c r="T152" s="117" t="str">
        <f>IF(kokpit!T152&lt;&gt;"",kokpit!T152,"")</f>
        <v/>
      </c>
      <c r="U152" s="141" t="str">
        <f>IF(R152&lt;&gt;"",SUMIFS('JPK_KR-1'!AL:AL,'JPK_KR-1'!W:W,S152),"")</f>
        <v/>
      </c>
      <c r="V152" s="144" t="str">
        <f>IF(R152&lt;&gt;"",SUMIFS('JPK_KR-1'!AM:AM,'JPK_KR-1'!W:W,S152),"")</f>
        <v/>
      </c>
    </row>
    <row r="153" spans="1:22" x14ac:dyDescent="0.3">
      <c r="A153" s="5" t="str">
        <f>IF(kokpit!A153&lt;&gt;"",kokpit!A153,"")</f>
        <v/>
      </c>
      <c r="B153" s="5" t="str">
        <f>IF(kokpit!B153&lt;&gt;"",kokpit!B153,"")</f>
        <v/>
      </c>
      <c r="C153" s="24" t="str">
        <f>IF(A153&lt;&gt;"",SUMIFS('JPK_KR-1'!AL:AL,'JPK_KR-1'!W:W,B153),"")</f>
        <v/>
      </c>
      <c r="D153" s="126" t="str">
        <f>IF(A153&lt;&gt;"",SUMIFS('JPK_KR-1'!AM:AM,'JPK_KR-1'!W:W,B153),"")</f>
        <v/>
      </c>
      <c r="E153" s="5" t="str">
        <f>IF(kokpit!E153&lt;&gt;"",kokpit!E153,"")</f>
        <v/>
      </c>
      <c r="F153" s="127" t="str">
        <f>IF(kokpit!F153&lt;&gt;"",kokpit!F153,"")</f>
        <v/>
      </c>
      <c r="G153" s="24" t="str">
        <f>IF(E153&lt;&gt;"",SUMIFS('JPK_KR-1'!AL:AL,'JPK_KR-1'!W:W,F153),"")</f>
        <v/>
      </c>
      <c r="H153" s="126" t="str">
        <f>IF(E153&lt;&gt;"",SUMIFS('JPK_KR-1'!AM:AM,'JPK_KR-1'!W:W,F153),"")</f>
        <v/>
      </c>
      <c r="I153" s="5" t="str">
        <f>IF(kokpit!I153&lt;&gt;"",kokpit!I153,"")</f>
        <v/>
      </c>
      <c r="J153" s="5" t="str">
        <f>IF(kokpit!J153&lt;&gt;"",kokpit!J153,"")</f>
        <v/>
      </c>
      <c r="K153" s="24" t="str">
        <f>IF(I153&lt;&gt;"",SUMIFS('JPK_KR-1'!AL:AL,'JPK_KR-1'!W:W,J153),"")</f>
        <v/>
      </c>
      <c r="L153" s="141" t="str">
        <f>IF(I153&lt;&gt;"",SUMIFS('JPK_KR-1'!AM:AM,'JPK_KR-1'!W:W,J153),"")</f>
        <v/>
      </c>
      <c r="M153" s="143" t="str">
        <f>IF(kokpit!M153&lt;&gt;"",kokpit!M153,"")</f>
        <v/>
      </c>
      <c r="N153" s="117" t="str">
        <f>IF(kokpit!N153&lt;&gt;"",kokpit!N153,"")</f>
        <v/>
      </c>
      <c r="O153" s="117" t="str">
        <f>IF(kokpit!O153&lt;&gt;"",kokpit!O153,"")</f>
        <v/>
      </c>
      <c r="P153" s="141" t="str">
        <f>IF(M153&lt;&gt;"",IF(O153="",SUMIFS('JPK_KR-1'!AL:AL,'JPK_KR-1'!W:W,N153),SUMIFS('JPK_KR-1'!BF:BF,'JPK_KR-1'!BE:BE,N153,'JPK_KR-1'!BG:BG,O153)),"")</f>
        <v/>
      </c>
      <c r="Q153" s="144" t="str">
        <f>IF(M153&lt;&gt;"",IF(O153="",SUMIFS('JPK_KR-1'!AM:AM,'JPK_KR-1'!W:W,N153),SUMIFS('JPK_KR-1'!BI:BI,'JPK_KR-1'!BH:BH,N153,'JPK_KR-1'!BJ:BJ,O153)),"")</f>
        <v/>
      </c>
      <c r="R153" s="117" t="str">
        <f>IF(kokpit!R153&lt;&gt;"",kokpit!R153,"")</f>
        <v/>
      </c>
      <c r="S153" s="117" t="str">
        <f>IF(kokpit!S153&lt;&gt;"",kokpit!S153,"")</f>
        <v/>
      </c>
      <c r="T153" s="117" t="str">
        <f>IF(kokpit!T153&lt;&gt;"",kokpit!T153,"")</f>
        <v/>
      </c>
      <c r="U153" s="141" t="str">
        <f>IF(R153&lt;&gt;"",SUMIFS('JPK_KR-1'!AL:AL,'JPK_KR-1'!W:W,S153),"")</f>
        <v/>
      </c>
      <c r="V153" s="144" t="str">
        <f>IF(R153&lt;&gt;"",SUMIFS('JPK_KR-1'!AM:AM,'JPK_KR-1'!W:W,S153),"")</f>
        <v/>
      </c>
    </row>
    <row r="154" spans="1:22" x14ac:dyDescent="0.3">
      <c r="A154" s="5" t="str">
        <f>IF(kokpit!A154&lt;&gt;"",kokpit!A154,"")</f>
        <v/>
      </c>
      <c r="B154" s="5" t="str">
        <f>IF(kokpit!B154&lt;&gt;"",kokpit!B154,"")</f>
        <v/>
      </c>
      <c r="C154" s="24" t="str">
        <f>IF(A154&lt;&gt;"",SUMIFS('JPK_KR-1'!AL:AL,'JPK_KR-1'!W:W,B154),"")</f>
        <v/>
      </c>
      <c r="D154" s="126" t="str">
        <f>IF(A154&lt;&gt;"",SUMIFS('JPK_KR-1'!AM:AM,'JPK_KR-1'!W:W,B154),"")</f>
        <v/>
      </c>
      <c r="E154" s="5" t="str">
        <f>IF(kokpit!E154&lt;&gt;"",kokpit!E154,"")</f>
        <v/>
      </c>
      <c r="F154" s="127" t="str">
        <f>IF(kokpit!F154&lt;&gt;"",kokpit!F154,"")</f>
        <v/>
      </c>
      <c r="G154" s="24" t="str">
        <f>IF(E154&lt;&gt;"",SUMIFS('JPK_KR-1'!AL:AL,'JPK_KR-1'!W:W,F154),"")</f>
        <v/>
      </c>
      <c r="H154" s="126" t="str">
        <f>IF(E154&lt;&gt;"",SUMIFS('JPK_KR-1'!AM:AM,'JPK_KR-1'!W:W,F154),"")</f>
        <v/>
      </c>
      <c r="I154" s="5" t="str">
        <f>IF(kokpit!I154&lt;&gt;"",kokpit!I154,"")</f>
        <v/>
      </c>
      <c r="J154" s="5" t="str">
        <f>IF(kokpit!J154&lt;&gt;"",kokpit!J154,"")</f>
        <v/>
      </c>
      <c r="K154" s="24" t="str">
        <f>IF(I154&lt;&gt;"",SUMIFS('JPK_KR-1'!AL:AL,'JPK_KR-1'!W:W,J154),"")</f>
        <v/>
      </c>
      <c r="L154" s="141" t="str">
        <f>IF(I154&lt;&gt;"",SUMIFS('JPK_KR-1'!AM:AM,'JPK_KR-1'!W:W,J154),"")</f>
        <v/>
      </c>
      <c r="M154" s="143" t="str">
        <f>IF(kokpit!M154&lt;&gt;"",kokpit!M154,"")</f>
        <v/>
      </c>
      <c r="N154" s="117" t="str">
        <f>IF(kokpit!N154&lt;&gt;"",kokpit!N154,"")</f>
        <v/>
      </c>
      <c r="O154" s="117" t="str">
        <f>IF(kokpit!O154&lt;&gt;"",kokpit!O154,"")</f>
        <v/>
      </c>
      <c r="P154" s="141" t="str">
        <f>IF(M154&lt;&gt;"",IF(O154="",SUMIFS('JPK_KR-1'!AL:AL,'JPK_KR-1'!W:W,N154),SUMIFS('JPK_KR-1'!BF:BF,'JPK_KR-1'!BE:BE,N154,'JPK_KR-1'!BG:BG,O154)),"")</f>
        <v/>
      </c>
      <c r="Q154" s="144" t="str">
        <f>IF(M154&lt;&gt;"",IF(O154="",SUMIFS('JPK_KR-1'!AM:AM,'JPK_KR-1'!W:W,N154),SUMIFS('JPK_KR-1'!BI:BI,'JPK_KR-1'!BH:BH,N154,'JPK_KR-1'!BJ:BJ,O154)),"")</f>
        <v/>
      </c>
      <c r="R154" s="117" t="str">
        <f>IF(kokpit!R154&lt;&gt;"",kokpit!R154,"")</f>
        <v/>
      </c>
      <c r="S154" s="117" t="str">
        <f>IF(kokpit!S154&lt;&gt;"",kokpit!S154,"")</f>
        <v/>
      </c>
      <c r="T154" s="117" t="str">
        <f>IF(kokpit!T154&lt;&gt;"",kokpit!T154,"")</f>
        <v/>
      </c>
      <c r="U154" s="141" t="str">
        <f>IF(R154&lt;&gt;"",SUMIFS('JPK_KR-1'!AL:AL,'JPK_KR-1'!W:W,S154),"")</f>
        <v/>
      </c>
      <c r="V154" s="144" t="str">
        <f>IF(R154&lt;&gt;"",SUMIFS('JPK_KR-1'!AM:AM,'JPK_KR-1'!W:W,S154),"")</f>
        <v/>
      </c>
    </row>
    <row r="155" spans="1:22" x14ac:dyDescent="0.3">
      <c r="A155" s="5" t="str">
        <f>IF(kokpit!A155&lt;&gt;"",kokpit!A155,"")</f>
        <v/>
      </c>
      <c r="B155" s="5" t="str">
        <f>IF(kokpit!B155&lt;&gt;"",kokpit!B155,"")</f>
        <v/>
      </c>
      <c r="C155" s="24" t="str">
        <f>IF(A155&lt;&gt;"",SUMIFS('JPK_KR-1'!AL:AL,'JPK_KR-1'!W:W,B155),"")</f>
        <v/>
      </c>
      <c r="D155" s="126" t="str">
        <f>IF(A155&lt;&gt;"",SUMIFS('JPK_KR-1'!AM:AM,'JPK_KR-1'!W:W,B155),"")</f>
        <v/>
      </c>
      <c r="E155" s="5" t="str">
        <f>IF(kokpit!E155&lt;&gt;"",kokpit!E155,"")</f>
        <v/>
      </c>
      <c r="F155" s="127" t="str">
        <f>IF(kokpit!F155&lt;&gt;"",kokpit!F155,"")</f>
        <v/>
      </c>
      <c r="G155" s="24" t="str">
        <f>IF(E155&lt;&gt;"",SUMIFS('JPK_KR-1'!AL:AL,'JPK_KR-1'!W:W,F155),"")</f>
        <v/>
      </c>
      <c r="H155" s="126" t="str">
        <f>IF(E155&lt;&gt;"",SUMIFS('JPK_KR-1'!AM:AM,'JPK_KR-1'!W:W,F155),"")</f>
        <v/>
      </c>
      <c r="I155" s="5" t="str">
        <f>IF(kokpit!I155&lt;&gt;"",kokpit!I155,"")</f>
        <v/>
      </c>
      <c r="J155" s="5" t="str">
        <f>IF(kokpit!J155&lt;&gt;"",kokpit!J155,"")</f>
        <v/>
      </c>
      <c r="K155" s="24" t="str">
        <f>IF(I155&lt;&gt;"",SUMIFS('JPK_KR-1'!AL:AL,'JPK_KR-1'!W:W,J155),"")</f>
        <v/>
      </c>
      <c r="L155" s="141" t="str">
        <f>IF(I155&lt;&gt;"",SUMIFS('JPK_KR-1'!AM:AM,'JPK_KR-1'!W:W,J155),"")</f>
        <v/>
      </c>
      <c r="M155" s="143" t="str">
        <f>IF(kokpit!M155&lt;&gt;"",kokpit!M155,"")</f>
        <v/>
      </c>
      <c r="N155" s="117" t="str">
        <f>IF(kokpit!N155&lt;&gt;"",kokpit!N155,"")</f>
        <v/>
      </c>
      <c r="O155" s="117" t="str">
        <f>IF(kokpit!O155&lt;&gt;"",kokpit!O155,"")</f>
        <v/>
      </c>
      <c r="P155" s="141" t="str">
        <f>IF(M155&lt;&gt;"",IF(O155="",SUMIFS('JPK_KR-1'!AL:AL,'JPK_KR-1'!W:W,N155),SUMIFS('JPK_KR-1'!BF:BF,'JPK_KR-1'!BE:BE,N155,'JPK_KR-1'!BG:BG,O155)),"")</f>
        <v/>
      </c>
      <c r="Q155" s="144" t="str">
        <f>IF(M155&lt;&gt;"",IF(O155="",SUMIFS('JPK_KR-1'!AM:AM,'JPK_KR-1'!W:W,N155),SUMIFS('JPK_KR-1'!BI:BI,'JPK_KR-1'!BH:BH,N155,'JPK_KR-1'!BJ:BJ,O155)),"")</f>
        <v/>
      </c>
      <c r="R155" s="117" t="str">
        <f>IF(kokpit!R155&lt;&gt;"",kokpit!R155,"")</f>
        <v/>
      </c>
      <c r="S155" s="117" t="str">
        <f>IF(kokpit!S155&lt;&gt;"",kokpit!S155,"")</f>
        <v/>
      </c>
      <c r="T155" s="117" t="str">
        <f>IF(kokpit!T155&lt;&gt;"",kokpit!T155,"")</f>
        <v/>
      </c>
      <c r="U155" s="141" t="str">
        <f>IF(R155&lt;&gt;"",SUMIFS('JPK_KR-1'!AL:AL,'JPK_KR-1'!W:W,S155),"")</f>
        <v/>
      </c>
      <c r="V155" s="144" t="str">
        <f>IF(R155&lt;&gt;"",SUMIFS('JPK_KR-1'!AM:AM,'JPK_KR-1'!W:W,S155),"")</f>
        <v/>
      </c>
    </row>
    <row r="156" spans="1:22" x14ac:dyDescent="0.3">
      <c r="A156" s="5" t="str">
        <f>IF(kokpit!A156&lt;&gt;"",kokpit!A156,"")</f>
        <v/>
      </c>
      <c r="B156" s="5" t="str">
        <f>IF(kokpit!B156&lt;&gt;"",kokpit!B156,"")</f>
        <v/>
      </c>
      <c r="C156" s="24" t="str">
        <f>IF(A156&lt;&gt;"",SUMIFS('JPK_KR-1'!AL:AL,'JPK_KR-1'!W:W,B156),"")</f>
        <v/>
      </c>
      <c r="D156" s="126" t="str">
        <f>IF(A156&lt;&gt;"",SUMIFS('JPK_KR-1'!AM:AM,'JPK_KR-1'!W:W,B156),"")</f>
        <v/>
      </c>
      <c r="E156" s="5" t="str">
        <f>IF(kokpit!E156&lt;&gt;"",kokpit!E156,"")</f>
        <v/>
      </c>
      <c r="F156" s="127" t="str">
        <f>IF(kokpit!F156&lt;&gt;"",kokpit!F156,"")</f>
        <v/>
      </c>
      <c r="G156" s="24" t="str">
        <f>IF(E156&lt;&gt;"",SUMIFS('JPK_KR-1'!AL:AL,'JPK_KR-1'!W:W,F156),"")</f>
        <v/>
      </c>
      <c r="H156" s="126" t="str">
        <f>IF(E156&lt;&gt;"",SUMIFS('JPK_KR-1'!AM:AM,'JPK_KR-1'!W:W,F156),"")</f>
        <v/>
      </c>
      <c r="I156" s="5" t="str">
        <f>IF(kokpit!I156&lt;&gt;"",kokpit!I156,"")</f>
        <v/>
      </c>
      <c r="J156" s="5" t="str">
        <f>IF(kokpit!J156&lt;&gt;"",kokpit!J156,"")</f>
        <v/>
      </c>
      <c r="K156" s="24" t="str">
        <f>IF(I156&lt;&gt;"",SUMIFS('JPK_KR-1'!AL:AL,'JPK_KR-1'!W:W,J156),"")</f>
        <v/>
      </c>
      <c r="L156" s="141" t="str">
        <f>IF(I156&lt;&gt;"",SUMIFS('JPK_KR-1'!AM:AM,'JPK_KR-1'!W:W,J156),"")</f>
        <v/>
      </c>
      <c r="M156" s="143" t="str">
        <f>IF(kokpit!M156&lt;&gt;"",kokpit!M156,"")</f>
        <v/>
      </c>
      <c r="N156" s="117" t="str">
        <f>IF(kokpit!N156&lt;&gt;"",kokpit!N156,"")</f>
        <v/>
      </c>
      <c r="O156" s="117" t="str">
        <f>IF(kokpit!O156&lt;&gt;"",kokpit!O156,"")</f>
        <v/>
      </c>
      <c r="P156" s="141" t="str">
        <f>IF(M156&lt;&gt;"",IF(O156="",SUMIFS('JPK_KR-1'!AL:AL,'JPK_KR-1'!W:W,N156),SUMIFS('JPK_KR-1'!BF:BF,'JPK_KR-1'!BE:BE,N156,'JPK_KR-1'!BG:BG,O156)),"")</f>
        <v/>
      </c>
      <c r="Q156" s="144" t="str">
        <f>IF(M156&lt;&gt;"",IF(O156="",SUMIFS('JPK_KR-1'!AM:AM,'JPK_KR-1'!W:W,N156),SUMIFS('JPK_KR-1'!BI:BI,'JPK_KR-1'!BH:BH,N156,'JPK_KR-1'!BJ:BJ,O156)),"")</f>
        <v/>
      </c>
      <c r="R156" s="117" t="str">
        <f>IF(kokpit!R156&lt;&gt;"",kokpit!R156,"")</f>
        <v/>
      </c>
      <c r="S156" s="117" t="str">
        <f>IF(kokpit!S156&lt;&gt;"",kokpit!S156,"")</f>
        <v/>
      </c>
      <c r="T156" s="117" t="str">
        <f>IF(kokpit!T156&lt;&gt;"",kokpit!T156,"")</f>
        <v/>
      </c>
      <c r="U156" s="141" t="str">
        <f>IF(R156&lt;&gt;"",SUMIFS('JPK_KR-1'!AL:AL,'JPK_KR-1'!W:W,S156),"")</f>
        <v/>
      </c>
      <c r="V156" s="144" t="str">
        <f>IF(R156&lt;&gt;"",SUMIFS('JPK_KR-1'!AM:AM,'JPK_KR-1'!W:W,S156),"")</f>
        <v/>
      </c>
    </row>
    <row r="157" spans="1:22" x14ac:dyDescent="0.3">
      <c r="A157" s="5" t="str">
        <f>IF(kokpit!A157&lt;&gt;"",kokpit!A157,"")</f>
        <v/>
      </c>
      <c r="B157" s="5" t="str">
        <f>IF(kokpit!B157&lt;&gt;"",kokpit!B157,"")</f>
        <v/>
      </c>
      <c r="C157" s="24" t="str">
        <f>IF(A157&lt;&gt;"",SUMIFS('JPK_KR-1'!AL:AL,'JPK_KR-1'!W:W,B157),"")</f>
        <v/>
      </c>
      <c r="D157" s="126" t="str">
        <f>IF(A157&lt;&gt;"",SUMIFS('JPK_KR-1'!AM:AM,'JPK_KR-1'!W:W,B157),"")</f>
        <v/>
      </c>
      <c r="E157" s="5" t="str">
        <f>IF(kokpit!E157&lt;&gt;"",kokpit!E157,"")</f>
        <v/>
      </c>
      <c r="F157" s="127" t="str">
        <f>IF(kokpit!F157&lt;&gt;"",kokpit!F157,"")</f>
        <v/>
      </c>
      <c r="G157" s="24" t="str">
        <f>IF(E157&lt;&gt;"",SUMIFS('JPK_KR-1'!AL:AL,'JPK_KR-1'!W:W,F157),"")</f>
        <v/>
      </c>
      <c r="H157" s="126" t="str">
        <f>IF(E157&lt;&gt;"",SUMIFS('JPK_KR-1'!AM:AM,'JPK_KR-1'!W:W,F157),"")</f>
        <v/>
      </c>
      <c r="I157" s="5" t="str">
        <f>IF(kokpit!I157&lt;&gt;"",kokpit!I157,"")</f>
        <v/>
      </c>
      <c r="J157" s="5" t="str">
        <f>IF(kokpit!J157&lt;&gt;"",kokpit!J157,"")</f>
        <v/>
      </c>
      <c r="K157" s="24" t="str">
        <f>IF(I157&lt;&gt;"",SUMIFS('JPK_KR-1'!AL:AL,'JPK_KR-1'!W:W,J157),"")</f>
        <v/>
      </c>
      <c r="L157" s="141" t="str">
        <f>IF(I157&lt;&gt;"",SUMIFS('JPK_KR-1'!AM:AM,'JPK_KR-1'!W:W,J157),"")</f>
        <v/>
      </c>
      <c r="M157" s="143" t="str">
        <f>IF(kokpit!M157&lt;&gt;"",kokpit!M157,"")</f>
        <v/>
      </c>
      <c r="N157" s="117" t="str">
        <f>IF(kokpit!N157&lt;&gt;"",kokpit!N157,"")</f>
        <v/>
      </c>
      <c r="O157" s="117" t="str">
        <f>IF(kokpit!O157&lt;&gt;"",kokpit!O157,"")</f>
        <v/>
      </c>
      <c r="P157" s="141" t="str">
        <f>IF(M157&lt;&gt;"",IF(O157="",SUMIFS('JPK_KR-1'!AL:AL,'JPK_KR-1'!W:W,N157),SUMIFS('JPK_KR-1'!BF:BF,'JPK_KR-1'!BE:BE,N157,'JPK_KR-1'!BG:BG,O157)),"")</f>
        <v/>
      </c>
      <c r="Q157" s="144" t="str">
        <f>IF(M157&lt;&gt;"",IF(O157="",SUMIFS('JPK_KR-1'!AM:AM,'JPK_KR-1'!W:W,N157),SUMIFS('JPK_KR-1'!BI:BI,'JPK_KR-1'!BH:BH,N157,'JPK_KR-1'!BJ:BJ,O157)),"")</f>
        <v/>
      </c>
      <c r="R157" s="117" t="str">
        <f>IF(kokpit!R157&lt;&gt;"",kokpit!R157,"")</f>
        <v/>
      </c>
      <c r="S157" s="117" t="str">
        <f>IF(kokpit!S157&lt;&gt;"",kokpit!S157,"")</f>
        <v/>
      </c>
      <c r="T157" s="117" t="str">
        <f>IF(kokpit!T157&lt;&gt;"",kokpit!T157,"")</f>
        <v/>
      </c>
      <c r="U157" s="141" t="str">
        <f>IF(R157&lt;&gt;"",SUMIFS('JPK_KR-1'!AL:AL,'JPK_KR-1'!W:W,S157),"")</f>
        <v/>
      </c>
      <c r="V157" s="144" t="str">
        <f>IF(R157&lt;&gt;"",SUMIFS('JPK_KR-1'!AM:AM,'JPK_KR-1'!W:W,S157),"")</f>
        <v/>
      </c>
    </row>
    <row r="158" spans="1:22" x14ac:dyDescent="0.3">
      <c r="A158" s="5" t="str">
        <f>IF(kokpit!A158&lt;&gt;"",kokpit!A158,"")</f>
        <v/>
      </c>
      <c r="B158" s="5" t="str">
        <f>IF(kokpit!B158&lt;&gt;"",kokpit!B158,"")</f>
        <v/>
      </c>
      <c r="C158" s="24" t="str">
        <f>IF(A158&lt;&gt;"",SUMIFS('JPK_KR-1'!AL:AL,'JPK_KR-1'!W:W,B158),"")</f>
        <v/>
      </c>
      <c r="D158" s="126" t="str">
        <f>IF(A158&lt;&gt;"",SUMIFS('JPK_KR-1'!AM:AM,'JPK_KR-1'!W:W,B158),"")</f>
        <v/>
      </c>
      <c r="E158" s="5" t="str">
        <f>IF(kokpit!E158&lt;&gt;"",kokpit!E158,"")</f>
        <v/>
      </c>
      <c r="F158" s="127" t="str">
        <f>IF(kokpit!F158&lt;&gt;"",kokpit!F158,"")</f>
        <v/>
      </c>
      <c r="G158" s="24" t="str">
        <f>IF(E158&lt;&gt;"",SUMIFS('JPK_KR-1'!AL:AL,'JPK_KR-1'!W:W,F158),"")</f>
        <v/>
      </c>
      <c r="H158" s="126" t="str">
        <f>IF(E158&lt;&gt;"",SUMIFS('JPK_KR-1'!AM:AM,'JPK_KR-1'!W:W,F158),"")</f>
        <v/>
      </c>
      <c r="I158" s="5" t="str">
        <f>IF(kokpit!I158&lt;&gt;"",kokpit!I158,"")</f>
        <v/>
      </c>
      <c r="J158" s="5" t="str">
        <f>IF(kokpit!J158&lt;&gt;"",kokpit!J158,"")</f>
        <v/>
      </c>
      <c r="K158" s="24" t="str">
        <f>IF(I158&lt;&gt;"",SUMIFS('JPK_KR-1'!AL:AL,'JPK_KR-1'!W:W,J158),"")</f>
        <v/>
      </c>
      <c r="L158" s="141" t="str">
        <f>IF(I158&lt;&gt;"",SUMIFS('JPK_KR-1'!AM:AM,'JPK_KR-1'!W:W,J158),"")</f>
        <v/>
      </c>
      <c r="M158" s="143" t="str">
        <f>IF(kokpit!M158&lt;&gt;"",kokpit!M158,"")</f>
        <v/>
      </c>
      <c r="N158" s="117" t="str">
        <f>IF(kokpit!N158&lt;&gt;"",kokpit!N158,"")</f>
        <v/>
      </c>
      <c r="O158" s="117" t="str">
        <f>IF(kokpit!O158&lt;&gt;"",kokpit!O158,"")</f>
        <v/>
      </c>
      <c r="P158" s="141" t="str">
        <f>IF(M158&lt;&gt;"",IF(O158="",SUMIFS('JPK_KR-1'!AL:AL,'JPK_KR-1'!W:W,N158),SUMIFS('JPK_KR-1'!BF:BF,'JPK_KR-1'!BE:BE,N158,'JPK_KR-1'!BG:BG,O158)),"")</f>
        <v/>
      </c>
      <c r="Q158" s="144" t="str">
        <f>IF(M158&lt;&gt;"",IF(O158="",SUMIFS('JPK_KR-1'!AM:AM,'JPK_KR-1'!W:W,N158),SUMIFS('JPK_KR-1'!BI:BI,'JPK_KR-1'!BH:BH,N158,'JPK_KR-1'!BJ:BJ,O158)),"")</f>
        <v/>
      </c>
      <c r="R158" s="117" t="str">
        <f>IF(kokpit!R158&lt;&gt;"",kokpit!R158,"")</f>
        <v/>
      </c>
      <c r="S158" s="117" t="str">
        <f>IF(kokpit!S158&lt;&gt;"",kokpit!S158,"")</f>
        <v/>
      </c>
      <c r="T158" s="117" t="str">
        <f>IF(kokpit!T158&lt;&gt;"",kokpit!T158,"")</f>
        <v/>
      </c>
      <c r="U158" s="141" t="str">
        <f>IF(R158&lt;&gt;"",SUMIFS('JPK_KR-1'!AL:AL,'JPK_KR-1'!W:W,S158),"")</f>
        <v/>
      </c>
      <c r="V158" s="144" t="str">
        <f>IF(R158&lt;&gt;"",SUMIFS('JPK_KR-1'!AM:AM,'JPK_KR-1'!W:W,S158),"")</f>
        <v/>
      </c>
    </row>
    <row r="159" spans="1:22" x14ac:dyDescent="0.3">
      <c r="A159" s="5" t="str">
        <f>IF(kokpit!A159&lt;&gt;"",kokpit!A159,"")</f>
        <v/>
      </c>
      <c r="B159" s="5" t="str">
        <f>IF(kokpit!B159&lt;&gt;"",kokpit!B159,"")</f>
        <v/>
      </c>
      <c r="C159" s="24" t="str">
        <f>IF(A159&lt;&gt;"",SUMIFS('JPK_KR-1'!AL:AL,'JPK_KR-1'!W:W,B159),"")</f>
        <v/>
      </c>
      <c r="D159" s="126" t="str">
        <f>IF(A159&lt;&gt;"",SUMIFS('JPK_KR-1'!AM:AM,'JPK_KR-1'!W:W,B159),"")</f>
        <v/>
      </c>
      <c r="E159" s="5" t="str">
        <f>IF(kokpit!E159&lt;&gt;"",kokpit!E159,"")</f>
        <v/>
      </c>
      <c r="F159" s="127" t="str">
        <f>IF(kokpit!F159&lt;&gt;"",kokpit!F159,"")</f>
        <v/>
      </c>
      <c r="G159" s="24" t="str">
        <f>IF(E159&lt;&gt;"",SUMIFS('JPK_KR-1'!AL:AL,'JPK_KR-1'!W:W,F159),"")</f>
        <v/>
      </c>
      <c r="H159" s="126" t="str">
        <f>IF(E159&lt;&gt;"",SUMIFS('JPK_KR-1'!AM:AM,'JPK_KR-1'!W:W,F159),"")</f>
        <v/>
      </c>
      <c r="I159" s="5" t="str">
        <f>IF(kokpit!I159&lt;&gt;"",kokpit!I159,"")</f>
        <v/>
      </c>
      <c r="J159" s="5" t="str">
        <f>IF(kokpit!J159&lt;&gt;"",kokpit!J159,"")</f>
        <v/>
      </c>
      <c r="K159" s="24" t="str">
        <f>IF(I159&lt;&gt;"",SUMIFS('JPK_KR-1'!AL:AL,'JPK_KR-1'!W:W,J159),"")</f>
        <v/>
      </c>
      <c r="L159" s="141" t="str">
        <f>IF(I159&lt;&gt;"",SUMIFS('JPK_KR-1'!AM:AM,'JPK_KR-1'!W:W,J159),"")</f>
        <v/>
      </c>
      <c r="M159" s="143" t="str">
        <f>IF(kokpit!M159&lt;&gt;"",kokpit!M159,"")</f>
        <v/>
      </c>
      <c r="N159" s="117" t="str">
        <f>IF(kokpit!N159&lt;&gt;"",kokpit!N159,"")</f>
        <v/>
      </c>
      <c r="O159" s="117" t="str">
        <f>IF(kokpit!O159&lt;&gt;"",kokpit!O159,"")</f>
        <v/>
      </c>
      <c r="P159" s="141" t="str">
        <f>IF(M159&lt;&gt;"",IF(O159="",SUMIFS('JPK_KR-1'!AL:AL,'JPK_KR-1'!W:W,N159),SUMIFS('JPK_KR-1'!BF:BF,'JPK_KR-1'!BE:BE,N159,'JPK_KR-1'!BG:BG,O159)),"")</f>
        <v/>
      </c>
      <c r="Q159" s="144" t="str">
        <f>IF(M159&lt;&gt;"",IF(O159="",SUMIFS('JPK_KR-1'!AM:AM,'JPK_KR-1'!W:W,N159),SUMIFS('JPK_KR-1'!BI:BI,'JPK_KR-1'!BH:BH,N159,'JPK_KR-1'!BJ:BJ,O159)),"")</f>
        <v/>
      </c>
      <c r="R159" s="117" t="str">
        <f>IF(kokpit!R159&lt;&gt;"",kokpit!R159,"")</f>
        <v/>
      </c>
      <c r="S159" s="117" t="str">
        <f>IF(kokpit!S159&lt;&gt;"",kokpit!S159,"")</f>
        <v/>
      </c>
      <c r="T159" s="117" t="str">
        <f>IF(kokpit!T159&lt;&gt;"",kokpit!T159,"")</f>
        <v/>
      </c>
      <c r="U159" s="141" t="str">
        <f>IF(R159&lt;&gt;"",SUMIFS('JPK_KR-1'!AL:AL,'JPK_KR-1'!W:W,S159),"")</f>
        <v/>
      </c>
      <c r="V159" s="144" t="str">
        <f>IF(R159&lt;&gt;"",SUMIFS('JPK_KR-1'!AM:AM,'JPK_KR-1'!W:W,S159),"")</f>
        <v/>
      </c>
    </row>
    <row r="160" spans="1:22" x14ac:dyDescent="0.3">
      <c r="A160" s="5" t="str">
        <f>IF(kokpit!A160&lt;&gt;"",kokpit!A160,"")</f>
        <v/>
      </c>
      <c r="B160" s="5" t="str">
        <f>IF(kokpit!B160&lt;&gt;"",kokpit!B160,"")</f>
        <v/>
      </c>
      <c r="C160" s="24" t="str">
        <f>IF(A160&lt;&gt;"",SUMIFS('JPK_KR-1'!AL:AL,'JPK_KR-1'!W:W,B160),"")</f>
        <v/>
      </c>
      <c r="D160" s="126" t="str">
        <f>IF(A160&lt;&gt;"",SUMIFS('JPK_KR-1'!AM:AM,'JPK_KR-1'!W:W,B160),"")</f>
        <v/>
      </c>
      <c r="E160" s="5" t="str">
        <f>IF(kokpit!E160&lt;&gt;"",kokpit!E160,"")</f>
        <v/>
      </c>
      <c r="F160" s="127" t="str">
        <f>IF(kokpit!F160&lt;&gt;"",kokpit!F160,"")</f>
        <v/>
      </c>
      <c r="G160" s="24" t="str">
        <f>IF(E160&lt;&gt;"",SUMIFS('JPK_KR-1'!AL:AL,'JPK_KR-1'!W:W,F160),"")</f>
        <v/>
      </c>
      <c r="H160" s="126" t="str">
        <f>IF(E160&lt;&gt;"",SUMIFS('JPK_KR-1'!AM:AM,'JPK_KR-1'!W:W,F160),"")</f>
        <v/>
      </c>
      <c r="I160" s="5" t="str">
        <f>IF(kokpit!I160&lt;&gt;"",kokpit!I160,"")</f>
        <v/>
      </c>
      <c r="J160" s="5" t="str">
        <f>IF(kokpit!J160&lt;&gt;"",kokpit!J160,"")</f>
        <v/>
      </c>
      <c r="K160" s="24" t="str">
        <f>IF(I160&lt;&gt;"",SUMIFS('JPK_KR-1'!AL:AL,'JPK_KR-1'!W:W,J160),"")</f>
        <v/>
      </c>
      <c r="L160" s="141" t="str">
        <f>IF(I160&lt;&gt;"",SUMIFS('JPK_KR-1'!AM:AM,'JPK_KR-1'!W:W,J160),"")</f>
        <v/>
      </c>
      <c r="M160" s="143" t="str">
        <f>IF(kokpit!M160&lt;&gt;"",kokpit!M160,"")</f>
        <v/>
      </c>
      <c r="N160" s="117" t="str">
        <f>IF(kokpit!N160&lt;&gt;"",kokpit!N160,"")</f>
        <v/>
      </c>
      <c r="O160" s="117" t="str">
        <f>IF(kokpit!O160&lt;&gt;"",kokpit!O160,"")</f>
        <v/>
      </c>
      <c r="P160" s="141" t="str">
        <f>IF(M160&lt;&gt;"",IF(O160="",SUMIFS('JPK_KR-1'!AL:AL,'JPK_KR-1'!W:W,N160),SUMIFS('JPK_KR-1'!BF:BF,'JPK_KR-1'!BE:BE,N160,'JPK_KR-1'!BG:BG,O160)),"")</f>
        <v/>
      </c>
      <c r="Q160" s="144" t="str">
        <f>IF(M160&lt;&gt;"",IF(O160="",SUMIFS('JPK_KR-1'!AM:AM,'JPK_KR-1'!W:W,N160),SUMIFS('JPK_KR-1'!BI:BI,'JPK_KR-1'!BH:BH,N160,'JPK_KR-1'!BJ:BJ,O160)),"")</f>
        <v/>
      </c>
      <c r="R160" s="117" t="str">
        <f>IF(kokpit!R160&lt;&gt;"",kokpit!R160,"")</f>
        <v/>
      </c>
      <c r="S160" s="117" t="str">
        <f>IF(kokpit!S160&lt;&gt;"",kokpit!S160,"")</f>
        <v/>
      </c>
      <c r="T160" s="117" t="str">
        <f>IF(kokpit!T160&lt;&gt;"",kokpit!T160,"")</f>
        <v/>
      </c>
      <c r="U160" s="141" t="str">
        <f>IF(R160&lt;&gt;"",SUMIFS('JPK_KR-1'!AL:AL,'JPK_KR-1'!W:W,S160),"")</f>
        <v/>
      </c>
      <c r="V160" s="144" t="str">
        <f>IF(R160&lt;&gt;"",SUMIFS('JPK_KR-1'!AM:AM,'JPK_KR-1'!W:W,S160),"")</f>
        <v/>
      </c>
    </row>
    <row r="161" spans="1:22" x14ac:dyDescent="0.3">
      <c r="A161" s="5" t="str">
        <f>IF(kokpit!A161&lt;&gt;"",kokpit!A161,"")</f>
        <v/>
      </c>
      <c r="B161" s="5" t="str">
        <f>IF(kokpit!B161&lt;&gt;"",kokpit!B161,"")</f>
        <v/>
      </c>
      <c r="C161" s="24" t="str">
        <f>IF(A161&lt;&gt;"",SUMIFS('JPK_KR-1'!AL:AL,'JPK_KR-1'!W:W,B161),"")</f>
        <v/>
      </c>
      <c r="D161" s="126" t="str">
        <f>IF(A161&lt;&gt;"",SUMIFS('JPK_KR-1'!AM:AM,'JPK_KR-1'!W:W,B161),"")</f>
        <v/>
      </c>
      <c r="E161" s="5" t="str">
        <f>IF(kokpit!E161&lt;&gt;"",kokpit!E161,"")</f>
        <v/>
      </c>
      <c r="F161" s="127" t="str">
        <f>IF(kokpit!F161&lt;&gt;"",kokpit!F161,"")</f>
        <v/>
      </c>
      <c r="G161" s="24" t="str">
        <f>IF(E161&lt;&gt;"",SUMIFS('JPK_KR-1'!AL:AL,'JPK_KR-1'!W:W,F161),"")</f>
        <v/>
      </c>
      <c r="H161" s="126" t="str">
        <f>IF(E161&lt;&gt;"",SUMIFS('JPK_KR-1'!AM:AM,'JPK_KR-1'!W:W,F161),"")</f>
        <v/>
      </c>
      <c r="I161" s="5" t="str">
        <f>IF(kokpit!I161&lt;&gt;"",kokpit!I161,"")</f>
        <v/>
      </c>
      <c r="J161" s="5" t="str">
        <f>IF(kokpit!J161&lt;&gt;"",kokpit!J161,"")</f>
        <v/>
      </c>
      <c r="K161" s="24" t="str">
        <f>IF(I161&lt;&gt;"",SUMIFS('JPK_KR-1'!AL:AL,'JPK_KR-1'!W:W,J161),"")</f>
        <v/>
      </c>
      <c r="L161" s="141" t="str">
        <f>IF(I161&lt;&gt;"",SUMIFS('JPK_KR-1'!AM:AM,'JPK_KR-1'!W:W,J161),"")</f>
        <v/>
      </c>
      <c r="M161" s="143" t="str">
        <f>IF(kokpit!M161&lt;&gt;"",kokpit!M161,"")</f>
        <v/>
      </c>
      <c r="N161" s="117" t="str">
        <f>IF(kokpit!N161&lt;&gt;"",kokpit!N161,"")</f>
        <v/>
      </c>
      <c r="O161" s="117" t="str">
        <f>IF(kokpit!O161&lt;&gt;"",kokpit!O161,"")</f>
        <v/>
      </c>
      <c r="P161" s="141" t="str">
        <f>IF(M161&lt;&gt;"",IF(O161="",SUMIFS('JPK_KR-1'!AL:AL,'JPK_KR-1'!W:W,N161),SUMIFS('JPK_KR-1'!BF:BF,'JPK_KR-1'!BE:BE,N161,'JPK_KR-1'!BG:BG,O161)),"")</f>
        <v/>
      </c>
      <c r="Q161" s="144" t="str">
        <f>IF(M161&lt;&gt;"",IF(O161="",SUMIFS('JPK_KR-1'!AM:AM,'JPK_KR-1'!W:W,N161),SUMIFS('JPK_KR-1'!BI:BI,'JPK_KR-1'!BH:BH,N161,'JPK_KR-1'!BJ:BJ,O161)),"")</f>
        <v/>
      </c>
      <c r="R161" s="117" t="str">
        <f>IF(kokpit!R161&lt;&gt;"",kokpit!R161,"")</f>
        <v/>
      </c>
      <c r="S161" s="117" t="str">
        <f>IF(kokpit!S161&lt;&gt;"",kokpit!S161,"")</f>
        <v/>
      </c>
      <c r="T161" s="117" t="str">
        <f>IF(kokpit!T161&lt;&gt;"",kokpit!T161,"")</f>
        <v/>
      </c>
      <c r="U161" s="141" t="str">
        <f>IF(R161&lt;&gt;"",SUMIFS('JPK_KR-1'!AL:AL,'JPK_KR-1'!W:W,S161),"")</f>
        <v/>
      </c>
      <c r="V161" s="144" t="str">
        <f>IF(R161&lt;&gt;"",SUMIFS('JPK_KR-1'!AM:AM,'JPK_KR-1'!W:W,S161),"")</f>
        <v/>
      </c>
    </row>
    <row r="162" spans="1:22" x14ac:dyDescent="0.3">
      <c r="A162" s="5" t="str">
        <f>IF(kokpit!A162&lt;&gt;"",kokpit!A162,"")</f>
        <v/>
      </c>
      <c r="B162" s="5" t="str">
        <f>IF(kokpit!B162&lt;&gt;"",kokpit!B162,"")</f>
        <v/>
      </c>
      <c r="C162" s="24" t="str">
        <f>IF(A162&lt;&gt;"",SUMIFS('JPK_KR-1'!AL:AL,'JPK_KR-1'!W:W,B162),"")</f>
        <v/>
      </c>
      <c r="D162" s="126" t="str">
        <f>IF(A162&lt;&gt;"",SUMIFS('JPK_KR-1'!AM:AM,'JPK_KR-1'!W:W,B162),"")</f>
        <v/>
      </c>
      <c r="E162" s="5" t="str">
        <f>IF(kokpit!E162&lt;&gt;"",kokpit!E162,"")</f>
        <v/>
      </c>
      <c r="F162" s="127" t="str">
        <f>IF(kokpit!F162&lt;&gt;"",kokpit!F162,"")</f>
        <v/>
      </c>
      <c r="G162" s="24" t="str">
        <f>IF(E162&lt;&gt;"",SUMIFS('JPK_KR-1'!AL:AL,'JPK_KR-1'!W:W,F162),"")</f>
        <v/>
      </c>
      <c r="H162" s="126" t="str">
        <f>IF(E162&lt;&gt;"",SUMIFS('JPK_KR-1'!AM:AM,'JPK_KR-1'!W:W,F162),"")</f>
        <v/>
      </c>
      <c r="I162" s="5" t="str">
        <f>IF(kokpit!I162&lt;&gt;"",kokpit!I162,"")</f>
        <v/>
      </c>
      <c r="J162" s="5" t="str">
        <f>IF(kokpit!J162&lt;&gt;"",kokpit!J162,"")</f>
        <v/>
      </c>
      <c r="K162" s="24" t="str">
        <f>IF(I162&lt;&gt;"",SUMIFS('JPK_KR-1'!AL:AL,'JPK_KR-1'!W:W,J162),"")</f>
        <v/>
      </c>
      <c r="L162" s="141" t="str">
        <f>IF(I162&lt;&gt;"",SUMIFS('JPK_KR-1'!AM:AM,'JPK_KR-1'!W:W,J162),"")</f>
        <v/>
      </c>
      <c r="M162" s="143" t="str">
        <f>IF(kokpit!M162&lt;&gt;"",kokpit!M162,"")</f>
        <v/>
      </c>
      <c r="N162" s="117" t="str">
        <f>IF(kokpit!N162&lt;&gt;"",kokpit!N162,"")</f>
        <v/>
      </c>
      <c r="O162" s="117" t="str">
        <f>IF(kokpit!O162&lt;&gt;"",kokpit!O162,"")</f>
        <v/>
      </c>
      <c r="P162" s="141" t="str">
        <f>IF(M162&lt;&gt;"",IF(O162="",SUMIFS('JPK_KR-1'!AL:AL,'JPK_KR-1'!W:W,N162),SUMIFS('JPK_KR-1'!BF:BF,'JPK_KR-1'!BE:BE,N162,'JPK_KR-1'!BG:BG,O162)),"")</f>
        <v/>
      </c>
      <c r="Q162" s="144" t="str">
        <f>IF(M162&lt;&gt;"",IF(O162="",SUMIFS('JPK_KR-1'!AM:AM,'JPK_KR-1'!W:W,N162),SUMIFS('JPK_KR-1'!BI:BI,'JPK_KR-1'!BH:BH,N162,'JPK_KR-1'!BJ:BJ,O162)),"")</f>
        <v/>
      </c>
      <c r="R162" s="117" t="str">
        <f>IF(kokpit!R162&lt;&gt;"",kokpit!R162,"")</f>
        <v/>
      </c>
      <c r="S162" s="117" t="str">
        <f>IF(kokpit!S162&lt;&gt;"",kokpit!S162,"")</f>
        <v/>
      </c>
      <c r="T162" s="117" t="str">
        <f>IF(kokpit!T162&lt;&gt;"",kokpit!T162,"")</f>
        <v/>
      </c>
      <c r="U162" s="141" t="str">
        <f>IF(R162&lt;&gt;"",SUMIFS('JPK_KR-1'!AL:AL,'JPK_KR-1'!W:W,S162),"")</f>
        <v/>
      </c>
      <c r="V162" s="144" t="str">
        <f>IF(R162&lt;&gt;"",SUMIFS('JPK_KR-1'!AM:AM,'JPK_KR-1'!W:W,S162),"")</f>
        <v/>
      </c>
    </row>
    <row r="163" spans="1:22" x14ac:dyDescent="0.3">
      <c r="A163" s="5" t="str">
        <f>IF(kokpit!A163&lt;&gt;"",kokpit!A163,"")</f>
        <v/>
      </c>
      <c r="B163" s="5" t="str">
        <f>IF(kokpit!B163&lt;&gt;"",kokpit!B163,"")</f>
        <v/>
      </c>
      <c r="C163" s="24" t="str">
        <f>IF(A163&lt;&gt;"",SUMIFS('JPK_KR-1'!AL:AL,'JPK_KR-1'!W:W,B163),"")</f>
        <v/>
      </c>
      <c r="D163" s="126" t="str">
        <f>IF(A163&lt;&gt;"",SUMIFS('JPK_KR-1'!AM:AM,'JPK_KR-1'!W:W,B163),"")</f>
        <v/>
      </c>
      <c r="E163" s="5" t="str">
        <f>IF(kokpit!E163&lt;&gt;"",kokpit!E163,"")</f>
        <v/>
      </c>
      <c r="F163" s="127" t="str">
        <f>IF(kokpit!F163&lt;&gt;"",kokpit!F163,"")</f>
        <v/>
      </c>
      <c r="G163" s="24" t="str">
        <f>IF(E163&lt;&gt;"",SUMIFS('JPK_KR-1'!AL:AL,'JPK_KR-1'!W:W,F163),"")</f>
        <v/>
      </c>
      <c r="H163" s="126" t="str">
        <f>IF(E163&lt;&gt;"",SUMIFS('JPK_KR-1'!AM:AM,'JPK_KR-1'!W:W,F163),"")</f>
        <v/>
      </c>
      <c r="I163" s="5" t="str">
        <f>IF(kokpit!I163&lt;&gt;"",kokpit!I163,"")</f>
        <v/>
      </c>
      <c r="J163" s="5" t="str">
        <f>IF(kokpit!J163&lt;&gt;"",kokpit!J163,"")</f>
        <v/>
      </c>
      <c r="K163" s="24" t="str">
        <f>IF(I163&lt;&gt;"",SUMIFS('JPK_KR-1'!AL:AL,'JPK_KR-1'!W:W,J163),"")</f>
        <v/>
      </c>
      <c r="L163" s="141" t="str">
        <f>IF(I163&lt;&gt;"",SUMIFS('JPK_KR-1'!AM:AM,'JPK_KR-1'!W:W,J163),"")</f>
        <v/>
      </c>
      <c r="M163" s="143" t="str">
        <f>IF(kokpit!M163&lt;&gt;"",kokpit!M163,"")</f>
        <v/>
      </c>
      <c r="N163" s="117" t="str">
        <f>IF(kokpit!N163&lt;&gt;"",kokpit!N163,"")</f>
        <v/>
      </c>
      <c r="O163" s="117" t="str">
        <f>IF(kokpit!O163&lt;&gt;"",kokpit!O163,"")</f>
        <v/>
      </c>
      <c r="P163" s="141" t="str">
        <f>IF(M163&lt;&gt;"",IF(O163="",SUMIFS('JPK_KR-1'!AL:AL,'JPK_KR-1'!W:W,N163),SUMIFS('JPK_KR-1'!BF:BF,'JPK_KR-1'!BE:BE,N163,'JPK_KR-1'!BG:BG,O163)),"")</f>
        <v/>
      </c>
      <c r="Q163" s="144" t="str">
        <f>IF(M163&lt;&gt;"",IF(O163="",SUMIFS('JPK_KR-1'!AM:AM,'JPK_KR-1'!W:W,N163),SUMIFS('JPK_KR-1'!BI:BI,'JPK_KR-1'!BH:BH,N163,'JPK_KR-1'!BJ:BJ,O163)),"")</f>
        <v/>
      </c>
      <c r="R163" s="117" t="str">
        <f>IF(kokpit!R163&lt;&gt;"",kokpit!R163,"")</f>
        <v/>
      </c>
      <c r="S163" s="117" t="str">
        <f>IF(kokpit!S163&lt;&gt;"",kokpit!S163,"")</f>
        <v/>
      </c>
      <c r="T163" s="117" t="str">
        <f>IF(kokpit!T163&lt;&gt;"",kokpit!T163,"")</f>
        <v/>
      </c>
      <c r="U163" s="141" t="str">
        <f>IF(R163&lt;&gt;"",SUMIFS('JPK_KR-1'!AL:AL,'JPK_KR-1'!W:W,S163),"")</f>
        <v/>
      </c>
      <c r="V163" s="144" t="str">
        <f>IF(R163&lt;&gt;"",SUMIFS('JPK_KR-1'!AM:AM,'JPK_KR-1'!W:W,S163),"")</f>
        <v/>
      </c>
    </row>
    <row r="164" spans="1:22" x14ac:dyDescent="0.3">
      <c r="A164" s="5" t="str">
        <f>IF(kokpit!A164&lt;&gt;"",kokpit!A164,"")</f>
        <v/>
      </c>
      <c r="B164" s="5" t="str">
        <f>IF(kokpit!B164&lt;&gt;"",kokpit!B164,"")</f>
        <v/>
      </c>
      <c r="C164" s="24" t="str">
        <f>IF(A164&lt;&gt;"",SUMIFS('JPK_KR-1'!AL:AL,'JPK_KR-1'!W:W,B164),"")</f>
        <v/>
      </c>
      <c r="D164" s="126" t="str">
        <f>IF(A164&lt;&gt;"",SUMIFS('JPK_KR-1'!AM:AM,'JPK_KR-1'!W:W,B164),"")</f>
        <v/>
      </c>
      <c r="E164" s="5" t="str">
        <f>IF(kokpit!E164&lt;&gt;"",kokpit!E164,"")</f>
        <v/>
      </c>
      <c r="F164" s="127" t="str">
        <f>IF(kokpit!F164&lt;&gt;"",kokpit!F164,"")</f>
        <v/>
      </c>
      <c r="G164" s="24" t="str">
        <f>IF(E164&lt;&gt;"",SUMIFS('JPK_KR-1'!AL:AL,'JPK_KR-1'!W:W,F164),"")</f>
        <v/>
      </c>
      <c r="H164" s="126" t="str">
        <f>IF(E164&lt;&gt;"",SUMIFS('JPK_KR-1'!AM:AM,'JPK_KR-1'!W:W,F164),"")</f>
        <v/>
      </c>
      <c r="I164" s="5" t="str">
        <f>IF(kokpit!I164&lt;&gt;"",kokpit!I164,"")</f>
        <v/>
      </c>
      <c r="J164" s="5" t="str">
        <f>IF(kokpit!J164&lt;&gt;"",kokpit!J164,"")</f>
        <v/>
      </c>
      <c r="K164" s="24" t="str">
        <f>IF(I164&lt;&gt;"",SUMIFS('JPK_KR-1'!AL:AL,'JPK_KR-1'!W:W,J164),"")</f>
        <v/>
      </c>
      <c r="L164" s="141" t="str">
        <f>IF(I164&lt;&gt;"",SUMIFS('JPK_KR-1'!AM:AM,'JPK_KR-1'!W:W,J164),"")</f>
        <v/>
      </c>
      <c r="M164" s="143" t="str">
        <f>IF(kokpit!M164&lt;&gt;"",kokpit!M164,"")</f>
        <v/>
      </c>
      <c r="N164" s="117" t="str">
        <f>IF(kokpit!N164&lt;&gt;"",kokpit!N164,"")</f>
        <v/>
      </c>
      <c r="O164" s="117" t="str">
        <f>IF(kokpit!O164&lt;&gt;"",kokpit!O164,"")</f>
        <v/>
      </c>
      <c r="P164" s="141" t="str">
        <f>IF(M164&lt;&gt;"",IF(O164="",SUMIFS('JPK_KR-1'!AL:AL,'JPK_KR-1'!W:W,N164),SUMIFS('JPK_KR-1'!BF:BF,'JPK_KR-1'!BE:BE,N164,'JPK_KR-1'!BG:BG,O164)),"")</f>
        <v/>
      </c>
      <c r="Q164" s="144" t="str">
        <f>IF(M164&lt;&gt;"",IF(O164="",SUMIFS('JPK_KR-1'!AM:AM,'JPK_KR-1'!W:W,N164),SUMIFS('JPK_KR-1'!BI:BI,'JPK_KR-1'!BH:BH,N164,'JPK_KR-1'!BJ:BJ,O164)),"")</f>
        <v/>
      </c>
      <c r="R164" s="117" t="str">
        <f>IF(kokpit!R164&lt;&gt;"",kokpit!R164,"")</f>
        <v/>
      </c>
      <c r="S164" s="117" t="str">
        <f>IF(kokpit!S164&lt;&gt;"",kokpit!S164,"")</f>
        <v/>
      </c>
      <c r="T164" s="117" t="str">
        <f>IF(kokpit!T164&lt;&gt;"",kokpit!T164,"")</f>
        <v/>
      </c>
      <c r="U164" s="141" t="str">
        <f>IF(R164&lt;&gt;"",SUMIFS('JPK_KR-1'!AL:AL,'JPK_KR-1'!W:W,S164),"")</f>
        <v/>
      </c>
      <c r="V164" s="144" t="str">
        <f>IF(R164&lt;&gt;"",SUMIFS('JPK_KR-1'!AM:AM,'JPK_KR-1'!W:W,S164),"")</f>
        <v/>
      </c>
    </row>
    <row r="165" spans="1:22" x14ac:dyDescent="0.3">
      <c r="A165" s="5" t="str">
        <f>IF(kokpit!A165&lt;&gt;"",kokpit!A165,"")</f>
        <v/>
      </c>
      <c r="B165" s="5" t="str">
        <f>IF(kokpit!B165&lt;&gt;"",kokpit!B165,"")</f>
        <v/>
      </c>
      <c r="C165" s="24" t="str">
        <f>IF(A165&lt;&gt;"",SUMIFS('JPK_KR-1'!AL:AL,'JPK_KR-1'!W:W,B165),"")</f>
        <v/>
      </c>
      <c r="D165" s="126" t="str">
        <f>IF(A165&lt;&gt;"",SUMIFS('JPK_KR-1'!AM:AM,'JPK_KR-1'!W:W,B165),"")</f>
        <v/>
      </c>
      <c r="E165" s="5" t="str">
        <f>IF(kokpit!E165&lt;&gt;"",kokpit!E165,"")</f>
        <v/>
      </c>
      <c r="F165" s="127" t="str">
        <f>IF(kokpit!F165&lt;&gt;"",kokpit!F165,"")</f>
        <v/>
      </c>
      <c r="G165" s="24" t="str">
        <f>IF(E165&lt;&gt;"",SUMIFS('JPK_KR-1'!AL:AL,'JPK_KR-1'!W:W,F165),"")</f>
        <v/>
      </c>
      <c r="H165" s="126" t="str">
        <f>IF(E165&lt;&gt;"",SUMIFS('JPK_KR-1'!AM:AM,'JPK_KR-1'!W:W,F165),"")</f>
        <v/>
      </c>
      <c r="I165" s="5" t="str">
        <f>IF(kokpit!I165&lt;&gt;"",kokpit!I165,"")</f>
        <v/>
      </c>
      <c r="J165" s="5" t="str">
        <f>IF(kokpit!J165&lt;&gt;"",kokpit!J165,"")</f>
        <v/>
      </c>
      <c r="K165" s="24" t="str">
        <f>IF(I165&lt;&gt;"",SUMIFS('JPK_KR-1'!AL:AL,'JPK_KR-1'!W:W,J165),"")</f>
        <v/>
      </c>
      <c r="L165" s="141" t="str">
        <f>IF(I165&lt;&gt;"",SUMIFS('JPK_KR-1'!AM:AM,'JPK_KR-1'!W:W,J165),"")</f>
        <v/>
      </c>
      <c r="M165" s="143" t="str">
        <f>IF(kokpit!M165&lt;&gt;"",kokpit!M165,"")</f>
        <v/>
      </c>
      <c r="N165" s="117" t="str">
        <f>IF(kokpit!N165&lt;&gt;"",kokpit!N165,"")</f>
        <v/>
      </c>
      <c r="O165" s="117" t="str">
        <f>IF(kokpit!O165&lt;&gt;"",kokpit!O165,"")</f>
        <v/>
      </c>
      <c r="P165" s="141" t="str">
        <f>IF(M165&lt;&gt;"",IF(O165="",SUMIFS('JPK_KR-1'!AL:AL,'JPK_KR-1'!W:W,N165),SUMIFS('JPK_KR-1'!BF:BF,'JPK_KR-1'!BE:BE,N165,'JPK_KR-1'!BG:BG,O165)),"")</f>
        <v/>
      </c>
      <c r="Q165" s="144" t="str">
        <f>IF(M165&lt;&gt;"",IF(O165="",SUMIFS('JPK_KR-1'!AM:AM,'JPK_KR-1'!W:W,N165),SUMIFS('JPK_KR-1'!BI:BI,'JPK_KR-1'!BH:BH,N165,'JPK_KR-1'!BJ:BJ,O165)),"")</f>
        <v/>
      </c>
      <c r="R165" s="117" t="str">
        <f>IF(kokpit!R165&lt;&gt;"",kokpit!R165,"")</f>
        <v/>
      </c>
      <c r="S165" s="117" t="str">
        <f>IF(kokpit!S165&lt;&gt;"",kokpit!S165,"")</f>
        <v/>
      </c>
      <c r="T165" s="117" t="str">
        <f>IF(kokpit!T165&lt;&gt;"",kokpit!T165,"")</f>
        <v/>
      </c>
      <c r="U165" s="141" t="str">
        <f>IF(R165&lt;&gt;"",SUMIFS('JPK_KR-1'!AL:AL,'JPK_KR-1'!W:W,S165),"")</f>
        <v/>
      </c>
      <c r="V165" s="144" t="str">
        <f>IF(R165&lt;&gt;"",SUMIFS('JPK_KR-1'!AM:AM,'JPK_KR-1'!W:W,S165),"")</f>
        <v/>
      </c>
    </row>
    <row r="166" spans="1:22" x14ac:dyDescent="0.3">
      <c r="A166" s="5" t="str">
        <f>IF(kokpit!A166&lt;&gt;"",kokpit!A166,"")</f>
        <v/>
      </c>
      <c r="B166" s="5" t="str">
        <f>IF(kokpit!B166&lt;&gt;"",kokpit!B166,"")</f>
        <v/>
      </c>
      <c r="C166" s="24" t="str">
        <f>IF(A166&lt;&gt;"",SUMIFS('JPK_KR-1'!AL:AL,'JPK_KR-1'!W:W,B166),"")</f>
        <v/>
      </c>
      <c r="D166" s="126" t="str">
        <f>IF(A166&lt;&gt;"",SUMIFS('JPK_KR-1'!AM:AM,'JPK_KR-1'!W:W,B166),"")</f>
        <v/>
      </c>
      <c r="E166" s="5" t="str">
        <f>IF(kokpit!E166&lt;&gt;"",kokpit!E166,"")</f>
        <v/>
      </c>
      <c r="F166" s="127" t="str">
        <f>IF(kokpit!F166&lt;&gt;"",kokpit!F166,"")</f>
        <v/>
      </c>
      <c r="G166" s="24" t="str">
        <f>IF(E166&lt;&gt;"",SUMIFS('JPK_KR-1'!AL:AL,'JPK_KR-1'!W:W,F166),"")</f>
        <v/>
      </c>
      <c r="H166" s="126" t="str">
        <f>IF(E166&lt;&gt;"",SUMIFS('JPK_KR-1'!AM:AM,'JPK_KR-1'!W:W,F166),"")</f>
        <v/>
      </c>
      <c r="I166" s="5" t="str">
        <f>IF(kokpit!I166&lt;&gt;"",kokpit!I166,"")</f>
        <v/>
      </c>
      <c r="J166" s="5" t="str">
        <f>IF(kokpit!J166&lt;&gt;"",kokpit!J166,"")</f>
        <v/>
      </c>
      <c r="K166" s="24" t="str">
        <f>IF(I166&lt;&gt;"",SUMIFS('JPK_KR-1'!AL:AL,'JPK_KR-1'!W:W,J166),"")</f>
        <v/>
      </c>
      <c r="L166" s="141" t="str">
        <f>IF(I166&lt;&gt;"",SUMIFS('JPK_KR-1'!AM:AM,'JPK_KR-1'!W:W,J166),"")</f>
        <v/>
      </c>
      <c r="M166" s="143" t="str">
        <f>IF(kokpit!M166&lt;&gt;"",kokpit!M166,"")</f>
        <v/>
      </c>
      <c r="N166" s="117" t="str">
        <f>IF(kokpit!N166&lt;&gt;"",kokpit!N166,"")</f>
        <v/>
      </c>
      <c r="O166" s="117" t="str">
        <f>IF(kokpit!O166&lt;&gt;"",kokpit!O166,"")</f>
        <v/>
      </c>
      <c r="P166" s="141" t="str">
        <f>IF(M166&lt;&gt;"",IF(O166="",SUMIFS('JPK_KR-1'!AL:AL,'JPK_KR-1'!W:W,N166),SUMIFS('JPK_KR-1'!BF:BF,'JPK_KR-1'!BE:BE,N166,'JPK_KR-1'!BG:BG,O166)),"")</f>
        <v/>
      </c>
      <c r="Q166" s="144" t="str">
        <f>IF(M166&lt;&gt;"",IF(O166="",SUMIFS('JPK_KR-1'!AM:AM,'JPK_KR-1'!W:W,N166),SUMIFS('JPK_KR-1'!BI:BI,'JPK_KR-1'!BH:BH,N166,'JPK_KR-1'!BJ:BJ,O166)),"")</f>
        <v/>
      </c>
      <c r="R166" s="117" t="str">
        <f>IF(kokpit!R166&lt;&gt;"",kokpit!R166,"")</f>
        <v/>
      </c>
      <c r="S166" s="117" t="str">
        <f>IF(kokpit!S166&lt;&gt;"",kokpit!S166,"")</f>
        <v/>
      </c>
      <c r="T166" s="117" t="str">
        <f>IF(kokpit!T166&lt;&gt;"",kokpit!T166,"")</f>
        <v/>
      </c>
      <c r="U166" s="141" t="str">
        <f>IF(R166&lt;&gt;"",SUMIFS('JPK_KR-1'!AL:AL,'JPK_KR-1'!W:W,S166),"")</f>
        <v/>
      </c>
      <c r="V166" s="144" t="str">
        <f>IF(R166&lt;&gt;"",SUMIFS('JPK_KR-1'!AM:AM,'JPK_KR-1'!W:W,S166),"")</f>
        <v/>
      </c>
    </row>
    <row r="167" spans="1:22" x14ac:dyDescent="0.3">
      <c r="A167" s="5" t="str">
        <f>IF(kokpit!A167&lt;&gt;"",kokpit!A167,"")</f>
        <v/>
      </c>
      <c r="B167" s="5" t="str">
        <f>IF(kokpit!B167&lt;&gt;"",kokpit!B167,"")</f>
        <v/>
      </c>
      <c r="C167" s="24" t="str">
        <f>IF(A167&lt;&gt;"",SUMIFS('JPK_KR-1'!AL:AL,'JPK_KR-1'!W:W,B167),"")</f>
        <v/>
      </c>
      <c r="D167" s="126" t="str">
        <f>IF(A167&lt;&gt;"",SUMIFS('JPK_KR-1'!AM:AM,'JPK_KR-1'!W:W,B167),"")</f>
        <v/>
      </c>
      <c r="E167" s="5" t="str">
        <f>IF(kokpit!E167&lt;&gt;"",kokpit!E167,"")</f>
        <v/>
      </c>
      <c r="F167" s="127" t="str">
        <f>IF(kokpit!F167&lt;&gt;"",kokpit!F167,"")</f>
        <v/>
      </c>
      <c r="G167" s="24" t="str">
        <f>IF(E167&lt;&gt;"",SUMIFS('JPK_KR-1'!AL:AL,'JPK_KR-1'!W:W,F167),"")</f>
        <v/>
      </c>
      <c r="H167" s="126" t="str">
        <f>IF(E167&lt;&gt;"",SUMIFS('JPK_KR-1'!AM:AM,'JPK_KR-1'!W:W,F167),"")</f>
        <v/>
      </c>
      <c r="I167" s="5" t="str">
        <f>IF(kokpit!I167&lt;&gt;"",kokpit!I167,"")</f>
        <v/>
      </c>
      <c r="J167" s="5" t="str">
        <f>IF(kokpit!J167&lt;&gt;"",kokpit!J167,"")</f>
        <v/>
      </c>
      <c r="K167" s="24" t="str">
        <f>IF(I167&lt;&gt;"",SUMIFS('JPK_KR-1'!AL:AL,'JPK_KR-1'!W:W,J167),"")</f>
        <v/>
      </c>
      <c r="L167" s="141" t="str">
        <f>IF(I167&lt;&gt;"",SUMIFS('JPK_KR-1'!AM:AM,'JPK_KR-1'!W:W,J167),"")</f>
        <v/>
      </c>
      <c r="M167" s="143" t="str">
        <f>IF(kokpit!M167&lt;&gt;"",kokpit!M167,"")</f>
        <v/>
      </c>
      <c r="N167" s="117" t="str">
        <f>IF(kokpit!N167&lt;&gt;"",kokpit!N167,"")</f>
        <v/>
      </c>
      <c r="O167" s="117" t="str">
        <f>IF(kokpit!O167&lt;&gt;"",kokpit!O167,"")</f>
        <v/>
      </c>
      <c r="P167" s="141" t="str">
        <f>IF(M167&lt;&gt;"",IF(O167="",SUMIFS('JPK_KR-1'!AL:AL,'JPK_KR-1'!W:W,N167),SUMIFS('JPK_KR-1'!BF:BF,'JPK_KR-1'!BE:BE,N167,'JPK_KR-1'!BG:BG,O167)),"")</f>
        <v/>
      </c>
      <c r="Q167" s="144" t="str">
        <f>IF(M167&lt;&gt;"",IF(O167="",SUMIFS('JPK_KR-1'!AM:AM,'JPK_KR-1'!W:W,N167),SUMIFS('JPK_KR-1'!BI:BI,'JPK_KR-1'!BH:BH,N167,'JPK_KR-1'!BJ:BJ,O167)),"")</f>
        <v/>
      </c>
      <c r="R167" s="117" t="str">
        <f>IF(kokpit!R167&lt;&gt;"",kokpit!R167,"")</f>
        <v/>
      </c>
      <c r="S167" s="117" t="str">
        <f>IF(kokpit!S167&lt;&gt;"",kokpit!S167,"")</f>
        <v/>
      </c>
      <c r="T167" s="117" t="str">
        <f>IF(kokpit!T167&lt;&gt;"",kokpit!T167,"")</f>
        <v/>
      </c>
      <c r="U167" s="141" t="str">
        <f>IF(R167&lt;&gt;"",SUMIFS('JPK_KR-1'!AL:AL,'JPK_KR-1'!W:W,S167),"")</f>
        <v/>
      </c>
      <c r="V167" s="144" t="str">
        <f>IF(R167&lt;&gt;"",SUMIFS('JPK_KR-1'!AM:AM,'JPK_KR-1'!W:W,S167),"")</f>
        <v/>
      </c>
    </row>
    <row r="168" spans="1:22" x14ac:dyDescent="0.3">
      <c r="A168" s="5" t="str">
        <f>IF(kokpit!A168&lt;&gt;"",kokpit!A168,"")</f>
        <v/>
      </c>
      <c r="B168" s="5" t="str">
        <f>IF(kokpit!B168&lt;&gt;"",kokpit!B168,"")</f>
        <v/>
      </c>
      <c r="C168" s="24" t="str">
        <f>IF(A168&lt;&gt;"",SUMIFS('JPK_KR-1'!AL:AL,'JPK_KR-1'!W:W,B168),"")</f>
        <v/>
      </c>
      <c r="D168" s="126" t="str">
        <f>IF(A168&lt;&gt;"",SUMIFS('JPK_KR-1'!AM:AM,'JPK_KR-1'!W:W,B168),"")</f>
        <v/>
      </c>
      <c r="E168" s="5" t="str">
        <f>IF(kokpit!E168&lt;&gt;"",kokpit!E168,"")</f>
        <v/>
      </c>
      <c r="F168" s="127" t="str">
        <f>IF(kokpit!F168&lt;&gt;"",kokpit!F168,"")</f>
        <v/>
      </c>
      <c r="G168" s="24" t="str">
        <f>IF(E168&lt;&gt;"",SUMIFS('JPK_KR-1'!AL:AL,'JPK_KR-1'!W:W,F168),"")</f>
        <v/>
      </c>
      <c r="H168" s="126" t="str">
        <f>IF(E168&lt;&gt;"",SUMIFS('JPK_KR-1'!AM:AM,'JPK_KR-1'!W:W,F168),"")</f>
        <v/>
      </c>
      <c r="I168" s="5" t="str">
        <f>IF(kokpit!I168&lt;&gt;"",kokpit!I168,"")</f>
        <v/>
      </c>
      <c r="J168" s="5" t="str">
        <f>IF(kokpit!J168&lt;&gt;"",kokpit!J168,"")</f>
        <v/>
      </c>
      <c r="K168" s="24" t="str">
        <f>IF(I168&lt;&gt;"",SUMIFS('JPK_KR-1'!AL:AL,'JPK_KR-1'!W:W,J168),"")</f>
        <v/>
      </c>
      <c r="L168" s="141" t="str">
        <f>IF(I168&lt;&gt;"",SUMIFS('JPK_KR-1'!AM:AM,'JPK_KR-1'!W:W,J168),"")</f>
        <v/>
      </c>
      <c r="M168" s="143" t="str">
        <f>IF(kokpit!M168&lt;&gt;"",kokpit!M168,"")</f>
        <v/>
      </c>
      <c r="N168" s="117" t="str">
        <f>IF(kokpit!N168&lt;&gt;"",kokpit!N168,"")</f>
        <v/>
      </c>
      <c r="O168" s="117" t="str">
        <f>IF(kokpit!O168&lt;&gt;"",kokpit!O168,"")</f>
        <v/>
      </c>
      <c r="P168" s="141" t="str">
        <f>IF(M168&lt;&gt;"",IF(O168="",SUMIFS('JPK_KR-1'!AL:AL,'JPK_KR-1'!W:W,N168),SUMIFS('JPK_KR-1'!BF:BF,'JPK_KR-1'!BE:BE,N168,'JPK_KR-1'!BG:BG,O168)),"")</f>
        <v/>
      </c>
      <c r="Q168" s="144" t="str">
        <f>IF(M168&lt;&gt;"",IF(O168="",SUMIFS('JPK_KR-1'!AM:AM,'JPK_KR-1'!W:W,N168),SUMIFS('JPK_KR-1'!BI:BI,'JPK_KR-1'!BH:BH,N168,'JPK_KR-1'!BJ:BJ,O168)),"")</f>
        <v/>
      </c>
      <c r="R168" s="117" t="str">
        <f>IF(kokpit!R168&lt;&gt;"",kokpit!R168,"")</f>
        <v/>
      </c>
      <c r="S168" s="117" t="str">
        <f>IF(kokpit!S168&lt;&gt;"",kokpit!S168,"")</f>
        <v/>
      </c>
      <c r="T168" s="117" t="str">
        <f>IF(kokpit!T168&lt;&gt;"",kokpit!T168,"")</f>
        <v/>
      </c>
      <c r="U168" s="141" t="str">
        <f>IF(R168&lt;&gt;"",SUMIFS('JPK_KR-1'!AL:AL,'JPK_KR-1'!W:W,S168),"")</f>
        <v/>
      </c>
      <c r="V168" s="144" t="str">
        <f>IF(R168&lt;&gt;"",SUMIFS('JPK_KR-1'!AM:AM,'JPK_KR-1'!W:W,S168),"")</f>
        <v/>
      </c>
    </row>
    <row r="169" spans="1:22" x14ac:dyDescent="0.3">
      <c r="A169" s="5" t="str">
        <f>IF(kokpit!A169&lt;&gt;"",kokpit!A169,"")</f>
        <v/>
      </c>
      <c r="B169" s="5" t="str">
        <f>IF(kokpit!B169&lt;&gt;"",kokpit!B169,"")</f>
        <v/>
      </c>
      <c r="C169" s="24" t="str">
        <f>IF(A169&lt;&gt;"",SUMIFS('JPK_KR-1'!AL:AL,'JPK_KR-1'!W:W,B169),"")</f>
        <v/>
      </c>
      <c r="D169" s="126" t="str">
        <f>IF(A169&lt;&gt;"",SUMIFS('JPK_KR-1'!AM:AM,'JPK_KR-1'!W:W,B169),"")</f>
        <v/>
      </c>
      <c r="E169" s="5" t="str">
        <f>IF(kokpit!E169&lt;&gt;"",kokpit!E169,"")</f>
        <v/>
      </c>
      <c r="F169" s="127" t="str">
        <f>IF(kokpit!F169&lt;&gt;"",kokpit!F169,"")</f>
        <v/>
      </c>
      <c r="G169" s="24" t="str">
        <f>IF(E169&lt;&gt;"",SUMIFS('JPK_KR-1'!AL:AL,'JPK_KR-1'!W:W,F169),"")</f>
        <v/>
      </c>
      <c r="H169" s="126" t="str">
        <f>IF(E169&lt;&gt;"",SUMIFS('JPK_KR-1'!AM:AM,'JPK_KR-1'!W:W,F169),"")</f>
        <v/>
      </c>
      <c r="I169" s="5" t="str">
        <f>IF(kokpit!I169&lt;&gt;"",kokpit!I169,"")</f>
        <v/>
      </c>
      <c r="J169" s="5" t="str">
        <f>IF(kokpit!J169&lt;&gt;"",kokpit!J169,"")</f>
        <v/>
      </c>
      <c r="K169" s="24" t="str">
        <f>IF(I169&lt;&gt;"",SUMIFS('JPK_KR-1'!AL:AL,'JPK_KR-1'!W:W,J169),"")</f>
        <v/>
      </c>
      <c r="L169" s="141" t="str">
        <f>IF(I169&lt;&gt;"",SUMIFS('JPK_KR-1'!AM:AM,'JPK_KR-1'!W:W,J169),"")</f>
        <v/>
      </c>
      <c r="M169" s="143" t="str">
        <f>IF(kokpit!M169&lt;&gt;"",kokpit!M169,"")</f>
        <v/>
      </c>
      <c r="N169" s="117" t="str">
        <f>IF(kokpit!N169&lt;&gt;"",kokpit!N169,"")</f>
        <v/>
      </c>
      <c r="O169" s="117" t="str">
        <f>IF(kokpit!O169&lt;&gt;"",kokpit!O169,"")</f>
        <v/>
      </c>
      <c r="P169" s="141" t="str">
        <f>IF(M169&lt;&gt;"",IF(O169="",SUMIFS('JPK_KR-1'!AL:AL,'JPK_KR-1'!W:W,N169),SUMIFS('JPK_KR-1'!BF:BF,'JPK_KR-1'!BE:BE,N169,'JPK_KR-1'!BG:BG,O169)),"")</f>
        <v/>
      </c>
      <c r="Q169" s="144" t="str">
        <f>IF(M169&lt;&gt;"",IF(O169="",SUMIFS('JPK_KR-1'!AM:AM,'JPK_KR-1'!W:W,N169),SUMIFS('JPK_KR-1'!BI:BI,'JPK_KR-1'!BH:BH,N169,'JPK_KR-1'!BJ:BJ,O169)),"")</f>
        <v/>
      </c>
      <c r="R169" s="117" t="str">
        <f>IF(kokpit!R169&lt;&gt;"",kokpit!R169,"")</f>
        <v/>
      </c>
      <c r="S169" s="117" t="str">
        <f>IF(kokpit!S169&lt;&gt;"",kokpit!S169,"")</f>
        <v/>
      </c>
      <c r="T169" s="117" t="str">
        <f>IF(kokpit!T169&lt;&gt;"",kokpit!T169,"")</f>
        <v/>
      </c>
      <c r="U169" s="141" t="str">
        <f>IF(R169&lt;&gt;"",SUMIFS('JPK_KR-1'!AL:AL,'JPK_KR-1'!W:W,S169),"")</f>
        <v/>
      </c>
      <c r="V169" s="144" t="str">
        <f>IF(R169&lt;&gt;"",SUMIFS('JPK_KR-1'!AM:AM,'JPK_KR-1'!W:W,S169),"")</f>
        <v/>
      </c>
    </row>
    <row r="170" spans="1:22" x14ac:dyDescent="0.3">
      <c r="A170" s="5" t="str">
        <f>IF(kokpit!A170&lt;&gt;"",kokpit!A170,"")</f>
        <v/>
      </c>
      <c r="B170" s="5" t="str">
        <f>IF(kokpit!B170&lt;&gt;"",kokpit!B170,"")</f>
        <v/>
      </c>
      <c r="C170" s="24" t="str">
        <f>IF(A170&lt;&gt;"",SUMIFS('JPK_KR-1'!AL:AL,'JPK_KR-1'!W:W,B170),"")</f>
        <v/>
      </c>
      <c r="D170" s="126" t="str">
        <f>IF(A170&lt;&gt;"",SUMIFS('JPK_KR-1'!AM:AM,'JPK_KR-1'!W:W,B170),"")</f>
        <v/>
      </c>
      <c r="E170" s="5" t="str">
        <f>IF(kokpit!E170&lt;&gt;"",kokpit!E170,"")</f>
        <v/>
      </c>
      <c r="F170" s="127" t="str">
        <f>IF(kokpit!F170&lt;&gt;"",kokpit!F170,"")</f>
        <v/>
      </c>
      <c r="G170" s="24" t="str">
        <f>IF(E170&lt;&gt;"",SUMIFS('JPK_KR-1'!AL:AL,'JPK_KR-1'!W:W,F170),"")</f>
        <v/>
      </c>
      <c r="H170" s="126" t="str">
        <f>IF(E170&lt;&gt;"",SUMIFS('JPK_KR-1'!AM:AM,'JPK_KR-1'!W:W,F170),"")</f>
        <v/>
      </c>
      <c r="I170" s="5" t="str">
        <f>IF(kokpit!I170&lt;&gt;"",kokpit!I170,"")</f>
        <v/>
      </c>
      <c r="J170" s="5" t="str">
        <f>IF(kokpit!J170&lt;&gt;"",kokpit!J170,"")</f>
        <v/>
      </c>
      <c r="K170" s="24" t="str">
        <f>IF(I170&lt;&gt;"",SUMIFS('JPK_KR-1'!AL:AL,'JPK_KR-1'!W:W,J170),"")</f>
        <v/>
      </c>
      <c r="L170" s="141" t="str">
        <f>IF(I170&lt;&gt;"",SUMIFS('JPK_KR-1'!AM:AM,'JPK_KR-1'!W:W,J170),"")</f>
        <v/>
      </c>
      <c r="M170" s="143" t="str">
        <f>IF(kokpit!M170&lt;&gt;"",kokpit!M170,"")</f>
        <v/>
      </c>
      <c r="N170" s="117" t="str">
        <f>IF(kokpit!N170&lt;&gt;"",kokpit!N170,"")</f>
        <v/>
      </c>
      <c r="O170" s="117" t="str">
        <f>IF(kokpit!O170&lt;&gt;"",kokpit!O170,"")</f>
        <v/>
      </c>
      <c r="P170" s="141" t="str">
        <f>IF(M170&lt;&gt;"",IF(O170="",SUMIFS('JPK_KR-1'!AL:AL,'JPK_KR-1'!W:W,N170),SUMIFS('JPK_KR-1'!BF:BF,'JPK_KR-1'!BE:BE,N170,'JPK_KR-1'!BG:BG,O170)),"")</f>
        <v/>
      </c>
      <c r="Q170" s="144" t="str">
        <f>IF(M170&lt;&gt;"",IF(O170="",SUMIFS('JPK_KR-1'!AM:AM,'JPK_KR-1'!W:W,N170),SUMIFS('JPK_KR-1'!BI:BI,'JPK_KR-1'!BH:BH,N170,'JPK_KR-1'!BJ:BJ,O170)),"")</f>
        <v/>
      </c>
      <c r="R170" s="117" t="str">
        <f>IF(kokpit!R170&lt;&gt;"",kokpit!R170,"")</f>
        <v/>
      </c>
      <c r="S170" s="117" t="str">
        <f>IF(kokpit!S170&lt;&gt;"",kokpit!S170,"")</f>
        <v/>
      </c>
      <c r="T170" s="117" t="str">
        <f>IF(kokpit!T170&lt;&gt;"",kokpit!T170,"")</f>
        <v/>
      </c>
      <c r="U170" s="141" t="str">
        <f>IF(R170&lt;&gt;"",SUMIFS('JPK_KR-1'!AL:AL,'JPK_KR-1'!W:W,S170),"")</f>
        <v/>
      </c>
      <c r="V170" s="144" t="str">
        <f>IF(R170&lt;&gt;"",SUMIFS('JPK_KR-1'!AM:AM,'JPK_KR-1'!W:W,S170),"")</f>
        <v/>
      </c>
    </row>
    <row r="171" spans="1:22" x14ac:dyDescent="0.3">
      <c r="A171" s="5" t="str">
        <f>IF(kokpit!A171&lt;&gt;"",kokpit!A171,"")</f>
        <v/>
      </c>
      <c r="B171" s="5" t="str">
        <f>IF(kokpit!B171&lt;&gt;"",kokpit!B171,"")</f>
        <v/>
      </c>
      <c r="C171" s="24" t="str">
        <f>IF(A171&lt;&gt;"",SUMIFS('JPK_KR-1'!AL:AL,'JPK_KR-1'!W:W,B171),"")</f>
        <v/>
      </c>
      <c r="D171" s="126" t="str">
        <f>IF(A171&lt;&gt;"",SUMIFS('JPK_KR-1'!AM:AM,'JPK_KR-1'!W:W,B171),"")</f>
        <v/>
      </c>
      <c r="E171" s="5" t="str">
        <f>IF(kokpit!E171&lt;&gt;"",kokpit!E171,"")</f>
        <v/>
      </c>
      <c r="F171" s="127" t="str">
        <f>IF(kokpit!F171&lt;&gt;"",kokpit!F171,"")</f>
        <v/>
      </c>
      <c r="G171" s="24" t="str">
        <f>IF(E171&lt;&gt;"",SUMIFS('JPK_KR-1'!AL:AL,'JPK_KR-1'!W:W,F171),"")</f>
        <v/>
      </c>
      <c r="H171" s="126" t="str">
        <f>IF(E171&lt;&gt;"",SUMIFS('JPK_KR-1'!AM:AM,'JPK_KR-1'!W:W,F171),"")</f>
        <v/>
      </c>
      <c r="I171" s="5" t="str">
        <f>IF(kokpit!I171&lt;&gt;"",kokpit!I171,"")</f>
        <v/>
      </c>
      <c r="J171" s="5" t="str">
        <f>IF(kokpit!J171&lt;&gt;"",kokpit!J171,"")</f>
        <v/>
      </c>
      <c r="K171" s="24" t="str">
        <f>IF(I171&lt;&gt;"",SUMIFS('JPK_KR-1'!AL:AL,'JPK_KR-1'!W:W,J171),"")</f>
        <v/>
      </c>
      <c r="L171" s="141" t="str">
        <f>IF(I171&lt;&gt;"",SUMIFS('JPK_KR-1'!AM:AM,'JPK_KR-1'!W:W,J171),"")</f>
        <v/>
      </c>
      <c r="M171" s="143" t="str">
        <f>IF(kokpit!M171&lt;&gt;"",kokpit!M171,"")</f>
        <v/>
      </c>
      <c r="N171" s="117" t="str">
        <f>IF(kokpit!N171&lt;&gt;"",kokpit!N171,"")</f>
        <v/>
      </c>
      <c r="O171" s="117" t="str">
        <f>IF(kokpit!O171&lt;&gt;"",kokpit!O171,"")</f>
        <v/>
      </c>
      <c r="P171" s="141" t="str">
        <f>IF(M171&lt;&gt;"",IF(O171="",SUMIFS('JPK_KR-1'!AL:AL,'JPK_KR-1'!W:W,N171),SUMIFS('JPK_KR-1'!BF:BF,'JPK_KR-1'!BE:BE,N171,'JPK_KR-1'!BG:BG,O171)),"")</f>
        <v/>
      </c>
      <c r="Q171" s="144" t="str">
        <f>IF(M171&lt;&gt;"",IF(O171="",SUMIFS('JPK_KR-1'!AM:AM,'JPK_KR-1'!W:W,N171),SUMIFS('JPK_KR-1'!BI:BI,'JPK_KR-1'!BH:BH,N171,'JPK_KR-1'!BJ:BJ,O171)),"")</f>
        <v/>
      </c>
      <c r="R171" s="117" t="str">
        <f>IF(kokpit!R171&lt;&gt;"",kokpit!R171,"")</f>
        <v/>
      </c>
      <c r="S171" s="117" t="str">
        <f>IF(kokpit!S171&lt;&gt;"",kokpit!S171,"")</f>
        <v/>
      </c>
      <c r="T171" s="117" t="str">
        <f>IF(kokpit!T171&lt;&gt;"",kokpit!T171,"")</f>
        <v/>
      </c>
      <c r="U171" s="141" t="str">
        <f>IF(R171&lt;&gt;"",SUMIFS('JPK_KR-1'!AL:AL,'JPK_KR-1'!W:W,S171),"")</f>
        <v/>
      </c>
      <c r="V171" s="144" t="str">
        <f>IF(R171&lt;&gt;"",SUMIFS('JPK_KR-1'!AM:AM,'JPK_KR-1'!W:W,S171),"")</f>
        <v/>
      </c>
    </row>
    <row r="172" spans="1:22" x14ac:dyDescent="0.3">
      <c r="A172" s="5" t="str">
        <f>IF(kokpit!A172&lt;&gt;"",kokpit!A172,"")</f>
        <v/>
      </c>
      <c r="B172" s="5" t="str">
        <f>IF(kokpit!B172&lt;&gt;"",kokpit!B172,"")</f>
        <v/>
      </c>
      <c r="C172" s="24" t="str">
        <f>IF(A172&lt;&gt;"",SUMIFS('JPK_KR-1'!AL:AL,'JPK_KR-1'!W:W,B172),"")</f>
        <v/>
      </c>
      <c r="D172" s="126" t="str">
        <f>IF(A172&lt;&gt;"",SUMIFS('JPK_KR-1'!AM:AM,'JPK_KR-1'!W:W,B172),"")</f>
        <v/>
      </c>
      <c r="E172" s="5" t="str">
        <f>IF(kokpit!E172&lt;&gt;"",kokpit!E172,"")</f>
        <v/>
      </c>
      <c r="F172" s="127" t="str">
        <f>IF(kokpit!F172&lt;&gt;"",kokpit!F172,"")</f>
        <v/>
      </c>
      <c r="G172" s="24" t="str">
        <f>IF(E172&lt;&gt;"",SUMIFS('JPK_KR-1'!AL:AL,'JPK_KR-1'!W:W,F172),"")</f>
        <v/>
      </c>
      <c r="H172" s="126" t="str">
        <f>IF(E172&lt;&gt;"",SUMIFS('JPK_KR-1'!AM:AM,'JPK_KR-1'!W:W,F172),"")</f>
        <v/>
      </c>
      <c r="I172" s="5" t="str">
        <f>IF(kokpit!I172&lt;&gt;"",kokpit!I172,"")</f>
        <v/>
      </c>
      <c r="J172" s="5" t="str">
        <f>IF(kokpit!J172&lt;&gt;"",kokpit!J172,"")</f>
        <v/>
      </c>
      <c r="K172" s="24" t="str">
        <f>IF(I172&lt;&gt;"",SUMIFS('JPK_KR-1'!AL:AL,'JPK_KR-1'!W:W,J172),"")</f>
        <v/>
      </c>
      <c r="L172" s="141" t="str">
        <f>IF(I172&lt;&gt;"",SUMIFS('JPK_KR-1'!AM:AM,'JPK_KR-1'!W:W,J172),"")</f>
        <v/>
      </c>
      <c r="M172" s="143" t="str">
        <f>IF(kokpit!M172&lt;&gt;"",kokpit!M172,"")</f>
        <v/>
      </c>
      <c r="N172" s="117" t="str">
        <f>IF(kokpit!N172&lt;&gt;"",kokpit!N172,"")</f>
        <v/>
      </c>
      <c r="O172" s="117" t="str">
        <f>IF(kokpit!O172&lt;&gt;"",kokpit!O172,"")</f>
        <v/>
      </c>
      <c r="P172" s="141" t="str">
        <f>IF(M172&lt;&gt;"",IF(O172="",SUMIFS('JPK_KR-1'!AL:AL,'JPK_KR-1'!W:W,N172),SUMIFS('JPK_KR-1'!BF:BF,'JPK_KR-1'!BE:BE,N172,'JPK_KR-1'!BG:BG,O172)),"")</f>
        <v/>
      </c>
      <c r="Q172" s="144" t="str">
        <f>IF(M172&lt;&gt;"",IF(O172="",SUMIFS('JPK_KR-1'!AM:AM,'JPK_KR-1'!W:W,N172),SUMIFS('JPK_KR-1'!BI:BI,'JPK_KR-1'!BH:BH,N172,'JPK_KR-1'!BJ:BJ,O172)),"")</f>
        <v/>
      </c>
      <c r="R172" s="117" t="str">
        <f>IF(kokpit!R172&lt;&gt;"",kokpit!R172,"")</f>
        <v/>
      </c>
      <c r="S172" s="117" t="str">
        <f>IF(kokpit!S172&lt;&gt;"",kokpit!S172,"")</f>
        <v/>
      </c>
      <c r="T172" s="117" t="str">
        <f>IF(kokpit!T172&lt;&gt;"",kokpit!T172,"")</f>
        <v/>
      </c>
      <c r="U172" s="141" t="str">
        <f>IF(R172&lt;&gt;"",SUMIFS('JPK_KR-1'!AL:AL,'JPK_KR-1'!W:W,S172),"")</f>
        <v/>
      </c>
      <c r="V172" s="144" t="str">
        <f>IF(R172&lt;&gt;"",SUMIFS('JPK_KR-1'!AM:AM,'JPK_KR-1'!W:W,S172),"")</f>
        <v/>
      </c>
    </row>
    <row r="173" spans="1:22" x14ac:dyDescent="0.3">
      <c r="A173" s="5" t="str">
        <f>IF(kokpit!A173&lt;&gt;"",kokpit!A173,"")</f>
        <v/>
      </c>
      <c r="B173" s="5" t="str">
        <f>IF(kokpit!B173&lt;&gt;"",kokpit!B173,"")</f>
        <v/>
      </c>
      <c r="C173" s="24" t="str">
        <f>IF(A173&lt;&gt;"",SUMIFS('JPK_KR-1'!AL:AL,'JPK_KR-1'!W:W,B173),"")</f>
        <v/>
      </c>
      <c r="D173" s="126" t="str">
        <f>IF(A173&lt;&gt;"",SUMIFS('JPK_KR-1'!AM:AM,'JPK_KR-1'!W:W,B173),"")</f>
        <v/>
      </c>
      <c r="E173" s="5" t="str">
        <f>IF(kokpit!E173&lt;&gt;"",kokpit!E173,"")</f>
        <v/>
      </c>
      <c r="F173" s="127" t="str">
        <f>IF(kokpit!F173&lt;&gt;"",kokpit!F173,"")</f>
        <v/>
      </c>
      <c r="G173" s="24" t="str">
        <f>IF(E173&lt;&gt;"",SUMIFS('JPK_KR-1'!AL:AL,'JPK_KR-1'!W:W,F173),"")</f>
        <v/>
      </c>
      <c r="H173" s="126" t="str">
        <f>IF(E173&lt;&gt;"",SUMIFS('JPK_KR-1'!AM:AM,'JPK_KR-1'!W:W,F173),"")</f>
        <v/>
      </c>
      <c r="I173" s="5" t="str">
        <f>IF(kokpit!I173&lt;&gt;"",kokpit!I173,"")</f>
        <v/>
      </c>
      <c r="J173" s="5" t="str">
        <f>IF(kokpit!J173&lt;&gt;"",kokpit!J173,"")</f>
        <v/>
      </c>
      <c r="K173" s="24" t="str">
        <f>IF(I173&lt;&gt;"",SUMIFS('JPK_KR-1'!AL:AL,'JPK_KR-1'!W:W,J173),"")</f>
        <v/>
      </c>
      <c r="L173" s="141" t="str">
        <f>IF(I173&lt;&gt;"",SUMIFS('JPK_KR-1'!AM:AM,'JPK_KR-1'!W:W,J173),"")</f>
        <v/>
      </c>
      <c r="M173" s="143" t="str">
        <f>IF(kokpit!M173&lt;&gt;"",kokpit!M173,"")</f>
        <v/>
      </c>
      <c r="N173" s="117" t="str">
        <f>IF(kokpit!N173&lt;&gt;"",kokpit!N173,"")</f>
        <v/>
      </c>
      <c r="O173" s="117" t="str">
        <f>IF(kokpit!O173&lt;&gt;"",kokpit!O173,"")</f>
        <v/>
      </c>
      <c r="P173" s="141" t="str">
        <f>IF(M173&lt;&gt;"",IF(O173="",SUMIFS('JPK_KR-1'!AL:AL,'JPK_KR-1'!W:W,N173),SUMIFS('JPK_KR-1'!BF:BF,'JPK_KR-1'!BE:BE,N173,'JPK_KR-1'!BG:BG,O173)),"")</f>
        <v/>
      </c>
      <c r="Q173" s="144" t="str">
        <f>IF(M173&lt;&gt;"",IF(O173="",SUMIFS('JPK_KR-1'!AM:AM,'JPK_KR-1'!W:W,N173),SUMIFS('JPK_KR-1'!BI:BI,'JPK_KR-1'!BH:BH,N173,'JPK_KR-1'!BJ:BJ,O173)),"")</f>
        <v/>
      </c>
      <c r="R173" s="117" t="str">
        <f>IF(kokpit!R173&lt;&gt;"",kokpit!R173,"")</f>
        <v/>
      </c>
      <c r="S173" s="117" t="str">
        <f>IF(kokpit!S173&lt;&gt;"",kokpit!S173,"")</f>
        <v/>
      </c>
      <c r="T173" s="117" t="str">
        <f>IF(kokpit!T173&lt;&gt;"",kokpit!T173,"")</f>
        <v/>
      </c>
      <c r="U173" s="141" t="str">
        <f>IF(R173&lt;&gt;"",SUMIFS('JPK_KR-1'!AL:AL,'JPK_KR-1'!W:W,S173),"")</f>
        <v/>
      </c>
      <c r="V173" s="144" t="str">
        <f>IF(R173&lt;&gt;"",SUMIFS('JPK_KR-1'!AM:AM,'JPK_KR-1'!W:W,S173),"")</f>
        <v/>
      </c>
    </row>
    <row r="174" spans="1:22" x14ac:dyDescent="0.3">
      <c r="A174" s="5" t="str">
        <f>IF(kokpit!A174&lt;&gt;"",kokpit!A174,"")</f>
        <v/>
      </c>
      <c r="B174" s="5" t="str">
        <f>IF(kokpit!B174&lt;&gt;"",kokpit!B174,"")</f>
        <v/>
      </c>
      <c r="C174" s="24" t="str">
        <f>IF(A174&lt;&gt;"",SUMIFS('JPK_KR-1'!AL:AL,'JPK_KR-1'!W:W,B174),"")</f>
        <v/>
      </c>
      <c r="D174" s="126" t="str">
        <f>IF(A174&lt;&gt;"",SUMIFS('JPK_KR-1'!AM:AM,'JPK_KR-1'!W:W,B174),"")</f>
        <v/>
      </c>
      <c r="E174" s="5" t="str">
        <f>IF(kokpit!E174&lt;&gt;"",kokpit!E174,"")</f>
        <v/>
      </c>
      <c r="F174" s="127" t="str">
        <f>IF(kokpit!F174&lt;&gt;"",kokpit!F174,"")</f>
        <v/>
      </c>
      <c r="G174" s="24" t="str">
        <f>IF(E174&lt;&gt;"",SUMIFS('JPK_KR-1'!AL:AL,'JPK_KR-1'!W:W,F174),"")</f>
        <v/>
      </c>
      <c r="H174" s="126" t="str">
        <f>IF(E174&lt;&gt;"",SUMIFS('JPK_KR-1'!AM:AM,'JPK_KR-1'!W:W,F174),"")</f>
        <v/>
      </c>
      <c r="I174" s="5" t="str">
        <f>IF(kokpit!I174&lt;&gt;"",kokpit!I174,"")</f>
        <v/>
      </c>
      <c r="J174" s="5" t="str">
        <f>IF(kokpit!J174&lt;&gt;"",kokpit!J174,"")</f>
        <v/>
      </c>
      <c r="K174" s="24" t="str">
        <f>IF(I174&lt;&gt;"",SUMIFS('JPK_KR-1'!AL:AL,'JPK_KR-1'!W:W,J174),"")</f>
        <v/>
      </c>
      <c r="L174" s="141" t="str">
        <f>IF(I174&lt;&gt;"",SUMIFS('JPK_KR-1'!AM:AM,'JPK_KR-1'!W:W,J174),"")</f>
        <v/>
      </c>
      <c r="M174" s="143" t="str">
        <f>IF(kokpit!M174&lt;&gt;"",kokpit!M174,"")</f>
        <v/>
      </c>
      <c r="N174" s="117" t="str">
        <f>IF(kokpit!N174&lt;&gt;"",kokpit!N174,"")</f>
        <v/>
      </c>
      <c r="O174" s="117" t="str">
        <f>IF(kokpit!O174&lt;&gt;"",kokpit!O174,"")</f>
        <v/>
      </c>
      <c r="P174" s="141" t="str">
        <f>IF(M174&lt;&gt;"",IF(O174="",SUMIFS('JPK_KR-1'!AL:AL,'JPK_KR-1'!W:W,N174),SUMIFS('JPK_KR-1'!BF:BF,'JPK_KR-1'!BE:BE,N174,'JPK_KR-1'!BG:BG,O174)),"")</f>
        <v/>
      </c>
      <c r="Q174" s="144" t="str">
        <f>IF(M174&lt;&gt;"",IF(O174="",SUMIFS('JPK_KR-1'!AM:AM,'JPK_KR-1'!W:W,N174),SUMIFS('JPK_KR-1'!BI:BI,'JPK_KR-1'!BH:BH,N174,'JPK_KR-1'!BJ:BJ,O174)),"")</f>
        <v/>
      </c>
      <c r="R174" s="117" t="str">
        <f>IF(kokpit!R174&lt;&gt;"",kokpit!R174,"")</f>
        <v/>
      </c>
      <c r="S174" s="117" t="str">
        <f>IF(kokpit!S174&lt;&gt;"",kokpit!S174,"")</f>
        <v/>
      </c>
      <c r="T174" s="117" t="str">
        <f>IF(kokpit!T174&lt;&gt;"",kokpit!T174,"")</f>
        <v/>
      </c>
      <c r="U174" s="141" t="str">
        <f>IF(R174&lt;&gt;"",SUMIFS('JPK_KR-1'!AL:AL,'JPK_KR-1'!W:W,S174),"")</f>
        <v/>
      </c>
      <c r="V174" s="144" t="str">
        <f>IF(R174&lt;&gt;"",SUMIFS('JPK_KR-1'!AM:AM,'JPK_KR-1'!W:W,S174),"")</f>
        <v/>
      </c>
    </row>
    <row r="175" spans="1:22" x14ac:dyDescent="0.3">
      <c r="A175" s="5" t="str">
        <f>IF(kokpit!A175&lt;&gt;"",kokpit!A175,"")</f>
        <v/>
      </c>
      <c r="B175" s="5" t="str">
        <f>IF(kokpit!B175&lt;&gt;"",kokpit!B175,"")</f>
        <v/>
      </c>
      <c r="C175" s="24" t="str">
        <f>IF(A175&lt;&gt;"",SUMIFS('JPK_KR-1'!AL:AL,'JPK_KR-1'!W:W,B175),"")</f>
        <v/>
      </c>
      <c r="D175" s="126" t="str">
        <f>IF(A175&lt;&gt;"",SUMIFS('JPK_KR-1'!AM:AM,'JPK_KR-1'!W:W,B175),"")</f>
        <v/>
      </c>
      <c r="E175" s="5" t="str">
        <f>IF(kokpit!E175&lt;&gt;"",kokpit!E175,"")</f>
        <v/>
      </c>
      <c r="F175" s="127" t="str">
        <f>IF(kokpit!F175&lt;&gt;"",kokpit!F175,"")</f>
        <v/>
      </c>
      <c r="G175" s="24" t="str">
        <f>IF(E175&lt;&gt;"",SUMIFS('JPK_KR-1'!AL:AL,'JPK_KR-1'!W:W,F175),"")</f>
        <v/>
      </c>
      <c r="H175" s="126" t="str">
        <f>IF(E175&lt;&gt;"",SUMIFS('JPK_KR-1'!AM:AM,'JPK_KR-1'!W:W,F175),"")</f>
        <v/>
      </c>
      <c r="I175" s="5" t="str">
        <f>IF(kokpit!I175&lt;&gt;"",kokpit!I175,"")</f>
        <v/>
      </c>
      <c r="J175" s="5" t="str">
        <f>IF(kokpit!J175&lt;&gt;"",kokpit!J175,"")</f>
        <v/>
      </c>
      <c r="K175" s="24" t="str">
        <f>IF(I175&lt;&gt;"",SUMIFS('JPK_KR-1'!AL:AL,'JPK_KR-1'!W:W,J175),"")</f>
        <v/>
      </c>
      <c r="L175" s="141" t="str">
        <f>IF(I175&lt;&gt;"",SUMIFS('JPK_KR-1'!AM:AM,'JPK_KR-1'!W:W,J175),"")</f>
        <v/>
      </c>
      <c r="M175" s="143" t="str">
        <f>IF(kokpit!M175&lt;&gt;"",kokpit!M175,"")</f>
        <v/>
      </c>
      <c r="N175" s="117" t="str">
        <f>IF(kokpit!N175&lt;&gt;"",kokpit!N175,"")</f>
        <v/>
      </c>
      <c r="O175" s="117" t="str">
        <f>IF(kokpit!O175&lt;&gt;"",kokpit!O175,"")</f>
        <v/>
      </c>
      <c r="P175" s="141" t="str">
        <f>IF(M175&lt;&gt;"",IF(O175="",SUMIFS('JPK_KR-1'!AL:AL,'JPK_KR-1'!W:W,N175),SUMIFS('JPK_KR-1'!BF:BF,'JPK_KR-1'!BE:BE,N175,'JPK_KR-1'!BG:BG,O175)),"")</f>
        <v/>
      </c>
      <c r="Q175" s="144" t="str">
        <f>IF(M175&lt;&gt;"",IF(O175="",SUMIFS('JPK_KR-1'!AM:AM,'JPK_KR-1'!W:W,N175),SUMIFS('JPK_KR-1'!BI:BI,'JPK_KR-1'!BH:BH,N175,'JPK_KR-1'!BJ:BJ,O175)),"")</f>
        <v/>
      </c>
      <c r="R175" s="117" t="str">
        <f>IF(kokpit!R175&lt;&gt;"",kokpit!R175,"")</f>
        <v/>
      </c>
      <c r="S175" s="117" t="str">
        <f>IF(kokpit!S175&lt;&gt;"",kokpit!S175,"")</f>
        <v/>
      </c>
      <c r="T175" s="117" t="str">
        <f>IF(kokpit!T175&lt;&gt;"",kokpit!T175,"")</f>
        <v/>
      </c>
      <c r="U175" s="141" t="str">
        <f>IF(R175&lt;&gt;"",SUMIFS('JPK_KR-1'!AL:AL,'JPK_KR-1'!W:W,S175),"")</f>
        <v/>
      </c>
      <c r="V175" s="144" t="str">
        <f>IF(R175&lt;&gt;"",SUMIFS('JPK_KR-1'!AM:AM,'JPK_KR-1'!W:W,S175),"")</f>
        <v/>
      </c>
    </row>
    <row r="176" spans="1:22" x14ac:dyDescent="0.3">
      <c r="A176" s="5" t="str">
        <f>IF(kokpit!A176&lt;&gt;"",kokpit!A176,"")</f>
        <v/>
      </c>
      <c r="B176" s="5" t="str">
        <f>IF(kokpit!B176&lt;&gt;"",kokpit!B176,"")</f>
        <v/>
      </c>
      <c r="C176" s="24" t="str">
        <f>IF(A176&lt;&gt;"",SUMIFS('JPK_KR-1'!AL:AL,'JPK_KR-1'!W:W,B176),"")</f>
        <v/>
      </c>
      <c r="D176" s="126" t="str">
        <f>IF(A176&lt;&gt;"",SUMIFS('JPK_KR-1'!AM:AM,'JPK_KR-1'!W:W,B176),"")</f>
        <v/>
      </c>
      <c r="E176" s="5" t="str">
        <f>IF(kokpit!E176&lt;&gt;"",kokpit!E176,"")</f>
        <v/>
      </c>
      <c r="F176" s="127" t="str">
        <f>IF(kokpit!F176&lt;&gt;"",kokpit!F176,"")</f>
        <v/>
      </c>
      <c r="G176" s="24" t="str">
        <f>IF(E176&lt;&gt;"",SUMIFS('JPK_KR-1'!AL:AL,'JPK_KR-1'!W:W,F176),"")</f>
        <v/>
      </c>
      <c r="H176" s="126" t="str">
        <f>IF(E176&lt;&gt;"",SUMIFS('JPK_KR-1'!AM:AM,'JPK_KR-1'!W:W,F176),"")</f>
        <v/>
      </c>
      <c r="I176" s="5" t="str">
        <f>IF(kokpit!I176&lt;&gt;"",kokpit!I176,"")</f>
        <v/>
      </c>
      <c r="J176" s="5" t="str">
        <f>IF(kokpit!J176&lt;&gt;"",kokpit!J176,"")</f>
        <v/>
      </c>
      <c r="K176" s="24" t="str">
        <f>IF(I176&lt;&gt;"",SUMIFS('JPK_KR-1'!AL:AL,'JPK_KR-1'!W:W,J176),"")</f>
        <v/>
      </c>
      <c r="L176" s="141" t="str">
        <f>IF(I176&lt;&gt;"",SUMIFS('JPK_KR-1'!AM:AM,'JPK_KR-1'!W:W,J176),"")</f>
        <v/>
      </c>
      <c r="M176" s="143" t="str">
        <f>IF(kokpit!M176&lt;&gt;"",kokpit!M176,"")</f>
        <v/>
      </c>
      <c r="N176" s="117" t="str">
        <f>IF(kokpit!N176&lt;&gt;"",kokpit!N176,"")</f>
        <v/>
      </c>
      <c r="O176" s="117" t="str">
        <f>IF(kokpit!O176&lt;&gt;"",kokpit!O176,"")</f>
        <v/>
      </c>
      <c r="P176" s="141" t="str">
        <f>IF(M176&lt;&gt;"",IF(O176="",SUMIFS('JPK_KR-1'!AL:AL,'JPK_KR-1'!W:W,N176),SUMIFS('JPK_KR-1'!BF:BF,'JPK_KR-1'!BE:BE,N176,'JPK_KR-1'!BG:BG,O176)),"")</f>
        <v/>
      </c>
      <c r="Q176" s="144" t="str">
        <f>IF(M176&lt;&gt;"",IF(O176="",SUMIFS('JPK_KR-1'!AM:AM,'JPK_KR-1'!W:W,N176),SUMIFS('JPK_KR-1'!BI:BI,'JPK_KR-1'!BH:BH,N176,'JPK_KR-1'!BJ:BJ,O176)),"")</f>
        <v/>
      </c>
      <c r="R176" s="117" t="str">
        <f>IF(kokpit!R176&lt;&gt;"",kokpit!R176,"")</f>
        <v/>
      </c>
      <c r="S176" s="117" t="str">
        <f>IF(kokpit!S176&lt;&gt;"",kokpit!S176,"")</f>
        <v/>
      </c>
      <c r="T176" s="117" t="str">
        <f>IF(kokpit!T176&lt;&gt;"",kokpit!T176,"")</f>
        <v/>
      </c>
      <c r="U176" s="141" t="str">
        <f>IF(R176&lt;&gt;"",SUMIFS('JPK_KR-1'!AL:AL,'JPK_KR-1'!W:W,S176),"")</f>
        <v/>
      </c>
      <c r="V176" s="144" t="str">
        <f>IF(R176&lt;&gt;"",SUMIFS('JPK_KR-1'!AM:AM,'JPK_KR-1'!W:W,S176),"")</f>
        <v/>
      </c>
    </row>
    <row r="177" spans="1:22" x14ac:dyDescent="0.3">
      <c r="A177" s="5" t="str">
        <f>IF(kokpit!A177&lt;&gt;"",kokpit!A177,"")</f>
        <v/>
      </c>
      <c r="B177" s="5" t="str">
        <f>IF(kokpit!B177&lt;&gt;"",kokpit!B177,"")</f>
        <v/>
      </c>
      <c r="C177" s="24" t="str">
        <f>IF(A177&lt;&gt;"",SUMIFS('JPK_KR-1'!AL:AL,'JPK_KR-1'!W:W,B177),"")</f>
        <v/>
      </c>
      <c r="D177" s="126" t="str">
        <f>IF(A177&lt;&gt;"",SUMIFS('JPK_KR-1'!AM:AM,'JPK_KR-1'!W:W,B177),"")</f>
        <v/>
      </c>
      <c r="E177" s="5" t="str">
        <f>IF(kokpit!E177&lt;&gt;"",kokpit!E177,"")</f>
        <v/>
      </c>
      <c r="F177" s="127" t="str">
        <f>IF(kokpit!F177&lt;&gt;"",kokpit!F177,"")</f>
        <v/>
      </c>
      <c r="G177" s="24" t="str">
        <f>IF(E177&lt;&gt;"",SUMIFS('JPK_KR-1'!AL:AL,'JPK_KR-1'!W:W,F177),"")</f>
        <v/>
      </c>
      <c r="H177" s="126" t="str">
        <f>IF(E177&lt;&gt;"",SUMIFS('JPK_KR-1'!AM:AM,'JPK_KR-1'!W:W,F177),"")</f>
        <v/>
      </c>
      <c r="I177" s="5" t="str">
        <f>IF(kokpit!I177&lt;&gt;"",kokpit!I177,"")</f>
        <v/>
      </c>
      <c r="J177" s="5" t="str">
        <f>IF(kokpit!J177&lt;&gt;"",kokpit!J177,"")</f>
        <v/>
      </c>
      <c r="K177" s="24" t="str">
        <f>IF(I177&lt;&gt;"",SUMIFS('JPK_KR-1'!AL:AL,'JPK_KR-1'!W:W,J177),"")</f>
        <v/>
      </c>
      <c r="L177" s="141" t="str">
        <f>IF(I177&lt;&gt;"",SUMIFS('JPK_KR-1'!AM:AM,'JPK_KR-1'!W:W,J177),"")</f>
        <v/>
      </c>
      <c r="M177" s="143" t="str">
        <f>IF(kokpit!M177&lt;&gt;"",kokpit!M177,"")</f>
        <v/>
      </c>
      <c r="N177" s="117" t="str">
        <f>IF(kokpit!N177&lt;&gt;"",kokpit!N177,"")</f>
        <v/>
      </c>
      <c r="O177" s="117" t="str">
        <f>IF(kokpit!O177&lt;&gt;"",kokpit!O177,"")</f>
        <v/>
      </c>
      <c r="P177" s="141" t="str">
        <f>IF(M177&lt;&gt;"",IF(O177="",SUMIFS('JPK_KR-1'!AL:AL,'JPK_KR-1'!W:W,N177),SUMIFS('JPK_KR-1'!BF:BF,'JPK_KR-1'!BE:BE,N177,'JPK_KR-1'!BG:BG,O177)),"")</f>
        <v/>
      </c>
      <c r="Q177" s="144" t="str">
        <f>IF(M177&lt;&gt;"",IF(O177="",SUMIFS('JPK_KR-1'!AM:AM,'JPK_KR-1'!W:W,N177),SUMIFS('JPK_KR-1'!BI:BI,'JPK_KR-1'!BH:BH,N177,'JPK_KR-1'!BJ:BJ,O177)),"")</f>
        <v/>
      </c>
      <c r="R177" s="117" t="str">
        <f>IF(kokpit!R177&lt;&gt;"",kokpit!R177,"")</f>
        <v/>
      </c>
      <c r="S177" s="117" t="str">
        <f>IF(kokpit!S177&lt;&gt;"",kokpit!S177,"")</f>
        <v/>
      </c>
      <c r="T177" s="117" t="str">
        <f>IF(kokpit!T177&lt;&gt;"",kokpit!T177,"")</f>
        <v/>
      </c>
      <c r="U177" s="141" t="str">
        <f>IF(R177&lt;&gt;"",SUMIFS('JPK_KR-1'!AL:AL,'JPK_KR-1'!W:W,S177),"")</f>
        <v/>
      </c>
      <c r="V177" s="144" t="str">
        <f>IF(R177&lt;&gt;"",SUMIFS('JPK_KR-1'!AM:AM,'JPK_KR-1'!W:W,S177),"")</f>
        <v/>
      </c>
    </row>
    <row r="178" spans="1:22" x14ac:dyDescent="0.3">
      <c r="A178" s="5" t="str">
        <f>IF(kokpit!A178&lt;&gt;"",kokpit!A178,"")</f>
        <v/>
      </c>
      <c r="B178" s="5" t="str">
        <f>IF(kokpit!B178&lt;&gt;"",kokpit!B178,"")</f>
        <v/>
      </c>
      <c r="C178" s="24" t="str">
        <f>IF(A178&lt;&gt;"",SUMIFS('JPK_KR-1'!AL:AL,'JPK_KR-1'!W:W,B178),"")</f>
        <v/>
      </c>
      <c r="D178" s="126" t="str">
        <f>IF(A178&lt;&gt;"",SUMIFS('JPK_KR-1'!AM:AM,'JPK_KR-1'!W:W,B178),"")</f>
        <v/>
      </c>
      <c r="E178" s="5" t="str">
        <f>IF(kokpit!E178&lt;&gt;"",kokpit!E178,"")</f>
        <v/>
      </c>
      <c r="F178" s="127" t="str">
        <f>IF(kokpit!F178&lt;&gt;"",kokpit!F178,"")</f>
        <v/>
      </c>
      <c r="G178" s="24" t="str">
        <f>IF(E178&lt;&gt;"",SUMIFS('JPK_KR-1'!AL:AL,'JPK_KR-1'!W:W,F178),"")</f>
        <v/>
      </c>
      <c r="H178" s="126" t="str">
        <f>IF(E178&lt;&gt;"",SUMIFS('JPK_KR-1'!AM:AM,'JPK_KR-1'!W:W,F178),"")</f>
        <v/>
      </c>
      <c r="I178" s="5" t="str">
        <f>IF(kokpit!I178&lt;&gt;"",kokpit!I178,"")</f>
        <v/>
      </c>
      <c r="J178" s="5" t="str">
        <f>IF(kokpit!J178&lt;&gt;"",kokpit!J178,"")</f>
        <v/>
      </c>
      <c r="K178" s="24" t="str">
        <f>IF(I178&lt;&gt;"",SUMIFS('JPK_KR-1'!AL:AL,'JPK_KR-1'!W:W,J178),"")</f>
        <v/>
      </c>
      <c r="L178" s="141" t="str">
        <f>IF(I178&lt;&gt;"",SUMIFS('JPK_KR-1'!AM:AM,'JPK_KR-1'!W:W,J178),"")</f>
        <v/>
      </c>
      <c r="M178" s="143" t="str">
        <f>IF(kokpit!M178&lt;&gt;"",kokpit!M178,"")</f>
        <v/>
      </c>
      <c r="N178" s="117" t="str">
        <f>IF(kokpit!N178&lt;&gt;"",kokpit!N178,"")</f>
        <v/>
      </c>
      <c r="O178" s="117" t="str">
        <f>IF(kokpit!O178&lt;&gt;"",kokpit!O178,"")</f>
        <v/>
      </c>
      <c r="P178" s="141" t="str">
        <f>IF(M178&lt;&gt;"",IF(O178="",SUMIFS('JPK_KR-1'!AL:AL,'JPK_KR-1'!W:W,N178),SUMIFS('JPK_KR-1'!BF:BF,'JPK_KR-1'!BE:BE,N178,'JPK_KR-1'!BG:BG,O178)),"")</f>
        <v/>
      </c>
      <c r="Q178" s="144" t="str">
        <f>IF(M178&lt;&gt;"",IF(O178="",SUMIFS('JPK_KR-1'!AM:AM,'JPK_KR-1'!W:W,N178),SUMIFS('JPK_KR-1'!BI:BI,'JPK_KR-1'!BH:BH,N178,'JPK_KR-1'!BJ:BJ,O178)),"")</f>
        <v/>
      </c>
      <c r="R178" s="117" t="str">
        <f>IF(kokpit!R178&lt;&gt;"",kokpit!R178,"")</f>
        <v/>
      </c>
      <c r="S178" s="117" t="str">
        <f>IF(kokpit!S178&lt;&gt;"",kokpit!S178,"")</f>
        <v/>
      </c>
      <c r="T178" s="117" t="str">
        <f>IF(kokpit!T178&lt;&gt;"",kokpit!T178,"")</f>
        <v/>
      </c>
      <c r="U178" s="141" t="str">
        <f>IF(R178&lt;&gt;"",SUMIFS('JPK_KR-1'!AL:AL,'JPK_KR-1'!W:W,S178),"")</f>
        <v/>
      </c>
      <c r="V178" s="144" t="str">
        <f>IF(R178&lt;&gt;"",SUMIFS('JPK_KR-1'!AM:AM,'JPK_KR-1'!W:W,S178),"")</f>
        <v/>
      </c>
    </row>
    <row r="179" spans="1:22" x14ac:dyDescent="0.3">
      <c r="A179" s="5" t="str">
        <f>IF(kokpit!A179&lt;&gt;"",kokpit!A179,"")</f>
        <v/>
      </c>
      <c r="B179" s="5" t="str">
        <f>IF(kokpit!B179&lt;&gt;"",kokpit!B179,"")</f>
        <v/>
      </c>
      <c r="C179" s="24" t="str">
        <f>IF(A179&lt;&gt;"",SUMIFS('JPK_KR-1'!AL:AL,'JPK_KR-1'!W:W,B179),"")</f>
        <v/>
      </c>
      <c r="D179" s="126" t="str">
        <f>IF(A179&lt;&gt;"",SUMIFS('JPK_KR-1'!AM:AM,'JPK_KR-1'!W:W,B179),"")</f>
        <v/>
      </c>
      <c r="E179" s="5" t="str">
        <f>IF(kokpit!E179&lt;&gt;"",kokpit!E179,"")</f>
        <v/>
      </c>
      <c r="F179" s="127" t="str">
        <f>IF(kokpit!F179&lt;&gt;"",kokpit!F179,"")</f>
        <v/>
      </c>
      <c r="G179" s="24" t="str">
        <f>IF(E179&lt;&gt;"",SUMIFS('JPK_KR-1'!AL:AL,'JPK_KR-1'!W:W,F179),"")</f>
        <v/>
      </c>
      <c r="H179" s="126" t="str">
        <f>IF(E179&lt;&gt;"",SUMIFS('JPK_KR-1'!AM:AM,'JPK_KR-1'!W:W,F179),"")</f>
        <v/>
      </c>
      <c r="I179" s="5" t="str">
        <f>IF(kokpit!I179&lt;&gt;"",kokpit!I179,"")</f>
        <v/>
      </c>
      <c r="J179" s="5" t="str">
        <f>IF(kokpit!J179&lt;&gt;"",kokpit!J179,"")</f>
        <v/>
      </c>
      <c r="K179" s="24" t="str">
        <f>IF(I179&lt;&gt;"",SUMIFS('JPK_KR-1'!AL:AL,'JPK_KR-1'!W:W,J179),"")</f>
        <v/>
      </c>
      <c r="L179" s="141" t="str">
        <f>IF(I179&lt;&gt;"",SUMIFS('JPK_KR-1'!AM:AM,'JPK_KR-1'!W:W,J179),"")</f>
        <v/>
      </c>
      <c r="M179" s="143" t="str">
        <f>IF(kokpit!M179&lt;&gt;"",kokpit!M179,"")</f>
        <v/>
      </c>
      <c r="N179" s="117" t="str">
        <f>IF(kokpit!N179&lt;&gt;"",kokpit!N179,"")</f>
        <v/>
      </c>
      <c r="O179" s="117" t="str">
        <f>IF(kokpit!O179&lt;&gt;"",kokpit!O179,"")</f>
        <v/>
      </c>
      <c r="P179" s="141" t="str">
        <f>IF(M179&lt;&gt;"",IF(O179="",SUMIFS('JPK_KR-1'!AL:AL,'JPK_KR-1'!W:W,N179),SUMIFS('JPK_KR-1'!BF:BF,'JPK_KR-1'!BE:BE,N179,'JPK_KR-1'!BG:BG,O179)),"")</f>
        <v/>
      </c>
      <c r="Q179" s="144" t="str">
        <f>IF(M179&lt;&gt;"",IF(O179="",SUMIFS('JPK_KR-1'!AM:AM,'JPK_KR-1'!W:W,N179),SUMIFS('JPK_KR-1'!BI:BI,'JPK_KR-1'!BH:BH,N179,'JPK_KR-1'!BJ:BJ,O179)),"")</f>
        <v/>
      </c>
      <c r="R179" s="117" t="str">
        <f>IF(kokpit!R179&lt;&gt;"",kokpit!R179,"")</f>
        <v/>
      </c>
      <c r="S179" s="117" t="str">
        <f>IF(kokpit!S179&lt;&gt;"",kokpit!S179,"")</f>
        <v/>
      </c>
      <c r="T179" s="117" t="str">
        <f>IF(kokpit!T179&lt;&gt;"",kokpit!T179,"")</f>
        <v/>
      </c>
      <c r="U179" s="141" t="str">
        <f>IF(R179&lt;&gt;"",SUMIFS('JPK_KR-1'!AL:AL,'JPK_KR-1'!W:W,S179),"")</f>
        <v/>
      </c>
      <c r="V179" s="144" t="str">
        <f>IF(R179&lt;&gt;"",SUMIFS('JPK_KR-1'!AM:AM,'JPK_KR-1'!W:W,S179),"")</f>
        <v/>
      </c>
    </row>
    <row r="180" spans="1:22" x14ac:dyDescent="0.3">
      <c r="A180" s="5" t="str">
        <f>IF(kokpit!A180&lt;&gt;"",kokpit!A180,"")</f>
        <v/>
      </c>
      <c r="B180" s="5" t="str">
        <f>IF(kokpit!B180&lt;&gt;"",kokpit!B180,"")</f>
        <v/>
      </c>
      <c r="C180" s="24" t="str">
        <f>IF(A180&lt;&gt;"",SUMIFS('JPK_KR-1'!AL:AL,'JPK_KR-1'!W:W,B180),"")</f>
        <v/>
      </c>
      <c r="D180" s="126" t="str">
        <f>IF(A180&lt;&gt;"",SUMIFS('JPK_KR-1'!AM:AM,'JPK_KR-1'!W:W,B180),"")</f>
        <v/>
      </c>
      <c r="E180" s="5" t="str">
        <f>IF(kokpit!E180&lt;&gt;"",kokpit!E180,"")</f>
        <v/>
      </c>
      <c r="F180" s="127" t="str">
        <f>IF(kokpit!F180&lt;&gt;"",kokpit!F180,"")</f>
        <v/>
      </c>
      <c r="G180" s="24" t="str">
        <f>IF(E180&lt;&gt;"",SUMIFS('JPK_KR-1'!AL:AL,'JPK_KR-1'!W:W,F180),"")</f>
        <v/>
      </c>
      <c r="H180" s="126" t="str">
        <f>IF(E180&lt;&gt;"",SUMIFS('JPK_KR-1'!AM:AM,'JPK_KR-1'!W:W,F180),"")</f>
        <v/>
      </c>
      <c r="I180" s="5" t="str">
        <f>IF(kokpit!I180&lt;&gt;"",kokpit!I180,"")</f>
        <v/>
      </c>
      <c r="J180" s="5" t="str">
        <f>IF(kokpit!J180&lt;&gt;"",kokpit!J180,"")</f>
        <v/>
      </c>
      <c r="K180" s="24" t="str">
        <f>IF(I180&lt;&gt;"",SUMIFS('JPK_KR-1'!AL:AL,'JPK_KR-1'!W:W,J180),"")</f>
        <v/>
      </c>
      <c r="L180" s="141" t="str">
        <f>IF(I180&lt;&gt;"",SUMIFS('JPK_KR-1'!AM:AM,'JPK_KR-1'!W:W,J180),"")</f>
        <v/>
      </c>
      <c r="M180" s="143" t="str">
        <f>IF(kokpit!M180&lt;&gt;"",kokpit!M180,"")</f>
        <v/>
      </c>
      <c r="N180" s="117" t="str">
        <f>IF(kokpit!N180&lt;&gt;"",kokpit!N180,"")</f>
        <v/>
      </c>
      <c r="O180" s="117" t="str">
        <f>IF(kokpit!O180&lt;&gt;"",kokpit!O180,"")</f>
        <v/>
      </c>
      <c r="P180" s="141" t="str">
        <f>IF(M180&lt;&gt;"",IF(O180="",SUMIFS('JPK_KR-1'!AL:AL,'JPK_KR-1'!W:W,N180),SUMIFS('JPK_KR-1'!BF:BF,'JPK_KR-1'!BE:BE,N180,'JPK_KR-1'!BG:BG,O180)),"")</f>
        <v/>
      </c>
      <c r="Q180" s="144" t="str">
        <f>IF(M180&lt;&gt;"",IF(O180="",SUMIFS('JPK_KR-1'!AM:AM,'JPK_KR-1'!W:W,N180),SUMIFS('JPK_KR-1'!BI:BI,'JPK_KR-1'!BH:BH,N180,'JPK_KR-1'!BJ:BJ,O180)),"")</f>
        <v/>
      </c>
      <c r="R180" s="117" t="str">
        <f>IF(kokpit!R180&lt;&gt;"",kokpit!R180,"")</f>
        <v/>
      </c>
      <c r="S180" s="117" t="str">
        <f>IF(kokpit!S180&lt;&gt;"",kokpit!S180,"")</f>
        <v/>
      </c>
      <c r="T180" s="117" t="str">
        <f>IF(kokpit!T180&lt;&gt;"",kokpit!T180,"")</f>
        <v/>
      </c>
      <c r="U180" s="141" t="str">
        <f>IF(R180&lt;&gt;"",SUMIFS('JPK_KR-1'!AL:AL,'JPK_KR-1'!W:W,S180),"")</f>
        <v/>
      </c>
      <c r="V180" s="144" t="str">
        <f>IF(R180&lt;&gt;"",SUMIFS('JPK_KR-1'!AM:AM,'JPK_KR-1'!W:W,S180),"")</f>
        <v/>
      </c>
    </row>
    <row r="181" spans="1:22" x14ac:dyDescent="0.3">
      <c r="A181" s="5" t="str">
        <f>IF(kokpit!A181&lt;&gt;"",kokpit!A181,"")</f>
        <v/>
      </c>
      <c r="B181" s="5" t="str">
        <f>IF(kokpit!B181&lt;&gt;"",kokpit!B181,"")</f>
        <v/>
      </c>
      <c r="C181" s="24" t="str">
        <f>IF(A181&lt;&gt;"",SUMIFS('JPK_KR-1'!AL:AL,'JPK_KR-1'!W:W,B181),"")</f>
        <v/>
      </c>
      <c r="D181" s="126" t="str">
        <f>IF(A181&lt;&gt;"",SUMIFS('JPK_KR-1'!AM:AM,'JPK_KR-1'!W:W,B181),"")</f>
        <v/>
      </c>
      <c r="E181" s="5" t="str">
        <f>IF(kokpit!E181&lt;&gt;"",kokpit!E181,"")</f>
        <v/>
      </c>
      <c r="F181" s="127" t="str">
        <f>IF(kokpit!F181&lt;&gt;"",kokpit!F181,"")</f>
        <v/>
      </c>
      <c r="G181" s="24" t="str">
        <f>IF(E181&lt;&gt;"",SUMIFS('JPK_KR-1'!AL:AL,'JPK_KR-1'!W:W,F181),"")</f>
        <v/>
      </c>
      <c r="H181" s="126" t="str">
        <f>IF(E181&lt;&gt;"",SUMIFS('JPK_KR-1'!AM:AM,'JPK_KR-1'!W:W,F181),"")</f>
        <v/>
      </c>
      <c r="I181" s="5" t="str">
        <f>IF(kokpit!I181&lt;&gt;"",kokpit!I181,"")</f>
        <v/>
      </c>
      <c r="J181" s="5" t="str">
        <f>IF(kokpit!J181&lt;&gt;"",kokpit!J181,"")</f>
        <v/>
      </c>
      <c r="K181" s="24" t="str">
        <f>IF(I181&lt;&gt;"",SUMIFS('JPK_KR-1'!AL:AL,'JPK_KR-1'!W:W,J181),"")</f>
        <v/>
      </c>
      <c r="L181" s="141" t="str">
        <f>IF(I181&lt;&gt;"",SUMIFS('JPK_KR-1'!AM:AM,'JPK_KR-1'!W:W,J181),"")</f>
        <v/>
      </c>
      <c r="M181" s="143" t="str">
        <f>IF(kokpit!M181&lt;&gt;"",kokpit!M181,"")</f>
        <v/>
      </c>
      <c r="N181" s="117" t="str">
        <f>IF(kokpit!N181&lt;&gt;"",kokpit!N181,"")</f>
        <v/>
      </c>
      <c r="O181" s="117" t="str">
        <f>IF(kokpit!O181&lt;&gt;"",kokpit!O181,"")</f>
        <v/>
      </c>
      <c r="P181" s="141" t="str">
        <f>IF(M181&lt;&gt;"",IF(O181="",SUMIFS('JPK_KR-1'!AL:AL,'JPK_KR-1'!W:W,N181),SUMIFS('JPK_KR-1'!BF:BF,'JPK_KR-1'!BE:BE,N181,'JPK_KR-1'!BG:BG,O181)),"")</f>
        <v/>
      </c>
      <c r="Q181" s="144" t="str">
        <f>IF(M181&lt;&gt;"",IF(O181="",SUMIFS('JPK_KR-1'!AM:AM,'JPK_KR-1'!W:W,N181),SUMIFS('JPK_KR-1'!BI:BI,'JPK_KR-1'!BH:BH,N181,'JPK_KR-1'!BJ:BJ,O181)),"")</f>
        <v/>
      </c>
      <c r="R181" s="117" t="str">
        <f>IF(kokpit!R181&lt;&gt;"",kokpit!R181,"")</f>
        <v/>
      </c>
      <c r="S181" s="117" t="str">
        <f>IF(kokpit!S181&lt;&gt;"",kokpit!S181,"")</f>
        <v/>
      </c>
      <c r="T181" s="117" t="str">
        <f>IF(kokpit!T181&lt;&gt;"",kokpit!T181,"")</f>
        <v/>
      </c>
      <c r="U181" s="141" t="str">
        <f>IF(R181&lt;&gt;"",SUMIFS('JPK_KR-1'!AL:AL,'JPK_KR-1'!W:W,S181),"")</f>
        <v/>
      </c>
      <c r="V181" s="144" t="str">
        <f>IF(R181&lt;&gt;"",SUMIFS('JPK_KR-1'!AM:AM,'JPK_KR-1'!W:W,S181),"")</f>
        <v/>
      </c>
    </row>
    <row r="182" spans="1:22" x14ac:dyDescent="0.3">
      <c r="A182" s="5" t="str">
        <f>IF(kokpit!A182&lt;&gt;"",kokpit!A182,"")</f>
        <v/>
      </c>
      <c r="B182" s="5" t="str">
        <f>IF(kokpit!B182&lt;&gt;"",kokpit!B182,"")</f>
        <v/>
      </c>
      <c r="C182" s="24" t="str">
        <f>IF(A182&lt;&gt;"",SUMIFS('JPK_KR-1'!AL:AL,'JPK_KR-1'!W:W,B182),"")</f>
        <v/>
      </c>
      <c r="D182" s="126" t="str">
        <f>IF(A182&lt;&gt;"",SUMIFS('JPK_KR-1'!AM:AM,'JPK_KR-1'!W:W,B182),"")</f>
        <v/>
      </c>
      <c r="E182" s="5" t="str">
        <f>IF(kokpit!E182&lt;&gt;"",kokpit!E182,"")</f>
        <v/>
      </c>
      <c r="F182" s="127" t="str">
        <f>IF(kokpit!F182&lt;&gt;"",kokpit!F182,"")</f>
        <v/>
      </c>
      <c r="G182" s="24" t="str">
        <f>IF(E182&lt;&gt;"",SUMIFS('JPK_KR-1'!AL:AL,'JPK_KR-1'!W:W,F182),"")</f>
        <v/>
      </c>
      <c r="H182" s="126" t="str">
        <f>IF(E182&lt;&gt;"",SUMIFS('JPK_KR-1'!AM:AM,'JPK_KR-1'!W:W,F182),"")</f>
        <v/>
      </c>
      <c r="I182" s="5" t="str">
        <f>IF(kokpit!I182&lt;&gt;"",kokpit!I182,"")</f>
        <v/>
      </c>
      <c r="J182" s="5" t="str">
        <f>IF(kokpit!J182&lt;&gt;"",kokpit!J182,"")</f>
        <v/>
      </c>
      <c r="K182" s="24" t="str">
        <f>IF(I182&lt;&gt;"",SUMIFS('JPK_KR-1'!AL:AL,'JPK_KR-1'!W:W,J182),"")</f>
        <v/>
      </c>
      <c r="L182" s="141" t="str">
        <f>IF(I182&lt;&gt;"",SUMIFS('JPK_KR-1'!AM:AM,'JPK_KR-1'!W:W,J182),"")</f>
        <v/>
      </c>
      <c r="M182" s="143" t="str">
        <f>IF(kokpit!M182&lt;&gt;"",kokpit!M182,"")</f>
        <v/>
      </c>
      <c r="N182" s="117" t="str">
        <f>IF(kokpit!N182&lt;&gt;"",kokpit!N182,"")</f>
        <v/>
      </c>
      <c r="O182" s="117" t="str">
        <f>IF(kokpit!O182&lt;&gt;"",kokpit!O182,"")</f>
        <v/>
      </c>
      <c r="P182" s="141" t="str">
        <f>IF(M182&lt;&gt;"",IF(O182="",SUMIFS('JPK_KR-1'!AL:AL,'JPK_KR-1'!W:W,N182),SUMIFS('JPK_KR-1'!BF:BF,'JPK_KR-1'!BE:BE,N182,'JPK_KR-1'!BG:BG,O182)),"")</f>
        <v/>
      </c>
      <c r="Q182" s="144" t="str">
        <f>IF(M182&lt;&gt;"",IF(O182="",SUMIFS('JPK_KR-1'!AM:AM,'JPK_KR-1'!W:W,N182),SUMIFS('JPK_KR-1'!BI:BI,'JPK_KR-1'!BH:BH,N182,'JPK_KR-1'!BJ:BJ,O182)),"")</f>
        <v/>
      </c>
      <c r="R182" s="117" t="str">
        <f>IF(kokpit!R182&lt;&gt;"",kokpit!R182,"")</f>
        <v/>
      </c>
      <c r="S182" s="117" t="str">
        <f>IF(kokpit!S182&lt;&gt;"",kokpit!S182,"")</f>
        <v/>
      </c>
      <c r="T182" s="117" t="str">
        <f>IF(kokpit!T182&lt;&gt;"",kokpit!T182,"")</f>
        <v/>
      </c>
      <c r="U182" s="141" t="str">
        <f>IF(R182&lt;&gt;"",SUMIFS('JPK_KR-1'!AL:AL,'JPK_KR-1'!W:W,S182),"")</f>
        <v/>
      </c>
      <c r="V182" s="144" t="str">
        <f>IF(R182&lt;&gt;"",SUMIFS('JPK_KR-1'!AM:AM,'JPK_KR-1'!W:W,S182),"")</f>
        <v/>
      </c>
    </row>
    <row r="183" spans="1:22" x14ac:dyDescent="0.3">
      <c r="A183" s="5" t="str">
        <f>IF(kokpit!A183&lt;&gt;"",kokpit!A183,"")</f>
        <v/>
      </c>
      <c r="B183" s="5" t="str">
        <f>IF(kokpit!B183&lt;&gt;"",kokpit!B183,"")</f>
        <v/>
      </c>
      <c r="C183" s="24" t="str">
        <f>IF(A183&lt;&gt;"",SUMIFS('JPK_KR-1'!AL:AL,'JPK_KR-1'!W:W,B183),"")</f>
        <v/>
      </c>
      <c r="D183" s="126" t="str">
        <f>IF(A183&lt;&gt;"",SUMIFS('JPK_KR-1'!AM:AM,'JPK_KR-1'!W:W,B183),"")</f>
        <v/>
      </c>
      <c r="E183" s="5" t="str">
        <f>IF(kokpit!E183&lt;&gt;"",kokpit!E183,"")</f>
        <v/>
      </c>
      <c r="F183" s="127" t="str">
        <f>IF(kokpit!F183&lt;&gt;"",kokpit!F183,"")</f>
        <v/>
      </c>
      <c r="G183" s="24" t="str">
        <f>IF(E183&lt;&gt;"",SUMIFS('JPK_KR-1'!AL:AL,'JPK_KR-1'!W:W,F183),"")</f>
        <v/>
      </c>
      <c r="H183" s="126" t="str">
        <f>IF(E183&lt;&gt;"",SUMIFS('JPK_KR-1'!AM:AM,'JPK_KR-1'!W:W,F183),"")</f>
        <v/>
      </c>
      <c r="I183" s="5" t="str">
        <f>IF(kokpit!I183&lt;&gt;"",kokpit!I183,"")</f>
        <v/>
      </c>
      <c r="J183" s="5" t="str">
        <f>IF(kokpit!J183&lt;&gt;"",kokpit!J183,"")</f>
        <v/>
      </c>
      <c r="K183" s="24" t="str">
        <f>IF(I183&lt;&gt;"",SUMIFS('JPK_KR-1'!AL:AL,'JPK_KR-1'!W:W,J183),"")</f>
        <v/>
      </c>
      <c r="L183" s="141" t="str">
        <f>IF(I183&lt;&gt;"",SUMIFS('JPK_KR-1'!AM:AM,'JPK_KR-1'!W:W,J183),"")</f>
        <v/>
      </c>
      <c r="M183" s="143" t="str">
        <f>IF(kokpit!M183&lt;&gt;"",kokpit!M183,"")</f>
        <v/>
      </c>
      <c r="N183" s="117" t="str">
        <f>IF(kokpit!N183&lt;&gt;"",kokpit!N183,"")</f>
        <v/>
      </c>
      <c r="O183" s="117" t="str">
        <f>IF(kokpit!O183&lt;&gt;"",kokpit!O183,"")</f>
        <v/>
      </c>
      <c r="P183" s="141" t="str">
        <f>IF(M183&lt;&gt;"",IF(O183="",SUMIFS('JPK_KR-1'!AL:AL,'JPK_KR-1'!W:W,N183),SUMIFS('JPK_KR-1'!BF:BF,'JPK_KR-1'!BE:BE,N183,'JPK_KR-1'!BG:BG,O183)),"")</f>
        <v/>
      </c>
      <c r="Q183" s="144" t="str">
        <f>IF(M183&lt;&gt;"",IF(O183="",SUMIFS('JPK_KR-1'!AM:AM,'JPK_KR-1'!W:W,N183),SUMIFS('JPK_KR-1'!BI:BI,'JPK_KR-1'!BH:BH,N183,'JPK_KR-1'!BJ:BJ,O183)),"")</f>
        <v/>
      </c>
      <c r="R183" s="117" t="str">
        <f>IF(kokpit!R183&lt;&gt;"",kokpit!R183,"")</f>
        <v/>
      </c>
      <c r="S183" s="117" t="str">
        <f>IF(kokpit!S183&lt;&gt;"",kokpit!S183,"")</f>
        <v/>
      </c>
      <c r="T183" s="117" t="str">
        <f>IF(kokpit!T183&lt;&gt;"",kokpit!T183,"")</f>
        <v/>
      </c>
      <c r="U183" s="141" t="str">
        <f>IF(R183&lt;&gt;"",SUMIFS('JPK_KR-1'!AL:AL,'JPK_KR-1'!W:W,S183),"")</f>
        <v/>
      </c>
      <c r="V183" s="144" t="str">
        <f>IF(R183&lt;&gt;"",SUMIFS('JPK_KR-1'!AM:AM,'JPK_KR-1'!W:W,S183),"")</f>
        <v/>
      </c>
    </row>
    <row r="184" spans="1:22" x14ac:dyDescent="0.3">
      <c r="A184" s="5" t="str">
        <f>IF(kokpit!A184&lt;&gt;"",kokpit!A184,"")</f>
        <v/>
      </c>
      <c r="B184" s="5" t="str">
        <f>IF(kokpit!B184&lt;&gt;"",kokpit!B184,"")</f>
        <v/>
      </c>
      <c r="C184" s="24" t="str">
        <f>IF(A184&lt;&gt;"",SUMIFS('JPK_KR-1'!AL:AL,'JPK_KR-1'!W:W,B184),"")</f>
        <v/>
      </c>
      <c r="D184" s="126" t="str">
        <f>IF(A184&lt;&gt;"",SUMIFS('JPK_KR-1'!AM:AM,'JPK_KR-1'!W:W,B184),"")</f>
        <v/>
      </c>
      <c r="E184" s="5" t="str">
        <f>IF(kokpit!E184&lt;&gt;"",kokpit!E184,"")</f>
        <v/>
      </c>
      <c r="F184" s="127" t="str">
        <f>IF(kokpit!F184&lt;&gt;"",kokpit!F184,"")</f>
        <v/>
      </c>
      <c r="G184" s="24" t="str">
        <f>IF(E184&lt;&gt;"",SUMIFS('JPK_KR-1'!AL:AL,'JPK_KR-1'!W:W,F184),"")</f>
        <v/>
      </c>
      <c r="H184" s="126" t="str">
        <f>IF(E184&lt;&gt;"",SUMIFS('JPK_KR-1'!AM:AM,'JPK_KR-1'!W:W,F184),"")</f>
        <v/>
      </c>
      <c r="I184" s="5" t="str">
        <f>IF(kokpit!I184&lt;&gt;"",kokpit!I184,"")</f>
        <v/>
      </c>
      <c r="J184" s="5" t="str">
        <f>IF(kokpit!J184&lt;&gt;"",kokpit!J184,"")</f>
        <v/>
      </c>
      <c r="K184" s="24" t="str">
        <f>IF(I184&lt;&gt;"",SUMIFS('JPK_KR-1'!AL:AL,'JPK_KR-1'!W:W,J184),"")</f>
        <v/>
      </c>
      <c r="L184" s="141" t="str">
        <f>IF(I184&lt;&gt;"",SUMIFS('JPK_KR-1'!AM:AM,'JPK_KR-1'!W:W,J184),"")</f>
        <v/>
      </c>
      <c r="M184" s="143" t="str">
        <f>IF(kokpit!M184&lt;&gt;"",kokpit!M184,"")</f>
        <v/>
      </c>
      <c r="N184" s="117" t="str">
        <f>IF(kokpit!N184&lt;&gt;"",kokpit!N184,"")</f>
        <v/>
      </c>
      <c r="O184" s="117" t="str">
        <f>IF(kokpit!O184&lt;&gt;"",kokpit!O184,"")</f>
        <v/>
      </c>
      <c r="P184" s="141" t="str">
        <f>IF(M184&lt;&gt;"",IF(O184="",SUMIFS('JPK_KR-1'!AL:AL,'JPK_KR-1'!W:W,N184),SUMIFS('JPK_KR-1'!BF:BF,'JPK_KR-1'!BE:BE,N184,'JPK_KR-1'!BG:BG,O184)),"")</f>
        <v/>
      </c>
      <c r="Q184" s="144" t="str">
        <f>IF(M184&lt;&gt;"",IF(O184="",SUMIFS('JPK_KR-1'!AM:AM,'JPK_KR-1'!W:W,N184),SUMIFS('JPK_KR-1'!BI:BI,'JPK_KR-1'!BH:BH,N184,'JPK_KR-1'!BJ:BJ,O184)),"")</f>
        <v/>
      </c>
      <c r="R184" s="117" t="str">
        <f>IF(kokpit!R184&lt;&gt;"",kokpit!R184,"")</f>
        <v/>
      </c>
      <c r="S184" s="117" t="str">
        <f>IF(kokpit!S184&lt;&gt;"",kokpit!S184,"")</f>
        <v/>
      </c>
      <c r="T184" s="117" t="str">
        <f>IF(kokpit!T184&lt;&gt;"",kokpit!T184,"")</f>
        <v/>
      </c>
      <c r="U184" s="141" t="str">
        <f>IF(R184&lt;&gt;"",SUMIFS('JPK_KR-1'!AL:AL,'JPK_KR-1'!W:W,S184),"")</f>
        <v/>
      </c>
      <c r="V184" s="144" t="str">
        <f>IF(R184&lt;&gt;"",SUMIFS('JPK_KR-1'!AM:AM,'JPK_KR-1'!W:W,S184),"")</f>
        <v/>
      </c>
    </row>
    <row r="185" spans="1:22" x14ac:dyDescent="0.3">
      <c r="A185" s="5" t="str">
        <f>IF(kokpit!A185&lt;&gt;"",kokpit!A185,"")</f>
        <v/>
      </c>
      <c r="B185" s="5" t="str">
        <f>IF(kokpit!B185&lt;&gt;"",kokpit!B185,"")</f>
        <v/>
      </c>
      <c r="C185" s="24" t="str">
        <f>IF(A185&lt;&gt;"",SUMIFS('JPK_KR-1'!AL:AL,'JPK_KR-1'!W:W,B185),"")</f>
        <v/>
      </c>
      <c r="D185" s="126" t="str">
        <f>IF(A185&lt;&gt;"",SUMIFS('JPK_KR-1'!AM:AM,'JPK_KR-1'!W:W,B185),"")</f>
        <v/>
      </c>
      <c r="E185" s="5" t="str">
        <f>IF(kokpit!E185&lt;&gt;"",kokpit!E185,"")</f>
        <v/>
      </c>
      <c r="F185" s="127" t="str">
        <f>IF(kokpit!F185&lt;&gt;"",kokpit!F185,"")</f>
        <v/>
      </c>
      <c r="G185" s="24" t="str">
        <f>IF(E185&lt;&gt;"",SUMIFS('JPK_KR-1'!AL:AL,'JPK_KR-1'!W:W,F185),"")</f>
        <v/>
      </c>
      <c r="H185" s="126" t="str">
        <f>IF(E185&lt;&gt;"",SUMIFS('JPK_KR-1'!AM:AM,'JPK_KR-1'!W:W,F185),"")</f>
        <v/>
      </c>
      <c r="I185" s="5" t="str">
        <f>IF(kokpit!I185&lt;&gt;"",kokpit!I185,"")</f>
        <v/>
      </c>
      <c r="J185" s="5" t="str">
        <f>IF(kokpit!J185&lt;&gt;"",kokpit!J185,"")</f>
        <v/>
      </c>
      <c r="K185" s="24" t="str">
        <f>IF(I185&lt;&gt;"",SUMIFS('JPK_KR-1'!AL:AL,'JPK_KR-1'!W:W,J185),"")</f>
        <v/>
      </c>
      <c r="L185" s="141" t="str">
        <f>IF(I185&lt;&gt;"",SUMIFS('JPK_KR-1'!AM:AM,'JPK_KR-1'!W:W,J185),"")</f>
        <v/>
      </c>
      <c r="M185" s="143" t="str">
        <f>IF(kokpit!M185&lt;&gt;"",kokpit!M185,"")</f>
        <v/>
      </c>
      <c r="N185" s="117" t="str">
        <f>IF(kokpit!N185&lt;&gt;"",kokpit!N185,"")</f>
        <v/>
      </c>
      <c r="O185" s="117" t="str">
        <f>IF(kokpit!O185&lt;&gt;"",kokpit!O185,"")</f>
        <v/>
      </c>
      <c r="P185" s="141" t="str">
        <f>IF(M185&lt;&gt;"",IF(O185="",SUMIFS('JPK_KR-1'!AL:AL,'JPK_KR-1'!W:W,N185),SUMIFS('JPK_KR-1'!BF:BF,'JPK_KR-1'!BE:BE,N185,'JPK_KR-1'!BG:BG,O185)),"")</f>
        <v/>
      </c>
      <c r="Q185" s="144" t="str">
        <f>IF(M185&lt;&gt;"",IF(O185="",SUMIFS('JPK_KR-1'!AM:AM,'JPK_KR-1'!W:W,N185),SUMIFS('JPK_KR-1'!BI:BI,'JPK_KR-1'!BH:BH,N185,'JPK_KR-1'!BJ:BJ,O185)),"")</f>
        <v/>
      </c>
      <c r="R185" s="117" t="str">
        <f>IF(kokpit!R185&lt;&gt;"",kokpit!R185,"")</f>
        <v/>
      </c>
      <c r="S185" s="117" t="str">
        <f>IF(kokpit!S185&lt;&gt;"",kokpit!S185,"")</f>
        <v/>
      </c>
      <c r="T185" s="117" t="str">
        <f>IF(kokpit!T185&lt;&gt;"",kokpit!T185,"")</f>
        <v/>
      </c>
      <c r="U185" s="141" t="str">
        <f>IF(R185&lt;&gt;"",SUMIFS('JPK_KR-1'!AL:AL,'JPK_KR-1'!W:W,S185),"")</f>
        <v/>
      </c>
      <c r="V185" s="144" t="str">
        <f>IF(R185&lt;&gt;"",SUMIFS('JPK_KR-1'!AM:AM,'JPK_KR-1'!W:W,S185),"")</f>
        <v/>
      </c>
    </row>
    <row r="186" spans="1:22" x14ac:dyDescent="0.3">
      <c r="A186" s="5" t="str">
        <f>IF(kokpit!A186&lt;&gt;"",kokpit!A186,"")</f>
        <v/>
      </c>
      <c r="B186" s="5" t="str">
        <f>IF(kokpit!B186&lt;&gt;"",kokpit!B186,"")</f>
        <v/>
      </c>
      <c r="C186" s="24" t="str">
        <f>IF(A186&lt;&gt;"",SUMIFS('JPK_KR-1'!AL:AL,'JPK_KR-1'!W:W,B186),"")</f>
        <v/>
      </c>
      <c r="D186" s="126" t="str">
        <f>IF(A186&lt;&gt;"",SUMIFS('JPK_KR-1'!AM:AM,'JPK_KR-1'!W:W,B186),"")</f>
        <v/>
      </c>
      <c r="E186" s="5" t="str">
        <f>IF(kokpit!E186&lt;&gt;"",kokpit!E186,"")</f>
        <v/>
      </c>
      <c r="F186" s="127" t="str">
        <f>IF(kokpit!F186&lt;&gt;"",kokpit!F186,"")</f>
        <v/>
      </c>
      <c r="G186" s="24" t="str">
        <f>IF(E186&lt;&gt;"",SUMIFS('JPK_KR-1'!AL:AL,'JPK_KR-1'!W:W,F186),"")</f>
        <v/>
      </c>
      <c r="H186" s="126" t="str">
        <f>IF(E186&lt;&gt;"",SUMIFS('JPK_KR-1'!AM:AM,'JPK_KR-1'!W:W,F186),"")</f>
        <v/>
      </c>
      <c r="I186" s="5" t="str">
        <f>IF(kokpit!I186&lt;&gt;"",kokpit!I186,"")</f>
        <v/>
      </c>
      <c r="J186" s="5" t="str">
        <f>IF(kokpit!J186&lt;&gt;"",kokpit!J186,"")</f>
        <v/>
      </c>
      <c r="K186" s="24" t="str">
        <f>IF(I186&lt;&gt;"",SUMIFS('JPK_KR-1'!AL:AL,'JPK_KR-1'!W:W,J186),"")</f>
        <v/>
      </c>
      <c r="L186" s="141" t="str">
        <f>IF(I186&lt;&gt;"",SUMIFS('JPK_KR-1'!AM:AM,'JPK_KR-1'!W:W,J186),"")</f>
        <v/>
      </c>
      <c r="M186" s="143" t="str">
        <f>IF(kokpit!M186&lt;&gt;"",kokpit!M186,"")</f>
        <v/>
      </c>
      <c r="N186" s="117" t="str">
        <f>IF(kokpit!N186&lt;&gt;"",kokpit!N186,"")</f>
        <v/>
      </c>
      <c r="O186" s="117" t="str">
        <f>IF(kokpit!O186&lt;&gt;"",kokpit!O186,"")</f>
        <v/>
      </c>
      <c r="P186" s="141" t="str">
        <f>IF(M186&lt;&gt;"",IF(O186="",SUMIFS('JPK_KR-1'!AL:AL,'JPK_KR-1'!W:W,N186),SUMIFS('JPK_KR-1'!BF:BF,'JPK_KR-1'!BE:BE,N186,'JPK_KR-1'!BG:BG,O186)),"")</f>
        <v/>
      </c>
      <c r="Q186" s="144" t="str">
        <f>IF(M186&lt;&gt;"",IF(O186="",SUMIFS('JPK_KR-1'!AM:AM,'JPK_KR-1'!W:W,N186),SUMIFS('JPK_KR-1'!BI:BI,'JPK_KR-1'!BH:BH,N186,'JPK_KR-1'!BJ:BJ,O186)),"")</f>
        <v/>
      </c>
      <c r="R186" s="117" t="str">
        <f>IF(kokpit!R186&lt;&gt;"",kokpit!R186,"")</f>
        <v/>
      </c>
      <c r="S186" s="117" t="str">
        <f>IF(kokpit!S186&lt;&gt;"",kokpit!S186,"")</f>
        <v/>
      </c>
      <c r="T186" s="117" t="str">
        <f>IF(kokpit!T186&lt;&gt;"",kokpit!T186,"")</f>
        <v/>
      </c>
      <c r="U186" s="141" t="str">
        <f>IF(R186&lt;&gt;"",SUMIFS('JPK_KR-1'!AL:AL,'JPK_KR-1'!W:W,S186),"")</f>
        <v/>
      </c>
      <c r="V186" s="144" t="str">
        <f>IF(R186&lt;&gt;"",SUMIFS('JPK_KR-1'!AM:AM,'JPK_KR-1'!W:W,S186),"")</f>
        <v/>
      </c>
    </row>
    <row r="187" spans="1:22" x14ac:dyDescent="0.3">
      <c r="A187" s="5" t="str">
        <f>IF(kokpit!A187&lt;&gt;"",kokpit!A187,"")</f>
        <v/>
      </c>
      <c r="B187" s="5" t="str">
        <f>IF(kokpit!B187&lt;&gt;"",kokpit!B187,"")</f>
        <v/>
      </c>
      <c r="C187" s="24" t="str">
        <f>IF(A187&lt;&gt;"",SUMIFS('JPK_KR-1'!AL:AL,'JPK_KR-1'!W:W,B187),"")</f>
        <v/>
      </c>
      <c r="D187" s="126" t="str">
        <f>IF(A187&lt;&gt;"",SUMIFS('JPK_KR-1'!AM:AM,'JPK_KR-1'!W:W,B187),"")</f>
        <v/>
      </c>
      <c r="E187" s="5" t="str">
        <f>IF(kokpit!E187&lt;&gt;"",kokpit!E187,"")</f>
        <v/>
      </c>
      <c r="F187" s="127" t="str">
        <f>IF(kokpit!F187&lt;&gt;"",kokpit!F187,"")</f>
        <v/>
      </c>
      <c r="G187" s="24" t="str">
        <f>IF(E187&lt;&gt;"",SUMIFS('JPK_KR-1'!AL:AL,'JPK_KR-1'!W:W,F187),"")</f>
        <v/>
      </c>
      <c r="H187" s="126" t="str">
        <f>IF(E187&lt;&gt;"",SUMIFS('JPK_KR-1'!AM:AM,'JPK_KR-1'!W:W,F187),"")</f>
        <v/>
      </c>
      <c r="I187" s="5" t="str">
        <f>IF(kokpit!I187&lt;&gt;"",kokpit!I187,"")</f>
        <v/>
      </c>
      <c r="J187" s="5" t="str">
        <f>IF(kokpit!J187&lt;&gt;"",kokpit!J187,"")</f>
        <v/>
      </c>
      <c r="K187" s="24" t="str">
        <f>IF(I187&lt;&gt;"",SUMIFS('JPK_KR-1'!AL:AL,'JPK_KR-1'!W:W,J187),"")</f>
        <v/>
      </c>
      <c r="L187" s="141" t="str">
        <f>IF(I187&lt;&gt;"",SUMIFS('JPK_KR-1'!AM:AM,'JPK_KR-1'!W:W,J187),"")</f>
        <v/>
      </c>
      <c r="M187" s="143" t="str">
        <f>IF(kokpit!M187&lt;&gt;"",kokpit!M187,"")</f>
        <v/>
      </c>
      <c r="N187" s="117" t="str">
        <f>IF(kokpit!N187&lt;&gt;"",kokpit!N187,"")</f>
        <v/>
      </c>
      <c r="O187" s="117" t="str">
        <f>IF(kokpit!O187&lt;&gt;"",kokpit!O187,"")</f>
        <v/>
      </c>
      <c r="P187" s="141" t="str">
        <f>IF(M187&lt;&gt;"",IF(O187="",SUMIFS('JPK_KR-1'!AL:AL,'JPK_KR-1'!W:W,N187),SUMIFS('JPK_KR-1'!BF:BF,'JPK_KR-1'!BE:BE,N187,'JPK_KR-1'!BG:BG,O187)),"")</f>
        <v/>
      </c>
      <c r="Q187" s="144" t="str">
        <f>IF(M187&lt;&gt;"",IF(O187="",SUMIFS('JPK_KR-1'!AM:AM,'JPK_KR-1'!W:W,N187),SUMIFS('JPK_KR-1'!BI:BI,'JPK_KR-1'!BH:BH,N187,'JPK_KR-1'!BJ:BJ,O187)),"")</f>
        <v/>
      </c>
      <c r="R187" s="117" t="str">
        <f>IF(kokpit!R187&lt;&gt;"",kokpit!R187,"")</f>
        <v/>
      </c>
      <c r="S187" s="117" t="str">
        <f>IF(kokpit!S187&lt;&gt;"",kokpit!S187,"")</f>
        <v/>
      </c>
      <c r="T187" s="117" t="str">
        <f>IF(kokpit!T187&lt;&gt;"",kokpit!T187,"")</f>
        <v/>
      </c>
      <c r="U187" s="141" t="str">
        <f>IF(R187&lt;&gt;"",SUMIFS('JPK_KR-1'!AL:AL,'JPK_KR-1'!W:W,S187),"")</f>
        <v/>
      </c>
      <c r="V187" s="144" t="str">
        <f>IF(R187&lt;&gt;"",SUMIFS('JPK_KR-1'!AM:AM,'JPK_KR-1'!W:W,S187),"")</f>
        <v/>
      </c>
    </row>
    <row r="188" spans="1:22" x14ac:dyDescent="0.3">
      <c r="A188" s="5" t="str">
        <f>IF(kokpit!A188&lt;&gt;"",kokpit!A188,"")</f>
        <v/>
      </c>
      <c r="B188" s="5" t="str">
        <f>IF(kokpit!B188&lt;&gt;"",kokpit!B188,"")</f>
        <v/>
      </c>
      <c r="C188" s="24" t="str">
        <f>IF(A188&lt;&gt;"",SUMIFS('JPK_KR-1'!AL:AL,'JPK_KR-1'!W:W,B188),"")</f>
        <v/>
      </c>
      <c r="D188" s="126" t="str">
        <f>IF(A188&lt;&gt;"",SUMIFS('JPK_KR-1'!AM:AM,'JPK_KR-1'!W:W,B188),"")</f>
        <v/>
      </c>
      <c r="E188" s="5" t="str">
        <f>IF(kokpit!E188&lt;&gt;"",kokpit!E188,"")</f>
        <v/>
      </c>
      <c r="F188" s="127" t="str">
        <f>IF(kokpit!F188&lt;&gt;"",kokpit!F188,"")</f>
        <v/>
      </c>
      <c r="G188" s="24" t="str">
        <f>IF(E188&lt;&gt;"",SUMIFS('JPK_KR-1'!AL:AL,'JPK_KR-1'!W:W,F188),"")</f>
        <v/>
      </c>
      <c r="H188" s="126" t="str">
        <f>IF(E188&lt;&gt;"",SUMIFS('JPK_KR-1'!AM:AM,'JPK_KR-1'!W:W,F188),"")</f>
        <v/>
      </c>
      <c r="I188" s="5" t="str">
        <f>IF(kokpit!I188&lt;&gt;"",kokpit!I188,"")</f>
        <v/>
      </c>
      <c r="J188" s="5" t="str">
        <f>IF(kokpit!J188&lt;&gt;"",kokpit!J188,"")</f>
        <v/>
      </c>
      <c r="K188" s="24" t="str">
        <f>IF(I188&lt;&gt;"",SUMIFS('JPK_KR-1'!AL:AL,'JPK_KR-1'!W:W,J188),"")</f>
        <v/>
      </c>
      <c r="L188" s="141" t="str">
        <f>IF(I188&lt;&gt;"",SUMIFS('JPK_KR-1'!AM:AM,'JPK_KR-1'!W:W,J188),"")</f>
        <v/>
      </c>
      <c r="M188" s="143" t="str">
        <f>IF(kokpit!M188&lt;&gt;"",kokpit!M188,"")</f>
        <v/>
      </c>
      <c r="N188" s="117" t="str">
        <f>IF(kokpit!N188&lt;&gt;"",kokpit!N188,"")</f>
        <v/>
      </c>
      <c r="O188" s="117" t="str">
        <f>IF(kokpit!O188&lt;&gt;"",kokpit!O188,"")</f>
        <v/>
      </c>
      <c r="P188" s="141" t="str">
        <f>IF(M188&lt;&gt;"",IF(O188="",SUMIFS('JPK_KR-1'!AL:AL,'JPK_KR-1'!W:W,N188),SUMIFS('JPK_KR-1'!BF:BF,'JPK_KR-1'!BE:BE,N188,'JPK_KR-1'!BG:BG,O188)),"")</f>
        <v/>
      </c>
      <c r="Q188" s="144" t="str">
        <f>IF(M188&lt;&gt;"",IF(O188="",SUMIFS('JPK_KR-1'!AM:AM,'JPK_KR-1'!W:W,N188),SUMIFS('JPK_KR-1'!BI:BI,'JPK_KR-1'!BH:BH,N188,'JPK_KR-1'!BJ:BJ,O188)),"")</f>
        <v/>
      </c>
      <c r="R188" s="117" t="str">
        <f>IF(kokpit!R188&lt;&gt;"",kokpit!R188,"")</f>
        <v/>
      </c>
      <c r="S188" s="117" t="str">
        <f>IF(kokpit!S188&lt;&gt;"",kokpit!S188,"")</f>
        <v/>
      </c>
      <c r="T188" s="117" t="str">
        <f>IF(kokpit!T188&lt;&gt;"",kokpit!T188,"")</f>
        <v/>
      </c>
      <c r="U188" s="141" t="str">
        <f>IF(R188&lt;&gt;"",SUMIFS('JPK_KR-1'!AL:AL,'JPK_KR-1'!W:W,S188),"")</f>
        <v/>
      </c>
      <c r="V188" s="144" t="str">
        <f>IF(R188&lt;&gt;"",SUMIFS('JPK_KR-1'!AM:AM,'JPK_KR-1'!W:W,S188),"")</f>
        <v/>
      </c>
    </row>
    <row r="189" spans="1:22" x14ac:dyDescent="0.3">
      <c r="A189" s="5" t="str">
        <f>IF(kokpit!A189&lt;&gt;"",kokpit!A189,"")</f>
        <v/>
      </c>
      <c r="B189" s="5" t="str">
        <f>IF(kokpit!B189&lt;&gt;"",kokpit!B189,"")</f>
        <v/>
      </c>
      <c r="C189" s="24" t="str">
        <f>IF(A189&lt;&gt;"",SUMIFS('JPK_KR-1'!AL:AL,'JPK_KR-1'!W:W,B189),"")</f>
        <v/>
      </c>
      <c r="D189" s="126" t="str">
        <f>IF(A189&lt;&gt;"",SUMIFS('JPK_KR-1'!AM:AM,'JPK_KR-1'!W:W,B189),"")</f>
        <v/>
      </c>
      <c r="E189" s="5" t="str">
        <f>IF(kokpit!E189&lt;&gt;"",kokpit!E189,"")</f>
        <v/>
      </c>
      <c r="F189" s="127" t="str">
        <f>IF(kokpit!F189&lt;&gt;"",kokpit!F189,"")</f>
        <v/>
      </c>
      <c r="G189" s="24" t="str">
        <f>IF(E189&lt;&gt;"",SUMIFS('JPK_KR-1'!AL:AL,'JPK_KR-1'!W:W,F189),"")</f>
        <v/>
      </c>
      <c r="H189" s="126" t="str">
        <f>IF(E189&lt;&gt;"",SUMIFS('JPK_KR-1'!AM:AM,'JPK_KR-1'!W:W,F189),"")</f>
        <v/>
      </c>
      <c r="I189" s="5" t="str">
        <f>IF(kokpit!I189&lt;&gt;"",kokpit!I189,"")</f>
        <v/>
      </c>
      <c r="J189" s="5" t="str">
        <f>IF(kokpit!J189&lt;&gt;"",kokpit!J189,"")</f>
        <v/>
      </c>
      <c r="K189" s="24" t="str">
        <f>IF(I189&lt;&gt;"",SUMIFS('JPK_KR-1'!AL:AL,'JPK_KR-1'!W:W,J189),"")</f>
        <v/>
      </c>
      <c r="L189" s="141" t="str">
        <f>IF(I189&lt;&gt;"",SUMIFS('JPK_KR-1'!AM:AM,'JPK_KR-1'!W:W,J189),"")</f>
        <v/>
      </c>
      <c r="M189" s="143" t="str">
        <f>IF(kokpit!M189&lt;&gt;"",kokpit!M189,"")</f>
        <v/>
      </c>
      <c r="N189" s="117" t="str">
        <f>IF(kokpit!N189&lt;&gt;"",kokpit!N189,"")</f>
        <v/>
      </c>
      <c r="O189" s="117" t="str">
        <f>IF(kokpit!O189&lt;&gt;"",kokpit!O189,"")</f>
        <v/>
      </c>
      <c r="P189" s="141" t="str">
        <f>IF(M189&lt;&gt;"",IF(O189="",SUMIFS('JPK_KR-1'!AL:AL,'JPK_KR-1'!W:W,N189),SUMIFS('JPK_KR-1'!BF:BF,'JPK_KR-1'!BE:BE,N189,'JPK_KR-1'!BG:BG,O189)),"")</f>
        <v/>
      </c>
      <c r="Q189" s="144" t="str">
        <f>IF(M189&lt;&gt;"",IF(O189="",SUMIFS('JPK_KR-1'!AM:AM,'JPK_KR-1'!W:W,N189),SUMIFS('JPK_KR-1'!BI:BI,'JPK_KR-1'!BH:BH,N189,'JPK_KR-1'!BJ:BJ,O189)),"")</f>
        <v/>
      </c>
      <c r="R189" s="117" t="str">
        <f>IF(kokpit!R189&lt;&gt;"",kokpit!R189,"")</f>
        <v/>
      </c>
      <c r="S189" s="117" t="str">
        <f>IF(kokpit!S189&lt;&gt;"",kokpit!S189,"")</f>
        <v/>
      </c>
      <c r="T189" s="117" t="str">
        <f>IF(kokpit!T189&lt;&gt;"",kokpit!T189,"")</f>
        <v/>
      </c>
      <c r="U189" s="141" t="str">
        <f>IF(R189&lt;&gt;"",SUMIFS('JPK_KR-1'!AL:AL,'JPK_KR-1'!W:W,S189),"")</f>
        <v/>
      </c>
      <c r="V189" s="144" t="str">
        <f>IF(R189&lt;&gt;"",SUMIFS('JPK_KR-1'!AM:AM,'JPK_KR-1'!W:W,S189),"")</f>
        <v/>
      </c>
    </row>
    <row r="190" spans="1:22" x14ac:dyDescent="0.3">
      <c r="A190" s="5" t="str">
        <f>IF(kokpit!A190&lt;&gt;"",kokpit!A190,"")</f>
        <v/>
      </c>
      <c r="B190" s="5" t="str">
        <f>IF(kokpit!B190&lt;&gt;"",kokpit!B190,"")</f>
        <v/>
      </c>
      <c r="C190" s="24" t="str">
        <f>IF(A190&lt;&gt;"",SUMIFS('JPK_KR-1'!AL:AL,'JPK_KR-1'!W:W,B190),"")</f>
        <v/>
      </c>
      <c r="D190" s="126" t="str">
        <f>IF(A190&lt;&gt;"",SUMIFS('JPK_KR-1'!AM:AM,'JPK_KR-1'!W:W,B190),"")</f>
        <v/>
      </c>
      <c r="E190" s="5" t="str">
        <f>IF(kokpit!E190&lt;&gt;"",kokpit!E190,"")</f>
        <v/>
      </c>
      <c r="F190" s="127" t="str">
        <f>IF(kokpit!F190&lt;&gt;"",kokpit!F190,"")</f>
        <v/>
      </c>
      <c r="G190" s="24" t="str">
        <f>IF(E190&lt;&gt;"",SUMIFS('JPK_KR-1'!AL:AL,'JPK_KR-1'!W:W,F190),"")</f>
        <v/>
      </c>
      <c r="H190" s="126" t="str">
        <f>IF(E190&lt;&gt;"",SUMIFS('JPK_KR-1'!AM:AM,'JPK_KR-1'!W:W,F190),"")</f>
        <v/>
      </c>
      <c r="I190" s="5" t="str">
        <f>IF(kokpit!I190&lt;&gt;"",kokpit!I190,"")</f>
        <v/>
      </c>
      <c r="J190" s="5" t="str">
        <f>IF(kokpit!J190&lt;&gt;"",kokpit!J190,"")</f>
        <v/>
      </c>
      <c r="K190" s="24" t="str">
        <f>IF(I190&lt;&gt;"",SUMIFS('JPK_KR-1'!AL:AL,'JPK_KR-1'!W:W,J190),"")</f>
        <v/>
      </c>
      <c r="L190" s="141" t="str">
        <f>IF(I190&lt;&gt;"",SUMIFS('JPK_KR-1'!AM:AM,'JPK_KR-1'!W:W,J190),"")</f>
        <v/>
      </c>
      <c r="M190" s="143" t="str">
        <f>IF(kokpit!M190&lt;&gt;"",kokpit!M190,"")</f>
        <v/>
      </c>
      <c r="N190" s="117" t="str">
        <f>IF(kokpit!N190&lt;&gt;"",kokpit!N190,"")</f>
        <v/>
      </c>
      <c r="O190" s="117" t="str">
        <f>IF(kokpit!O190&lt;&gt;"",kokpit!O190,"")</f>
        <v/>
      </c>
      <c r="P190" s="141" t="str">
        <f>IF(M190&lt;&gt;"",IF(O190="",SUMIFS('JPK_KR-1'!AL:AL,'JPK_KR-1'!W:W,N190),SUMIFS('JPK_KR-1'!BF:BF,'JPK_KR-1'!BE:BE,N190,'JPK_KR-1'!BG:BG,O190)),"")</f>
        <v/>
      </c>
      <c r="Q190" s="144" t="str">
        <f>IF(M190&lt;&gt;"",IF(O190="",SUMIFS('JPK_KR-1'!AM:AM,'JPK_KR-1'!W:W,N190),SUMIFS('JPK_KR-1'!BI:BI,'JPK_KR-1'!BH:BH,N190,'JPK_KR-1'!BJ:BJ,O190)),"")</f>
        <v/>
      </c>
      <c r="R190" s="117" t="str">
        <f>IF(kokpit!R190&lt;&gt;"",kokpit!R190,"")</f>
        <v/>
      </c>
      <c r="S190" s="117" t="str">
        <f>IF(kokpit!S190&lt;&gt;"",kokpit!S190,"")</f>
        <v/>
      </c>
      <c r="T190" s="117" t="str">
        <f>IF(kokpit!T190&lt;&gt;"",kokpit!T190,"")</f>
        <v/>
      </c>
      <c r="U190" s="141" t="str">
        <f>IF(R190&lt;&gt;"",SUMIFS('JPK_KR-1'!AL:AL,'JPK_KR-1'!W:W,S190),"")</f>
        <v/>
      </c>
      <c r="V190" s="144" t="str">
        <f>IF(R190&lt;&gt;"",SUMIFS('JPK_KR-1'!AM:AM,'JPK_KR-1'!W:W,S190),"")</f>
        <v/>
      </c>
    </row>
    <row r="191" spans="1:22" x14ac:dyDescent="0.3">
      <c r="A191" s="5" t="str">
        <f>IF(kokpit!A191&lt;&gt;"",kokpit!A191,"")</f>
        <v/>
      </c>
      <c r="B191" s="5" t="str">
        <f>IF(kokpit!B191&lt;&gt;"",kokpit!B191,"")</f>
        <v/>
      </c>
      <c r="C191" s="24" t="str">
        <f>IF(A191&lt;&gt;"",SUMIFS('JPK_KR-1'!AL:AL,'JPK_KR-1'!W:W,B191),"")</f>
        <v/>
      </c>
      <c r="D191" s="126" t="str">
        <f>IF(A191&lt;&gt;"",SUMIFS('JPK_KR-1'!AM:AM,'JPK_KR-1'!W:W,B191),"")</f>
        <v/>
      </c>
      <c r="E191" s="5" t="str">
        <f>IF(kokpit!E191&lt;&gt;"",kokpit!E191,"")</f>
        <v/>
      </c>
      <c r="F191" s="127" t="str">
        <f>IF(kokpit!F191&lt;&gt;"",kokpit!F191,"")</f>
        <v/>
      </c>
      <c r="G191" s="24" t="str">
        <f>IF(E191&lt;&gt;"",SUMIFS('JPK_KR-1'!AL:AL,'JPK_KR-1'!W:W,F191),"")</f>
        <v/>
      </c>
      <c r="H191" s="126" t="str">
        <f>IF(E191&lt;&gt;"",SUMIFS('JPK_KR-1'!AM:AM,'JPK_KR-1'!W:W,F191),"")</f>
        <v/>
      </c>
      <c r="I191" s="5" t="str">
        <f>IF(kokpit!I191&lt;&gt;"",kokpit!I191,"")</f>
        <v/>
      </c>
      <c r="J191" s="5" t="str">
        <f>IF(kokpit!J191&lt;&gt;"",kokpit!J191,"")</f>
        <v/>
      </c>
      <c r="K191" s="24" t="str">
        <f>IF(I191&lt;&gt;"",SUMIFS('JPK_KR-1'!AL:AL,'JPK_KR-1'!W:W,J191),"")</f>
        <v/>
      </c>
      <c r="L191" s="141" t="str">
        <f>IF(I191&lt;&gt;"",SUMIFS('JPK_KR-1'!AM:AM,'JPK_KR-1'!W:W,J191),"")</f>
        <v/>
      </c>
      <c r="M191" s="143" t="str">
        <f>IF(kokpit!M191&lt;&gt;"",kokpit!M191,"")</f>
        <v/>
      </c>
      <c r="N191" s="117" t="str">
        <f>IF(kokpit!N191&lt;&gt;"",kokpit!N191,"")</f>
        <v/>
      </c>
      <c r="O191" s="117" t="str">
        <f>IF(kokpit!O191&lt;&gt;"",kokpit!O191,"")</f>
        <v/>
      </c>
      <c r="P191" s="141" t="str">
        <f>IF(M191&lt;&gt;"",IF(O191="",SUMIFS('JPK_KR-1'!AL:AL,'JPK_KR-1'!W:W,N191),SUMIFS('JPK_KR-1'!BF:BF,'JPK_KR-1'!BE:BE,N191,'JPK_KR-1'!BG:BG,O191)),"")</f>
        <v/>
      </c>
      <c r="Q191" s="144" t="str">
        <f>IF(M191&lt;&gt;"",IF(O191="",SUMIFS('JPK_KR-1'!AM:AM,'JPK_KR-1'!W:W,N191),SUMIFS('JPK_KR-1'!BI:BI,'JPK_KR-1'!BH:BH,N191,'JPK_KR-1'!BJ:BJ,O191)),"")</f>
        <v/>
      </c>
      <c r="R191" s="117" t="str">
        <f>IF(kokpit!R191&lt;&gt;"",kokpit!R191,"")</f>
        <v/>
      </c>
      <c r="S191" s="117" t="str">
        <f>IF(kokpit!S191&lt;&gt;"",kokpit!S191,"")</f>
        <v/>
      </c>
      <c r="T191" s="117" t="str">
        <f>IF(kokpit!T191&lt;&gt;"",kokpit!T191,"")</f>
        <v/>
      </c>
      <c r="U191" s="141" t="str">
        <f>IF(R191&lt;&gt;"",SUMIFS('JPK_KR-1'!AL:AL,'JPK_KR-1'!W:W,S191),"")</f>
        <v/>
      </c>
      <c r="V191" s="144" t="str">
        <f>IF(R191&lt;&gt;"",SUMIFS('JPK_KR-1'!AM:AM,'JPK_KR-1'!W:W,S191),"")</f>
        <v/>
      </c>
    </row>
    <row r="192" spans="1:22" x14ac:dyDescent="0.3">
      <c r="A192" s="5" t="str">
        <f>IF(kokpit!A192&lt;&gt;"",kokpit!A192,"")</f>
        <v/>
      </c>
      <c r="B192" s="5" t="str">
        <f>IF(kokpit!B192&lt;&gt;"",kokpit!B192,"")</f>
        <v/>
      </c>
      <c r="C192" s="24" t="str">
        <f>IF(A192&lt;&gt;"",SUMIFS('JPK_KR-1'!AL:AL,'JPK_KR-1'!W:W,B192),"")</f>
        <v/>
      </c>
      <c r="D192" s="126" t="str">
        <f>IF(A192&lt;&gt;"",SUMIFS('JPK_KR-1'!AM:AM,'JPK_KR-1'!W:W,B192),"")</f>
        <v/>
      </c>
      <c r="E192" s="5" t="str">
        <f>IF(kokpit!E192&lt;&gt;"",kokpit!E192,"")</f>
        <v/>
      </c>
      <c r="F192" s="127" t="str">
        <f>IF(kokpit!F192&lt;&gt;"",kokpit!F192,"")</f>
        <v/>
      </c>
      <c r="G192" s="24" t="str">
        <f>IF(E192&lt;&gt;"",SUMIFS('JPK_KR-1'!AL:AL,'JPK_KR-1'!W:W,F192),"")</f>
        <v/>
      </c>
      <c r="H192" s="126" t="str">
        <f>IF(E192&lt;&gt;"",SUMIFS('JPK_KR-1'!AM:AM,'JPK_KR-1'!W:W,F192),"")</f>
        <v/>
      </c>
      <c r="I192" s="5" t="str">
        <f>IF(kokpit!I192&lt;&gt;"",kokpit!I192,"")</f>
        <v/>
      </c>
      <c r="J192" s="5" t="str">
        <f>IF(kokpit!J192&lt;&gt;"",kokpit!J192,"")</f>
        <v/>
      </c>
      <c r="K192" s="24" t="str">
        <f>IF(I192&lt;&gt;"",SUMIFS('JPK_KR-1'!AL:AL,'JPK_KR-1'!W:W,J192),"")</f>
        <v/>
      </c>
      <c r="L192" s="141" t="str">
        <f>IF(I192&lt;&gt;"",SUMIFS('JPK_KR-1'!AM:AM,'JPK_KR-1'!W:W,J192),"")</f>
        <v/>
      </c>
      <c r="M192" s="143" t="str">
        <f>IF(kokpit!M192&lt;&gt;"",kokpit!M192,"")</f>
        <v/>
      </c>
      <c r="N192" s="117" t="str">
        <f>IF(kokpit!N192&lt;&gt;"",kokpit!N192,"")</f>
        <v/>
      </c>
      <c r="O192" s="117" t="str">
        <f>IF(kokpit!O192&lt;&gt;"",kokpit!O192,"")</f>
        <v/>
      </c>
      <c r="P192" s="141" t="str">
        <f>IF(M192&lt;&gt;"",IF(O192="",SUMIFS('JPK_KR-1'!AL:AL,'JPK_KR-1'!W:W,N192),SUMIFS('JPK_KR-1'!BF:BF,'JPK_KR-1'!BE:BE,N192,'JPK_KR-1'!BG:BG,O192)),"")</f>
        <v/>
      </c>
      <c r="Q192" s="144" t="str">
        <f>IF(M192&lt;&gt;"",IF(O192="",SUMIFS('JPK_KR-1'!AM:AM,'JPK_KR-1'!W:W,N192),SUMIFS('JPK_KR-1'!BI:BI,'JPK_KR-1'!BH:BH,N192,'JPK_KR-1'!BJ:BJ,O192)),"")</f>
        <v/>
      </c>
      <c r="R192" s="117" t="str">
        <f>IF(kokpit!R192&lt;&gt;"",kokpit!R192,"")</f>
        <v/>
      </c>
      <c r="S192" s="117" t="str">
        <f>IF(kokpit!S192&lt;&gt;"",kokpit!S192,"")</f>
        <v/>
      </c>
      <c r="T192" s="117" t="str">
        <f>IF(kokpit!T192&lt;&gt;"",kokpit!T192,"")</f>
        <v/>
      </c>
      <c r="U192" s="141" t="str">
        <f>IF(R192&lt;&gt;"",SUMIFS('JPK_KR-1'!AL:AL,'JPK_KR-1'!W:W,S192),"")</f>
        <v/>
      </c>
      <c r="V192" s="144" t="str">
        <f>IF(R192&lt;&gt;"",SUMIFS('JPK_KR-1'!AM:AM,'JPK_KR-1'!W:W,S192),"")</f>
        <v/>
      </c>
    </row>
    <row r="193" spans="1:22" x14ac:dyDescent="0.3">
      <c r="A193" s="5" t="str">
        <f>IF(kokpit!A193&lt;&gt;"",kokpit!A193,"")</f>
        <v/>
      </c>
      <c r="B193" s="5" t="str">
        <f>IF(kokpit!B193&lt;&gt;"",kokpit!B193,"")</f>
        <v/>
      </c>
      <c r="C193" s="24" t="str">
        <f>IF(A193&lt;&gt;"",SUMIFS('JPK_KR-1'!AL:AL,'JPK_KR-1'!W:W,B193),"")</f>
        <v/>
      </c>
      <c r="D193" s="126" t="str">
        <f>IF(A193&lt;&gt;"",SUMIFS('JPK_KR-1'!AM:AM,'JPK_KR-1'!W:W,B193),"")</f>
        <v/>
      </c>
      <c r="E193" s="5" t="str">
        <f>IF(kokpit!E193&lt;&gt;"",kokpit!E193,"")</f>
        <v/>
      </c>
      <c r="F193" s="127" t="str">
        <f>IF(kokpit!F193&lt;&gt;"",kokpit!F193,"")</f>
        <v/>
      </c>
      <c r="G193" s="24" t="str">
        <f>IF(E193&lt;&gt;"",SUMIFS('JPK_KR-1'!AL:AL,'JPK_KR-1'!W:W,F193),"")</f>
        <v/>
      </c>
      <c r="H193" s="126" t="str">
        <f>IF(E193&lt;&gt;"",SUMIFS('JPK_KR-1'!AM:AM,'JPK_KR-1'!W:W,F193),"")</f>
        <v/>
      </c>
      <c r="I193" s="5" t="str">
        <f>IF(kokpit!I193&lt;&gt;"",kokpit!I193,"")</f>
        <v/>
      </c>
      <c r="J193" s="5" t="str">
        <f>IF(kokpit!J193&lt;&gt;"",kokpit!J193,"")</f>
        <v/>
      </c>
      <c r="K193" s="24" t="str">
        <f>IF(I193&lt;&gt;"",SUMIFS('JPK_KR-1'!AL:AL,'JPK_KR-1'!W:W,J193),"")</f>
        <v/>
      </c>
      <c r="L193" s="141" t="str">
        <f>IF(I193&lt;&gt;"",SUMIFS('JPK_KR-1'!AM:AM,'JPK_KR-1'!W:W,J193),"")</f>
        <v/>
      </c>
      <c r="M193" s="143" t="str">
        <f>IF(kokpit!M193&lt;&gt;"",kokpit!M193,"")</f>
        <v/>
      </c>
      <c r="N193" s="117" t="str">
        <f>IF(kokpit!N193&lt;&gt;"",kokpit!N193,"")</f>
        <v/>
      </c>
      <c r="O193" s="117" t="str">
        <f>IF(kokpit!O193&lt;&gt;"",kokpit!O193,"")</f>
        <v/>
      </c>
      <c r="P193" s="141" t="str">
        <f>IF(M193&lt;&gt;"",IF(O193="",SUMIFS('JPK_KR-1'!AL:AL,'JPK_KR-1'!W:W,N193),SUMIFS('JPK_KR-1'!BF:BF,'JPK_KR-1'!BE:BE,N193,'JPK_KR-1'!BG:BG,O193)),"")</f>
        <v/>
      </c>
      <c r="Q193" s="144" t="str">
        <f>IF(M193&lt;&gt;"",IF(O193="",SUMIFS('JPK_KR-1'!AM:AM,'JPK_KR-1'!W:W,N193),SUMIFS('JPK_KR-1'!BI:BI,'JPK_KR-1'!BH:BH,N193,'JPK_KR-1'!BJ:BJ,O193)),"")</f>
        <v/>
      </c>
      <c r="R193" s="117" t="str">
        <f>IF(kokpit!R193&lt;&gt;"",kokpit!R193,"")</f>
        <v/>
      </c>
      <c r="S193" s="117" t="str">
        <f>IF(kokpit!S193&lt;&gt;"",kokpit!S193,"")</f>
        <v/>
      </c>
      <c r="T193" s="117" t="str">
        <f>IF(kokpit!T193&lt;&gt;"",kokpit!T193,"")</f>
        <v/>
      </c>
      <c r="U193" s="141" t="str">
        <f>IF(R193&lt;&gt;"",SUMIFS('JPK_KR-1'!AL:AL,'JPK_KR-1'!W:W,S193),"")</f>
        <v/>
      </c>
      <c r="V193" s="144" t="str">
        <f>IF(R193&lt;&gt;"",SUMIFS('JPK_KR-1'!AM:AM,'JPK_KR-1'!W:W,S193),"")</f>
        <v/>
      </c>
    </row>
    <row r="194" spans="1:22" x14ac:dyDescent="0.3">
      <c r="A194" s="5" t="str">
        <f>IF(kokpit!A194&lt;&gt;"",kokpit!A194,"")</f>
        <v/>
      </c>
      <c r="B194" s="5" t="str">
        <f>IF(kokpit!B194&lt;&gt;"",kokpit!B194,"")</f>
        <v/>
      </c>
      <c r="C194" s="24" t="str">
        <f>IF(A194&lt;&gt;"",SUMIFS('JPK_KR-1'!AL:AL,'JPK_KR-1'!W:W,B194),"")</f>
        <v/>
      </c>
      <c r="D194" s="126" t="str">
        <f>IF(A194&lt;&gt;"",SUMIFS('JPK_KR-1'!AM:AM,'JPK_KR-1'!W:W,B194),"")</f>
        <v/>
      </c>
      <c r="E194" s="5" t="str">
        <f>IF(kokpit!E194&lt;&gt;"",kokpit!E194,"")</f>
        <v/>
      </c>
      <c r="F194" s="127" t="str">
        <f>IF(kokpit!F194&lt;&gt;"",kokpit!F194,"")</f>
        <v/>
      </c>
      <c r="G194" s="24" t="str">
        <f>IF(E194&lt;&gt;"",SUMIFS('JPK_KR-1'!AL:AL,'JPK_KR-1'!W:W,F194),"")</f>
        <v/>
      </c>
      <c r="H194" s="126" t="str">
        <f>IF(E194&lt;&gt;"",SUMIFS('JPK_KR-1'!AM:AM,'JPK_KR-1'!W:W,F194),"")</f>
        <v/>
      </c>
      <c r="I194" s="5" t="str">
        <f>IF(kokpit!I194&lt;&gt;"",kokpit!I194,"")</f>
        <v/>
      </c>
      <c r="J194" s="5" t="str">
        <f>IF(kokpit!J194&lt;&gt;"",kokpit!J194,"")</f>
        <v/>
      </c>
      <c r="K194" s="24" t="str">
        <f>IF(I194&lt;&gt;"",SUMIFS('JPK_KR-1'!AL:AL,'JPK_KR-1'!W:W,J194),"")</f>
        <v/>
      </c>
      <c r="L194" s="141" t="str">
        <f>IF(I194&lt;&gt;"",SUMIFS('JPK_KR-1'!AM:AM,'JPK_KR-1'!W:W,J194),"")</f>
        <v/>
      </c>
      <c r="M194" s="143" t="str">
        <f>IF(kokpit!M194&lt;&gt;"",kokpit!M194,"")</f>
        <v/>
      </c>
      <c r="N194" s="117" t="str">
        <f>IF(kokpit!N194&lt;&gt;"",kokpit!N194,"")</f>
        <v/>
      </c>
      <c r="O194" s="117" t="str">
        <f>IF(kokpit!O194&lt;&gt;"",kokpit!O194,"")</f>
        <v/>
      </c>
      <c r="P194" s="141" t="str">
        <f>IF(M194&lt;&gt;"",IF(O194="",SUMIFS('JPK_KR-1'!AL:AL,'JPK_KR-1'!W:W,N194),SUMIFS('JPK_KR-1'!BF:BF,'JPK_KR-1'!BE:BE,N194,'JPK_KR-1'!BG:BG,O194)),"")</f>
        <v/>
      </c>
      <c r="Q194" s="144" t="str">
        <f>IF(M194&lt;&gt;"",IF(O194="",SUMIFS('JPK_KR-1'!AM:AM,'JPK_KR-1'!W:W,N194),SUMIFS('JPK_KR-1'!BI:BI,'JPK_KR-1'!BH:BH,N194,'JPK_KR-1'!BJ:BJ,O194)),"")</f>
        <v/>
      </c>
      <c r="R194" s="117" t="str">
        <f>IF(kokpit!R194&lt;&gt;"",kokpit!R194,"")</f>
        <v/>
      </c>
      <c r="S194" s="117" t="str">
        <f>IF(kokpit!S194&lt;&gt;"",kokpit!S194,"")</f>
        <v/>
      </c>
      <c r="T194" s="117" t="str">
        <f>IF(kokpit!T194&lt;&gt;"",kokpit!T194,"")</f>
        <v/>
      </c>
      <c r="U194" s="141" t="str">
        <f>IF(R194&lt;&gt;"",SUMIFS('JPK_KR-1'!AL:AL,'JPK_KR-1'!W:W,S194),"")</f>
        <v/>
      </c>
      <c r="V194" s="144" t="str">
        <f>IF(R194&lt;&gt;"",SUMIFS('JPK_KR-1'!AM:AM,'JPK_KR-1'!W:W,S194),"")</f>
        <v/>
      </c>
    </row>
    <row r="195" spans="1:22" x14ac:dyDescent="0.3">
      <c r="A195" s="5" t="str">
        <f>IF(kokpit!A195&lt;&gt;"",kokpit!A195,"")</f>
        <v/>
      </c>
      <c r="B195" s="5" t="str">
        <f>IF(kokpit!B195&lt;&gt;"",kokpit!B195,"")</f>
        <v/>
      </c>
      <c r="C195" s="24" t="str">
        <f>IF(A195&lt;&gt;"",SUMIFS('JPK_KR-1'!AL:AL,'JPK_KR-1'!W:W,B195),"")</f>
        <v/>
      </c>
      <c r="D195" s="126" t="str">
        <f>IF(A195&lt;&gt;"",SUMIFS('JPK_KR-1'!AM:AM,'JPK_KR-1'!W:W,B195),"")</f>
        <v/>
      </c>
      <c r="E195" s="5" t="str">
        <f>IF(kokpit!E195&lt;&gt;"",kokpit!E195,"")</f>
        <v/>
      </c>
      <c r="F195" s="127" t="str">
        <f>IF(kokpit!F195&lt;&gt;"",kokpit!F195,"")</f>
        <v/>
      </c>
      <c r="G195" s="24" t="str">
        <f>IF(E195&lt;&gt;"",SUMIFS('JPK_KR-1'!AL:AL,'JPK_KR-1'!W:W,F195),"")</f>
        <v/>
      </c>
      <c r="H195" s="126" t="str">
        <f>IF(E195&lt;&gt;"",SUMIFS('JPK_KR-1'!AM:AM,'JPK_KR-1'!W:W,F195),"")</f>
        <v/>
      </c>
      <c r="I195" s="5" t="str">
        <f>IF(kokpit!I195&lt;&gt;"",kokpit!I195,"")</f>
        <v/>
      </c>
      <c r="J195" s="5" t="str">
        <f>IF(kokpit!J195&lt;&gt;"",kokpit!J195,"")</f>
        <v/>
      </c>
      <c r="K195" s="24" t="str">
        <f>IF(I195&lt;&gt;"",SUMIFS('JPK_KR-1'!AL:AL,'JPK_KR-1'!W:W,J195),"")</f>
        <v/>
      </c>
      <c r="L195" s="141" t="str">
        <f>IF(I195&lt;&gt;"",SUMIFS('JPK_KR-1'!AM:AM,'JPK_KR-1'!W:W,J195),"")</f>
        <v/>
      </c>
      <c r="M195" s="143" t="str">
        <f>IF(kokpit!M195&lt;&gt;"",kokpit!M195,"")</f>
        <v/>
      </c>
      <c r="N195" s="117" t="str">
        <f>IF(kokpit!N195&lt;&gt;"",kokpit!N195,"")</f>
        <v/>
      </c>
      <c r="O195" s="117" t="str">
        <f>IF(kokpit!O195&lt;&gt;"",kokpit!O195,"")</f>
        <v/>
      </c>
      <c r="P195" s="141" t="str">
        <f>IF(M195&lt;&gt;"",IF(O195="",SUMIFS('JPK_KR-1'!AL:AL,'JPK_KR-1'!W:W,N195),SUMIFS('JPK_KR-1'!BF:BF,'JPK_KR-1'!BE:BE,N195,'JPK_KR-1'!BG:BG,O195)),"")</f>
        <v/>
      </c>
      <c r="Q195" s="144" t="str">
        <f>IF(M195&lt;&gt;"",IF(O195="",SUMIFS('JPK_KR-1'!AM:AM,'JPK_KR-1'!W:W,N195),SUMIFS('JPK_KR-1'!BI:BI,'JPK_KR-1'!BH:BH,N195,'JPK_KR-1'!BJ:BJ,O195)),"")</f>
        <v/>
      </c>
      <c r="R195" s="117" t="str">
        <f>IF(kokpit!R195&lt;&gt;"",kokpit!R195,"")</f>
        <v/>
      </c>
      <c r="S195" s="117" t="str">
        <f>IF(kokpit!S195&lt;&gt;"",kokpit!S195,"")</f>
        <v/>
      </c>
      <c r="T195" s="117" t="str">
        <f>IF(kokpit!T195&lt;&gt;"",kokpit!T195,"")</f>
        <v/>
      </c>
      <c r="U195" s="141" t="str">
        <f>IF(R195&lt;&gt;"",SUMIFS('JPK_KR-1'!AL:AL,'JPK_KR-1'!W:W,S195),"")</f>
        <v/>
      </c>
      <c r="V195" s="144" t="str">
        <f>IF(R195&lt;&gt;"",SUMIFS('JPK_KR-1'!AM:AM,'JPK_KR-1'!W:W,S195),"")</f>
        <v/>
      </c>
    </row>
    <row r="196" spans="1:22" x14ac:dyDescent="0.3">
      <c r="A196" s="5" t="str">
        <f>IF(kokpit!A196&lt;&gt;"",kokpit!A196,"")</f>
        <v/>
      </c>
      <c r="B196" s="5" t="str">
        <f>IF(kokpit!B196&lt;&gt;"",kokpit!B196,"")</f>
        <v/>
      </c>
      <c r="C196" s="24" t="str">
        <f>IF(A196&lt;&gt;"",SUMIFS('JPK_KR-1'!AL:AL,'JPK_KR-1'!W:W,B196),"")</f>
        <v/>
      </c>
      <c r="D196" s="126" t="str">
        <f>IF(A196&lt;&gt;"",SUMIFS('JPK_KR-1'!AM:AM,'JPK_KR-1'!W:W,B196),"")</f>
        <v/>
      </c>
      <c r="E196" s="5" t="str">
        <f>IF(kokpit!E196&lt;&gt;"",kokpit!E196,"")</f>
        <v/>
      </c>
      <c r="F196" s="127" t="str">
        <f>IF(kokpit!F196&lt;&gt;"",kokpit!F196,"")</f>
        <v/>
      </c>
      <c r="G196" s="24" t="str">
        <f>IF(E196&lt;&gt;"",SUMIFS('JPK_KR-1'!AL:AL,'JPK_KR-1'!W:W,F196),"")</f>
        <v/>
      </c>
      <c r="H196" s="126" t="str">
        <f>IF(E196&lt;&gt;"",SUMIFS('JPK_KR-1'!AM:AM,'JPK_KR-1'!W:W,F196),"")</f>
        <v/>
      </c>
      <c r="I196" s="5" t="str">
        <f>IF(kokpit!I196&lt;&gt;"",kokpit!I196,"")</f>
        <v/>
      </c>
      <c r="J196" s="5" t="str">
        <f>IF(kokpit!J196&lt;&gt;"",kokpit!J196,"")</f>
        <v/>
      </c>
      <c r="K196" s="24" t="str">
        <f>IF(I196&lt;&gt;"",SUMIFS('JPK_KR-1'!AL:AL,'JPK_KR-1'!W:W,J196),"")</f>
        <v/>
      </c>
      <c r="L196" s="141" t="str">
        <f>IF(I196&lt;&gt;"",SUMIFS('JPK_KR-1'!AM:AM,'JPK_KR-1'!W:W,J196),"")</f>
        <v/>
      </c>
      <c r="M196" s="143" t="str">
        <f>IF(kokpit!M196&lt;&gt;"",kokpit!M196,"")</f>
        <v/>
      </c>
      <c r="N196" s="117" t="str">
        <f>IF(kokpit!N196&lt;&gt;"",kokpit!N196,"")</f>
        <v/>
      </c>
      <c r="O196" s="117" t="str">
        <f>IF(kokpit!O196&lt;&gt;"",kokpit!O196,"")</f>
        <v/>
      </c>
      <c r="P196" s="141" t="str">
        <f>IF(M196&lt;&gt;"",IF(O196="",SUMIFS('JPK_KR-1'!AL:AL,'JPK_KR-1'!W:W,N196),SUMIFS('JPK_KR-1'!BF:BF,'JPK_KR-1'!BE:BE,N196,'JPK_KR-1'!BG:BG,O196)),"")</f>
        <v/>
      </c>
      <c r="Q196" s="144" t="str">
        <f>IF(M196&lt;&gt;"",IF(O196="",SUMIFS('JPK_KR-1'!AM:AM,'JPK_KR-1'!W:W,N196),SUMIFS('JPK_KR-1'!BI:BI,'JPK_KR-1'!BH:BH,N196,'JPK_KR-1'!BJ:BJ,O196)),"")</f>
        <v/>
      </c>
      <c r="R196" s="117" t="str">
        <f>IF(kokpit!R196&lt;&gt;"",kokpit!R196,"")</f>
        <v/>
      </c>
      <c r="S196" s="117" t="str">
        <f>IF(kokpit!S196&lt;&gt;"",kokpit!S196,"")</f>
        <v/>
      </c>
      <c r="T196" s="117" t="str">
        <f>IF(kokpit!T196&lt;&gt;"",kokpit!T196,"")</f>
        <v/>
      </c>
      <c r="U196" s="141" t="str">
        <f>IF(R196&lt;&gt;"",SUMIFS('JPK_KR-1'!AL:AL,'JPK_KR-1'!W:W,S196),"")</f>
        <v/>
      </c>
      <c r="V196" s="144" t="str">
        <f>IF(R196&lt;&gt;"",SUMIFS('JPK_KR-1'!AM:AM,'JPK_KR-1'!W:W,S196),"")</f>
        <v/>
      </c>
    </row>
    <row r="197" spans="1:22" x14ac:dyDescent="0.3">
      <c r="A197" s="5" t="str">
        <f>IF(kokpit!A197&lt;&gt;"",kokpit!A197,"")</f>
        <v/>
      </c>
      <c r="B197" s="5" t="str">
        <f>IF(kokpit!B197&lt;&gt;"",kokpit!B197,"")</f>
        <v/>
      </c>
      <c r="C197" s="24" t="str">
        <f>IF(A197&lt;&gt;"",SUMIFS('JPK_KR-1'!AL:AL,'JPK_KR-1'!W:W,B197),"")</f>
        <v/>
      </c>
      <c r="D197" s="126" t="str">
        <f>IF(A197&lt;&gt;"",SUMIFS('JPK_KR-1'!AM:AM,'JPK_KR-1'!W:W,B197),"")</f>
        <v/>
      </c>
      <c r="E197" s="5" t="str">
        <f>IF(kokpit!E197&lt;&gt;"",kokpit!E197,"")</f>
        <v/>
      </c>
      <c r="F197" s="127" t="str">
        <f>IF(kokpit!F197&lt;&gt;"",kokpit!F197,"")</f>
        <v/>
      </c>
      <c r="G197" s="24" t="str">
        <f>IF(E197&lt;&gt;"",SUMIFS('JPK_KR-1'!AL:AL,'JPK_KR-1'!W:W,F197),"")</f>
        <v/>
      </c>
      <c r="H197" s="126" t="str">
        <f>IF(E197&lt;&gt;"",SUMIFS('JPK_KR-1'!AM:AM,'JPK_KR-1'!W:W,F197),"")</f>
        <v/>
      </c>
      <c r="I197" s="5" t="str">
        <f>IF(kokpit!I197&lt;&gt;"",kokpit!I197,"")</f>
        <v/>
      </c>
      <c r="J197" s="5" t="str">
        <f>IF(kokpit!J197&lt;&gt;"",kokpit!J197,"")</f>
        <v/>
      </c>
      <c r="K197" s="24" t="str">
        <f>IF(I197&lt;&gt;"",SUMIFS('JPK_KR-1'!AL:AL,'JPK_KR-1'!W:W,J197),"")</f>
        <v/>
      </c>
      <c r="L197" s="141" t="str">
        <f>IF(I197&lt;&gt;"",SUMIFS('JPK_KR-1'!AM:AM,'JPK_KR-1'!W:W,J197),"")</f>
        <v/>
      </c>
      <c r="M197" s="143" t="str">
        <f>IF(kokpit!M197&lt;&gt;"",kokpit!M197,"")</f>
        <v/>
      </c>
      <c r="N197" s="117" t="str">
        <f>IF(kokpit!N197&lt;&gt;"",kokpit!N197,"")</f>
        <v/>
      </c>
      <c r="O197" s="117" t="str">
        <f>IF(kokpit!O197&lt;&gt;"",kokpit!O197,"")</f>
        <v/>
      </c>
      <c r="P197" s="141" t="str">
        <f>IF(M197&lt;&gt;"",IF(O197="",SUMIFS('JPK_KR-1'!AL:AL,'JPK_KR-1'!W:W,N197),SUMIFS('JPK_KR-1'!BF:BF,'JPK_KR-1'!BE:BE,N197,'JPK_KR-1'!BG:BG,O197)),"")</f>
        <v/>
      </c>
      <c r="Q197" s="144" t="str">
        <f>IF(M197&lt;&gt;"",IF(O197="",SUMIFS('JPK_KR-1'!AM:AM,'JPK_KR-1'!W:W,N197),SUMIFS('JPK_KR-1'!BI:BI,'JPK_KR-1'!BH:BH,N197,'JPK_KR-1'!BJ:BJ,O197)),"")</f>
        <v/>
      </c>
      <c r="R197" s="117" t="str">
        <f>IF(kokpit!R197&lt;&gt;"",kokpit!R197,"")</f>
        <v/>
      </c>
      <c r="S197" s="117" t="str">
        <f>IF(kokpit!S197&lt;&gt;"",kokpit!S197,"")</f>
        <v/>
      </c>
      <c r="T197" s="117" t="str">
        <f>IF(kokpit!T197&lt;&gt;"",kokpit!T197,"")</f>
        <v/>
      </c>
      <c r="U197" s="141" t="str">
        <f>IF(R197&lt;&gt;"",SUMIFS('JPK_KR-1'!AL:AL,'JPK_KR-1'!W:W,S197),"")</f>
        <v/>
      </c>
      <c r="V197" s="144" t="str">
        <f>IF(R197&lt;&gt;"",SUMIFS('JPK_KR-1'!AM:AM,'JPK_KR-1'!W:W,S197),"")</f>
        <v/>
      </c>
    </row>
    <row r="198" spans="1:22" x14ac:dyDescent="0.3">
      <c r="A198" s="5" t="str">
        <f>IF(kokpit!A198&lt;&gt;"",kokpit!A198,"")</f>
        <v/>
      </c>
      <c r="B198" s="5" t="str">
        <f>IF(kokpit!B198&lt;&gt;"",kokpit!B198,"")</f>
        <v/>
      </c>
      <c r="C198" s="24" t="str">
        <f>IF(A198&lt;&gt;"",SUMIFS('JPK_KR-1'!AL:AL,'JPK_KR-1'!W:W,B198),"")</f>
        <v/>
      </c>
      <c r="D198" s="126" t="str">
        <f>IF(A198&lt;&gt;"",SUMIFS('JPK_KR-1'!AM:AM,'JPK_KR-1'!W:W,B198),"")</f>
        <v/>
      </c>
      <c r="E198" s="5" t="str">
        <f>IF(kokpit!E198&lt;&gt;"",kokpit!E198,"")</f>
        <v/>
      </c>
      <c r="F198" s="127" t="str">
        <f>IF(kokpit!F198&lt;&gt;"",kokpit!F198,"")</f>
        <v/>
      </c>
      <c r="G198" s="24" t="str">
        <f>IF(E198&lt;&gt;"",SUMIFS('JPK_KR-1'!AL:AL,'JPK_KR-1'!W:W,F198),"")</f>
        <v/>
      </c>
      <c r="H198" s="126" t="str">
        <f>IF(E198&lt;&gt;"",SUMIFS('JPK_KR-1'!AM:AM,'JPK_KR-1'!W:W,F198),"")</f>
        <v/>
      </c>
      <c r="I198" s="5" t="str">
        <f>IF(kokpit!I198&lt;&gt;"",kokpit!I198,"")</f>
        <v/>
      </c>
      <c r="J198" s="5" t="str">
        <f>IF(kokpit!J198&lt;&gt;"",kokpit!J198,"")</f>
        <v/>
      </c>
      <c r="K198" s="24" t="str">
        <f>IF(I198&lt;&gt;"",SUMIFS('JPK_KR-1'!AL:AL,'JPK_KR-1'!W:W,J198),"")</f>
        <v/>
      </c>
      <c r="L198" s="141" t="str">
        <f>IF(I198&lt;&gt;"",SUMIFS('JPK_KR-1'!AM:AM,'JPK_KR-1'!W:W,J198),"")</f>
        <v/>
      </c>
      <c r="M198" s="143" t="str">
        <f>IF(kokpit!M198&lt;&gt;"",kokpit!M198,"")</f>
        <v/>
      </c>
      <c r="N198" s="117" t="str">
        <f>IF(kokpit!N198&lt;&gt;"",kokpit!N198,"")</f>
        <v/>
      </c>
      <c r="O198" s="117" t="str">
        <f>IF(kokpit!O198&lt;&gt;"",kokpit!O198,"")</f>
        <v/>
      </c>
      <c r="P198" s="141" t="str">
        <f>IF(M198&lt;&gt;"",IF(O198="",SUMIFS('JPK_KR-1'!AL:AL,'JPK_KR-1'!W:W,N198),SUMIFS('JPK_KR-1'!BF:BF,'JPK_KR-1'!BE:BE,N198,'JPK_KR-1'!BG:BG,O198)),"")</f>
        <v/>
      </c>
      <c r="Q198" s="144" t="str">
        <f>IF(M198&lt;&gt;"",IF(O198="",SUMIFS('JPK_KR-1'!AM:AM,'JPK_KR-1'!W:W,N198),SUMIFS('JPK_KR-1'!BI:BI,'JPK_KR-1'!BH:BH,N198,'JPK_KR-1'!BJ:BJ,O198)),"")</f>
        <v/>
      </c>
      <c r="R198" s="117" t="str">
        <f>IF(kokpit!R198&lt;&gt;"",kokpit!R198,"")</f>
        <v/>
      </c>
      <c r="S198" s="117" t="str">
        <f>IF(kokpit!S198&lt;&gt;"",kokpit!S198,"")</f>
        <v/>
      </c>
      <c r="T198" s="117" t="str">
        <f>IF(kokpit!T198&lt;&gt;"",kokpit!T198,"")</f>
        <v/>
      </c>
      <c r="U198" s="141" t="str">
        <f>IF(R198&lt;&gt;"",SUMIFS('JPK_KR-1'!AL:AL,'JPK_KR-1'!W:W,S198),"")</f>
        <v/>
      </c>
      <c r="V198" s="144" t="str">
        <f>IF(R198&lt;&gt;"",SUMIFS('JPK_KR-1'!AM:AM,'JPK_KR-1'!W:W,S198),"")</f>
        <v/>
      </c>
    </row>
    <row r="199" spans="1:22" x14ac:dyDescent="0.3">
      <c r="A199" s="5" t="str">
        <f>IF(kokpit!A199&lt;&gt;"",kokpit!A199,"")</f>
        <v/>
      </c>
      <c r="B199" s="5" t="str">
        <f>IF(kokpit!B199&lt;&gt;"",kokpit!B199,"")</f>
        <v/>
      </c>
      <c r="C199" s="24" t="str">
        <f>IF(A199&lt;&gt;"",SUMIFS('JPK_KR-1'!AL:AL,'JPK_KR-1'!W:W,B199),"")</f>
        <v/>
      </c>
      <c r="D199" s="126" t="str">
        <f>IF(A199&lt;&gt;"",SUMIFS('JPK_KR-1'!AM:AM,'JPK_KR-1'!W:W,B199),"")</f>
        <v/>
      </c>
      <c r="E199" s="5" t="str">
        <f>IF(kokpit!E199&lt;&gt;"",kokpit!E199,"")</f>
        <v/>
      </c>
      <c r="F199" s="127" t="str">
        <f>IF(kokpit!F199&lt;&gt;"",kokpit!F199,"")</f>
        <v/>
      </c>
      <c r="G199" s="24" t="str">
        <f>IF(E199&lt;&gt;"",SUMIFS('JPK_KR-1'!AL:AL,'JPK_KR-1'!W:W,F199),"")</f>
        <v/>
      </c>
      <c r="H199" s="126" t="str">
        <f>IF(E199&lt;&gt;"",SUMIFS('JPK_KR-1'!AM:AM,'JPK_KR-1'!W:W,F199),"")</f>
        <v/>
      </c>
      <c r="I199" s="5" t="str">
        <f>IF(kokpit!I199&lt;&gt;"",kokpit!I199,"")</f>
        <v/>
      </c>
      <c r="J199" s="5" t="str">
        <f>IF(kokpit!J199&lt;&gt;"",kokpit!J199,"")</f>
        <v/>
      </c>
      <c r="K199" s="24" t="str">
        <f>IF(I199&lt;&gt;"",SUMIFS('JPK_KR-1'!AL:AL,'JPK_KR-1'!W:W,J199),"")</f>
        <v/>
      </c>
      <c r="L199" s="141" t="str">
        <f>IF(I199&lt;&gt;"",SUMIFS('JPK_KR-1'!AM:AM,'JPK_KR-1'!W:W,J199),"")</f>
        <v/>
      </c>
      <c r="M199" s="143" t="str">
        <f>IF(kokpit!M199&lt;&gt;"",kokpit!M199,"")</f>
        <v/>
      </c>
      <c r="N199" s="117" t="str">
        <f>IF(kokpit!N199&lt;&gt;"",kokpit!N199,"")</f>
        <v/>
      </c>
      <c r="O199" s="117" t="str">
        <f>IF(kokpit!O199&lt;&gt;"",kokpit!O199,"")</f>
        <v/>
      </c>
      <c r="P199" s="141" t="str">
        <f>IF(M199&lt;&gt;"",IF(O199="",SUMIFS('JPK_KR-1'!AL:AL,'JPK_KR-1'!W:W,N199),SUMIFS('JPK_KR-1'!BF:BF,'JPK_KR-1'!BE:BE,N199,'JPK_KR-1'!BG:BG,O199)),"")</f>
        <v/>
      </c>
      <c r="Q199" s="144" t="str">
        <f>IF(M199&lt;&gt;"",IF(O199="",SUMIFS('JPK_KR-1'!AM:AM,'JPK_KR-1'!W:W,N199),SUMIFS('JPK_KR-1'!BI:BI,'JPK_KR-1'!BH:BH,N199,'JPK_KR-1'!BJ:BJ,O199)),"")</f>
        <v/>
      </c>
      <c r="R199" s="117" t="str">
        <f>IF(kokpit!R199&lt;&gt;"",kokpit!R199,"")</f>
        <v/>
      </c>
      <c r="S199" s="117" t="str">
        <f>IF(kokpit!S199&lt;&gt;"",kokpit!S199,"")</f>
        <v/>
      </c>
      <c r="T199" s="117" t="str">
        <f>IF(kokpit!T199&lt;&gt;"",kokpit!T199,"")</f>
        <v/>
      </c>
      <c r="U199" s="141" t="str">
        <f>IF(R199&lt;&gt;"",SUMIFS('JPK_KR-1'!AL:AL,'JPK_KR-1'!W:W,S199),"")</f>
        <v/>
      </c>
      <c r="V199" s="144" t="str">
        <f>IF(R199&lt;&gt;"",SUMIFS('JPK_KR-1'!AM:AM,'JPK_KR-1'!W:W,S199),"")</f>
        <v/>
      </c>
    </row>
    <row r="200" spans="1:22" x14ac:dyDescent="0.3">
      <c r="A200" s="5" t="str">
        <f>IF(kokpit!A200&lt;&gt;"",kokpit!A200,"")</f>
        <v/>
      </c>
      <c r="B200" s="5" t="str">
        <f>IF(kokpit!B200&lt;&gt;"",kokpit!B200,"")</f>
        <v/>
      </c>
      <c r="C200" s="24" t="str">
        <f>IF(A200&lt;&gt;"",SUMIFS('JPK_KR-1'!AL:AL,'JPK_KR-1'!W:W,B200),"")</f>
        <v/>
      </c>
      <c r="D200" s="126" t="str">
        <f>IF(A200&lt;&gt;"",SUMIFS('JPK_KR-1'!AM:AM,'JPK_KR-1'!W:W,B200),"")</f>
        <v/>
      </c>
      <c r="E200" s="5" t="str">
        <f>IF(kokpit!E200&lt;&gt;"",kokpit!E200,"")</f>
        <v/>
      </c>
      <c r="F200" s="127" t="str">
        <f>IF(kokpit!F200&lt;&gt;"",kokpit!F200,"")</f>
        <v/>
      </c>
      <c r="G200" s="24" t="str">
        <f>IF(E200&lt;&gt;"",SUMIFS('JPK_KR-1'!AL:AL,'JPK_KR-1'!W:W,F200),"")</f>
        <v/>
      </c>
      <c r="H200" s="126" t="str">
        <f>IF(E200&lt;&gt;"",SUMIFS('JPK_KR-1'!AM:AM,'JPK_KR-1'!W:W,F200),"")</f>
        <v/>
      </c>
      <c r="I200" s="5" t="str">
        <f>IF(kokpit!I200&lt;&gt;"",kokpit!I200,"")</f>
        <v/>
      </c>
      <c r="J200" s="5" t="str">
        <f>IF(kokpit!J200&lt;&gt;"",kokpit!J200,"")</f>
        <v/>
      </c>
      <c r="K200" s="24" t="str">
        <f>IF(I200&lt;&gt;"",SUMIFS('JPK_KR-1'!AL:AL,'JPK_KR-1'!W:W,J200),"")</f>
        <v/>
      </c>
      <c r="L200" s="141" t="str">
        <f>IF(I200&lt;&gt;"",SUMIFS('JPK_KR-1'!AM:AM,'JPK_KR-1'!W:W,J200),"")</f>
        <v/>
      </c>
      <c r="M200" s="143" t="str">
        <f>IF(kokpit!M200&lt;&gt;"",kokpit!M200,"")</f>
        <v/>
      </c>
      <c r="N200" s="117" t="str">
        <f>IF(kokpit!N200&lt;&gt;"",kokpit!N200,"")</f>
        <v/>
      </c>
      <c r="O200" s="117" t="str">
        <f>IF(kokpit!O200&lt;&gt;"",kokpit!O200,"")</f>
        <v/>
      </c>
      <c r="P200" s="141" t="str">
        <f>IF(M200&lt;&gt;"",IF(O200="",SUMIFS('JPK_KR-1'!AL:AL,'JPK_KR-1'!W:W,N200),SUMIFS('JPK_KR-1'!BF:BF,'JPK_KR-1'!BE:BE,N200,'JPK_KR-1'!BG:BG,O200)),"")</f>
        <v/>
      </c>
      <c r="Q200" s="144" t="str">
        <f>IF(M200&lt;&gt;"",IF(O200="",SUMIFS('JPK_KR-1'!AM:AM,'JPK_KR-1'!W:W,N200),SUMIFS('JPK_KR-1'!BI:BI,'JPK_KR-1'!BH:BH,N200,'JPK_KR-1'!BJ:BJ,O200)),"")</f>
        <v/>
      </c>
      <c r="R200" s="117" t="str">
        <f>IF(kokpit!R200&lt;&gt;"",kokpit!R200,"")</f>
        <v/>
      </c>
      <c r="S200" s="117" t="str">
        <f>IF(kokpit!S200&lt;&gt;"",kokpit!S200,"")</f>
        <v/>
      </c>
      <c r="T200" s="117" t="str">
        <f>IF(kokpit!T200&lt;&gt;"",kokpit!T200,"")</f>
        <v/>
      </c>
      <c r="U200" s="141" t="str">
        <f>IF(R200&lt;&gt;"",SUMIFS('JPK_KR-1'!AL:AL,'JPK_KR-1'!W:W,S200),"")</f>
        <v/>
      </c>
      <c r="V200" s="144" t="str">
        <f>IF(R200&lt;&gt;"",SUMIFS('JPK_KR-1'!AM:AM,'JPK_KR-1'!W:W,S200),"")</f>
        <v/>
      </c>
    </row>
    <row r="201" spans="1:22" x14ac:dyDescent="0.3">
      <c r="A201" s="5" t="str">
        <f>IF(kokpit!A201&lt;&gt;"",kokpit!A201,"")</f>
        <v/>
      </c>
      <c r="B201" s="5" t="str">
        <f>IF(kokpit!B201&lt;&gt;"",kokpit!B201,"")</f>
        <v/>
      </c>
      <c r="C201" s="24" t="str">
        <f>IF(A201&lt;&gt;"",SUMIFS('JPK_KR-1'!AL:AL,'JPK_KR-1'!W:W,B201),"")</f>
        <v/>
      </c>
      <c r="D201" s="126" t="str">
        <f>IF(A201&lt;&gt;"",SUMIFS('JPK_KR-1'!AM:AM,'JPK_KR-1'!W:W,B201),"")</f>
        <v/>
      </c>
      <c r="E201" s="5" t="str">
        <f>IF(kokpit!E201&lt;&gt;"",kokpit!E201,"")</f>
        <v/>
      </c>
      <c r="F201" s="127" t="str">
        <f>IF(kokpit!F201&lt;&gt;"",kokpit!F201,"")</f>
        <v/>
      </c>
      <c r="G201" s="24" t="str">
        <f>IF(E201&lt;&gt;"",SUMIFS('JPK_KR-1'!AL:AL,'JPK_KR-1'!W:W,F201),"")</f>
        <v/>
      </c>
      <c r="H201" s="126" t="str">
        <f>IF(E201&lt;&gt;"",SUMIFS('JPK_KR-1'!AM:AM,'JPK_KR-1'!W:W,F201),"")</f>
        <v/>
      </c>
      <c r="I201" s="5" t="str">
        <f>IF(kokpit!I201&lt;&gt;"",kokpit!I201,"")</f>
        <v/>
      </c>
      <c r="J201" s="5" t="str">
        <f>IF(kokpit!J201&lt;&gt;"",kokpit!J201,"")</f>
        <v/>
      </c>
      <c r="K201" s="24" t="str">
        <f>IF(I201&lt;&gt;"",SUMIFS('JPK_KR-1'!AL:AL,'JPK_KR-1'!W:W,J201),"")</f>
        <v/>
      </c>
      <c r="L201" s="141" t="str">
        <f>IF(I201&lt;&gt;"",SUMIFS('JPK_KR-1'!AM:AM,'JPK_KR-1'!W:W,J201),"")</f>
        <v/>
      </c>
      <c r="M201" s="143" t="str">
        <f>IF(kokpit!M201&lt;&gt;"",kokpit!M201,"")</f>
        <v/>
      </c>
      <c r="N201" s="117" t="str">
        <f>IF(kokpit!N201&lt;&gt;"",kokpit!N201,"")</f>
        <v/>
      </c>
      <c r="O201" s="117" t="str">
        <f>IF(kokpit!O201&lt;&gt;"",kokpit!O201,"")</f>
        <v/>
      </c>
      <c r="P201" s="141" t="str">
        <f>IF(M201&lt;&gt;"",IF(O201="",SUMIFS('JPK_KR-1'!AL:AL,'JPK_KR-1'!W:W,N201),SUMIFS('JPK_KR-1'!BF:BF,'JPK_KR-1'!BE:BE,N201,'JPK_KR-1'!BG:BG,O201)),"")</f>
        <v/>
      </c>
      <c r="Q201" s="144" t="str">
        <f>IF(M201&lt;&gt;"",IF(O201="",SUMIFS('JPK_KR-1'!AM:AM,'JPK_KR-1'!W:W,N201),SUMIFS('JPK_KR-1'!BI:BI,'JPK_KR-1'!BH:BH,N201,'JPK_KR-1'!BJ:BJ,O201)),"")</f>
        <v/>
      </c>
      <c r="R201" s="117" t="str">
        <f>IF(kokpit!R201&lt;&gt;"",kokpit!R201,"")</f>
        <v/>
      </c>
      <c r="S201" s="117" t="str">
        <f>IF(kokpit!S201&lt;&gt;"",kokpit!S201,"")</f>
        <v/>
      </c>
      <c r="T201" s="117" t="str">
        <f>IF(kokpit!T201&lt;&gt;"",kokpit!T201,"")</f>
        <v/>
      </c>
      <c r="U201" s="141" t="str">
        <f>IF(R201&lt;&gt;"",SUMIFS('JPK_KR-1'!AL:AL,'JPK_KR-1'!W:W,S201),"")</f>
        <v/>
      </c>
      <c r="V201" s="144" t="str">
        <f>IF(R201&lt;&gt;"",SUMIFS('JPK_KR-1'!AM:AM,'JPK_KR-1'!W:W,S201),"")</f>
        <v/>
      </c>
    </row>
    <row r="202" spans="1:22" x14ac:dyDescent="0.3">
      <c r="A202" s="5" t="str">
        <f>IF(kokpit!A202&lt;&gt;"",kokpit!A202,"")</f>
        <v/>
      </c>
      <c r="B202" s="5" t="str">
        <f>IF(kokpit!B202&lt;&gt;"",kokpit!B202,"")</f>
        <v/>
      </c>
      <c r="C202" s="24" t="str">
        <f>IF(A202&lt;&gt;"",SUMIFS('JPK_KR-1'!AL:AL,'JPK_KR-1'!W:W,B202),"")</f>
        <v/>
      </c>
      <c r="D202" s="126" t="str">
        <f>IF(A202&lt;&gt;"",SUMIFS('JPK_KR-1'!AM:AM,'JPK_KR-1'!W:W,B202),"")</f>
        <v/>
      </c>
      <c r="E202" s="5" t="str">
        <f>IF(kokpit!E202&lt;&gt;"",kokpit!E202,"")</f>
        <v/>
      </c>
      <c r="F202" s="127" t="str">
        <f>IF(kokpit!F202&lt;&gt;"",kokpit!F202,"")</f>
        <v/>
      </c>
      <c r="G202" s="24" t="str">
        <f>IF(E202&lt;&gt;"",SUMIFS('JPK_KR-1'!AL:AL,'JPK_KR-1'!W:W,F202),"")</f>
        <v/>
      </c>
      <c r="H202" s="126" t="str">
        <f>IF(E202&lt;&gt;"",SUMIFS('JPK_KR-1'!AM:AM,'JPK_KR-1'!W:W,F202),"")</f>
        <v/>
      </c>
      <c r="I202" s="5" t="str">
        <f>IF(kokpit!I202&lt;&gt;"",kokpit!I202,"")</f>
        <v/>
      </c>
      <c r="J202" s="5" t="str">
        <f>IF(kokpit!J202&lt;&gt;"",kokpit!J202,"")</f>
        <v/>
      </c>
      <c r="K202" s="24" t="str">
        <f>IF(I202&lt;&gt;"",SUMIFS('JPK_KR-1'!AL:AL,'JPK_KR-1'!W:W,J202),"")</f>
        <v/>
      </c>
      <c r="L202" s="141" t="str">
        <f>IF(I202&lt;&gt;"",SUMIFS('JPK_KR-1'!AM:AM,'JPK_KR-1'!W:W,J202),"")</f>
        <v/>
      </c>
      <c r="M202" s="143" t="str">
        <f>IF(kokpit!M202&lt;&gt;"",kokpit!M202,"")</f>
        <v/>
      </c>
      <c r="N202" s="117" t="str">
        <f>IF(kokpit!N202&lt;&gt;"",kokpit!N202,"")</f>
        <v/>
      </c>
      <c r="O202" s="117" t="str">
        <f>IF(kokpit!O202&lt;&gt;"",kokpit!O202,"")</f>
        <v/>
      </c>
      <c r="P202" s="141" t="str">
        <f>IF(M202&lt;&gt;"",IF(O202="",SUMIFS('JPK_KR-1'!AL:AL,'JPK_KR-1'!W:W,N202),SUMIFS('JPK_KR-1'!BF:BF,'JPK_KR-1'!BE:BE,N202,'JPK_KR-1'!BG:BG,O202)),"")</f>
        <v/>
      </c>
      <c r="Q202" s="144" t="str">
        <f>IF(M202&lt;&gt;"",IF(O202="",SUMIFS('JPK_KR-1'!AM:AM,'JPK_KR-1'!W:W,N202),SUMIFS('JPK_KR-1'!BI:BI,'JPK_KR-1'!BH:BH,N202,'JPK_KR-1'!BJ:BJ,O202)),"")</f>
        <v/>
      </c>
      <c r="R202" s="117" t="str">
        <f>IF(kokpit!R202&lt;&gt;"",kokpit!R202,"")</f>
        <v/>
      </c>
      <c r="S202" s="117" t="str">
        <f>IF(kokpit!S202&lt;&gt;"",kokpit!S202,"")</f>
        <v/>
      </c>
      <c r="T202" s="117" t="str">
        <f>IF(kokpit!T202&lt;&gt;"",kokpit!T202,"")</f>
        <v/>
      </c>
      <c r="U202" s="141" t="str">
        <f>IF(R202&lt;&gt;"",SUMIFS('JPK_KR-1'!AL:AL,'JPK_KR-1'!W:W,S202),"")</f>
        <v/>
      </c>
      <c r="V202" s="144" t="str">
        <f>IF(R202&lt;&gt;"",SUMIFS('JPK_KR-1'!AM:AM,'JPK_KR-1'!W:W,S202),"")</f>
        <v/>
      </c>
    </row>
    <row r="203" spans="1:22" x14ac:dyDescent="0.3">
      <c r="A203" s="5" t="str">
        <f>IF(kokpit!A203&lt;&gt;"",kokpit!A203,"")</f>
        <v/>
      </c>
      <c r="B203" s="5" t="str">
        <f>IF(kokpit!B203&lt;&gt;"",kokpit!B203,"")</f>
        <v/>
      </c>
      <c r="C203" s="24" t="str">
        <f>IF(A203&lt;&gt;"",SUMIFS('JPK_KR-1'!AL:AL,'JPK_KR-1'!W:W,B203),"")</f>
        <v/>
      </c>
      <c r="D203" s="126" t="str">
        <f>IF(A203&lt;&gt;"",SUMIFS('JPK_KR-1'!AM:AM,'JPK_KR-1'!W:W,B203),"")</f>
        <v/>
      </c>
      <c r="E203" s="5" t="str">
        <f>IF(kokpit!E203&lt;&gt;"",kokpit!E203,"")</f>
        <v/>
      </c>
      <c r="F203" s="127" t="str">
        <f>IF(kokpit!F203&lt;&gt;"",kokpit!F203,"")</f>
        <v/>
      </c>
      <c r="G203" s="24" t="str">
        <f>IF(E203&lt;&gt;"",SUMIFS('JPK_KR-1'!AL:AL,'JPK_KR-1'!W:W,F203),"")</f>
        <v/>
      </c>
      <c r="H203" s="126" t="str">
        <f>IF(E203&lt;&gt;"",SUMIFS('JPK_KR-1'!AM:AM,'JPK_KR-1'!W:W,F203),"")</f>
        <v/>
      </c>
      <c r="I203" s="5" t="str">
        <f>IF(kokpit!I203&lt;&gt;"",kokpit!I203,"")</f>
        <v/>
      </c>
      <c r="J203" s="5" t="str">
        <f>IF(kokpit!J203&lt;&gt;"",kokpit!J203,"")</f>
        <v/>
      </c>
      <c r="K203" s="24" t="str">
        <f>IF(I203&lt;&gt;"",SUMIFS('JPK_KR-1'!AL:AL,'JPK_KR-1'!W:W,J203),"")</f>
        <v/>
      </c>
      <c r="L203" s="141" t="str">
        <f>IF(I203&lt;&gt;"",SUMIFS('JPK_KR-1'!AM:AM,'JPK_KR-1'!W:W,J203),"")</f>
        <v/>
      </c>
      <c r="M203" s="143" t="str">
        <f>IF(kokpit!M203&lt;&gt;"",kokpit!M203,"")</f>
        <v/>
      </c>
      <c r="N203" s="117" t="str">
        <f>IF(kokpit!N203&lt;&gt;"",kokpit!N203,"")</f>
        <v/>
      </c>
      <c r="O203" s="117" t="str">
        <f>IF(kokpit!O203&lt;&gt;"",kokpit!O203,"")</f>
        <v/>
      </c>
      <c r="P203" s="141" t="str">
        <f>IF(M203&lt;&gt;"",IF(O203="",SUMIFS('JPK_KR-1'!AL:AL,'JPK_KR-1'!W:W,N203),SUMIFS('JPK_KR-1'!BF:BF,'JPK_KR-1'!BE:BE,N203,'JPK_KR-1'!BG:BG,O203)),"")</f>
        <v/>
      </c>
      <c r="Q203" s="144" t="str">
        <f>IF(M203&lt;&gt;"",IF(O203="",SUMIFS('JPK_KR-1'!AM:AM,'JPK_KR-1'!W:W,N203),SUMIFS('JPK_KR-1'!BI:BI,'JPK_KR-1'!BH:BH,N203,'JPK_KR-1'!BJ:BJ,O203)),"")</f>
        <v/>
      </c>
      <c r="R203" s="117" t="str">
        <f>IF(kokpit!R203&lt;&gt;"",kokpit!R203,"")</f>
        <v/>
      </c>
      <c r="S203" s="117" t="str">
        <f>IF(kokpit!S203&lt;&gt;"",kokpit!S203,"")</f>
        <v/>
      </c>
      <c r="T203" s="117" t="str">
        <f>IF(kokpit!T203&lt;&gt;"",kokpit!T203,"")</f>
        <v/>
      </c>
      <c r="U203" s="141" t="str">
        <f>IF(R203&lt;&gt;"",SUMIFS('JPK_KR-1'!AL:AL,'JPK_KR-1'!W:W,S203),"")</f>
        <v/>
      </c>
      <c r="V203" s="144" t="str">
        <f>IF(R203&lt;&gt;"",SUMIFS('JPK_KR-1'!AM:AM,'JPK_KR-1'!W:W,S203),"")</f>
        <v/>
      </c>
    </row>
    <row r="204" spans="1:22" x14ac:dyDescent="0.3">
      <c r="A204" s="5" t="str">
        <f>IF(kokpit!A204&lt;&gt;"",kokpit!A204,"")</f>
        <v/>
      </c>
      <c r="B204" s="5" t="str">
        <f>IF(kokpit!B204&lt;&gt;"",kokpit!B204,"")</f>
        <v/>
      </c>
      <c r="C204" s="24" t="str">
        <f>IF(A204&lt;&gt;"",SUMIFS('JPK_KR-1'!AL:AL,'JPK_KR-1'!W:W,B204),"")</f>
        <v/>
      </c>
      <c r="D204" s="126" t="str">
        <f>IF(A204&lt;&gt;"",SUMIFS('JPK_KR-1'!AM:AM,'JPK_KR-1'!W:W,B204),"")</f>
        <v/>
      </c>
      <c r="E204" s="5" t="str">
        <f>IF(kokpit!E204&lt;&gt;"",kokpit!E204,"")</f>
        <v/>
      </c>
      <c r="F204" s="127" t="str">
        <f>IF(kokpit!F204&lt;&gt;"",kokpit!F204,"")</f>
        <v/>
      </c>
      <c r="G204" s="24" t="str">
        <f>IF(E204&lt;&gt;"",SUMIFS('JPK_KR-1'!AL:AL,'JPK_KR-1'!W:W,F204),"")</f>
        <v/>
      </c>
      <c r="H204" s="126" t="str">
        <f>IF(E204&lt;&gt;"",SUMIFS('JPK_KR-1'!AM:AM,'JPK_KR-1'!W:W,F204),"")</f>
        <v/>
      </c>
      <c r="I204" s="5" t="str">
        <f>IF(kokpit!I204&lt;&gt;"",kokpit!I204,"")</f>
        <v/>
      </c>
      <c r="J204" s="5" t="str">
        <f>IF(kokpit!J204&lt;&gt;"",kokpit!J204,"")</f>
        <v/>
      </c>
      <c r="K204" s="24" t="str">
        <f>IF(I204&lt;&gt;"",SUMIFS('JPK_KR-1'!AL:AL,'JPK_KR-1'!W:W,J204),"")</f>
        <v/>
      </c>
      <c r="L204" s="141" t="str">
        <f>IF(I204&lt;&gt;"",SUMIFS('JPK_KR-1'!AM:AM,'JPK_KR-1'!W:W,J204),"")</f>
        <v/>
      </c>
      <c r="M204" s="143" t="str">
        <f>IF(kokpit!M204&lt;&gt;"",kokpit!M204,"")</f>
        <v/>
      </c>
      <c r="N204" s="117" t="str">
        <f>IF(kokpit!N204&lt;&gt;"",kokpit!N204,"")</f>
        <v/>
      </c>
      <c r="O204" s="117" t="str">
        <f>IF(kokpit!O204&lt;&gt;"",kokpit!O204,"")</f>
        <v/>
      </c>
      <c r="P204" s="141" t="str">
        <f>IF(M204&lt;&gt;"",IF(O204="",SUMIFS('JPK_KR-1'!AL:AL,'JPK_KR-1'!W:W,N204),SUMIFS('JPK_KR-1'!BF:BF,'JPK_KR-1'!BE:BE,N204,'JPK_KR-1'!BG:BG,O204)),"")</f>
        <v/>
      </c>
      <c r="Q204" s="144" t="str">
        <f>IF(M204&lt;&gt;"",IF(O204="",SUMIFS('JPK_KR-1'!AM:AM,'JPK_KR-1'!W:W,N204),SUMIFS('JPK_KR-1'!BI:BI,'JPK_KR-1'!BH:BH,N204,'JPK_KR-1'!BJ:BJ,O204)),"")</f>
        <v/>
      </c>
      <c r="R204" s="117" t="str">
        <f>IF(kokpit!R204&lt;&gt;"",kokpit!R204,"")</f>
        <v/>
      </c>
      <c r="S204" s="117" t="str">
        <f>IF(kokpit!S204&lt;&gt;"",kokpit!S204,"")</f>
        <v/>
      </c>
      <c r="T204" s="117" t="str">
        <f>IF(kokpit!T204&lt;&gt;"",kokpit!T204,"")</f>
        <v/>
      </c>
      <c r="U204" s="141" t="str">
        <f>IF(R204&lt;&gt;"",SUMIFS('JPK_KR-1'!AL:AL,'JPK_KR-1'!W:W,S204),"")</f>
        <v/>
      </c>
      <c r="V204" s="144" t="str">
        <f>IF(R204&lt;&gt;"",SUMIFS('JPK_KR-1'!AM:AM,'JPK_KR-1'!W:W,S204),"")</f>
        <v/>
      </c>
    </row>
    <row r="205" spans="1:22" x14ac:dyDescent="0.3">
      <c r="A205" s="5" t="str">
        <f>IF(kokpit!A205&lt;&gt;"",kokpit!A205,"")</f>
        <v/>
      </c>
      <c r="B205" s="5" t="str">
        <f>IF(kokpit!B205&lt;&gt;"",kokpit!B205,"")</f>
        <v/>
      </c>
      <c r="C205" s="24" t="str">
        <f>IF(A205&lt;&gt;"",SUMIFS('JPK_KR-1'!AL:AL,'JPK_KR-1'!W:W,B205),"")</f>
        <v/>
      </c>
      <c r="D205" s="126" t="str">
        <f>IF(A205&lt;&gt;"",SUMIFS('JPK_KR-1'!AM:AM,'JPK_KR-1'!W:W,B205),"")</f>
        <v/>
      </c>
      <c r="E205" s="5" t="str">
        <f>IF(kokpit!E205&lt;&gt;"",kokpit!E205,"")</f>
        <v/>
      </c>
      <c r="F205" s="127" t="str">
        <f>IF(kokpit!F205&lt;&gt;"",kokpit!F205,"")</f>
        <v/>
      </c>
      <c r="G205" s="24" t="str">
        <f>IF(E205&lt;&gt;"",SUMIFS('JPK_KR-1'!AL:AL,'JPK_KR-1'!W:W,F205),"")</f>
        <v/>
      </c>
      <c r="H205" s="126" t="str">
        <f>IF(E205&lt;&gt;"",SUMIFS('JPK_KR-1'!AM:AM,'JPK_KR-1'!W:W,F205),"")</f>
        <v/>
      </c>
      <c r="I205" s="5" t="str">
        <f>IF(kokpit!I205&lt;&gt;"",kokpit!I205,"")</f>
        <v/>
      </c>
      <c r="J205" s="5" t="str">
        <f>IF(kokpit!J205&lt;&gt;"",kokpit!J205,"")</f>
        <v/>
      </c>
      <c r="K205" s="24" t="str">
        <f>IF(I205&lt;&gt;"",SUMIFS('JPK_KR-1'!AL:AL,'JPK_KR-1'!W:W,J205),"")</f>
        <v/>
      </c>
      <c r="L205" s="141" t="str">
        <f>IF(I205&lt;&gt;"",SUMIFS('JPK_KR-1'!AM:AM,'JPK_KR-1'!W:W,J205),"")</f>
        <v/>
      </c>
      <c r="M205" s="143" t="str">
        <f>IF(kokpit!M205&lt;&gt;"",kokpit!M205,"")</f>
        <v/>
      </c>
      <c r="N205" s="117" t="str">
        <f>IF(kokpit!N205&lt;&gt;"",kokpit!N205,"")</f>
        <v/>
      </c>
      <c r="O205" s="117" t="str">
        <f>IF(kokpit!O205&lt;&gt;"",kokpit!O205,"")</f>
        <v/>
      </c>
      <c r="P205" s="141" t="str">
        <f>IF(M205&lt;&gt;"",IF(O205="",SUMIFS('JPK_KR-1'!AL:AL,'JPK_KR-1'!W:W,N205),SUMIFS('JPK_KR-1'!BF:BF,'JPK_KR-1'!BE:BE,N205,'JPK_KR-1'!BG:BG,O205)),"")</f>
        <v/>
      </c>
      <c r="Q205" s="144" t="str">
        <f>IF(M205&lt;&gt;"",IF(O205="",SUMIFS('JPK_KR-1'!AM:AM,'JPK_KR-1'!W:W,N205),SUMIFS('JPK_KR-1'!BI:BI,'JPK_KR-1'!BH:BH,N205,'JPK_KR-1'!BJ:BJ,O205)),"")</f>
        <v/>
      </c>
      <c r="R205" s="117" t="str">
        <f>IF(kokpit!R205&lt;&gt;"",kokpit!R205,"")</f>
        <v/>
      </c>
      <c r="S205" s="117" t="str">
        <f>IF(kokpit!S205&lt;&gt;"",kokpit!S205,"")</f>
        <v/>
      </c>
      <c r="T205" s="117" t="str">
        <f>IF(kokpit!T205&lt;&gt;"",kokpit!T205,"")</f>
        <v/>
      </c>
      <c r="U205" s="141" t="str">
        <f>IF(R205&lt;&gt;"",SUMIFS('JPK_KR-1'!AL:AL,'JPK_KR-1'!W:W,S205),"")</f>
        <v/>
      </c>
      <c r="V205" s="144" t="str">
        <f>IF(R205&lt;&gt;"",SUMIFS('JPK_KR-1'!AM:AM,'JPK_KR-1'!W:W,S205),"")</f>
        <v/>
      </c>
    </row>
    <row r="206" spans="1:22" x14ac:dyDescent="0.3">
      <c r="A206" s="5" t="str">
        <f>IF(kokpit!A206&lt;&gt;"",kokpit!A206,"")</f>
        <v/>
      </c>
      <c r="B206" s="5" t="str">
        <f>IF(kokpit!B206&lt;&gt;"",kokpit!B206,"")</f>
        <v/>
      </c>
      <c r="C206" s="24" t="str">
        <f>IF(A206&lt;&gt;"",SUMIFS('JPK_KR-1'!AL:AL,'JPK_KR-1'!W:W,B206),"")</f>
        <v/>
      </c>
      <c r="D206" s="126" t="str">
        <f>IF(A206&lt;&gt;"",SUMIFS('JPK_KR-1'!AM:AM,'JPK_KR-1'!W:W,B206),"")</f>
        <v/>
      </c>
      <c r="E206" s="5" t="str">
        <f>IF(kokpit!E206&lt;&gt;"",kokpit!E206,"")</f>
        <v/>
      </c>
      <c r="F206" s="127" t="str">
        <f>IF(kokpit!F206&lt;&gt;"",kokpit!F206,"")</f>
        <v/>
      </c>
      <c r="G206" s="24" t="str">
        <f>IF(E206&lt;&gt;"",SUMIFS('JPK_KR-1'!AL:AL,'JPK_KR-1'!W:W,F206),"")</f>
        <v/>
      </c>
      <c r="H206" s="126" t="str">
        <f>IF(E206&lt;&gt;"",SUMIFS('JPK_KR-1'!AM:AM,'JPK_KR-1'!W:W,F206),"")</f>
        <v/>
      </c>
      <c r="I206" s="5" t="str">
        <f>IF(kokpit!I206&lt;&gt;"",kokpit!I206,"")</f>
        <v/>
      </c>
      <c r="J206" s="5" t="str">
        <f>IF(kokpit!J206&lt;&gt;"",kokpit!J206,"")</f>
        <v/>
      </c>
      <c r="K206" s="24" t="str">
        <f>IF(I206&lt;&gt;"",SUMIFS('JPK_KR-1'!AL:AL,'JPK_KR-1'!W:W,J206),"")</f>
        <v/>
      </c>
      <c r="L206" s="141" t="str">
        <f>IF(I206&lt;&gt;"",SUMIFS('JPK_KR-1'!AM:AM,'JPK_KR-1'!W:W,J206),"")</f>
        <v/>
      </c>
      <c r="M206" s="143" t="str">
        <f>IF(kokpit!M206&lt;&gt;"",kokpit!M206,"")</f>
        <v/>
      </c>
      <c r="N206" s="117" t="str">
        <f>IF(kokpit!N206&lt;&gt;"",kokpit!N206,"")</f>
        <v/>
      </c>
      <c r="O206" s="117" t="str">
        <f>IF(kokpit!O206&lt;&gt;"",kokpit!O206,"")</f>
        <v/>
      </c>
      <c r="P206" s="141" t="str">
        <f>IF(M206&lt;&gt;"",IF(O206="",SUMIFS('JPK_KR-1'!AL:AL,'JPK_KR-1'!W:W,N206),SUMIFS('JPK_KR-1'!BF:BF,'JPK_KR-1'!BE:BE,N206,'JPK_KR-1'!BG:BG,O206)),"")</f>
        <v/>
      </c>
      <c r="Q206" s="144" t="str">
        <f>IF(M206&lt;&gt;"",IF(O206="",SUMIFS('JPK_KR-1'!AM:AM,'JPK_KR-1'!W:W,N206),SUMIFS('JPK_KR-1'!BI:BI,'JPK_KR-1'!BH:BH,N206,'JPK_KR-1'!BJ:BJ,O206)),"")</f>
        <v/>
      </c>
      <c r="R206" s="117" t="str">
        <f>IF(kokpit!R206&lt;&gt;"",kokpit!R206,"")</f>
        <v/>
      </c>
      <c r="S206" s="117" t="str">
        <f>IF(kokpit!S206&lt;&gt;"",kokpit!S206,"")</f>
        <v/>
      </c>
      <c r="T206" s="117" t="str">
        <f>IF(kokpit!T206&lt;&gt;"",kokpit!T206,"")</f>
        <v/>
      </c>
      <c r="U206" s="141" t="str">
        <f>IF(R206&lt;&gt;"",SUMIFS('JPK_KR-1'!AL:AL,'JPK_KR-1'!W:W,S206),"")</f>
        <v/>
      </c>
      <c r="V206" s="144" t="str">
        <f>IF(R206&lt;&gt;"",SUMIFS('JPK_KR-1'!AM:AM,'JPK_KR-1'!W:W,S206),"")</f>
        <v/>
      </c>
    </row>
    <row r="207" spans="1:22" x14ac:dyDescent="0.3">
      <c r="A207" s="5" t="str">
        <f>IF(kokpit!A207&lt;&gt;"",kokpit!A207,"")</f>
        <v/>
      </c>
      <c r="B207" s="5" t="str">
        <f>IF(kokpit!B207&lt;&gt;"",kokpit!B207,"")</f>
        <v/>
      </c>
      <c r="C207" s="24" t="str">
        <f>IF(A207&lt;&gt;"",SUMIFS('JPK_KR-1'!AL:AL,'JPK_KR-1'!W:W,B207),"")</f>
        <v/>
      </c>
      <c r="D207" s="126" t="str">
        <f>IF(A207&lt;&gt;"",SUMIFS('JPK_KR-1'!AM:AM,'JPK_KR-1'!W:W,B207),"")</f>
        <v/>
      </c>
      <c r="E207" s="5" t="str">
        <f>IF(kokpit!E207&lt;&gt;"",kokpit!E207,"")</f>
        <v/>
      </c>
      <c r="F207" s="127" t="str">
        <f>IF(kokpit!F207&lt;&gt;"",kokpit!F207,"")</f>
        <v/>
      </c>
      <c r="G207" s="24" t="str">
        <f>IF(E207&lt;&gt;"",SUMIFS('JPK_KR-1'!AL:AL,'JPK_KR-1'!W:W,F207),"")</f>
        <v/>
      </c>
      <c r="H207" s="126" t="str">
        <f>IF(E207&lt;&gt;"",SUMIFS('JPK_KR-1'!AM:AM,'JPK_KR-1'!W:W,F207),"")</f>
        <v/>
      </c>
      <c r="I207" s="5" t="str">
        <f>IF(kokpit!I207&lt;&gt;"",kokpit!I207,"")</f>
        <v/>
      </c>
      <c r="J207" s="5" t="str">
        <f>IF(kokpit!J207&lt;&gt;"",kokpit!J207,"")</f>
        <v/>
      </c>
      <c r="K207" s="24" t="str">
        <f>IF(I207&lt;&gt;"",SUMIFS('JPK_KR-1'!AL:AL,'JPK_KR-1'!W:W,J207),"")</f>
        <v/>
      </c>
      <c r="L207" s="141" t="str">
        <f>IF(I207&lt;&gt;"",SUMIFS('JPK_KR-1'!AM:AM,'JPK_KR-1'!W:W,J207),"")</f>
        <v/>
      </c>
      <c r="M207" s="143" t="str">
        <f>IF(kokpit!M207&lt;&gt;"",kokpit!M207,"")</f>
        <v/>
      </c>
      <c r="N207" s="117" t="str">
        <f>IF(kokpit!N207&lt;&gt;"",kokpit!N207,"")</f>
        <v/>
      </c>
      <c r="O207" s="117" t="str">
        <f>IF(kokpit!O207&lt;&gt;"",kokpit!O207,"")</f>
        <v/>
      </c>
      <c r="P207" s="141" t="str">
        <f>IF(M207&lt;&gt;"",IF(O207="",SUMIFS('JPK_KR-1'!AL:AL,'JPK_KR-1'!W:W,N207),SUMIFS('JPK_KR-1'!BF:BF,'JPK_KR-1'!BE:BE,N207,'JPK_KR-1'!BG:BG,O207)),"")</f>
        <v/>
      </c>
      <c r="Q207" s="144" t="str">
        <f>IF(M207&lt;&gt;"",IF(O207="",SUMIFS('JPK_KR-1'!AM:AM,'JPK_KR-1'!W:W,N207),SUMIFS('JPK_KR-1'!BI:BI,'JPK_KR-1'!BH:BH,N207,'JPK_KR-1'!BJ:BJ,O207)),"")</f>
        <v/>
      </c>
      <c r="R207" s="117" t="str">
        <f>IF(kokpit!R207&lt;&gt;"",kokpit!R207,"")</f>
        <v/>
      </c>
      <c r="S207" s="117" t="str">
        <f>IF(kokpit!S207&lt;&gt;"",kokpit!S207,"")</f>
        <v/>
      </c>
      <c r="T207" s="117" t="str">
        <f>IF(kokpit!T207&lt;&gt;"",kokpit!T207,"")</f>
        <v/>
      </c>
      <c r="U207" s="141" t="str">
        <f>IF(R207&lt;&gt;"",SUMIFS('JPK_KR-1'!AL:AL,'JPK_KR-1'!W:W,S207),"")</f>
        <v/>
      </c>
      <c r="V207" s="144" t="str">
        <f>IF(R207&lt;&gt;"",SUMIFS('JPK_KR-1'!AM:AM,'JPK_KR-1'!W:W,S207),"")</f>
        <v/>
      </c>
    </row>
    <row r="208" spans="1:22" x14ac:dyDescent="0.3">
      <c r="A208" s="5" t="str">
        <f>IF(kokpit!A208&lt;&gt;"",kokpit!A208,"")</f>
        <v/>
      </c>
      <c r="B208" s="5" t="str">
        <f>IF(kokpit!B208&lt;&gt;"",kokpit!B208,"")</f>
        <v/>
      </c>
      <c r="C208" s="24" t="str">
        <f>IF(A208&lt;&gt;"",SUMIFS('JPK_KR-1'!AL:AL,'JPK_KR-1'!W:W,B208),"")</f>
        <v/>
      </c>
      <c r="D208" s="126" t="str">
        <f>IF(A208&lt;&gt;"",SUMIFS('JPK_KR-1'!AM:AM,'JPK_KR-1'!W:W,B208),"")</f>
        <v/>
      </c>
      <c r="E208" s="5" t="str">
        <f>IF(kokpit!E208&lt;&gt;"",kokpit!E208,"")</f>
        <v/>
      </c>
      <c r="F208" s="127" t="str">
        <f>IF(kokpit!F208&lt;&gt;"",kokpit!F208,"")</f>
        <v/>
      </c>
      <c r="G208" s="24" t="str">
        <f>IF(E208&lt;&gt;"",SUMIFS('JPK_KR-1'!AL:AL,'JPK_KR-1'!W:W,F208),"")</f>
        <v/>
      </c>
      <c r="H208" s="126" t="str">
        <f>IF(E208&lt;&gt;"",SUMIFS('JPK_KR-1'!AM:AM,'JPK_KR-1'!W:W,F208),"")</f>
        <v/>
      </c>
      <c r="I208" s="5" t="str">
        <f>IF(kokpit!I208&lt;&gt;"",kokpit!I208,"")</f>
        <v/>
      </c>
      <c r="J208" s="5" t="str">
        <f>IF(kokpit!J208&lt;&gt;"",kokpit!J208,"")</f>
        <v/>
      </c>
      <c r="K208" s="24" t="str">
        <f>IF(I208&lt;&gt;"",SUMIFS('JPK_KR-1'!AL:AL,'JPK_KR-1'!W:W,J208),"")</f>
        <v/>
      </c>
      <c r="L208" s="141" t="str">
        <f>IF(I208&lt;&gt;"",SUMIFS('JPK_KR-1'!AM:AM,'JPK_KR-1'!W:W,J208),"")</f>
        <v/>
      </c>
      <c r="M208" s="143" t="str">
        <f>IF(kokpit!M208&lt;&gt;"",kokpit!M208,"")</f>
        <v/>
      </c>
      <c r="N208" s="117" t="str">
        <f>IF(kokpit!N208&lt;&gt;"",kokpit!N208,"")</f>
        <v/>
      </c>
      <c r="O208" s="117" t="str">
        <f>IF(kokpit!O208&lt;&gt;"",kokpit!O208,"")</f>
        <v/>
      </c>
      <c r="P208" s="141" t="str">
        <f>IF(M208&lt;&gt;"",IF(O208="",SUMIFS('JPK_KR-1'!AL:AL,'JPK_KR-1'!W:W,N208),SUMIFS('JPK_KR-1'!BF:BF,'JPK_KR-1'!BE:BE,N208,'JPK_KR-1'!BG:BG,O208)),"")</f>
        <v/>
      </c>
      <c r="Q208" s="144" t="str">
        <f>IF(M208&lt;&gt;"",IF(O208="",SUMIFS('JPK_KR-1'!AM:AM,'JPK_KR-1'!W:W,N208),SUMIFS('JPK_KR-1'!BI:BI,'JPK_KR-1'!BH:BH,N208,'JPK_KR-1'!BJ:BJ,O208)),"")</f>
        <v/>
      </c>
      <c r="R208" s="117" t="str">
        <f>IF(kokpit!R208&lt;&gt;"",kokpit!R208,"")</f>
        <v/>
      </c>
      <c r="S208" s="117" t="str">
        <f>IF(kokpit!S208&lt;&gt;"",kokpit!S208,"")</f>
        <v/>
      </c>
      <c r="T208" s="117" t="str">
        <f>IF(kokpit!T208&lt;&gt;"",kokpit!T208,"")</f>
        <v/>
      </c>
      <c r="U208" s="141" t="str">
        <f>IF(R208&lt;&gt;"",SUMIFS('JPK_KR-1'!AL:AL,'JPK_KR-1'!W:W,S208),"")</f>
        <v/>
      </c>
      <c r="V208" s="144" t="str">
        <f>IF(R208&lt;&gt;"",SUMIFS('JPK_KR-1'!AM:AM,'JPK_KR-1'!W:W,S208),"")</f>
        <v/>
      </c>
    </row>
    <row r="209" spans="1:22" x14ac:dyDescent="0.3">
      <c r="A209" s="5" t="str">
        <f>IF(kokpit!A209&lt;&gt;"",kokpit!A209,"")</f>
        <v/>
      </c>
      <c r="B209" s="5" t="str">
        <f>IF(kokpit!B209&lt;&gt;"",kokpit!B209,"")</f>
        <v/>
      </c>
      <c r="C209" s="24" t="str">
        <f>IF(A209&lt;&gt;"",SUMIFS('JPK_KR-1'!AL:AL,'JPK_KR-1'!W:W,B209),"")</f>
        <v/>
      </c>
      <c r="D209" s="126" t="str">
        <f>IF(A209&lt;&gt;"",SUMIFS('JPK_KR-1'!AM:AM,'JPK_KR-1'!W:W,B209),"")</f>
        <v/>
      </c>
      <c r="E209" s="5" t="str">
        <f>IF(kokpit!E209&lt;&gt;"",kokpit!E209,"")</f>
        <v/>
      </c>
      <c r="F209" s="127" t="str">
        <f>IF(kokpit!F209&lt;&gt;"",kokpit!F209,"")</f>
        <v/>
      </c>
      <c r="G209" s="24" t="str">
        <f>IF(E209&lt;&gt;"",SUMIFS('JPK_KR-1'!AL:AL,'JPK_KR-1'!W:W,F209),"")</f>
        <v/>
      </c>
      <c r="H209" s="126" t="str">
        <f>IF(E209&lt;&gt;"",SUMIFS('JPK_KR-1'!AM:AM,'JPK_KR-1'!W:W,F209),"")</f>
        <v/>
      </c>
      <c r="I209" s="5" t="str">
        <f>IF(kokpit!I209&lt;&gt;"",kokpit!I209,"")</f>
        <v/>
      </c>
      <c r="J209" s="5" t="str">
        <f>IF(kokpit!J209&lt;&gt;"",kokpit!J209,"")</f>
        <v/>
      </c>
      <c r="K209" s="24" t="str">
        <f>IF(I209&lt;&gt;"",SUMIFS('JPK_KR-1'!AL:AL,'JPK_KR-1'!W:W,J209),"")</f>
        <v/>
      </c>
      <c r="L209" s="141" t="str">
        <f>IF(I209&lt;&gt;"",SUMIFS('JPK_KR-1'!AM:AM,'JPK_KR-1'!W:W,J209),"")</f>
        <v/>
      </c>
      <c r="M209" s="143" t="str">
        <f>IF(kokpit!M209&lt;&gt;"",kokpit!M209,"")</f>
        <v/>
      </c>
      <c r="N209" s="117" t="str">
        <f>IF(kokpit!N209&lt;&gt;"",kokpit!N209,"")</f>
        <v/>
      </c>
      <c r="O209" s="117" t="str">
        <f>IF(kokpit!O209&lt;&gt;"",kokpit!O209,"")</f>
        <v/>
      </c>
      <c r="P209" s="141" t="str">
        <f>IF(M209&lt;&gt;"",IF(O209="",SUMIFS('JPK_KR-1'!AL:AL,'JPK_KR-1'!W:W,N209),SUMIFS('JPK_KR-1'!BF:BF,'JPK_KR-1'!BE:BE,N209,'JPK_KR-1'!BG:BG,O209)),"")</f>
        <v/>
      </c>
      <c r="Q209" s="144" t="str">
        <f>IF(M209&lt;&gt;"",IF(O209="",SUMIFS('JPK_KR-1'!AM:AM,'JPK_KR-1'!W:W,N209),SUMIFS('JPK_KR-1'!BI:BI,'JPK_KR-1'!BH:BH,N209,'JPK_KR-1'!BJ:BJ,O209)),"")</f>
        <v/>
      </c>
      <c r="R209" s="117" t="str">
        <f>IF(kokpit!R209&lt;&gt;"",kokpit!R209,"")</f>
        <v/>
      </c>
      <c r="S209" s="117" t="str">
        <f>IF(kokpit!S209&lt;&gt;"",kokpit!S209,"")</f>
        <v/>
      </c>
      <c r="T209" s="117" t="str">
        <f>IF(kokpit!T209&lt;&gt;"",kokpit!T209,"")</f>
        <v/>
      </c>
      <c r="U209" s="141" t="str">
        <f>IF(R209&lt;&gt;"",SUMIFS('JPK_KR-1'!AL:AL,'JPK_KR-1'!W:W,S209),"")</f>
        <v/>
      </c>
      <c r="V209" s="144" t="str">
        <f>IF(R209&lt;&gt;"",SUMIFS('JPK_KR-1'!AM:AM,'JPK_KR-1'!W:W,S209),"")</f>
        <v/>
      </c>
    </row>
    <row r="210" spans="1:22" x14ac:dyDescent="0.3">
      <c r="A210" s="5" t="str">
        <f>IF(kokpit!A210&lt;&gt;"",kokpit!A210,"")</f>
        <v/>
      </c>
      <c r="B210" s="5" t="str">
        <f>IF(kokpit!B210&lt;&gt;"",kokpit!B210,"")</f>
        <v/>
      </c>
      <c r="C210" s="24" t="str">
        <f>IF(A210&lt;&gt;"",SUMIFS('JPK_KR-1'!AL:AL,'JPK_KR-1'!W:W,B210),"")</f>
        <v/>
      </c>
      <c r="D210" s="126" t="str">
        <f>IF(A210&lt;&gt;"",SUMIFS('JPK_KR-1'!AM:AM,'JPK_KR-1'!W:W,B210),"")</f>
        <v/>
      </c>
      <c r="E210" s="5" t="str">
        <f>IF(kokpit!E210&lt;&gt;"",kokpit!E210,"")</f>
        <v/>
      </c>
      <c r="F210" s="127" t="str">
        <f>IF(kokpit!F210&lt;&gt;"",kokpit!F210,"")</f>
        <v/>
      </c>
      <c r="G210" s="24" t="str">
        <f>IF(E210&lt;&gt;"",SUMIFS('JPK_KR-1'!AL:AL,'JPK_KR-1'!W:W,F210),"")</f>
        <v/>
      </c>
      <c r="H210" s="126" t="str">
        <f>IF(E210&lt;&gt;"",SUMIFS('JPK_KR-1'!AM:AM,'JPK_KR-1'!W:W,F210),"")</f>
        <v/>
      </c>
      <c r="I210" s="5" t="str">
        <f>IF(kokpit!I210&lt;&gt;"",kokpit!I210,"")</f>
        <v/>
      </c>
      <c r="J210" s="5" t="str">
        <f>IF(kokpit!J210&lt;&gt;"",kokpit!J210,"")</f>
        <v/>
      </c>
      <c r="K210" s="24" t="str">
        <f>IF(I210&lt;&gt;"",SUMIFS('JPK_KR-1'!AL:AL,'JPK_KR-1'!W:W,J210),"")</f>
        <v/>
      </c>
      <c r="L210" s="141" t="str">
        <f>IF(I210&lt;&gt;"",SUMIFS('JPK_KR-1'!AM:AM,'JPK_KR-1'!W:W,J210),"")</f>
        <v/>
      </c>
      <c r="M210" s="143" t="str">
        <f>IF(kokpit!M210&lt;&gt;"",kokpit!M210,"")</f>
        <v/>
      </c>
      <c r="N210" s="117" t="str">
        <f>IF(kokpit!N210&lt;&gt;"",kokpit!N210,"")</f>
        <v/>
      </c>
      <c r="O210" s="117" t="str">
        <f>IF(kokpit!O210&lt;&gt;"",kokpit!O210,"")</f>
        <v/>
      </c>
      <c r="P210" s="141" t="str">
        <f>IF(M210&lt;&gt;"",IF(O210="",SUMIFS('JPK_KR-1'!AL:AL,'JPK_KR-1'!W:W,N210),SUMIFS('JPK_KR-1'!BF:BF,'JPK_KR-1'!BE:BE,N210,'JPK_KR-1'!BG:BG,O210)),"")</f>
        <v/>
      </c>
      <c r="Q210" s="144" t="str">
        <f>IF(M210&lt;&gt;"",IF(O210="",SUMIFS('JPK_KR-1'!AM:AM,'JPK_KR-1'!W:W,N210),SUMIFS('JPK_KR-1'!BI:BI,'JPK_KR-1'!BH:BH,N210,'JPK_KR-1'!BJ:BJ,O210)),"")</f>
        <v/>
      </c>
      <c r="R210" s="117" t="str">
        <f>IF(kokpit!R210&lt;&gt;"",kokpit!R210,"")</f>
        <v/>
      </c>
      <c r="S210" s="117" t="str">
        <f>IF(kokpit!S210&lt;&gt;"",kokpit!S210,"")</f>
        <v/>
      </c>
      <c r="T210" s="117" t="str">
        <f>IF(kokpit!T210&lt;&gt;"",kokpit!T210,"")</f>
        <v/>
      </c>
      <c r="U210" s="141" t="str">
        <f>IF(R210&lt;&gt;"",SUMIFS('JPK_KR-1'!AL:AL,'JPK_KR-1'!W:W,S210),"")</f>
        <v/>
      </c>
      <c r="V210" s="144" t="str">
        <f>IF(R210&lt;&gt;"",SUMIFS('JPK_KR-1'!AM:AM,'JPK_KR-1'!W:W,S210),"")</f>
        <v/>
      </c>
    </row>
    <row r="211" spans="1:22" x14ac:dyDescent="0.3">
      <c r="A211" s="5" t="str">
        <f>IF(kokpit!A211&lt;&gt;"",kokpit!A211,"")</f>
        <v/>
      </c>
      <c r="B211" s="5" t="str">
        <f>IF(kokpit!B211&lt;&gt;"",kokpit!B211,"")</f>
        <v/>
      </c>
      <c r="C211" s="24" t="str">
        <f>IF(A211&lt;&gt;"",SUMIFS('JPK_KR-1'!AL:AL,'JPK_KR-1'!W:W,B211),"")</f>
        <v/>
      </c>
      <c r="D211" s="126" t="str">
        <f>IF(A211&lt;&gt;"",SUMIFS('JPK_KR-1'!AM:AM,'JPK_KR-1'!W:W,B211),"")</f>
        <v/>
      </c>
      <c r="E211" s="5" t="str">
        <f>IF(kokpit!E211&lt;&gt;"",kokpit!E211,"")</f>
        <v/>
      </c>
      <c r="F211" s="127" t="str">
        <f>IF(kokpit!F211&lt;&gt;"",kokpit!F211,"")</f>
        <v/>
      </c>
      <c r="G211" s="24" t="str">
        <f>IF(E211&lt;&gt;"",SUMIFS('JPK_KR-1'!AL:AL,'JPK_KR-1'!W:W,F211),"")</f>
        <v/>
      </c>
      <c r="H211" s="126" t="str">
        <f>IF(E211&lt;&gt;"",SUMIFS('JPK_KR-1'!AM:AM,'JPK_KR-1'!W:W,F211),"")</f>
        <v/>
      </c>
      <c r="I211" s="5" t="str">
        <f>IF(kokpit!I211&lt;&gt;"",kokpit!I211,"")</f>
        <v/>
      </c>
      <c r="J211" s="5" t="str">
        <f>IF(kokpit!J211&lt;&gt;"",kokpit!J211,"")</f>
        <v/>
      </c>
      <c r="K211" s="24" t="str">
        <f>IF(I211&lt;&gt;"",SUMIFS('JPK_KR-1'!AL:AL,'JPK_KR-1'!W:W,J211),"")</f>
        <v/>
      </c>
      <c r="L211" s="141" t="str">
        <f>IF(I211&lt;&gt;"",SUMIFS('JPK_KR-1'!AM:AM,'JPK_KR-1'!W:W,J211),"")</f>
        <v/>
      </c>
      <c r="M211" s="143" t="str">
        <f>IF(kokpit!M211&lt;&gt;"",kokpit!M211,"")</f>
        <v/>
      </c>
      <c r="N211" s="117" t="str">
        <f>IF(kokpit!N211&lt;&gt;"",kokpit!N211,"")</f>
        <v/>
      </c>
      <c r="O211" s="117" t="str">
        <f>IF(kokpit!O211&lt;&gt;"",kokpit!O211,"")</f>
        <v/>
      </c>
      <c r="P211" s="141" t="str">
        <f>IF(M211&lt;&gt;"",IF(O211="",SUMIFS('JPK_KR-1'!AL:AL,'JPK_KR-1'!W:W,N211),SUMIFS('JPK_KR-1'!BF:BF,'JPK_KR-1'!BE:BE,N211,'JPK_KR-1'!BG:BG,O211)),"")</f>
        <v/>
      </c>
      <c r="Q211" s="144" t="str">
        <f>IF(M211&lt;&gt;"",IF(O211="",SUMIFS('JPK_KR-1'!AM:AM,'JPK_KR-1'!W:W,N211),SUMIFS('JPK_KR-1'!BI:BI,'JPK_KR-1'!BH:BH,N211,'JPK_KR-1'!BJ:BJ,O211)),"")</f>
        <v/>
      </c>
      <c r="R211" s="117" t="str">
        <f>IF(kokpit!R211&lt;&gt;"",kokpit!R211,"")</f>
        <v/>
      </c>
      <c r="S211" s="117" t="str">
        <f>IF(kokpit!S211&lt;&gt;"",kokpit!S211,"")</f>
        <v/>
      </c>
      <c r="T211" s="117" t="str">
        <f>IF(kokpit!T211&lt;&gt;"",kokpit!T211,"")</f>
        <v/>
      </c>
      <c r="U211" s="141" t="str">
        <f>IF(R211&lt;&gt;"",SUMIFS('JPK_KR-1'!AL:AL,'JPK_KR-1'!W:W,S211),"")</f>
        <v/>
      </c>
      <c r="V211" s="144" t="str">
        <f>IF(R211&lt;&gt;"",SUMIFS('JPK_KR-1'!AM:AM,'JPK_KR-1'!W:W,S211),"")</f>
        <v/>
      </c>
    </row>
    <row r="212" spans="1:22" x14ac:dyDescent="0.3">
      <c r="A212" s="5" t="str">
        <f>IF(kokpit!A212&lt;&gt;"",kokpit!A212,"")</f>
        <v/>
      </c>
      <c r="B212" s="5" t="str">
        <f>IF(kokpit!B212&lt;&gt;"",kokpit!B212,"")</f>
        <v/>
      </c>
      <c r="C212" s="24" t="str">
        <f>IF(A212&lt;&gt;"",SUMIFS('JPK_KR-1'!AL:AL,'JPK_KR-1'!W:W,B212),"")</f>
        <v/>
      </c>
      <c r="D212" s="126" t="str">
        <f>IF(A212&lt;&gt;"",SUMIFS('JPK_KR-1'!AM:AM,'JPK_KR-1'!W:W,B212),"")</f>
        <v/>
      </c>
      <c r="E212" s="5" t="str">
        <f>IF(kokpit!E212&lt;&gt;"",kokpit!E212,"")</f>
        <v/>
      </c>
      <c r="F212" s="127" t="str">
        <f>IF(kokpit!F212&lt;&gt;"",kokpit!F212,"")</f>
        <v/>
      </c>
      <c r="G212" s="24" t="str">
        <f>IF(E212&lt;&gt;"",SUMIFS('JPK_KR-1'!AL:AL,'JPK_KR-1'!W:W,F212),"")</f>
        <v/>
      </c>
      <c r="H212" s="126" t="str">
        <f>IF(E212&lt;&gt;"",SUMIFS('JPK_KR-1'!AM:AM,'JPK_KR-1'!W:W,F212),"")</f>
        <v/>
      </c>
      <c r="I212" s="5" t="str">
        <f>IF(kokpit!I212&lt;&gt;"",kokpit!I212,"")</f>
        <v/>
      </c>
      <c r="J212" s="5" t="str">
        <f>IF(kokpit!J212&lt;&gt;"",kokpit!J212,"")</f>
        <v/>
      </c>
      <c r="K212" s="24" t="str">
        <f>IF(I212&lt;&gt;"",SUMIFS('JPK_KR-1'!AL:AL,'JPK_KR-1'!W:W,J212),"")</f>
        <v/>
      </c>
      <c r="L212" s="141" t="str">
        <f>IF(I212&lt;&gt;"",SUMIFS('JPK_KR-1'!AM:AM,'JPK_KR-1'!W:W,J212),"")</f>
        <v/>
      </c>
      <c r="M212" s="143" t="str">
        <f>IF(kokpit!M212&lt;&gt;"",kokpit!M212,"")</f>
        <v/>
      </c>
      <c r="N212" s="117" t="str">
        <f>IF(kokpit!N212&lt;&gt;"",kokpit!N212,"")</f>
        <v/>
      </c>
      <c r="O212" s="117" t="str">
        <f>IF(kokpit!O212&lt;&gt;"",kokpit!O212,"")</f>
        <v/>
      </c>
      <c r="P212" s="141" t="str">
        <f>IF(M212&lt;&gt;"",IF(O212="",SUMIFS('JPK_KR-1'!AL:AL,'JPK_KR-1'!W:W,N212),SUMIFS('JPK_KR-1'!BF:BF,'JPK_KR-1'!BE:BE,N212,'JPK_KR-1'!BG:BG,O212)),"")</f>
        <v/>
      </c>
      <c r="Q212" s="144" t="str">
        <f>IF(M212&lt;&gt;"",IF(O212="",SUMIFS('JPK_KR-1'!AM:AM,'JPK_KR-1'!W:W,N212),SUMIFS('JPK_KR-1'!BI:BI,'JPK_KR-1'!BH:BH,N212,'JPK_KR-1'!BJ:BJ,O212)),"")</f>
        <v/>
      </c>
      <c r="R212" s="117" t="str">
        <f>IF(kokpit!R212&lt;&gt;"",kokpit!R212,"")</f>
        <v/>
      </c>
      <c r="S212" s="117" t="str">
        <f>IF(kokpit!S212&lt;&gt;"",kokpit!S212,"")</f>
        <v/>
      </c>
      <c r="T212" s="117" t="str">
        <f>IF(kokpit!T212&lt;&gt;"",kokpit!T212,"")</f>
        <v/>
      </c>
      <c r="U212" s="141" t="str">
        <f>IF(R212&lt;&gt;"",SUMIFS('JPK_KR-1'!AL:AL,'JPK_KR-1'!W:W,S212),"")</f>
        <v/>
      </c>
      <c r="V212" s="144" t="str">
        <f>IF(R212&lt;&gt;"",SUMIFS('JPK_KR-1'!AM:AM,'JPK_KR-1'!W:W,S212),"")</f>
        <v/>
      </c>
    </row>
    <row r="213" spans="1:22" x14ac:dyDescent="0.3">
      <c r="A213" s="5" t="str">
        <f>IF(kokpit!A213&lt;&gt;"",kokpit!A213,"")</f>
        <v/>
      </c>
      <c r="B213" s="5" t="str">
        <f>IF(kokpit!B213&lt;&gt;"",kokpit!B213,"")</f>
        <v/>
      </c>
      <c r="C213" s="24" t="str">
        <f>IF(A213&lt;&gt;"",SUMIFS('JPK_KR-1'!AL:AL,'JPK_KR-1'!W:W,B213),"")</f>
        <v/>
      </c>
      <c r="D213" s="126" t="str">
        <f>IF(A213&lt;&gt;"",SUMIFS('JPK_KR-1'!AM:AM,'JPK_KR-1'!W:W,B213),"")</f>
        <v/>
      </c>
      <c r="E213" s="5" t="str">
        <f>IF(kokpit!E213&lt;&gt;"",kokpit!E213,"")</f>
        <v/>
      </c>
      <c r="F213" s="127" t="str">
        <f>IF(kokpit!F213&lt;&gt;"",kokpit!F213,"")</f>
        <v/>
      </c>
      <c r="G213" s="24" t="str">
        <f>IF(E213&lt;&gt;"",SUMIFS('JPK_KR-1'!AL:AL,'JPK_KR-1'!W:W,F213),"")</f>
        <v/>
      </c>
      <c r="H213" s="126" t="str">
        <f>IF(E213&lt;&gt;"",SUMIFS('JPK_KR-1'!AM:AM,'JPK_KR-1'!W:W,F213),"")</f>
        <v/>
      </c>
      <c r="I213" s="5" t="str">
        <f>IF(kokpit!I213&lt;&gt;"",kokpit!I213,"")</f>
        <v/>
      </c>
      <c r="J213" s="5" t="str">
        <f>IF(kokpit!J213&lt;&gt;"",kokpit!J213,"")</f>
        <v/>
      </c>
      <c r="K213" s="24" t="str">
        <f>IF(I213&lt;&gt;"",SUMIFS('JPK_KR-1'!AL:AL,'JPK_KR-1'!W:W,J213),"")</f>
        <v/>
      </c>
      <c r="L213" s="141" t="str">
        <f>IF(I213&lt;&gt;"",SUMIFS('JPK_KR-1'!AM:AM,'JPK_KR-1'!W:W,J213),"")</f>
        <v/>
      </c>
      <c r="M213" s="143" t="str">
        <f>IF(kokpit!M213&lt;&gt;"",kokpit!M213,"")</f>
        <v/>
      </c>
      <c r="N213" s="117" t="str">
        <f>IF(kokpit!N213&lt;&gt;"",kokpit!N213,"")</f>
        <v/>
      </c>
      <c r="O213" s="117" t="str">
        <f>IF(kokpit!O213&lt;&gt;"",kokpit!O213,"")</f>
        <v/>
      </c>
      <c r="P213" s="141" t="str">
        <f>IF(M213&lt;&gt;"",IF(O213="",SUMIFS('JPK_KR-1'!AL:AL,'JPK_KR-1'!W:W,N213),SUMIFS('JPK_KR-1'!BF:BF,'JPK_KR-1'!BE:BE,N213,'JPK_KR-1'!BG:BG,O213)),"")</f>
        <v/>
      </c>
      <c r="Q213" s="144" t="str">
        <f>IF(M213&lt;&gt;"",IF(O213="",SUMIFS('JPK_KR-1'!AM:AM,'JPK_KR-1'!W:W,N213),SUMIFS('JPK_KR-1'!BI:BI,'JPK_KR-1'!BH:BH,N213,'JPK_KR-1'!BJ:BJ,O213)),"")</f>
        <v/>
      </c>
      <c r="R213" s="117" t="str">
        <f>IF(kokpit!R213&lt;&gt;"",kokpit!R213,"")</f>
        <v/>
      </c>
      <c r="S213" s="117" t="str">
        <f>IF(kokpit!S213&lt;&gt;"",kokpit!S213,"")</f>
        <v/>
      </c>
      <c r="T213" s="117" t="str">
        <f>IF(kokpit!T213&lt;&gt;"",kokpit!T213,"")</f>
        <v/>
      </c>
      <c r="U213" s="141" t="str">
        <f>IF(R213&lt;&gt;"",SUMIFS('JPK_KR-1'!AL:AL,'JPK_KR-1'!W:W,S213),"")</f>
        <v/>
      </c>
      <c r="V213" s="144" t="str">
        <f>IF(R213&lt;&gt;"",SUMIFS('JPK_KR-1'!AM:AM,'JPK_KR-1'!W:W,S213),"")</f>
        <v/>
      </c>
    </row>
    <row r="214" spans="1:22" x14ac:dyDescent="0.3">
      <c r="A214" s="5" t="str">
        <f>IF(kokpit!A214&lt;&gt;"",kokpit!A214,"")</f>
        <v/>
      </c>
      <c r="B214" s="5" t="str">
        <f>IF(kokpit!B214&lt;&gt;"",kokpit!B214,"")</f>
        <v/>
      </c>
      <c r="C214" s="24" t="str">
        <f>IF(A214&lt;&gt;"",SUMIFS('JPK_KR-1'!AL:AL,'JPK_KR-1'!W:W,B214),"")</f>
        <v/>
      </c>
      <c r="D214" s="126" t="str">
        <f>IF(A214&lt;&gt;"",SUMIFS('JPK_KR-1'!AM:AM,'JPK_KR-1'!W:W,B214),"")</f>
        <v/>
      </c>
      <c r="E214" s="5" t="str">
        <f>IF(kokpit!E214&lt;&gt;"",kokpit!E214,"")</f>
        <v/>
      </c>
      <c r="F214" s="127" t="str">
        <f>IF(kokpit!F214&lt;&gt;"",kokpit!F214,"")</f>
        <v/>
      </c>
      <c r="G214" s="24" t="str">
        <f>IF(E214&lt;&gt;"",SUMIFS('JPK_KR-1'!AL:AL,'JPK_KR-1'!W:W,F214),"")</f>
        <v/>
      </c>
      <c r="H214" s="126" t="str">
        <f>IF(E214&lt;&gt;"",SUMIFS('JPK_KR-1'!AM:AM,'JPK_KR-1'!W:W,F214),"")</f>
        <v/>
      </c>
      <c r="I214" s="5" t="str">
        <f>IF(kokpit!I214&lt;&gt;"",kokpit!I214,"")</f>
        <v/>
      </c>
      <c r="J214" s="5" t="str">
        <f>IF(kokpit!J214&lt;&gt;"",kokpit!J214,"")</f>
        <v/>
      </c>
      <c r="K214" s="24" t="str">
        <f>IF(I214&lt;&gt;"",SUMIFS('JPK_KR-1'!AL:AL,'JPK_KR-1'!W:W,J214),"")</f>
        <v/>
      </c>
      <c r="L214" s="141" t="str">
        <f>IF(I214&lt;&gt;"",SUMIFS('JPK_KR-1'!AM:AM,'JPK_KR-1'!W:W,J214),"")</f>
        <v/>
      </c>
      <c r="M214" s="143" t="str">
        <f>IF(kokpit!M214&lt;&gt;"",kokpit!M214,"")</f>
        <v/>
      </c>
      <c r="N214" s="117" t="str">
        <f>IF(kokpit!N214&lt;&gt;"",kokpit!N214,"")</f>
        <v/>
      </c>
      <c r="O214" s="117" t="str">
        <f>IF(kokpit!O214&lt;&gt;"",kokpit!O214,"")</f>
        <v/>
      </c>
      <c r="P214" s="141" t="str">
        <f>IF(M214&lt;&gt;"",IF(O214="",SUMIFS('JPK_KR-1'!AL:AL,'JPK_KR-1'!W:W,N214),SUMIFS('JPK_KR-1'!BF:BF,'JPK_KR-1'!BE:BE,N214,'JPK_KR-1'!BG:BG,O214)),"")</f>
        <v/>
      </c>
      <c r="Q214" s="144" t="str">
        <f>IF(M214&lt;&gt;"",IF(O214="",SUMIFS('JPK_KR-1'!AM:AM,'JPK_KR-1'!W:W,N214),SUMIFS('JPK_KR-1'!BI:BI,'JPK_KR-1'!BH:BH,N214,'JPK_KR-1'!BJ:BJ,O214)),"")</f>
        <v/>
      </c>
      <c r="R214" s="117" t="str">
        <f>IF(kokpit!R214&lt;&gt;"",kokpit!R214,"")</f>
        <v/>
      </c>
      <c r="S214" s="117" t="str">
        <f>IF(kokpit!S214&lt;&gt;"",kokpit!S214,"")</f>
        <v/>
      </c>
      <c r="T214" s="117" t="str">
        <f>IF(kokpit!T214&lt;&gt;"",kokpit!T214,"")</f>
        <v/>
      </c>
      <c r="U214" s="141" t="str">
        <f>IF(R214&lt;&gt;"",SUMIFS('JPK_KR-1'!AL:AL,'JPK_KR-1'!W:W,S214),"")</f>
        <v/>
      </c>
      <c r="V214" s="144" t="str">
        <f>IF(R214&lt;&gt;"",SUMIFS('JPK_KR-1'!AM:AM,'JPK_KR-1'!W:W,S214),"")</f>
        <v/>
      </c>
    </row>
    <row r="215" spans="1:22" x14ac:dyDescent="0.3">
      <c r="A215" s="5" t="str">
        <f>IF(kokpit!A215&lt;&gt;"",kokpit!A215,"")</f>
        <v/>
      </c>
      <c r="B215" s="5" t="str">
        <f>IF(kokpit!B215&lt;&gt;"",kokpit!B215,"")</f>
        <v/>
      </c>
      <c r="C215" s="24" t="str">
        <f>IF(A215&lt;&gt;"",SUMIFS('JPK_KR-1'!AL:AL,'JPK_KR-1'!W:W,B215),"")</f>
        <v/>
      </c>
      <c r="D215" s="126" t="str">
        <f>IF(A215&lt;&gt;"",SUMIFS('JPK_KR-1'!AM:AM,'JPK_KR-1'!W:W,B215),"")</f>
        <v/>
      </c>
      <c r="E215" s="5" t="str">
        <f>IF(kokpit!E215&lt;&gt;"",kokpit!E215,"")</f>
        <v/>
      </c>
      <c r="F215" s="127" t="str">
        <f>IF(kokpit!F215&lt;&gt;"",kokpit!F215,"")</f>
        <v/>
      </c>
      <c r="G215" s="24" t="str">
        <f>IF(E215&lt;&gt;"",SUMIFS('JPK_KR-1'!AL:AL,'JPK_KR-1'!W:W,F215),"")</f>
        <v/>
      </c>
      <c r="H215" s="126" t="str">
        <f>IF(E215&lt;&gt;"",SUMIFS('JPK_KR-1'!AM:AM,'JPK_KR-1'!W:W,F215),"")</f>
        <v/>
      </c>
      <c r="I215" s="5" t="str">
        <f>IF(kokpit!I215&lt;&gt;"",kokpit!I215,"")</f>
        <v/>
      </c>
      <c r="J215" s="5" t="str">
        <f>IF(kokpit!J215&lt;&gt;"",kokpit!J215,"")</f>
        <v/>
      </c>
      <c r="K215" s="24" t="str">
        <f>IF(I215&lt;&gt;"",SUMIFS('JPK_KR-1'!AL:AL,'JPK_KR-1'!W:W,J215),"")</f>
        <v/>
      </c>
      <c r="L215" s="141" t="str">
        <f>IF(I215&lt;&gt;"",SUMIFS('JPK_KR-1'!AM:AM,'JPK_KR-1'!W:W,J215),"")</f>
        <v/>
      </c>
      <c r="M215" s="143" t="str">
        <f>IF(kokpit!M215&lt;&gt;"",kokpit!M215,"")</f>
        <v/>
      </c>
      <c r="N215" s="117" t="str">
        <f>IF(kokpit!N215&lt;&gt;"",kokpit!N215,"")</f>
        <v/>
      </c>
      <c r="O215" s="117" t="str">
        <f>IF(kokpit!O215&lt;&gt;"",kokpit!O215,"")</f>
        <v/>
      </c>
      <c r="P215" s="141" t="str">
        <f>IF(M215&lt;&gt;"",IF(O215="",SUMIFS('JPK_KR-1'!AL:AL,'JPK_KR-1'!W:W,N215),SUMIFS('JPK_KR-1'!BF:BF,'JPK_KR-1'!BE:BE,N215,'JPK_KR-1'!BG:BG,O215)),"")</f>
        <v/>
      </c>
      <c r="Q215" s="144" t="str">
        <f>IF(M215&lt;&gt;"",IF(O215="",SUMIFS('JPK_KR-1'!AM:AM,'JPK_KR-1'!W:W,N215),SUMIFS('JPK_KR-1'!BI:BI,'JPK_KR-1'!BH:BH,N215,'JPK_KR-1'!BJ:BJ,O215)),"")</f>
        <v/>
      </c>
      <c r="R215" s="117" t="str">
        <f>IF(kokpit!R215&lt;&gt;"",kokpit!R215,"")</f>
        <v/>
      </c>
      <c r="S215" s="117" t="str">
        <f>IF(kokpit!S215&lt;&gt;"",kokpit!S215,"")</f>
        <v/>
      </c>
      <c r="T215" s="117" t="str">
        <f>IF(kokpit!T215&lt;&gt;"",kokpit!T215,"")</f>
        <v/>
      </c>
      <c r="U215" s="141" t="str">
        <f>IF(R215&lt;&gt;"",SUMIFS('JPK_KR-1'!AL:AL,'JPK_KR-1'!W:W,S215),"")</f>
        <v/>
      </c>
      <c r="V215" s="144" t="str">
        <f>IF(R215&lt;&gt;"",SUMIFS('JPK_KR-1'!AM:AM,'JPK_KR-1'!W:W,S215),"")</f>
        <v/>
      </c>
    </row>
    <row r="216" spans="1:22" x14ac:dyDescent="0.3">
      <c r="A216" s="5" t="str">
        <f>IF(kokpit!A216&lt;&gt;"",kokpit!A216,"")</f>
        <v/>
      </c>
      <c r="B216" s="5" t="str">
        <f>IF(kokpit!B216&lt;&gt;"",kokpit!B216,"")</f>
        <v/>
      </c>
      <c r="C216" s="24" t="str">
        <f>IF(A216&lt;&gt;"",SUMIFS('JPK_KR-1'!AL:AL,'JPK_KR-1'!W:W,B216),"")</f>
        <v/>
      </c>
      <c r="D216" s="126" t="str">
        <f>IF(A216&lt;&gt;"",SUMIFS('JPK_KR-1'!AM:AM,'JPK_KR-1'!W:W,B216),"")</f>
        <v/>
      </c>
      <c r="E216" s="5" t="str">
        <f>IF(kokpit!E216&lt;&gt;"",kokpit!E216,"")</f>
        <v/>
      </c>
      <c r="F216" s="127" t="str">
        <f>IF(kokpit!F216&lt;&gt;"",kokpit!F216,"")</f>
        <v/>
      </c>
      <c r="G216" s="24" t="str">
        <f>IF(E216&lt;&gt;"",SUMIFS('JPK_KR-1'!AL:AL,'JPK_KR-1'!W:W,F216),"")</f>
        <v/>
      </c>
      <c r="H216" s="126" t="str">
        <f>IF(E216&lt;&gt;"",SUMIFS('JPK_KR-1'!AM:AM,'JPK_KR-1'!W:W,F216),"")</f>
        <v/>
      </c>
      <c r="I216" s="5" t="str">
        <f>IF(kokpit!I216&lt;&gt;"",kokpit!I216,"")</f>
        <v/>
      </c>
      <c r="J216" s="5" t="str">
        <f>IF(kokpit!J216&lt;&gt;"",kokpit!J216,"")</f>
        <v/>
      </c>
      <c r="K216" s="24" t="str">
        <f>IF(I216&lt;&gt;"",SUMIFS('JPK_KR-1'!AL:AL,'JPK_KR-1'!W:W,J216),"")</f>
        <v/>
      </c>
      <c r="L216" s="141" t="str">
        <f>IF(I216&lt;&gt;"",SUMIFS('JPK_KR-1'!AM:AM,'JPK_KR-1'!W:W,J216),"")</f>
        <v/>
      </c>
      <c r="M216" s="143" t="str">
        <f>IF(kokpit!M216&lt;&gt;"",kokpit!M216,"")</f>
        <v/>
      </c>
      <c r="N216" s="117" t="str">
        <f>IF(kokpit!N216&lt;&gt;"",kokpit!N216,"")</f>
        <v/>
      </c>
      <c r="O216" s="117" t="str">
        <f>IF(kokpit!O216&lt;&gt;"",kokpit!O216,"")</f>
        <v/>
      </c>
      <c r="P216" s="141" t="str">
        <f>IF(M216&lt;&gt;"",IF(O216="",SUMIFS('JPK_KR-1'!AL:AL,'JPK_KR-1'!W:W,N216),SUMIFS('JPK_KR-1'!BF:BF,'JPK_KR-1'!BE:BE,N216,'JPK_KR-1'!BG:BG,O216)),"")</f>
        <v/>
      </c>
      <c r="Q216" s="144" t="str">
        <f>IF(M216&lt;&gt;"",IF(O216="",SUMIFS('JPK_KR-1'!AM:AM,'JPK_KR-1'!W:W,N216),SUMIFS('JPK_KR-1'!BI:BI,'JPK_KR-1'!BH:BH,N216,'JPK_KR-1'!BJ:BJ,O216)),"")</f>
        <v/>
      </c>
      <c r="R216" s="117" t="str">
        <f>IF(kokpit!R216&lt;&gt;"",kokpit!R216,"")</f>
        <v/>
      </c>
      <c r="S216" s="117" t="str">
        <f>IF(kokpit!S216&lt;&gt;"",kokpit!S216,"")</f>
        <v/>
      </c>
      <c r="T216" s="117" t="str">
        <f>IF(kokpit!T216&lt;&gt;"",kokpit!T216,"")</f>
        <v/>
      </c>
      <c r="U216" s="141" t="str">
        <f>IF(R216&lt;&gt;"",SUMIFS('JPK_KR-1'!AL:AL,'JPK_KR-1'!W:W,S216),"")</f>
        <v/>
      </c>
      <c r="V216" s="144" t="str">
        <f>IF(R216&lt;&gt;"",SUMIFS('JPK_KR-1'!AM:AM,'JPK_KR-1'!W:W,S216),"")</f>
        <v/>
      </c>
    </row>
    <row r="217" spans="1:22" x14ac:dyDescent="0.3">
      <c r="A217" s="5" t="str">
        <f>IF(kokpit!A217&lt;&gt;"",kokpit!A217,"")</f>
        <v/>
      </c>
      <c r="B217" s="5" t="str">
        <f>IF(kokpit!B217&lt;&gt;"",kokpit!B217,"")</f>
        <v/>
      </c>
      <c r="C217" s="24" t="str">
        <f>IF(A217&lt;&gt;"",SUMIFS('JPK_KR-1'!AL:AL,'JPK_KR-1'!W:W,B217),"")</f>
        <v/>
      </c>
      <c r="D217" s="126" t="str">
        <f>IF(A217&lt;&gt;"",SUMIFS('JPK_KR-1'!AM:AM,'JPK_KR-1'!W:W,B217),"")</f>
        <v/>
      </c>
      <c r="E217" s="5" t="str">
        <f>IF(kokpit!E217&lt;&gt;"",kokpit!E217,"")</f>
        <v/>
      </c>
      <c r="F217" s="127" t="str">
        <f>IF(kokpit!F217&lt;&gt;"",kokpit!F217,"")</f>
        <v/>
      </c>
      <c r="G217" s="24" t="str">
        <f>IF(E217&lt;&gt;"",SUMIFS('JPK_KR-1'!AL:AL,'JPK_KR-1'!W:W,F217),"")</f>
        <v/>
      </c>
      <c r="H217" s="126" t="str">
        <f>IF(E217&lt;&gt;"",SUMIFS('JPK_KR-1'!AM:AM,'JPK_KR-1'!W:W,F217),"")</f>
        <v/>
      </c>
      <c r="I217" s="5" t="str">
        <f>IF(kokpit!I217&lt;&gt;"",kokpit!I217,"")</f>
        <v/>
      </c>
      <c r="J217" s="5" t="str">
        <f>IF(kokpit!J217&lt;&gt;"",kokpit!J217,"")</f>
        <v/>
      </c>
      <c r="K217" s="24" t="str">
        <f>IF(I217&lt;&gt;"",SUMIFS('JPK_KR-1'!AL:AL,'JPK_KR-1'!W:W,J217),"")</f>
        <v/>
      </c>
      <c r="L217" s="141" t="str">
        <f>IF(I217&lt;&gt;"",SUMIFS('JPK_KR-1'!AM:AM,'JPK_KR-1'!W:W,J217),"")</f>
        <v/>
      </c>
      <c r="M217" s="143" t="str">
        <f>IF(kokpit!M217&lt;&gt;"",kokpit!M217,"")</f>
        <v/>
      </c>
      <c r="N217" s="117" t="str">
        <f>IF(kokpit!N217&lt;&gt;"",kokpit!N217,"")</f>
        <v/>
      </c>
      <c r="O217" s="117" t="str">
        <f>IF(kokpit!O217&lt;&gt;"",kokpit!O217,"")</f>
        <v/>
      </c>
      <c r="P217" s="141" t="str">
        <f>IF(M217&lt;&gt;"",IF(O217="",SUMIFS('JPK_KR-1'!AL:AL,'JPK_KR-1'!W:W,N217),SUMIFS('JPK_KR-1'!BF:BF,'JPK_KR-1'!BE:BE,N217,'JPK_KR-1'!BG:BG,O217)),"")</f>
        <v/>
      </c>
      <c r="Q217" s="144" t="str">
        <f>IF(M217&lt;&gt;"",IF(O217="",SUMIFS('JPK_KR-1'!AM:AM,'JPK_KR-1'!W:W,N217),SUMIFS('JPK_KR-1'!BI:BI,'JPK_KR-1'!BH:BH,N217,'JPK_KR-1'!BJ:BJ,O217)),"")</f>
        <v/>
      </c>
      <c r="R217" s="117" t="str">
        <f>IF(kokpit!R217&lt;&gt;"",kokpit!R217,"")</f>
        <v/>
      </c>
      <c r="S217" s="117" t="str">
        <f>IF(kokpit!S217&lt;&gt;"",kokpit!S217,"")</f>
        <v/>
      </c>
      <c r="T217" s="117" t="str">
        <f>IF(kokpit!T217&lt;&gt;"",kokpit!T217,"")</f>
        <v/>
      </c>
      <c r="U217" s="141" t="str">
        <f>IF(R217&lt;&gt;"",SUMIFS('JPK_KR-1'!AL:AL,'JPK_KR-1'!W:W,S217),"")</f>
        <v/>
      </c>
      <c r="V217" s="144" t="str">
        <f>IF(R217&lt;&gt;"",SUMIFS('JPK_KR-1'!AM:AM,'JPK_KR-1'!W:W,S217),"")</f>
        <v/>
      </c>
    </row>
    <row r="218" spans="1:22" x14ac:dyDescent="0.3">
      <c r="A218" s="5" t="str">
        <f>IF(kokpit!A218&lt;&gt;"",kokpit!A218,"")</f>
        <v/>
      </c>
      <c r="B218" s="5" t="str">
        <f>IF(kokpit!B218&lt;&gt;"",kokpit!B218,"")</f>
        <v/>
      </c>
      <c r="C218" s="24" t="str">
        <f>IF(A218&lt;&gt;"",SUMIFS('JPK_KR-1'!AL:AL,'JPK_KR-1'!W:W,B218),"")</f>
        <v/>
      </c>
      <c r="D218" s="126" t="str">
        <f>IF(A218&lt;&gt;"",SUMIFS('JPK_KR-1'!AM:AM,'JPK_KR-1'!W:W,B218),"")</f>
        <v/>
      </c>
      <c r="E218" s="5" t="str">
        <f>IF(kokpit!E218&lt;&gt;"",kokpit!E218,"")</f>
        <v/>
      </c>
      <c r="F218" s="127" t="str">
        <f>IF(kokpit!F218&lt;&gt;"",kokpit!F218,"")</f>
        <v/>
      </c>
      <c r="G218" s="24" t="str">
        <f>IF(E218&lt;&gt;"",SUMIFS('JPK_KR-1'!AL:AL,'JPK_KR-1'!W:W,F218),"")</f>
        <v/>
      </c>
      <c r="H218" s="126" t="str">
        <f>IF(E218&lt;&gt;"",SUMIFS('JPK_KR-1'!AM:AM,'JPK_KR-1'!W:W,F218),"")</f>
        <v/>
      </c>
      <c r="I218" s="5" t="str">
        <f>IF(kokpit!I218&lt;&gt;"",kokpit!I218,"")</f>
        <v/>
      </c>
      <c r="J218" s="5" t="str">
        <f>IF(kokpit!J218&lt;&gt;"",kokpit!J218,"")</f>
        <v/>
      </c>
      <c r="K218" s="24" t="str">
        <f>IF(I218&lt;&gt;"",SUMIFS('JPK_KR-1'!AL:AL,'JPK_KR-1'!W:W,J218),"")</f>
        <v/>
      </c>
      <c r="L218" s="141" t="str">
        <f>IF(I218&lt;&gt;"",SUMIFS('JPK_KR-1'!AM:AM,'JPK_KR-1'!W:W,J218),"")</f>
        <v/>
      </c>
      <c r="M218" s="143" t="str">
        <f>IF(kokpit!M218&lt;&gt;"",kokpit!M218,"")</f>
        <v/>
      </c>
      <c r="N218" s="117" t="str">
        <f>IF(kokpit!N218&lt;&gt;"",kokpit!N218,"")</f>
        <v/>
      </c>
      <c r="O218" s="117" t="str">
        <f>IF(kokpit!O218&lt;&gt;"",kokpit!O218,"")</f>
        <v/>
      </c>
      <c r="P218" s="141" t="str">
        <f>IF(M218&lt;&gt;"",IF(O218="",SUMIFS('JPK_KR-1'!AL:AL,'JPK_KR-1'!W:W,N218),SUMIFS('JPK_KR-1'!BF:BF,'JPK_KR-1'!BE:BE,N218,'JPK_KR-1'!BG:BG,O218)),"")</f>
        <v/>
      </c>
      <c r="Q218" s="144" t="str">
        <f>IF(M218&lt;&gt;"",IF(O218="",SUMIFS('JPK_KR-1'!AM:AM,'JPK_KR-1'!W:W,N218),SUMIFS('JPK_KR-1'!BI:BI,'JPK_KR-1'!BH:BH,N218,'JPK_KR-1'!BJ:BJ,O218)),"")</f>
        <v/>
      </c>
      <c r="R218" s="117" t="str">
        <f>IF(kokpit!R218&lt;&gt;"",kokpit!R218,"")</f>
        <v/>
      </c>
      <c r="S218" s="117" t="str">
        <f>IF(kokpit!S218&lt;&gt;"",kokpit!S218,"")</f>
        <v/>
      </c>
      <c r="T218" s="117" t="str">
        <f>IF(kokpit!T218&lt;&gt;"",kokpit!T218,"")</f>
        <v/>
      </c>
      <c r="U218" s="141" t="str">
        <f>IF(R218&lt;&gt;"",SUMIFS('JPK_KR-1'!AL:AL,'JPK_KR-1'!W:W,S218),"")</f>
        <v/>
      </c>
      <c r="V218" s="144" t="str">
        <f>IF(R218&lt;&gt;"",SUMIFS('JPK_KR-1'!AM:AM,'JPK_KR-1'!W:W,S218),"")</f>
        <v/>
      </c>
    </row>
    <row r="219" spans="1:22" x14ac:dyDescent="0.3">
      <c r="A219" s="5" t="str">
        <f>IF(kokpit!A219&lt;&gt;"",kokpit!A219,"")</f>
        <v/>
      </c>
      <c r="B219" s="5" t="str">
        <f>IF(kokpit!B219&lt;&gt;"",kokpit!B219,"")</f>
        <v/>
      </c>
      <c r="C219" s="24" t="str">
        <f>IF(A219&lt;&gt;"",SUMIFS('JPK_KR-1'!AL:AL,'JPK_KR-1'!W:W,B219),"")</f>
        <v/>
      </c>
      <c r="D219" s="126" t="str">
        <f>IF(A219&lt;&gt;"",SUMIFS('JPK_KR-1'!AM:AM,'JPK_KR-1'!W:W,B219),"")</f>
        <v/>
      </c>
      <c r="E219" s="5" t="str">
        <f>IF(kokpit!E219&lt;&gt;"",kokpit!E219,"")</f>
        <v/>
      </c>
      <c r="F219" s="127" t="str">
        <f>IF(kokpit!F219&lt;&gt;"",kokpit!F219,"")</f>
        <v/>
      </c>
      <c r="G219" s="24" t="str">
        <f>IF(E219&lt;&gt;"",SUMIFS('JPK_KR-1'!AL:AL,'JPK_KR-1'!W:W,F219),"")</f>
        <v/>
      </c>
      <c r="H219" s="126" t="str">
        <f>IF(E219&lt;&gt;"",SUMIFS('JPK_KR-1'!AM:AM,'JPK_KR-1'!W:W,F219),"")</f>
        <v/>
      </c>
      <c r="I219" s="5" t="str">
        <f>IF(kokpit!I219&lt;&gt;"",kokpit!I219,"")</f>
        <v/>
      </c>
      <c r="J219" s="5" t="str">
        <f>IF(kokpit!J219&lt;&gt;"",kokpit!J219,"")</f>
        <v/>
      </c>
      <c r="K219" s="24" t="str">
        <f>IF(I219&lt;&gt;"",SUMIFS('JPK_KR-1'!AL:AL,'JPK_KR-1'!W:W,J219),"")</f>
        <v/>
      </c>
      <c r="L219" s="141" t="str">
        <f>IF(I219&lt;&gt;"",SUMIFS('JPK_KR-1'!AM:AM,'JPK_KR-1'!W:W,J219),"")</f>
        <v/>
      </c>
      <c r="M219" s="143" t="str">
        <f>IF(kokpit!M219&lt;&gt;"",kokpit!M219,"")</f>
        <v/>
      </c>
      <c r="N219" s="117" t="str">
        <f>IF(kokpit!N219&lt;&gt;"",kokpit!N219,"")</f>
        <v/>
      </c>
      <c r="O219" s="117" t="str">
        <f>IF(kokpit!O219&lt;&gt;"",kokpit!O219,"")</f>
        <v/>
      </c>
      <c r="P219" s="141" t="str">
        <f>IF(M219&lt;&gt;"",IF(O219="",SUMIFS('JPK_KR-1'!AL:AL,'JPK_KR-1'!W:W,N219),SUMIFS('JPK_KR-1'!BF:BF,'JPK_KR-1'!BE:BE,N219,'JPK_KR-1'!BG:BG,O219)),"")</f>
        <v/>
      </c>
      <c r="Q219" s="144" t="str">
        <f>IF(M219&lt;&gt;"",IF(O219="",SUMIFS('JPK_KR-1'!AM:AM,'JPK_KR-1'!W:W,N219),SUMIFS('JPK_KR-1'!BI:BI,'JPK_KR-1'!BH:BH,N219,'JPK_KR-1'!BJ:BJ,O219)),"")</f>
        <v/>
      </c>
      <c r="R219" s="117" t="str">
        <f>IF(kokpit!R219&lt;&gt;"",kokpit!R219,"")</f>
        <v/>
      </c>
      <c r="S219" s="117" t="str">
        <f>IF(kokpit!S219&lt;&gt;"",kokpit!S219,"")</f>
        <v/>
      </c>
      <c r="T219" s="117" t="str">
        <f>IF(kokpit!T219&lt;&gt;"",kokpit!T219,"")</f>
        <v/>
      </c>
      <c r="U219" s="141" t="str">
        <f>IF(R219&lt;&gt;"",SUMIFS('JPK_KR-1'!AL:AL,'JPK_KR-1'!W:W,S219),"")</f>
        <v/>
      </c>
      <c r="V219" s="144" t="str">
        <f>IF(R219&lt;&gt;"",SUMIFS('JPK_KR-1'!AM:AM,'JPK_KR-1'!W:W,S219),"")</f>
        <v/>
      </c>
    </row>
    <row r="220" spans="1:22" x14ac:dyDescent="0.3">
      <c r="A220" s="5" t="str">
        <f>IF(kokpit!A220&lt;&gt;"",kokpit!A220,"")</f>
        <v/>
      </c>
      <c r="B220" s="5" t="str">
        <f>IF(kokpit!B220&lt;&gt;"",kokpit!B220,"")</f>
        <v/>
      </c>
      <c r="C220" s="24" t="str">
        <f>IF(A220&lt;&gt;"",SUMIFS('JPK_KR-1'!AL:AL,'JPK_KR-1'!W:W,B220),"")</f>
        <v/>
      </c>
      <c r="D220" s="126" t="str">
        <f>IF(A220&lt;&gt;"",SUMIFS('JPK_KR-1'!AM:AM,'JPK_KR-1'!W:W,B220),"")</f>
        <v/>
      </c>
      <c r="E220" s="5" t="str">
        <f>IF(kokpit!E220&lt;&gt;"",kokpit!E220,"")</f>
        <v/>
      </c>
      <c r="F220" s="127" t="str">
        <f>IF(kokpit!F220&lt;&gt;"",kokpit!F220,"")</f>
        <v/>
      </c>
      <c r="G220" s="24" t="str">
        <f>IF(E220&lt;&gt;"",SUMIFS('JPK_KR-1'!AL:AL,'JPK_KR-1'!W:W,F220),"")</f>
        <v/>
      </c>
      <c r="H220" s="126" t="str">
        <f>IF(E220&lt;&gt;"",SUMIFS('JPK_KR-1'!AM:AM,'JPK_KR-1'!W:W,F220),"")</f>
        <v/>
      </c>
      <c r="I220" s="5" t="str">
        <f>IF(kokpit!I220&lt;&gt;"",kokpit!I220,"")</f>
        <v/>
      </c>
      <c r="J220" s="5" t="str">
        <f>IF(kokpit!J220&lt;&gt;"",kokpit!J220,"")</f>
        <v/>
      </c>
      <c r="K220" s="24" t="str">
        <f>IF(I220&lt;&gt;"",SUMIFS('JPK_KR-1'!AL:AL,'JPK_KR-1'!W:W,J220),"")</f>
        <v/>
      </c>
      <c r="L220" s="141" t="str">
        <f>IF(I220&lt;&gt;"",SUMIFS('JPK_KR-1'!AM:AM,'JPK_KR-1'!W:W,J220),"")</f>
        <v/>
      </c>
      <c r="M220" s="143" t="str">
        <f>IF(kokpit!M220&lt;&gt;"",kokpit!M220,"")</f>
        <v/>
      </c>
      <c r="N220" s="117" t="str">
        <f>IF(kokpit!N220&lt;&gt;"",kokpit!N220,"")</f>
        <v/>
      </c>
      <c r="O220" s="117" t="str">
        <f>IF(kokpit!O220&lt;&gt;"",kokpit!O220,"")</f>
        <v/>
      </c>
      <c r="P220" s="141" t="str">
        <f>IF(M220&lt;&gt;"",IF(O220="",SUMIFS('JPK_KR-1'!AL:AL,'JPK_KR-1'!W:W,N220),SUMIFS('JPK_KR-1'!BF:BF,'JPK_KR-1'!BE:BE,N220,'JPK_KR-1'!BG:BG,O220)),"")</f>
        <v/>
      </c>
      <c r="Q220" s="144" t="str">
        <f>IF(M220&lt;&gt;"",IF(O220="",SUMIFS('JPK_KR-1'!AM:AM,'JPK_KR-1'!W:W,N220),SUMIFS('JPK_KR-1'!BI:BI,'JPK_KR-1'!BH:BH,N220,'JPK_KR-1'!BJ:BJ,O220)),"")</f>
        <v/>
      </c>
      <c r="R220" s="117" t="str">
        <f>IF(kokpit!R220&lt;&gt;"",kokpit!R220,"")</f>
        <v/>
      </c>
      <c r="S220" s="117" t="str">
        <f>IF(kokpit!S220&lt;&gt;"",kokpit!S220,"")</f>
        <v/>
      </c>
      <c r="T220" s="117" t="str">
        <f>IF(kokpit!T220&lt;&gt;"",kokpit!T220,"")</f>
        <v/>
      </c>
      <c r="U220" s="141" t="str">
        <f>IF(R220&lt;&gt;"",SUMIFS('JPK_KR-1'!AL:AL,'JPK_KR-1'!W:W,S220),"")</f>
        <v/>
      </c>
      <c r="V220" s="144" t="str">
        <f>IF(R220&lt;&gt;"",SUMIFS('JPK_KR-1'!AM:AM,'JPK_KR-1'!W:W,S220),"")</f>
        <v/>
      </c>
    </row>
    <row r="221" spans="1:22" x14ac:dyDescent="0.3">
      <c r="A221" s="5" t="str">
        <f>IF(kokpit!A221&lt;&gt;"",kokpit!A221,"")</f>
        <v/>
      </c>
      <c r="B221" s="5" t="str">
        <f>IF(kokpit!B221&lt;&gt;"",kokpit!B221,"")</f>
        <v/>
      </c>
      <c r="C221" s="24" t="str">
        <f>IF(A221&lt;&gt;"",SUMIFS('JPK_KR-1'!AL:AL,'JPK_KR-1'!W:W,B221),"")</f>
        <v/>
      </c>
      <c r="D221" s="126" t="str">
        <f>IF(A221&lt;&gt;"",SUMIFS('JPK_KR-1'!AM:AM,'JPK_KR-1'!W:W,B221),"")</f>
        <v/>
      </c>
      <c r="E221" s="5" t="str">
        <f>IF(kokpit!E221&lt;&gt;"",kokpit!E221,"")</f>
        <v/>
      </c>
      <c r="F221" s="127" t="str">
        <f>IF(kokpit!F221&lt;&gt;"",kokpit!F221,"")</f>
        <v/>
      </c>
      <c r="G221" s="24" t="str">
        <f>IF(E221&lt;&gt;"",SUMIFS('JPK_KR-1'!AL:AL,'JPK_KR-1'!W:W,F221),"")</f>
        <v/>
      </c>
      <c r="H221" s="126" t="str">
        <f>IF(E221&lt;&gt;"",SUMIFS('JPK_KR-1'!AM:AM,'JPK_KR-1'!W:W,F221),"")</f>
        <v/>
      </c>
      <c r="I221" s="5" t="str">
        <f>IF(kokpit!I221&lt;&gt;"",kokpit!I221,"")</f>
        <v/>
      </c>
      <c r="J221" s="5" t="str">
        <f>IF(kokpit!J221&lt;&gt;"",kokpit!J221,"")</f>
        <v/>
      </c>
      <c r="K221" s="24" t="str">
        <f>IF(I221&lt;&gt;"",SUMIFS('JPK_KR-1'!AL:AL,'JPK_KR-1'!W:W,J221),"")</f>
        <v/>
      </c>
      <c r="L221" s="141" t="str">
        <f>IF(I221&lt;&gt;"",SUMIFS('JPK_KR-1'!AM:AM,'JPK_KR-1'!W:W,J221),"")</f>
        <v/>
      </c>
      <c r="M221" s="143" t="str">
        <f>IF(kokpit!M221&lt;&gt;"",kokpit!M221,"")</f>
        <v/>
      </c>
      <c r="N221" s="117" t="str">
        <f>IF(kokpit!N221&lt;&gt;"",kokpit!N221,"")</f>
        <v/>
      </c>
      <c r="O221" s="117" t="str">
        <f>IF(kokpit!O221&lt;&gt;"",kokpit!O221,"")</f>
        <v/>
      </c>
      <c r="P221" s="141" t="str">
        <f>IF(M221&lt;&gt;"",IF(O221="",SUMIFS('JPK_KR-1'!AL:AL,'JPK_KR-1'!W:W,N221),SUMIFS('JPK_KR-1'!BF:BF,'JPK_KR-1'!BE:BE,N221,'JPK_KR-1'!BG:BG,O221)),"")</f>
        <v/>
      </c>
      <c r="Q221" s="144" t="str">
        <f>IF(M221&lt;&gt;"",IF(O221="",SUMIFS('JPK_KR-1'!AM:AM,'JPK_KR-1'!W:W,N221),SUMIFS('JPK_KR-1'!BI:BI,'JPK_KR-1'!BH:BH,N221,'JPK_KR-1'!BJ:BJ,O221)),"")</f>
        <v/>
      </c>
      <c r="R221" s="117" t="str">
        <f>IF(kokpit!R221&lt;&gt;"",kokpit!R221,"")</f>
        <v/>
      </c>
      <c r="S221" s="117" t="str">
        <f>IF(kokpit!S221&lt;&gt;"",kokpit!S221,"")</f>
        <v/>
      </c>
      <c r="T221" s="117" t="str">
        <f>IF(kokpit!T221&lt;&gt;"",kokpit!T221,"")</f>
        <v/>
      </c>
      <c r="U221" s="141" t="str">
        <f>IF(R221&lt;&gt;"",SUMIFS('JPK_KR-1'!AL:AL,'JPK_KR-1'!W:W,S221),"")</f>
        <v/>
      </c>
      <c r="V221" s="144" t="str">
        <f>IF(R221&lt;&gt;"",SUMIFS('JPK_KR-1'!AM:AM,'JPK_KR-1'!W:W,S221),"")</f>
        <v/>
      </c>
    </row>
    <row r="222" spans="1:22" x14ac:dyDescent="0.3">
      <c r="A222" s="5" t="str">
        <f>IF(kokpit!A222&lt;&gt;"",kokpit!A222,"")</f>
        <v/>
      </c>
      <c r="B222" s="5" t="str">
        <f>IF(kokpit!B222&lt;&gt;"",kokpit!B222,"")</f>
        <v/>
      </c>
      <c r="C222" s="24" t="str">
        <f>IF(A222&lt;&gt;"",SUMIFS('JPK_KR-1'!AL:AL,'JPK_KR-1'!W:W,B222),"")</f>
        <v/>
      </c>
      <c r="D222" s="126" t="str">
        <f>IF(A222&lt;&gt;"",SUMIFS('JPK_KR-1'!AM:AM,'JPK_KR-1'!W:W,B222),"")</f>
        <v/>
      </c>
      <c r="E222" s="5" t="str">
        <f>IF(kokpit!E222&lt;&gt;"",kokpit!E222,"")</f>
        <v/>
      </c>
      <c r="F222" s="127" t="str">
        <f>IF(kokpit!F222&lt;&gt;"",kokpit!F222,"")</f>
        <v/>
      </c>
      <c r="G222" s="24" t="str">
        <f>IF(E222&lt;&gt;"",SUMIFS('JPK_KR-1'!AL:AL,'JPK_KR-1'!W:W,F222),"")</f>
        <v/>
      </c>
      <c r="H222" s="126" t="str">
        <f>IF(E222&lt;&gt;"",SUMIFS('JPK_KR-1'!AM:AM,'JPK_KR-1'!W:W,F222),"")</f>
        <v/>
      </c>
      <c r="I222" s="5" t="str">
        <f>IF(kokpit!I222&lt;&gt;"",kokpit!I222,"")</f>
        <v/>
      </c>
      <c r="J222" s="5" t="str">
        <f>IF(kokpit!J222&lt;&gt;"",kokpit!J222,"")</f>
        <v/>
      </c>
      <c r="K222" s="24" t="str">
        <f>IF(I222&lt;&gt;"",SUMIFS('JPK_KR-1'!AL:AL,'JPK_KR-1'!W:W,J222),"")</f>
        <v/>
      </c>
      <c r="L222" s="141" t="str">
        <f>IF(I222&lt;&gt;"",SUMIFS('JPK_KR-1'!AM:AM,'JPK_KR-1'!W:W,J222),"")</f>
        <v/>
      </c>
      <c r="M222" s="143" t="str">
        <f>IF(kokpit!M222&lt;&gt;"",kokpit!M222,"")</f>
        <v/>
      </c>
      <c r="N222" s="117" t="str">
        <f>IF(kokpit!N222&lt;&gt;"",kokpit!N222,"")</f>
        <v/>
      </c>
      <c r="O222" s="117" t="str">
        <f>IF(kokpit!O222&lt;&gt;"",kokpit!O222,"")</f>
        <v/>
      </c>
      <c r="P222" s="141" t="str">
        <f>IF(M222&lt;&gt;"",IF(O222="",SUMIFS('JPK_KR-1'!AL:AL,'JPK_KR-1'!W:W,N222),SUMIFS('JPK_KR-1'!BF:BF,'JPK_KR-1'!BE:BE,N222,'JPK_KR-1'!BG:BG,O222)),"")</f>
        <v/>
      </c>
      <c r="Q222" s="144" t="str">
        <f>IF(M222&lt;&gt;"",IF(O222="",SUMIFS('JPK_KR-1'!AM:AM,'JPK_KR-1'!W:W,N222),SUMIFS('JPK_KR-1'!BI:BI,'JPK_KR-1'!BH:BH,N222,'JPK_KR-1'!BJ:BJ,O222)),"")</f>
        <v/>
      </c>
      <c r="R222" s="117" t="str">
        <f>IF(kokpit!R222&lt;&gt;"",kokpit!R222,"")</f>
        <v/>
      </c>
      <c r="S222" s="117" t="str">
        <f>IF(kokpit!S222&lt;&gt;"",kokpit!S222,"")</f>
        <v/>
      </c>
      <c r="T222" s="117" t="str">
        <f>IF(kokpit!T222&lt;&gt;"",kokpit!T222,"")</f>
        <v/>
      </c>
      <c r="U222" s="141" t="str">
        <f>IF(R222&lt;&gt;"",SUMIFS('JPK_KR-1'!AL:AL,'JPK_KR-1'!W:W,S222),"")</f>
        <v/>
      </c>
      <c r="V222" s="144" t="str">
        <f>IF(R222&lt;&gt;"",SUMIFS('JPK_KR-1'!AM:AM,'JPK_KR-1'!W:W,S222),"")</f>
        <v/>
      </c>
    </row>
    <row r="223" spans="1:22" x14ac:dyDescent="0.3">
      <c r="A223" s="5" t="str">
        <f>IF(kokpit!A223&lt;&gt;"",kokpit!A223,"")</f>
        <v/>
      </c>
      <c r="B223" s="5" t="str">
        <f>IF(kokpit!B223&lt;&gt;"",kokpit!B223,"")</f>
        <v/>
      </c>
      <c r="C223" s="24" t="str">
        <f>IF(A223&lt;&gt;"",SUMIFS('JPK_KR-1'!AL:AL,'JPK_KR-1'!W:W,B223),"")</f>
        <v/>
      </c>
      <c r="D223" s="126" t="str">
        <f>IF(A223&lt;&gt;"",SUMIFS('JPK_KR-1'!AM:AM,'JPK_KR-1'!W:W,B223),"")</f>
        <v/>
      </c>
      <c r="E223" s="5" t="str">
        <f>IF(kokpit!E223&lt;&gt;"",kokpit!E223,"")</f>
        <v/>
      </c>
      <c r="F223" s="127" t="str">
        <f>IF(kokpit!F223&lt;&gt;"",kokpit!F223,"")</f>
        <v/>
      </c>
      <c r="G223" s="24" t="str">
        <f>IF(E223&lt;&gt;"",SUMIFS('JPK_KR-1'!AL:AL,'JPK_KR-1'!W:W,F223),"")</f>
        <v/>
      </c>
      <c r="H223" s="126" t="str">
        <f>IF(E223&lt;&gt;"",SUMIFS('JPK_KR-1'!AM:AM,'JPK_KR-1'!W:W,F223),"")</f>
        <v/>
      </c>
      <c r="I223" s="5" t="str">
        <f>IF(kokpit!I223&lt;&gt;"",kokpit!I223,"")</f>
        <v/>
      </c>
      <c r="J223" s="5" t="str">
        <f>IF(kokpit!J223&lt;&gt;"",kokpit!J223,"")</f>
        <v/>
      </c>
      <c r="K223" s="24" t="str">
        <f>IF(I223&lt;&gt;"",SUMIFS('JPK_KR-1'!AL:AL,'JPK_KR-1'!W:W,J223),"")</f>
        <v/>
      </c>
      <c r="L223" s="141" t="str">
        <f>IF(I223&lt;&gt;"",SUMIFS('JPK_KR-1'!AM:AM,'JPK_KR-1'!W:W,J223),"")</f>
        <v/>
      </c>
      <c r="M223" s="143" t="str">
        <f>IF(kokpit!M223&lt;&gt;"",kokpit!M223,"")</f>
        <v/>
      </c>
      <c r="N223" s="117" t="str">
        <f>IF(kokpit!N223&lt;&gt;"",kokpit!N223,"")</f>
        <v/>
      </c>
      <c r="O223" s="117" t="str">
        <f>IF(kokpit!O223&lt;&gt;"",kokpit!O223,"")</f>
        <v/>
      </c>
      <c r="P223" s="141" t="str">
        <f>IF(M223&lt;&gt;"",IF(O223="",SUMIFS('JPK_KR-1'!AL:AL,'JPK_KR-1'!W:W,N223),SUMIFS('JPK_KR-1'!BF:BF,'JPK_KR-1'!BE:BE,N223,'JPK_KR-1'!BG:BG,O223)),"")</f>
        <v/>
      </c>
      <c r="Q223" s="144" t="str">
        <f>IF(M223&lt;&gt;"",IF(O223="",SUMIFS('JPK_KR-1'!AM:AM,'JPK_KR-1'!W:W,N223),SUMIFS('JPK_KR-1'!BI:BI,'JPK_KR-1'!BH:BH,N223,'JPK_KR-1'!BJ:BJ,O223)),"")</f>
        <v/>
      </c>
      <c r="R223" s="117" t="str">
        <f>IF(kokpit!R223&lt;&gt;"",kokpit!R223,"")</f>
        <v/>
      </c>
      <c r="S223" s="117" t="str">
        <f>IF(kokpit!S223&lt;&gt;"",kokpit!S223,"")</f>
        <v/>
      </c>
      <c r="T223" s="117" t="str">
        <f>IF(kokpit!T223&lt;&gt;"",kokpit!T223,"")</f>
        <v/>
      </c>
      <c r="U223" s="141" t="str">
        <f>IF(R223&lt;&gt;"",SUMIFS('JPK_KR-1'!AL:AL,'JPK_KR-1'!W:W,S223),"")</f>
        <v/>
      </c>
      <c r="V223" s="144" t="str">
        <f>IF(R223&lt;&gt;"",SUMIFS('JPK_KR-1'!AM:AM,'JPK_KR-1'!W:W,S223),"")</f>
        <v/>
      </c>
    </row>
    <row r="224" spans="1:22" x14ac:dyDescent="0.3">
      <c r="A224" s="5" t="str">
        <f>IF(kokpit!A224&lt;&gt;"",kokpit!A224,"")</f>
        <v/>
      </c>
      <c r="B224" s="5" t="str">
        <f>IF(kokpit!B224&lt;&gt;"",kokpit!B224,"")</f>
        <v/>
      </c>
      <c r="C224" s="24" t="str">
        <f>IF(A224&lt;&gt;"",SUMIFS('JPK_KR-1'!AL:AL,'JPK_KR-1'!W:W,B224),"")</f>
        <v/>
      </c>
      <c r="D224" s="126" t="str">
        <f>IF(A224&lt;&gt;"",SUMIFS('JPK_KR-1'!AM:AM,'JPK_KR-1'!W:W,B224),"")</f>
        <v/>
      </c>
      <c r="E224" s="5" t="str">
        <f>IF(kokpit!E224&lt;&gt;"",kokpit!E224,"")</f>
        <v/>
      </c>
      <c r="F224" s="127" t="str">
        <f>IF(kokpit!F224&lt;&gt;"",kokpit!F224,"")</f>
        <v/>
      </c>
      <c r="G224" s="24" t="str">
        <f>IF(E224&lt;&gt;"",SUMIFS('JPK_KR-1'!AL:AL,'JPK_KR-1'!W:W,F224),"")</f>
        <v/>
      </c>
      <c r="H224" s="126" t="str">
        <f>IF(E224&lt;&gt;"",SUMIFS('JPK_KR-1'!AM:AM,'JPK_KR-1'!W:W,F224),"")</f>
        <v/>
      </c>
      <c r="I224" s="5" t="str">
        <f>IF(kokpit!I224&lt;&gt;"",kokpit!I224,"")</f>
        <v/>
      </c>
      <c r="J224" s="5" t="str">
        <f>IF(kokpit!J224&lt;&gt;"",kokpit!J224,"")</f>
        <v/>
      </c>
      <c r="K224" s="24" t="str">
        <f>IF(I224&lt;&gt;"",SUMIFS('JPK_KR-1'!AL:AL,'JPK_KR-1'!W:W,J224),"")</f>
        <v/>
      </c>
      <c r="L224" s="141" t="str">
        <f>IF(I224&lt;&gt;"",SUMIFS('JPK_KR-1'!AM:AM,'JPK_KR-1'!W:W,J224),"")</f>
        <v/>
      </c>
      <c r="M224" s="143" t="str">
        <f>IF(kokpit!M224&lt;&gt;"",kokpit!M224,"")</f>
        <v/>
      </c>
      <c r="N224" s="117" t="str">
        <f>IF(kokpit!N224&lt;&gt;"",kokpit!N224,"")</f>
        <v/>
      </c>
      <c r="O224" s="117" t="str">
        <f>IF(kokpit!O224&lt;&gt;"",kokpit!O224,"")</f>
        <v/>
      </c>
      <c r="P224" s="141" t="str">
        <f>IF(M224&lt;&gt;"",IF(O224="",SUMIFS('JPK_KR-1'!AL:AL,'JPK_KR-1'!W:W,N224),SUMIFS('JPK_KR-1'!BF:BF,'JPK_KR-1'!BE:BE,N224,'JPK_KR-1'!BG:BG,O224)),"")</f>
        <v/>
      </c>
      <c r="Q224" s="144" t="str">
        <f>IF(M224&lt;&gt;"",IF(O224="",SUMIFS('JPK_KR-1'!AM:AM,'JPK_KR-1'!W:W,N224),SUMIFS('JPK_KR-1'!BI:BI,'JPK_KR-1'!BH:BH,N224,'JPK_KR-1'!BJ:BJ,O224)),"")</f>
        <v/>
      </c>
      <c r="R224" s="117" t="str">
        <f>IF(kokpit!R224&lt;&gt;"",kokpit!R224,"")</f>
        <v/>
      </c>
      <c r="S224" s="117" t="str">
        <f>IF(kokpit!S224&lt;&gt;"",kokpit!S224,"")</f>
        <v/>
      </c>
      <c r="T224" s="117" t="str">
        <f>IF(kokpit!T224&lt;&gt;"",kokpit!T224,"")</f>
        <v/>
      </c>
      <c r="U224" s="141" t="str">
        <f>IF(R224&lt;&gt;"",SUMIFS('JPK_KR-1'!AL:AL,'JPK_KR-1'!W:W,S224),"")</f>
        <v/>
      </c>
      <c r="V224" s="144" t="str">
        <f>IF(R224&lt;&gt;"",SUMIFS('JPK_KR-1'!AM:AM,'JPK_KR-1'!W:W,S224),"")</f>
        <v/>
      </c>
    </row>
    <row r="225" spans="1:22" x14ac:dyDescent="0.3">
      <c r="A225" s="5" t="str">
        <f>IF(kokpit!A225&lt;&gt;"",kokpit!A225,"")</f>
        <v/>
      </c>
      <c r="B225" s="5" t="str">
        <f>IF(kokpit!B225&lt;&gt;"",kokpit!B225,"")</f>
        <v/>
      </c>
      <c r="C225" s="24" t="str">
        <f>IF(A225&lt;&gt;"",SUMIFS('JPK_KR-1'!AL:AL,'JPK_KR-1'!W:W,B225),"")</f>
        <v/>
      </c>
      <c r="D225" s="126" t="str">
        <f>IF(A225&lt;&gt;"",SUMIFS('JPK_KR-1'!AM:AM,'JPK_KR-1'!W:W,B225),"")</f>
        <v/>
      </c>
      <c r="E225" s="5" t="str">
        <f>IF(kokpit!E225&lt;&gt;"",kokpit!E225,"")</f>
        <v/>
      </c>
      <c r="F225" s="127" t="str">
        <f>IF(kokpit!F225&lt;&gt;"",kokpit!F225,"")</f>
        <v/>
      </c>
      <c r="G225" s="24" t="str">
        <f>IF(E225&lt;&gt;"",SUMIFS('JPK_KR-1'!AL:AL,'JPK_KR-1'!W:W,F225),"")</f>
        <v/>
      </c>
      <c r="H225" s="126" t="str">
        <f>IF(E225&lt;&gt;"",SUMIFS('JPK_KR-1'!AM:AM,'JPK_KR-1'!W:W,F225),"")</f>
        <v/>
      </c>
      <c r="I225" s="5" t="str">
        <f>IF(kokpit!I225&lt;&gt;"",kokpit!I225,"")</f>
        <v/>
      </c>
      <c r="J225" s="5" t="str">
        <f>IF(kokpit!J225&lt;&gt;"",kokpit!J225,"")</f>
        <v/>
      </c>
      <c r="K225" s="24" t="str">
        <f>IF(I225&lt;&gt;"",SUMIFS('JPK_KR-1'!AL:AL,'JPK_KR-1'!W:W,J225),"")</f>
        <v/>
      </c>
      <c r="L225" s="141" t="str">
        <f>IF(I225&lt;&gt;"",SUMIFS('JPK_KR-1'!AM:AM,'JPK_KR-1'!W:W,J225),"")</f>
        <v/>
      </c>
      <c r="M225" s="143" t="str">
        <f>IF(kokpit!M225&lt;&gt;"",kokpit!M225,"")</f>
        <v/>
      </c>
      <c r="N225" s="117" t="str">
        <f>IF(kokpit!N225&lt;&gt;"",kokpit!N225,"")</f>
        <v/>
      </c>
      <c r="O225" s="117" t="str">
        <f>IF(kokpit!O225&lt;&gt;"",kokpit!O225,"")</f>
        <v/>
      </c>
      <c r="P225" s="141" t="str">
        <f>IF(M225&lt;&gt;"",IF(O225="",SUMIFS('JPK_KR-1'!AL:AL,'JPK_KR-1'!W:W,N225),SUMIFS('JPK_KR-1'!BF:BF,'JPK_KR-1'!BE:BE,N225,'JPK_KR-1'!BG:BG,O225)),"")</f>
        <v/>
      </c>
      <c r="Q225" s="144" t="str">
        <f>IF(M225&lt;&gt;"",IF(O225="",SUMIFS('JPK_KR-1'!AM:AM,'JPK_KR-1'!W:W,N225),SUMIFS('JPK_KR-1'!BI:BI,'JPK_KR-1'!BH:BH,N225,'JPK_KR-1'!BJ:BJ,O225)),"")</f>
        <v/>
      </c>
      <c r="R225" s="117" t="str">
        <f>IF(kokpit!R225&lt;&gt;"",kokpit!R225,"")</f>
        <v/>
      </c>
      <c r="S225" s="117" t="str">
        <f>IF(kokpit!S225&lt;&gt;"",kokpit!S225,"")</f>
        <v/>
      </c>
      <c r="T225" s="117" t="str">
        <f>IF(kokpit!T225&lt;&gt;"",kokpit!T225,"")</f>
        <v/>
      </c>
      <c r="U225" s="141" t="str">
        <f>IF(R225&lt;&gt;"",SUMIFS('JPK_KR-1'!AL:AL,'JPK_KR-1'!W:W,S225),"")</f>
        <v/>
      </c>
      <c r="V225" s="144" t="str">
        <f>IF(R225&lt;&gt;"",SUMIFS('JPK_KR-1'!AM:AM,'JPK_KR-1'!W:W,S225),"")</f>
        <v/>
      </c>
    </row>
    <row r="226" spans="1:22" x14ac:dyDescent="0.3">
      <c r="A226" s="5" t="str">
        <f>IF(kokpit!A226&lt;&gt;"",kokpit!A226,"")</f>
        <v/>
      </c>
      <c r="B226" s="5" t="str">
        <f>IF(kokpit!B226&lt;&gt;"",kokpit!B226,"")</f>
        <v/>
      </c>
      <c r="C226" s="24" t="str">
        <f>IF(A226&lt;&gt;"",SUMIFS('JPK_KR-1'!AL:AL,'JPK_KR-1'!W:W,B226),"")</f>
        <v/>
      </c>
      <c r="D226" s="126" t="str">
        <f>IF(A226&lt;&gt;"",SUMIFS('JPK_KR-1'!AM:AM,'JPK_KR-1'!W:W,B226),"")</f>
        <v/>
      </c>
      <c r="E226" s="5" t="str">
        <f>IF(kokpit!E226&lt;&gt;"",kokpit!E226,"")</f>
        <v/>
      </c>
      <c r="F226" s="127" t="str">
        <f>IF(kokpit!F226&lt;&gt;"",kokpit!F226,"")</f>
        <v/>
      </c>
      <c r="G226" s="24" t="str">
        <f>IF(E226&lt;&gt;"",SUMIFS('JPK_KR-1'!AL:AL,'JPK_KR-1'!W:W,F226),"")</f>
        <v/>
      </c>
      <c r="H226" s="126" t="str">
        <f>IF(E226&lt;&gt;"",SUMIFS('JPK_KR-1'!AM:AM,'JPK_KR-1'!W:W,F226),"")</f>
        <v/>
      </c>
      <c r="I226" s="5" t="str">
        <f>IF(kokpit!I226&lt;&gt;"",kokpit!I226,"")</f>
        <v/>
      </c>
      <c r="J226" s="5" t="str">
        <f>IF(kokpit!J226&lt;&gt;"",kokpit!J226,"")</f>
        <v/>
      </c>
      <c r="K226" s="24" t="str">
        <f>IF(I226&lt;&gt;"",SUMIFS('JPK_KR-1'!AL:AL,'JPK_KR-1'!W:W,J226),"")</f>
        <v/>
      </c>
      <c r="L226" s="141" t="str">
        <f>IF(I226&lt;&gt;"",SUMIFS('JPK_KR-1'!AM:AM,'JPK_KR-1'!W:W,J226),"")</f>
        <v/>
      </c>
      <c r="M226" s="143" t="str">
        <f>IF(kokpit!M226&lt;&gt;"",kokpit!M226,"")</f>
        <v/>
      </c>
      <c r="N226" s="117" t="str">
        <f>IF(kokpit!N226&lt;&gt;"",kokpit!N226,"")</f>
        <v/>
      </c>
      <c r="O226" s="117" t="str">
        <f>IF(kokpit!O226&lt;&gt;"",kokpit!O226,"")</f>
        <v/>
      </c>
      <c r="P226" s="141" t="str">
        <f>IF(M226&lt;&gt;"",IF(O226="",SUMIFS('JPK_KR-1'!AL:AL,'JPK_KR-1'!W:W,N226),SUMIFS('JPK_KR-1'!BF:BF,'JPK_KR-1'!BE:BE,N226,'JPK_KR-1'!BG:BG,O226)),"")</f>
        <v/>
      </c>
      <c r="Q226" s="144" t="str">
        <f>IF(M226&lt;&gt;"",IF(O226="",SUMIFS('JPK_KR-1'!AM:AM,'JPK_KR-1'!W:W,N226),SUMIFS('JPK_KR-1'!BI:BI,'JPK_KR-1'!BH:BH,N226,'JPK_KR-1'!BJ:BJ,O226)),"")</f>
        <v/>
      </c>
      <c r="R226" s="117" t="str">
        <f>IF(kokpit!R226&lt;&gt;"",kokpit!R226,"")</f>
        <v/>
      </c>
      <c r="S226" s="117" t="str">
        <f>IF(kokpit!S226&lt;&gt;"",kokpit!S226,"")</f>
        <v/>
      </c>
      <c r="T226" s="117" t="str">
        <f>IF(kokpit!T226&lt;&gt;"",kokpit!T226,"")</f>
        <v/>
      </c>
      <c r="U226" s="141" t="str">
        <f>IF(R226&lt;&gt;"",SUMIFS('JPK_KR-1'!AL:AL,'JPK_KR-1'!W:W,S226),"")</f>
        <v/>
      </c>
      <c r="V226" s="144" t="str">
        <f>IF(R226&lt;&gt;"",SUMIFS('JPK_KR-1'!AM:AM,'JPK_KR-1'!W:W,S226),"")</f>
        <v/>
      </c>
    </row>
    <row r="227" spans="1:22" x14ac:dyDescent="0.3">
      <c r="A227" s="5" t="str">
        <f>IF(kokpit!A227&lt;&gt;"",kokpit!A227,"")</f>
        <v/>
      </c>
      <c r="B227" s="5" t="str">
        <f>IF(kokpit!B227&lt;&gt;"",kokpit!B227,"")</f>
        <v/>
      </c>
      <c r="C227" s="24" t="str">
        <f>IF(A227&lt;&gt;"",SUMIFS('JPK_KR-1'!AL:AL,'JPK_KR-1'!W:W,B227),"")</f>
        <v/>
      </c>
      <c r="D227" s="126" t="str">
        <f>IF(A227&lt;&gt;"",SUMIFS('JPK_KR-1'!AM:AM,'JPK_KR-1'!W:W,B227),"")</f>
        <v/>
      </c>
      <c r="E227" s="5" t="str">
        <f>IF(kokpit!E227&lt;&gt;"",kokpit!E227,"")</f>
        <v/>
      </c>
      <c r="F227" s="127" t="str">
        <f>IF(kokpit!F227&lt;&gt;"",kokpit!F227,"")</f>
        <v/>
      </c>
      <c r="G227" s="24" t="str">
        <f>IF(E227&lt;&gt;"",SUMIFS('JPK_KR-1'!AL:AL,'JPK_KR-1'!W:W,F227),"")</f>
        <v/>
      </c>
      <c r="H227" s="126" t="str">
        <f>IF(E227&lt;&gt;"",SUMIFS('JPK_KR-1'!AM:AM,'JPK_KR-1'!W:W,F227),"")</f>
        <v/>
      </c>
      <c r="I227" s="5" t="str">
        <f>IF(kokpit!I227&lt;&gt;"",kokpit!I227,"")</f>
        <v/>
      </c>
      <c r="J227" s="5" t="str">
        <f>IF(kokpit!J227&lt;&gt;"",kokpit!J227,"")</f>
        <v/>
      </c>
      <c r="K227" s="24" t="str">
        <f>IF(I227&lt;&gt;"",SUMIFS('JPK_KR-1'!AL:AL,'JPK_KR-1'!W:W,J227),"")</f>
        <v/>
      </c>
      <c r="L227" s="141" t="str">
        <f>IF(I227&lt;&gt;"",SUMIFS('JPK_KR-1'!AM:AM,'JPK_KR-1'!W:W,J227),"")</f>
        <v/>
      </c>
      <c r="M227" s="143" t="str">
        <f>IF(kokpit!M227&lt;&gt;"",kokpit!M227,"")</f>
        <v/>
      </c>
      <c r="N227" s="117" t="str">
        <f>IF(kokpit!N227&lt;&gt;"",kokpit!N227,"")</f>
        <v/>
      </c>
      <c r="O227" s="117" t="str">
        <f>IF(kokpit!O227&lt;&gt;"",kokpit!O227,"")</f>
        <v/>
      </c>
      <c r="P227" s="141" t="str">
        <f>IF(M227&lt;&gt;"",IF(O227="",SUMIFS('JPK_KR-1'!AL:AL,'JPK_KR-1'!W:W,N227),SUMIFS('JPK_KR-1'!BF:BF,'JPK_KR-1'!BE:BE,N227,'JPK_KR-1'!BG:BG,O227)),"")</f>
        <v/>
      </c>
      <c r="Q227" s="144" t="str">
        <f>IF(M227&lt;&gt;"",IF(O227="",SUMIFS('JPK_KR-1'!AM:AM,'JPK_KR-1'!W:W,N227),SUMIFS('JPK_KR-1'!BI:BI,'JPK_KR-1'!BH:BH,N227,'JPK_KR-1'!BJ:BJ,O227)),"")</f>
        <v/>
      </c>
      <c r="R227" s="117" t="str">
        <f>IF(kokpit!R227&lt;&gt;"",kokpit!R227,"")</f>
        <v/>
      </c>
      <c r="S227" s="117" t="str">
        <f>IF(kokpit!S227&lt;&gt;"",kokpit!S227,"")</f>
        <v/>
      </c>
      <c r="T227" s="117" t="str">
        <f>IF(kokpit!T227&lt;&gt;"",kokpit!T227,"")</f>
        <v/>
      </c>
      <c r="U227" s="141" t="str">
        <f>IF(R227&lt;&gt;"",SUMIFS('JPK_KR-1'!AL:AL,'JPK_KR-1'!W:W,S227),"")</f>
        <v/>
      </c>
      <c r="V227" s="144" t="str">
        <f>IF(R227&lt;&gt;"",SUMIFS('JPK_KR-1'!AM:AM,'JPK_KR-1'!W:W,S227),"")</f>
        <v/>
      </c>
    </row>
    <row r="228" spans="1:22" x14ac:dyDescent="0.3">
      <c r="A228" s="5" t="str">
        <f>IF(kokpit!A228&lt;&gt;"",kokpit!A228,"")</f>
        <v/>
      </c>
      <c r="B228" s="5" t="str">
        <f>IF(kokpit!B228&lt;&gt;"",kokpit!B228,"")</f>
        <v/>
      </c>
      <c r="C228" s="24" t="str">
        <f>IF(A228&lt;&gt;"",SUMIFS('JPK_KR-1'!AL:AL,'JPK_KR-1'!W:W,B228),"")</f>
        <v/>
      </c>
      <c r="D228" s="126" t="str">
        <f>IF(A228&lt;&gt;"",SUMIFS('JPK_KR-1'!AM:AM,'JPK_KR-1'!W:W,B228),"")</f>
        <v/>
      </c>
      <c r="E228" s="5" t="str">
        <f>IF(kokpit!E228&lt;&gt;"",kokpit!E228,"")</f>
        <v/>
      </c>
      <c r="F228" s="127" t="str">
        <f>IF(kokpit!F228&lt;&gt;"",kokpit!F228,"")</f>
        <v/>
      </c>
      <c r="G228" s="24" t="str">
        <f>IF(E228&lt;&gt;"",SUMIFS('JPK_KR-1'!AL:AL,'JPK_KR-1'!W:W,F228),"")</f>
        <v/>
      </c>
      <c r="H228" s="126" t="str">
        <f>IF(E228&lt;&gt;"",SUMIFS('JPK_KR-1'!AM:AM,'JPK_KR-1'!W:W,F228),"")</f>
        <v/>
      </c>
      <c r="I228" s="5" t="str">
        <f>IF(kokpit!I228&lt;&gt;"",kokpit!I228,"")</f>
        <v/>
      </c>
      <c r="J228" s="5" t="str">
        <f>IF(kokpit!J228&lt;&gt;"",kokpit!J228,"")</f>
        <v/>
      </c>
      <c r="K228" s="24" t="str">
        <f>IF(I228&lt;&gt;"",SUMIFS('JPK_KR-1'!AL:AL,'JPK_KR-1'!W:W,J228),"")</f>
        <v/>
      </c>
      <c r="L228" s="141" t="str">
        <f>IF(I228&lt;&gt;"",SUMIFS('JPK_KR-1'!AM:AM,'JPK_KR-1'!W:W,J228),"")</f>
        <v/>
      </c>
      <c r="M228" s="143" t="str">
        <f>IF(kokpit!M228&lt;&gt;"",kokpit!M228,"")</f>
        <v/>
      </c>
      <c r="N228" s="117" t="str">
        <f>IF(kokpit!N228&lt;&gt;"",kokpit!N228,"")</f>
        <v/>
      </c>
      <c r="O228" s="117" t="str">
        <f>IF(kokpit!O228&lt;&gt;"",kokpit!O228,"")</f>
        <v/>
      </c>
      <c r="P228" s="141" t="str">
        <f>IF(M228&lt;&gt;"",IF(O228="",SUMIFS('JPK_KR-1'!AL:AL,'JPK_KR-1'!W:W,N228),SUMIFS('JPK_KR-1'!BF:BF,'JPK_KR-1'!BE:BE,N228,'JPK_KR-1'!BG:BG,O228)),"")</f>
        <v/>
      </c>
      <c r="Q228" s="144" t="str">
        <f>IF(M228&lt;&gt;"",IF(O228="",SUMIFS('JPK_KR-1'!AM:AM,'JPK_KR-1'!W:W,N228),SUMIFS('JPK_KR-1'!BI:BI,'JPK_KR-1'!BH:BH,N228,'JPK_KR-1'!BJ:BJ,O228)),"")</f>
        <v/>
      </c>
      <c r="R228" s="117" t="str">
        <f>IF(kokpit!R228&lt;&gt;"",kokpit!R228,"")</f>
        <v/>
      </c>
      <c r="S228" s="117" t="str">
        <f>IF(kokpit!S228&lt;&gt;"",kokpit!S228,"")</f>
        <v/>
      </c>
      <c r="T228" s="117" t="str">
        <f>IF(kokpit!T228&lt;&gt;"",kokpit!T228,"")</f>
        <v/>
      </c>
      <c r="U228" s="141" t="str">
        <f>IF(R228&lt;&gt;"",SUMIFS('JPK_KR-1'!AL:AL,'JPK_KR-1'!W:W,S228),"")</f>
        <v/>
      </c>
      <c r="V228" s="144" t="str">
        <f>IF(R228&lt;&gt;"",SUMIFS('JPK_KR-1'!AM:AM,'JPK_KR-1'!W:W,S228),"")</f>
        <v/>
      </c>
    </row>
    <row r="229" spans="1:22" x14ac:dyDescent="0.3">
      <c r="A229" s="5" t="str">
        <f>IF(kokpit!A229&lt;&gt;"",kokpit!A229,"")</f>
        <v/>
      </c>
      <c r="B229" s="5" t="str">
        <f>IF(kokpit!B229&lt;&gt;"",kokpit!B229,"")</f>
        <v/>
      </c>
      <c r="C229" s="24" t="str">
        <f>IF(A229&lt;&gt;"",SUMIFS('JPK_KR-1'!AL:AL,'JPK_KR-1'!W:W,B229),"")</f>
        <v/>
      </c>
      <c r="D229" s="126" t="str">
        <f>IF(A229&lt;&gt;"",SUMIFS('JPK_KR-1'!AM:AM,'JPK_KR-1'!W:W,B229),"")</f>
        <v/>
      </c>
      <c r="E229" s="5" t="str">
        <f>IF(kokpit!E229&lt;&gt;"",kokpit!E229,"")</f>
        <v/>
      </c>
      <c r="F229" s="127" t="str">
        <f>IF(kokpit!F229&lt;&gt;"",kokpit!F229,"")</f>
        <v/>
      </c>
      <c r="G229" s="24" t="str">
        <f>IF(E229&lt;&gt;"",SUMIFS('JPK_KR-1'!AL:AL,'JPK_KR-1'!W:W,F229),"")</f>
        <v/>
      </c>
      <c r="H229" s="126" t="str">
        <f>IF(E229&lt;&gt;"",SUMIFS('JPK_KR-1'!AM:AM,'JPK_KR-1'!W:W,F229),"")</f>
        <v/>
      </c>
      <c r="I229" s="5" t="str">
        <f>IF(kokpit!I229&lt;&gt;"",kokpit!I229,"")</f>
        <v/>
      </c>
      <c r="J229" s="5" t="str">
        <f>IF(kokpit!J229&lt;&gt;"",kokpit!J229,"")</f>
        <v/>
      </c>
      <c r="K229" s="24" t="str">
        <f>IF(I229&lt;&gt;"",SUMIFS('JPK_KR-1'!AL:AL,'JPK_KR-1'!W:W,J229),"")</f>
        <v/>
      </c>
      <c r="L229" s="141" t="str">
        <f>IF(I229&lt;&gt;"",SUMIFS('JPK_KR-1'!AM:AM,'JPK_KR-1'!W:W,J229),"")</f>
        <v/>
      </c>
      <c r="M229" s="143" t="str">
        <f>IF(kokpit!M229&lt;&gt;"",kokpit!M229,"")</f>
        <v/>
      </c>
      <c r="N229" s="117" t="str">
        <f>IF(kokpit!N229&lt;&gt;"",kokpit!N229,"")</f>
        <v/>
      </c>
      <c r="O229" s="117" t="str">
        <f>IF(kokpit!O229&lt;&gt;"",kokpit!O229,"")</f>
        <v/>
      </c>
      <c r="P229" s="141" t="str">
        <f>IF(M229&lt;&gt;"",IF(O229="",SUMIFS('JPK_KR-1'!AL:AL,'JPK_KR-1'!W:W,N229),SUMIFS('JPK_KR-1'!BF:BF,'JPK_KR-1'!BE:BE,N229,'JPK_KR-1'!BG:BG,O229)),"")</f>
        <v/>
      </c>
      <c r="Q229" s="144" t="str">
        <f>IF(M229&lt;&gt;"",IF(O229="",SUMIFS('JPK_KR-1'!AM:AM,'JPK_KR-1'!W:W,N229),SUMIFS('JPK_KR-1'!BI:BI,'JPK_KR-1'!BH:BH,N229,'JPK_KR-1'!BJ:BJ,O229)),"")</f>
        <v/>
      </c>
      <c r="R229" s="117" t="str">
        <f>IF(kokpit!R229&lt;&gt;"",kokpit!R229,"")</f>
        <v/>
      </c>
      <c r="S229" s="117" t="str">
        <f>IF(kokpit!S229&lt;&gt;"",kokpit!S229,"")</f>
        <v/>
      </c>
      <c r="T229" s="117" t="str">
        <f>IF(kokpit!T229&lt;&gt;"",kokpit!T229,"")</f>
        <v/>
      </c>
      <c r="U229" s="141" t="str">
        <f>IF(R229&lt;&gt;"",SUMIFS('JPK_KR-1'!AL:AL,'JPK_KR-1'!W:W,S229),"")</f>
        <v/>
      </c>
      <c r="V229" s="144" t="str">
        <f>IF(R229&lt;&gt;"",SUMIFS('JPK_KR-1'!AM:AM,'JPK_KR-1'!W:W,S229),"")</f>
        <v/>
      </c>
    </row>
    <row r="230" spans="1:22" x14ac:dyDescent="0.3">
      <c r="A230" s="5" t="str">
        <f>IF(kokpit!A230&lt;&gt;"",kokpit!A230,"")</f>
        <v/>
      </c>
      <c r="B230" s="5" t="str">
        <f>IF(kokpit!B230&lt;&gt;"",kokpit!B230,"")</f>
        <v/>
      </c>
      <c r="C230" s="24" t="str">
        <f>IF(A230&lt;&gt;"",SUMIFS('JPK_KR-1'!AL:AL,'JPK_KR-1'!W:W,B230),"")</f>
        <v/>
      </c>
      <c r="D230" s="126" t="str">
        <f>IF(A230&lt;&gt;"",SUMIFS('JPK_KR-1'!AM:AM,'JPK_KR-1'!W:W,B230),"")</f>
        <v/>
      </c>
      <c r="E230" s="5" t="str">
        <f>IF(kokpit!E230&lt;&gt;"",kokpit!E230,"")</f>
        <v/>
      </c>
      <c r="F230" s="127" t="str">
        <f>IF(kokpit!F230&lt;&gt;"",kokpit!F230,"")</f>
        <v/>
      </c>
      <c r="G230" s="24" t="str">
        <f>IF(E230&lt;&gt;"",SUMIFS('JPK_KR-1'!AL:AL,'JPK_KR-1'!W:W,F230),"")</f>
        <v/>
      </c>
      <c r="H230" s="126" t="str">
        <f>IF(E230&lt;&gt;"",SUMIFS('JPK_KR-1'!AM:AM,'JPK_KR-1'!W:W,F230),"")</f>
        <v/>
      </c>
      <c r="I230" s="5" t="str">
        <f>IF(kokpit!I230&lt;&gt;"",kokpit!I230,"")</f>
        <v/>
      </c>
      <c r="J230" s="5" t="str">
        <f>IF(kokpit!J230&lt;&gt;"",kokpit!J230,"")</f>
        <v/>
      </c>
      <c r="K230" s="24" t="str">
        <f>IF(I230&lt;&gt;"",SUMIFS('JPK_KR-1'!AL:AL,'JPK_KR-1'!W:W,J230),"")</f>
        <v/>
      </c>
      <c r="L230" s="141" t="str">
        <f>IF(I230&lt;&gt;"",SUMIFS('JPK_KR-1'!AM:AM,'JPK_KR-1'!W:W,J230),"")</f>
        <v/>
      </c>
      <c r="M230" s="143" t="str">
        <f>IF(kokpit!M230&lt;&gt;"",kokpit!M230,"")</f>
        <v/>
      </c>
      <c r="N230" s="117" t="str">
        <f>IF(kokpit!N230&lt;&gt;"",kokpit!N230,"")</f>
        <v/>
      </c>
      <c r="O230" s="117" t="str">
        <f>IF(kokpit!O230&lt;&gt;"",kokpit!O230,"")</f>
        <v/>
      </c>
      <c r="P230" s="141" t="str">
        <f>IF(M230&lt;&gt;"",IF(O230="",SUMIFS('JPK_KR-1'!AL:AL,'JPK_KR-1'!W:W,N230),SUMIFS('JPK_KR-1'!BF:BF,'JPK_KR-1'!BE:BE,N230,'JPK_KR-1'!BG:BG,O230)),"")</f>
        <v/>
      </c>
      <c r="Q230" s="144" t="str">
        <f>IF(M230&lt;&gt;"",IF(O230="",SUMIFS('JPK_KR-1'!AM:AM,'JPK_KR-1'!W:W,N230),SUMIFS('JPK_KR-1'!BI:BI,'JPK_KR-1'!BH:BH,N230,'JPK_KR-1'!BJ:BJ,O230)),"")</f>
        <v/>
      </c>
      <c r="R230" s="117" t="str">
        <f>IF(kokpit!R230&lt;&gt;"",kokpit!R230,"")</f>
        <v/>
      </c>
      <c r="S230" s="117" t="str">
        <f>IF(kokpit!S230&lt;&gt;"",kokpit!S230,"")</f>
        <v/>
      </c>
      <c r="T230" s="117" t="str">
        <f>IF(kokpit!T230&lt;&gt;"",kokpit!T230,"")</f>
        <v/>
      </c>
      <c r="U230" s="141" t="str">
        <f>IF(R230&lt;&gt;"",SUMIFS('JPK_KR-1'!AL:AL,'JPK_KR-1'!W:W,S230),"")</f>
        <v/>
      </c>
      <c r="V230" s="144" t="str">
        <f>IF(R230&lt;&gt;"",SUMIFS('JPK_KR-1'!AM:AM,'JPK_KR-1'!W:W,S230),"")</f>
        <v/>
      </c>
    </row>
    <row r="231" spans="1:22" x14ac:dyDescent="0.3">
      <c r="A231" s="5" t="str">
        <f>IF(kokpit!A231&lt;&gt;"",kokpit!A231,"")</f>
        <v/>
      </c>
      <c r="B231" s="5" t="str">
        <f>IF(kokpit!B231&lt;&gt;"",kokpit!B231,"")</f>
        <v/>
      </c>
      <c r="C231" s="24" t="str">
        <f>IF(A231&lt;&gt;"",SUMIFS('JPK_KR-1'!AL:AL,'JPK_KR-1'!W:W,B231),"")</f>
        <v/>
      </c>
      <c r="D231" s="126" t="str">
        <f>IF(A231&lt;&gt;"",SUMIFS('JPK_KR-1'!AM:AM,'JPK_KR-1'!W:W,B231),"")</f>
        <v/>
      </c>
      <c r="E231" s="5" t="str">
        <f>IF(kokpit!E231&lt;&gt;"",kokpit!E231,"")</f>
        <v/>
      </c>
      <c r="F231" s="127" t="str">
        <f>IF(kokpit!F231&lt;&gt;"",kokpit!F231,"")</f>
        <v/>
      </c>
      <c r="G231" s="24" t="str">
        <f>IF(E231&lt;&gt;"",SUMIFS('JPK_KR-1'!AL:AL,'JPK_KR-1'!W:W,F231),"")</f>
        <v/>
      </c>
      <c r="H231" s="126" t="str">
        <f>IF(E231&lt;&gt;"",SUMIFS('JPK_KR-1'!AM:AM,'JPK_KR-1'!W:W,F231),"")</f>
        <v/>
      </c>
      <c r="I231" s="5" t="str">
        <f>IF(kokpit!I231&lt;&gt;"",kokpit!I231,"")</f>
        <v/>
      </c>
      <c r="J231" s="5" t="str">
        <f>IF(kokpit!J231&lt;&gt;"",kokpit!J231,"")</f>
        <v/>
      </c>
      <c r="K231" s="24" t="str">
        <f>IF(I231&lt;&gt;"",SUMIFS('JPK_KR-1'!AL:AL,'JPK_KR-1'!W:W,J231),"")</f>
        <v/>
      </c>
      <c r="L231" s="141" t="str">
        <f>IF(I231&lt;&gt;"",SUMIFS('JPK_KR-1'!AM:AM,'JPK_KR-1'!W:W,J231),"")</f>
        <v/>
      </c>
      <c r="M231" s="143" t="str">
        <f>IF(kokpit!M231&lt;&gt;"",kokpit!M231,"")</f>
        <v/>
      </c>
      <c r="N231" s="117" t="str">
        <f>IF(kokpit!N231&lt;&gt;"",kokpit!N231,"")</f>
        <v/>
      </c>
      <c r="O231" s="117" t="str">
        <f>IF(kokpit!O231&lt;&gt;"",kokpit!O231,"")</f>
        <v/>
      </c>
      <c r="P231" s="141" t="str">
        <f>IF(M231&lt;&gt;"",IF(O231="",SUMIFS('JPK_KR-1'!AL:AL,'JPK_KR-1'!W:W,N231),SUMIFS('JPK_KR-1'!BF:BF,'JPK_KR-1'!BE:BE,N231,'JPK_KR-1'!BG:BG,O231)),"")</f>
        <v/>
      </c>
      <c r="Q231" s="144" t="str">
        <f>IF(M231&lt;&gt;"",IF(O231="",SUMIFS('JPK_KR-1'!AM:AM,'JPK_KR-1'!W:W,N231),SUMIFS('JPK_KR-1'!BI:BI,'JPK_KR-1'!BH:BH,N231,'JPK_KR-1'!BJ:BJ,O231)),"")</f>
        <v/>
      </c>
      <c r="R231" s="117" t="str">
        <f>IF(kokpit!R231&lt;&gt;"",kokpit!R231,"")</f>
        <v/>
      </c>
      <c r="S231" s="117" t="str">
        <f>IF(kokpit!S231&lt;&gt;"",kokpit!S231,"")</f>
        <v/>
      </c>
      <c r="T231" s="117" t="str">
        <f>IF(kokpit!T231&lt;&gt;"",kokpit!T231,"")</f>
        <v/>
      </c>
      <c r="U231" s="141" t="str">
        <f>IF(R231&lt;&gt;"",SUMIFS('JPK_KR-1'!AL:AL,'JPK_KR-1'!W:W,S231),"")</f>
        <v/>
      </c>
      <c r="V231" s="144" t="str">
        <f>IF(R231&lt;&gt;"",SUMIFS('JPK_KR-1'!AM:AM,'JPK_KR-1'!W:W,S231),"")</f>
        <v/>
      </c>
    </row>
    <row r="232" spans="1:22" x14ac:dyDescent="0.3">
      <c r="A232" s="5" t="str">
        <f>IF(kokpit!A232&lt;&gt;"",kokpit!A232,"")</f>
        <v/>
      </c>
      <c r="B232" s="5" t="str">
        <f>IF(kokpit!B232&lt;&gt;"",kokpit!B232,"")</f>
        <v/>
      </c>
      <c r="C232" s="24" t="str">
        <f>IF(A232&lt;&gt;"",SUMIFS('JPK_KR-1'!AL:AL,'JPK_KR-1'!W:W,B232),"")</f>
        <v/>
      </c>
      <c r="D232" s="126" t="str">
        <f>IF(A232&lt;&gt;"",SUMIFS('JPK_KR-1'!AM:AM,'JPK_KR-1'!W:W,B232),"")</f>
        <v/>
      </c>
      <c r="E232" s="5" t="str">
        <f>IF(kokpit!E232&lt;&gt;"",kokpit!E232,"")</f>
        <v/>
      </c>
      <c r="F232" s="127" t="str">
        <f>IF(kokpit!F232&lt;&gt;"",kokpit!F232,"")</f>
        <v/>
      </c>
      <c r="G232" s="24" t="str">
        <f>IF(E232&lt;&gt;"",SUMIFS('JPK_KR-1'!AL:AL,'JPK_KR-1'!W:W,F232),"")</f>
        <v/>
      </c>
      <c r="H232" s="126" t="str">
        <f>IF(E232&lt;&gt;"",SUMIFS('JPK_KR-1'!AM:AM,'JPK_KR-1'!W:W,F232),"")</f>
        <v/>
      </c>
      <c r="I232" s="5" t="str">
        <f>IF(kokpit!I232&lt;&gt;"",kokpit!I232,"")</f>
        <v/>
      </c>
      <c r="J232" s="5" t="str">
        <f>IF(kokpit!J232&lt;&gt;"",kokpit!J232,"")</f>
        <v/>
      </c>
      <c r="K232" s="24" t="str">
        <f>IF(I232&lt;&gt;"",SUMIFS('JPK_KR-1'!AL:AL,'JPK_KR-1'!W:W,J232),"")</f>
        <v/>
      </c>
      <c r="L232" s="141" t="str">
        <f>IF(I232&lt;&gt;"",SUMIFS('JPK_KR-1'!AM:AM,'JPK_KR-1'!W:W,J232),"")</f>
        <v/>
      </c>
      <c r="M232" s="143" t="str">
        <f>IF(kokpit!M232&lt;&gt;"",kokpit!M232,"")</f>
        <v/>
      </c>
      <c r="N232" s="117" t="str">
        <f>IF(kokpit!N232&lt;&gt;"",kokpit!N232,"")</f>
        <v/>
      </c>
      <c r="O232" s="117" t="str">
        <f>IF(kokpit!O232&lt;&gt;"",kokpit!O232,"")</f>
        <v/>
      </c>
      <c r="P232" s="141" t="str">
        <f>IF(M232&lt;&gt;"",IF(O232="",SUMIFS('JPK_KR-1'!AL:AL,'JPK_KR-1'!W:W,N232),SUMIFS('JPK_KR-1'!BF:BF,'JPK_KR-1'!BE:BE,N232,'JPK_KR-1'!BG:BG,O232)),"")</f>
        <v/>
      </c>
      <c r="Q232" s="144" t="str">
        <f>IF(M232&lt;&gt;"",IF(O232="",SUMIFS('JPK_KR-1'!AM:AM,'JPK_KR-1'!W:W,N232),SUMIFS('JPK_KR-1'!BI:BI,'JPK_KR-1'!BH:BH,N232,'JPK_KR-1'!BJ:BJ,O232)),"")</f>
        <v/>
      </c>
      <c r="R232" s="117" t="str">
        <f>IF(kokpit!R232&lt;&gt;"",kokpit!R232,"")</f>
        <v/>
      </c>
      <c r="S232" s="117" t="str">
        <f>IF(kokpit!S232&lt;&gt;"",kokpit!S232,"")</f>
        <v/>
      </c>
      <c r="T232" s="117" t="str">
        <f>IF(kokpit!T232&lt;&gt;"",kokpit!T232,"")</f>
        <v/>
      </c>
      <c r="U232" s="141" t="str">
        <f>IF(R232&lt;&gt;"",SUMIFS('JPK_KR-1'!AL:AL,'JPK_KR-1'!W:W,S232),"")</f>
        <v/>
      </c>
      <c r="V232" s="144" t="str">
        <f>IF(R232&lt;&gt;"",SUMIFS('JPK_KR-1'!AM:AM,'JPK_KR-1'!W:W,S232),"")</f>
        <v/>
      </c>
    </row>
    <row r="233" spans="1:22" x14ac:dyDescent="0.3">
      <c r="A233" s="5" t="str">
        <f>IF(kokpit!A233&lt;&gt;"",kokpit!A233,"")</f>
        <v/>
      </c>
      <c r="B233" s="5" t="str">
        <f>IF(kokpit!B233&lt;&gt;"",kokpit!B233,"")</f>
        <v/>
      </c>
      <c r="C233" s="24" t="str">
        <f>IF(A233&lt;&gt;"",SUMIFS('JPK_KR-1'!AL:AL,'JPK_KR-1'!W:W,B233),"")</f>
        <v/>
      </c>
      <c r="D233" s="126" t="str">
        <f>IF(A233&lt;&gt;"",SUMIFS('JPK_KR-1'!AM:AM,'JPK_KR-1'!W:W,B233),"")</f>
        <v/>
      </c>
      <c r="E233" s="5" t="str">
        <f>IF(kokpit!E233&lt;&gt;"",kokpit!E233,"")</f>
        <v/>
      </c>
      <c r="F233" s="127" t="str">
        <f>IF(kokpit!F233&lt;&gt;"",kokpit!F233,"")</f>
        <v/>
      </c>
      <c r="G233" s="24" t="str">
        <f>IF(E233&lt;&gt;"",SUMIFS('JPK_KR-1'!AL:AL,'JPK_KR-1'!W:W,F233),"")</f>
        <v/>
      </c>
      <c r="H233" s="126" t="str">
        <f>IF(E233&lt;&gt;"",SUMIFS('JPK_KR-1'!AM:AM,'JPK_KR-1'!W:W,F233),"")</f>
        <v/>
      </c>
      <c r="I233" s="5" t="str">
        <f>IF(kokpit!I233&lt;&gt;"",kokpit!I233,"")</f>
        <v/>
      </c>
      <c r="J233" s="5" t="str">
        <f>IF(kokpit!J233&lt;&gt;"",kokpit!J233,"")</f>
        <v/>
      </c>
      <c r="K233" s="24" t="str">
        <f>IF(I233&lt;&gt;"",SUMIFS('JPK_KR-1'!AL:AL,'JPK_KR-1'!W:W,J233),"")</f>
        <v/>
      </c>
      <c r="L233" s="141" t="str">
        <f>IF(I233&lt;&gt;"",SUMIFS('JPK_KR-1'!AM:AM,'JPK_KR-1'!W:W,J233),"")</f>
        <v/>
      </c>
      <c r="M233" s="143" t="str">
        <f>IF(kokpit!M233&lt;&gt;"",kokpit!M233,"")</f>
        <v/>
      </c>
      <c r="N233" s="117" t="str">
        <f>IF(kokpit!N233&lt;&gt;"",kokpit!N233,"")</f>
        <v/>
      </c>
      <c r="O233" s="117" t="str">
        <f>IF(kokpit!O233&lt;&gt;"",kokpit!O233,"")</f>
        <v/>
      </c>
      <c r="P233" s="141" t="str">
        <f>IF(M233&lt;&gt;"",IF(O233="",SUMIFS('JPK_KR-1'!AL:AL,'JPK_KR-1'!W:W,N233),SUMIFS('JPK_KR-1'!BF:BF,'JPK_KR-1'!BE:BE,N233,'JPK_KR-1'!BG:BG,O233)),"")</f>
        <v/>
      </c>
      <c r="Q233" s="144" t="str">
        <f>IF(M233&lt;&gt;"",IF(O233="",SUMIFS('JPK_KR-1'!AM:AM,'JPK_KR-1'!W:W,N233),SUMIFS('JPK_KR-1'!BI:BI,'JPK_KR-1'!BH:BH,N233,'JPK_KR-1'!BJ:BJ,O233)),"")</f>
        <v/>
      </c>
      <c r="R233" s="117" t="str">
        <f>IF(kokpit!R233&lt;&gt;"",kokpit!R233,"")</f>
        <v/>
      </c>
      <c r="S233" s="117" t="str">
        <f>IF(kokpit!S233&lt;&gt;"",kokpit!S233,"")</f>
        <v/>
      </c>
      <c r="T233" s="117" t="str">
        <f>IF(kokpit!T233&lt;&gt;"",kokpit!T233,"")</f>
        <v/>
      </c>
      <c r="U233" s="141" t="str">
        <f>IF(R233&lt;&gt;"",SUMIFS('JPK_KR-1'!AL:AL,'JPK_KR-1'!W:W,S233),"")</f>
        <v/>
      </c>
      <c r="V233" s="144" t="str">
        <f>IF(R233&lt;&gt;"",SUMIFS('JPK_KR-1'!AM:AM,'JPK_KR-1'!W:W,S233),"")</f>
        <v/>
      </c>
    </row>
    <row r="234" spans="1:22" x14ac:dyDescent="0.3">
      <c r="A234" s="5" t="str">
        <f>IF(kokpit!A234&lt;&gt;"",kokpit!A234,"")</f>
        <v/>
      </c>
      <c r="B234" s="5" t="str">
        <f>IF(kokpit!B234&lt;&gt;"",kokpit!B234,"")</f>
        <v/>
      </c>
      <c r="C234" s="24" t="str">
        <f>IF(A234&lt;&gt;"",SUMIFS('JPK_KR-1'!AL:AL,'JPK_KR-1'!W:W,B234),"")</f>
        <v/>
      </c>
      <c r="D234" s="126" t="str">
        <f>IF(A234&lt;&gt;"",SUMIFS('JPK_KR-1'!AM:AM,'JPK_KR-1'!W:W,B234),"")</f>
        <v/>
      </c>
      <c r="E234" s="5" t="str">
        <f>IF(kokpit!E234&lt;&gt;"",kokpit!E234,"")</f>
        <v/>
      </c>
      <c r="F234" s="127" t="str">
        <f>IF(kokpit!F234&lt;&gt;"",kokpit!F234,"")</f>
        <v/>
      </c>
      <c r="G234" s="24" t="str">
        <f>IF(E234&lt;&gt;"",SUMIFS('JPK_KR-1'!AL:AL,'JPK_KR-1'!W:W,F234),"")</f>
        <v/>
      </c>
      <c r="H234" s="126" t="str">
        <f>IF(E234&lt;&gt;"",SUMIFS('JPK_KR-1'!AM:AM,'JPK_KR-1'!W:W,F234),"")</f>
        <v/>
      </c>
      <c r="I234" s="5" t="str">
        <f>IF(kokpit!I234&lt;&gt;"",kokpit!I234,"")</f>
        <v/>
      </c>
      <c r="J234" s="5" t="str">
        <f>IF(kokpit!J234&lt;&gt;"",kokpit!J234,"")</f>
        <v/>
      </c>
      <c r="K234" s="24" t="str">
        <f>IF(I234&lt;&gt;"",SUMIFS('JPK_KR-1'!AL:AL,'JPK_KR-1'!W:W,J234),"")</f>
        <v/>
      </c>
      <c r="L234" s="141" t="str">
        <f>IF(I234&lt;&gt;"",SUMIFS('JPK_KR-1'!AM:AM,'JPK_KR-1'!W:W,J234),"")</f>
        <v/>
      </c>
      <c r="M234" s="143" t="str">
        <f>IF(kokpit!M234&lt;&gt;"",kokpit!M234,"")</f>
        <v/>
      </c>
      <c r="N234" s="117" t="str">
        <f>IF(kokpit!N234&lt;&gt;"",kokpit!N234,"")</f>
        <v/>
      </c>
      <c r="O234" s="117" t="str">
        <f>IF(kokpit!O234&lt;&gt;"",kokpit!O234,"")</f>
        <v/>
      </c>
      <c r="P234" s="141" t="str">
        <f>IF(M234&lt;&gt;"",IF(O234="",SUMIFS('JPK_KR-1'!AL:AL,'JPK_KR-1'!W:W,N234),SUMIFS('JPK_KR-1'!BF:BF,'JPK_KR-1'!BE:BE,N234,'JPK_KR-1'!BG:BG,O234)),"")</f>
        <v/>
      </c>
      <c r="Q234" s="144" t="str">
        <f>IF(M234&lt;&gt;"",IF(O234="",SUMIFS('JPK_KR-1'!AM:AM,'JPK_KR-1'!W:W,N234),SUMIFS('JPK_KR-1'!BI:BI,'JPK_KR-1'!BH:BH,N234,'JPK_KR-1'!BJ:BJ,O234)),"")</f>
        <v/>
      </c>
      <c r="R234" s="117" t="str">
        <f>IF(kokpit!R234&lt;&gt;"",kokpit!R234,"")</f>
        <v/>
      </c>
      <c r="S234" s="117" t="str">
        <f>IF(kokpit!S234&lt;&gt;"",kokpit!S234,"")</f>
        <v/>
      </c>
      <c r="T234" s="117" t="str">
        <f>IF(kokpit!T234&lt;&gt;"",kokpit!T234,"")</f>
        <v/>
      </c>
      <c r="U234" s="141" t="str">
        <f>IF(R234&lt;&gt;"",SUMIFS('JPK_KR-1'!AL:AL,'JPK_KR-1'!W:W,S234),"")</f>
        <v/>
      </c>
      <c r="V234" s="144" t="str">
        <f>IF(R234&lt;&gt;"",SUMIFS('JPK_KR-1'!AM:AM,'JPK_KR-1'!W:W,S234),"")</f>
        <v/>
      </c>
    </row>
    <row r="235" spans="1:22" x14ac:dyDescent="0.3">
      <c r="A235" s="5" t="str">
        <f>IF(kokpit!A235&lt;&gt;"",kokpit!A235,"")</f>
        <v/>
      </c>
      <c r="B235" s="5" t="str">
        <f>IF(kokpit!B235&lt;&gt;"",kokpit!B235,"")</f>
        <v/>
      </c>
      <c r="C235" s="24" t="str">
        <f>IF(A235&lt;&gt;"",SUMIFS('JPK_KR-1'!AL:AL,'JPK_KR-1'!W:W,B235),"")</f>
        <v/>
      </c>
      <c r="D235" s="126" t="str">
        <f>IF(A235&lt;&gt;"",SUMIFS('JPK_KR-1'!AM:AM,'JPK_KR-1'!W:W,B235),"")</f>
        <v/>
      </c>
      <c r="E235" s="5" t="str">
        <f>IF(kokpit!E235&lt;&gt;"",kokpit!E235,"")</f>
        <v/>
      </c>
      <c r="F235" s="127" t="str">
        <f>IF(kokpit!F235&lt;&gt;"",kokpit!F235,"")</f>
        <v/>
      </c>
      <c r="G235" s="24" t="str">
        <f>IF(E235&lt;&gt;"",SUMIFS('JPK_KR-1'!AL:AL,'JPK_KR-1'!W:W,F235),"")</f>
        <v/>
      </c>
      <c r="H235" s="126" t="str">
        <f>IF(E235&lt;&gt;"",SUMIFS('JPK_KR-1'!AM:AM,'JPK_KR-1'!W:W,F235),"")</f>
        <v/>
      </c>
      <c r="I235" s="5" t="str">
        <f>IF(kokpit!I235&lt;&gt;"",kokpit!I235,"")</f>
        <v/>
      </c>
      <c r="J235" s="5" t="str">
        <f>IF(kokpit!J235&lt;&gt;"",kokpit!J235,"")</f>
        <v/>
      </c>
      <c r="K235" s="24" t="str">
        <f>IF(I235&lt;&gt;"",SUMIFS('JPK_KR-1'!AL:AL,'JPK_KR-1'!W:W,J235),"")</f>
        <v/>
      </c>
      <c r="L235" s="141" t="str">
        <f>IF(I235&lt;&gt;"",SUMIFS('JPK_KR-1'!AM:AM,'JPK_KR-1'!W:W,J235),"")</f>
        <v/>
      </c>
      <c r="M235" s="143" t="str">
        <f>IF(kokpit!M235&lt;&gt;"",kokpit!M235,"")</f>
        <v/>
      </c>
      <c r="N235" s="117" t="str">
        <f>IF(kokpit!N235&lt;&gt;"",kokpit!N235,"")</f>
        <v/>
      </c>
      <c r="O235" s="117" t="str">
        <f>IF(kokpit!O235&lt;&gt;"",kokpit!O235,"")</f>
        <v/>
      </c>
      <c r="P235" s="141" t="str">
        <f>IF(M235&lt;&gt;"",IF(O235="",SUMIFS('JPK_KR-1'!AL:AL,'JPK_KR-1'!W:W,N235),SUMIFS('JPK_KR-1'!BF:BF,'JPK_KR-1'!BE:BE,N235,'JPK_KR-1'!BG:BG,O235)),"")</f>
        <v/>
      </c>
      <c r="Q235" s="144" t="str">
        <f>IF(M235&lt;&gt;"",IF(O235="",SUMIFS('JPK_KR-1'!AM:AM,'JPK_KR-1'!W:W,N235),SUMIFS('JPK_KR-1'!BI:BI,'JPK_KR-1'!BH:BH,N235,'JPK_KR-1'!BJ:BJ,O235)),"")</f>
        <v/>
      </c>
      <c r="R235" s="117" t="str">
        <f>IF(kokpit!R235&lt;&gt;"",kokpit!R235,"")</f>
        <v/>
      </c>
      <c r="S235" s="117" t="str">
        <f>IF(kokpit!S235&lt;&gt;"",kokpit!S235,"")</f>
        <v/>
      </c>
      <c r="T235" s="117" t="str">
        <f>IF(kokpit!T235&lt;&gt;"",kokpit!T235,"")</f>
        <v/>
      </c>
      <c r="U235" s="141" t="str">
        <f>IF(R235&lt;&gt;"",SUMIFS('JPK_KR-1'!AL:AL,'JPK_KR-1'!W:W,S235),"")</f>
        <v/>
      </c>
      <c r="V235" s="144" t="str">
        <f>IF(R235&lt;&gt;"",SUMIFS('JPK_KR-1'!AM:AM,'JPK_KR-1'!W:W,S235),"")</f>
        <v/>
      </c>
    </row>
    <row r="236" spans="1:22" x14ac:dyDescent="0.3">
      <c r="A236" s="5" t="str">
        <f>IF(kokpit!A236&lt;&gt;"",kokpit!A236,"")</f>
        <v/>
      </c>
      <c r="B236" s="5" t="str">
        <f>IF(kokpit!B236&lt;&gt;"",kokpit!B236,"")</f>
        <v/>
      </c>
      <c r="C236" s="24" t="str">
        <f>IF(A236&lt;&gt;"",SUMIFS('JPK_KR-1'!AL:AL,'JPK_KR-1'!W:W,B236),"")</f>
        <v/>
      </c>
      <c r="D236" s="126" t="str">
        <f>IF(A236&lt;&gt;"",SUMIFS('JPK_KR-1'!AM:AM,'JPK_KR-1'!W:W,B236),"")</f>
        <v/>
      </c>
      <c r="E236" s="5" t="str">
        <f>IF(kokpit!E236&lt;&gt;"",kokpit!E236,"")</f>
        <v/>
      </c>
      <c r="F236" s="127" t="str">
        <f>IF(kokpit!F236&lt;&gt;"",kokpit!F236,"")</f>
        <v/>
      </c>
      <c r="G236" s="24" t="str">
        <f>IF(E236&lt;&gt;"",SUMIFS('JPK_KR-1'!AL:AL,'JPK_KR-1'!W:W,F236),"")</f>
        <v/>
      </c>
      <c r="H236" s="126" t="str">
        <f>IF(E236&lt;&gt;"",SUMIFS('JPK_KR-1'!AM:AM,'JPK_KR-1'!W:W,F236),"")</f>
        <v/>
      </c>
      <c r="I236" s="5" t="str">
        <f>IF(kokpit!I236&lt;&gt;"",kokpit!I236,"")</f>
        <v/>
      </c>
      <c r="J236" s="5" t="str">
        <f>IF(kokpit!J236&lt;&gt;"",kokpit!J236,"")</f>
        <v/>
      </c>
      <c r="K236" s="24" t="str">
        <f>IF(I236&lt;&gt;"",SUMIFS('JPK_KR-1'!AL:AL,'JPK_KR-1'!W:W,J236),"")</f>
        <v/>
      </c>
      <c r="L236" s="141" t="str">
        <f>IF(I236&lt;&gt;"",SUMIFS('JPK_KR-1'!AM:AM,'JPK_KR-1'!W:W,J236),"")</f>
        <v/>
      </c>
      <c r="M236" s="143" t="str">
        <f>IF(kokpit!M236&lt;&gt;"",kokpit!M236,"")</f>
        <v/>
      </c>
      <c r="N236" s="117" t="str">
        <f>IF(kokpit!N236&lt;&gt;"",kokpit!N236,"")</f>
        <v/>
      </c>
      <c r="O236" s="117" t="str">
        <f>IF(kokpit!O236&lt;&gt;"",kokpit!O236,"")</f>
        <v/>
      </c>
      <c r="P236" s="141" t="str">
        <f>IF(M236&lt;&gt;"",IF(O236="",SUMIFS('JPK_KR-1'!AL:AL,'JPK_KR-1'!W:W,N236),SUMIFS('JPK_KR-1'!BF:BF,'JPK_KR-1'!BE:BE,N236,'JPK_KR-1'!BG:BG,O236)),"")</f>
        <v/>
      </c>
      <c r="Q236" s="144" t="str">
        <f>IF(M236&lt;&gt;"",IF(O236="",SUMIFS('JPK_KR-1'!AM:AM,'JPK_KR-1'!W:W,N236),SUMIFS('JPK_KR-1'!BI:BI,'JPK_KR-1'!BH:BH,N236,'JPK_KR-1'!BJ:BJ,O236)),"")</f>
        <v/>
      </c>
      <c r="R236" s="117" t="str">
        <f>IF(kokpit!R236&lt;&gt;"",kokpit!R236,"")</f>
        <v/>
      </c>
      <c r="S236" s="117" t="str">
        <f>IF(kokpit!S236&lt;&gt;"",kokpit!S236,"")</f>
        <v/>
      </c>
      <c r="T236" s="117" t="str">
        <f>IF(kokpit!T236&lt;&gt;"",kokpit!T236,"")</f>
        <v/>
      </c>
      <c r="U236" s="141" t="str">
        <f>IF(R236&lt;&gt;"",SUMIFS('JPK_KR-1'!AL:AL,'JPK_KR-1'!W:W,S236),"")</f>
        <v/>
      </c>
      <c r="V236" s="144" t="str">
        <f>IF(R236&lt;&gt;"",SUMIFS('JPK_KR-1'!AM:AM,'JPK_KR-1'!W:W,S236),"")</f>
        <v/>
      </c>
    </row>
    <row r="237" spans="1:22" x14ac:dyDescent="0.3">
      <c r="A237" s="5" t="str">
        <f>IF(kokpit!A237&lt;&gt;"",kokpit!A237,"")</f>
        <v/>
      </c>
      <c r="B237" s="5" t="str">
        <f>IF(kokpit!B237&lt;&gt;"",kokpit!B237,"")</f>
        <v/>
      </c>
      <c r="C237" s="24" t="str">
        <f>IF(A237&lt;&gt;"",SUMIFS('JPK_KR-1'!AL:AL,'JPK_KR-1'!W:W,B237),"")</f>
        <v/>
      </c>
      <c r="D237" s="126" t="str">
        <f>IF(A237&lt;&gt;"",SUMIFS('JPK_KR-1'!AM:AM,'JPK_KR-1'!W:W,B237),"")</f>
        <v/>
      </c>
      <c r="E237" s="5" t="str">
        <f>IF(kokpit!E237&lt;&gt;"",kokpit!E237,"")</f>
        <v/>
      </c>
      <c r="F237" s="127" t="str">
        <f>IF(kokpit!F237&lt;&gt;"",kokpit!F237,"")</f>
        <v/>
      </c>
      <c r="G237" s="24" t="str">
        <f>IF(E237&lt;&gt;"",SUMIFS('JPK_KR-1'!AL:AL,'JPK_KR-1'!W:W,F237),"")</f>
        <v/>
      </c>
      <c r="H237" s="126" t="str">
        <f>IF(E237&lt;&gt;"",SUMIFS('JPK_KR-1'!AM:AM,'JPK_KR-1'!W:W,F237),"")</f>
        <v/>
      </c>
      <c r="I237" s="5" t="str">
        <f>IF(kokpit!I237&lt;&gt;"",kokpit!I237,"")</f>
        <v/>
      </c>
      <c r="J237" s="5" t="str">
        <f>IF(kokpit!J237&lt;&gt;"",kokpit!J237,"")</f>
        <v/>
      </c>
      <c r="K237" s="24" t="str">
        <f>IF(I237&lt;&gt;"",SUMIFS('JPK_KR-1'!AL:AL,'JPK_KR-1'!W:W,J237),"")</f>
        <v/>
      </c>
      <c r="L237" s="141" t="str">
        <f>IF(I237&lt;&gt;"",SUMIFS('JPK_KR-1'!AM:AM,'JPK_KR-1'!W:W,J237),"")</f>
        <v/>
      </c>
      <c r="M237" s="143" t="str">
        <f>IF(kokpit!M237&lt;&gt;"",kokpit!M237,"")</f>
        <v/>
      </c>
      <c r="N237" s="117" t="str">
        <f>IF(kokpit!N237&lt;&gt;"",kokpit!N237,"")</f>
        <v/>
      </c>
      <c r="O237" s="117" t="str">
        <f>IF(kokpit!O237&lt;&gt;"",kokpit!O237,"")</f>
        <v/>
      </c>
      <c r="P237" s="141" t="str">
        <f>IF(M237&lt;&gt;"",IF(O237="",SUMIFS('JPK_KR-1'!AL:AL,'JPK_KR-1'!W:W,N237),SUMIFS('JPK_KR-1'!BF:BF,'JPK_KR-1'!BE:BE,N237,'JPK_KR-1'!BG:BG,O237)),"")</f>
        <v/>
      </c>
      <c r="Q237" s="144" t="str">
        <f>IF(M237&lt;&gt;"",IF(O237="",SUMIFS('JPK_KR-1'!AM:AM,'JPK_KR-1'!W:W,N237),SUMIFS('JPK_KR-1'!BI:BI,'JPK_KR-1'!BH:BH,N237,'JPK_KR-1'!BJ:BJ,O237)),"")</f>
        <v/>
      </c>
      <c r="R237" s="117" t="str">
        <f>IF(kokpit!R237&lt;&gt;"",kokpit!R237,"")</f>
        <v/>
      </c>
      <c r="S237" s="117" t="str">
        <f>IF(kokpit!S237&lt;&gt;"",kokpit!S237,"")</f>
        <v/>
      </c>
      <c r="T237" s="117" t="str">
        <f>IF(kokpit!T237&lt;&gt;"",kokpit!T237,"")</f>
        <v/>
      </c>
      <c r="U237" s="141" t="str">
        <f>IF(R237&lt;&gt;"",SUMIFS('JPK_KR-1'!AL:AL,'JPK_KR-1'!W:W,S237),"")</f>
        <v/>
      </c>
      <c r="V237" s="144" t="str">
        <f>IF(R237&lt;&gt;"",SUMIFS('JPK_KR-1'!AM:AM,'JPK_KR-1'!W:W,S237),"")</f>
        <v/>
      </c>
    </row>
    <row r="238" spans="1:22" x14ac:dyDescent="0.3">
      <c r="A238" s="5" t="str">
        <f>IF(kokpit!A238&lt;&gt;"",kokpit!A238,"")</f>
        <v/>
      </c>
      <c r="B238" s="5" t="str">
        <f>IF(kokpit!B238&lt;&gt;"",kokpit!B238,"")</f>
        <v/>
      </c>
      <c r="C238" s="24" t="str">
        <f>IF(A238&lt;&gt;"",SUMIFS('JPK_KR-1'!AL:AL,'JPK_KR-1'!W:W,B238),"")</f>
        <v/>
      </c>
      <c r="D238" s="126" t="str">
        <f>IF(A238&lt;&gt;"",SUMIFS('JPK_KR-1'!AM:AM,'JPK_KR-1'!W:W,B238),"")</f>
        <v/>
      </c>
      <c r="E238" s="5" t="str">
        <f>IF(kokpit!E238&lt;&gt;"",kokpit!E238,"")</f>
        <v/>
      </c>
      <c r="F238" s="127" t="str">
        <f>IF(kokpit!F238&lt;&gt;"",kokpit!F238,"")</f>
        <v/>
      </c>
      <c r="G238" s="24" t="str">
        <f>IF(E238&lt;&gt;"",SUMIFS('JPK_KR-1'!AL:AL,'JPK_KR-1'!W:W,F238),"")</f>
        <v/>
      </c>
      <c r="H238" s="126" t="str">
        <f>IF(E238&lt;&gt;"",SUMIFS('JPK_KR-1'!AM:AM,'JPK_KR-1'!W:W,F238),"")</f>
        <v/>
      </c>
      <c r="I238" s="5" t="str">
        <f>IF(kokpit!I238&lt;&gt;"",kokpit!I238,"")</f>
        <v/>
      </c>
      <c r="J238" s="5" t="str">
        <f>IF(kokpit!J238&lt;&gt;"",kokpit!J238,"")</f>
        <v/>
      </c>
      <c r="K238" s="24" t="str">
        <f>IF(I238&lt;&gt;"",SUMIFS('JPK_KR-1'!AL:AL,'JPK_KR-1'!W:W,J238),"")</f>
        <v/>
      </c>
      <c r="L238" s="141" t="str">
        <f>IF(I238&lt;&gt;"",SUMIFS('JPK_KR-1'!AM:AM,'JPK_KR-1'!W:W,J238),"")</f>
        <v/>
      </c>
      <c r="M238" s="143" t="str">
        <f>IF(kokpit!M238&lt;&gt;"",kokpit!M238,"")</f>
        <v/>
      </c>
      <c r="N238" s="117" t="str">
        <f>IF(kokpit!N238&lt;&gt;"",kokpit!N238,"")</f>
        <v/>
      </c>
      <c r="O238" s="117" t="str">
        <f>IF(kokpit!O238&lt;&gt;"",kokpit!O238,"")</f>
        <v/>
      </c>
      <c r="P238" s="141" t="str">
        <f>IF(M238&lt;&gt;"",IF(O238="",SUMIFS('JPK_KR-1'!AL:AL,'JPK_KR-1'!W:W,N238),SUMIFS('JPK_KR-1'!BF:BF,'JPK_KR-1'!BE:BE,N238,'JPK_KR-1'!BG:BG,O238)),"")</f>
        <v/>
      </c>
      <c r="Q238" s="144" t="str">
        <f>IF(M238&lt;&gt;"",IF(O238="",SUMIFS('JPK_KR-1'!AM:AM,'JPK_KR-1'!W:W,N238),SUMIFS('JPK_KR-1'!BI:BI,'JPK_KR-1'!BH:BH,N238,'JPK_KR-1'!BJ:BJ,O238)),"")</f>
        <v/>
      </c>
      <c r="R238" s="117" t="str">
        <f>IF(kokpit!R238&lt;&gt;"",kokpit!R238,"")</f>
        <v/>
      </c>
      <c r="S238" s="117" t="str">
        <f>IF(kokpit!S238&lt;&gt;"",kokpit!S238,"")</f>
        <v/>
      </c>
      <c r="T238" s="117" t="str">
        <f>IF(kokpit!T238&lt;&gt;"",kokpit!T238,"")</f>
        <v/>
      </c>
      <c r="U238" s="141" t="str">
        <f>IF(R238&lt;&gt;"",SUMIFS('JPK_KR-1'!AL:AL,'JPK_KR-1'!W:W,S238),"")</f>
        <v/>
      </c>
      <c r="V238" s="144" t="str">
        <f>IF(R238&lt;&gt;"",SUMIFS('JPK_KR-1'!AM:AM,'JPK_KR-1'!W:W,S238),"")</f>
        <v/>
      </c>
    </row>
    <row r="239" spans="1:22" x14ac:dyDescent="0.3">
      <c r="A239" s="5" t="str">
        <f>IF(kokpit!A239&lt;&gt;"",kokpit!A239,"")</f>
        <v/>
      </c>
      <c r="B239" s="5" t="str">
        <f>IF(kokpit!B239&lt;&gt;"",kokpit!B239,"")</f>
        <v/>
      </c>
      <c r="C239" s="24" t="str">
        <f>IF(A239&lt;&gt;"",SUMIFS('JPK_KR-1'!AL:AL,'JPK_KR-1'!W:W,B239),"")</f>
        <v/>
      </c>
      <c r="D239" s="126" t="str">
        <f>IF(A239&lt;&gt;"",SUMIFS('JPK_KR-1'!AM:AM,'JPK_KR-1'!W:W,B239),"")</f>
        <v/>
      </c>
      <c r="E239" s="5" t="str">
        <f>IF(kokpit!E239&lt;&gt;"",kokpit!E239,"")</f>
        <v/>
      </c>
      <c r="F239" s="127" t="str">
        <f>IF(kokpit!F239&lt;&gt;"",kokpit!F239,"")</f>
        <v/>
      </c>
      <c r="G239" s="24" t="str">
        <f>IF(E239&lt;&gt;"",SUMIFS('JPK_KR-1'!AL:AL,'JPK_KR-1'!W:W,F239),"")</f>
        <v/>
      </c>
      <c r="H239" s="126" t="str">
        <f>IF(E239&lt;&gt;"",SUMIFS('JPK_KR-1'!AM:AM,'JPK_KR-1'!W:W,F239),"")</f>
        <v/>
      </c>
      <c r="I239" s="5" t="str">
        <f>IF(kokpit!I239&lt;&gt;"",kokpit!I239,"")</f>
        <v/>
      </c>
      <c r="J239" s="5" t="str">
        <f>IF(kokpit!J239&lt;&gt;"",kokpit!J239,"")</f>
        <v/>
      </c>
      <c r="K239" s="24" t="str">
        <f>IF(I239&lt;&gt;"",SUMIFS('JPK_KR-1'!AL:AL,'JPK_KR-1'!W:W,J239),"")</f>
        <v/>
      </c>
      <c r="L239" s="141" t="str">
        <f>IF(I239&lt;&gt;"",SUMIFS('JPK_KR-1'!AM:AM,'JPK_KR-1'!W:W,J239),"")</f>
        <v/>
      </c>
      <c r="M239" s="143" t="str">
        <f>IF(kokpit!M239&lt;&gt;"",kokpit!M239,"")</f>
        <v/>
      </c>
      <c r="N239" s="117" t="str">
        <f>IF(kokpit!N239&lt;&gt;"",kokpit!N239,"")</f>
        <v/>
      </c>
      <c r="O239" s="117" t="str">
        <f>IF(kokpit!O239&lt;&gt;"",kokpit!O239,"")</f>
        <v/>
      </c>
      <c r="P239" s="141" t="str">
        <f>IF(M239&lt;&gt;"",IF(O239="",SUMIFS('JPK_KR-1'!AL:AL,'JPK_KR-1'!W:W,N239),SUMIFS('JPK_KR-1'!BF:BF,'JPK_KR-1'!BE:BE,N239,'JPK_KR-1'!BG:BG,O239)),"")</f>
        <v/>
      </c>
      <c r="Q239" s="144" t="str">
        <f>IF(M239&lt;&gt;"",IF(O239="",SUMIFS('JPK_KR-1'!AM:AM,'JPK_KR-1'!W:W,N239),SUMIFS('JPK_KR-1'!BI:BI,'JPK_KR-1'!BH:BH,N239,'JPK_KR-1'!BJ:BJ,O239)),"")</f>
        <v/>
      </c>
      <c r="R239" s="117" t="str">
        <f>IF(kokpit!R239&lt;&gt;"",kokpit!R239,"")</f>
        <v/>
      </c>
      <c r="S239" s="117" t="str">
        <f>IF(kokpit!S239&lt;&gt;"",kokpit!S239,"")</f>
        <v/>
      </c>
      <c r="T239" s="117" t="str">
        <f>IF(kokpit!T239&lt;&gt;"",kokpit!T239,"")</f>
        <v/>
      </c>
      <c r="U239" s="141" t="str">
        <f>IF(R239&lt;&gt;"",SUMIFS('JPK_KR-1'!AL:AL,'JPK_KR-1'!W:W,S239),"")</f>
        <v/>
      </c>
      <c r="V239" s="144" t="str">
        <f>IF(R239&lt;&gt;"",SUMIFS('JPK_KR-1'!AM:AM,'JPK_KR-1'!W:W,S239),"")</f>
        <v/>
      </c>
    </row>
    <row r="240" spans="1:22" x14ac:dyDescent="0.3">
      <c r="A240" s="5" t="str">
        <f>IF(kokpit!A240&lt;&gt;"",kokpit!A240,"")</f>
        <v/>
      </c>
      <c r="B240" s="5" t="str">
        <f>IF(kokpit!B240&lt;&gt;"",kokpit!B240,"")</f>
        <v/>
      </c>
      <c r="C240" s="24" t="str">
        <f>IF(A240&lt;&gt;"",SUMIFS('JPK_KR-1'!AL:AL,'JPK_KR-1'!W:W,B240),"")</f>
        <v/>
      </c>
      <c r="D240" s="126" t="str">
        <f>IF(A240&lt;&gt;"",SUMIFS('JPK_KR-1'!AM:AM,'JPK_KR-1'!W:W,B240),"")</f>
        <v/>
      </c>
      <c r="E240" s="5" t="str">
        <f>IF(kokpit!E240&lt;&gt;"",kokpit!E240,"")</f>
        <v/>
      </c>
      <c r="F240" s="127" t="str">
        <f>IF(kokpit!F240&lt;&gt;"",kokpit!F240,"")</f>
        <v/>
      </c>
      <c r="G240" s="24" t="str">
        <f>IF(E240&lt;&gt;"",SUMIFS('JPK_KR-1'!AL:AL,'JPK_KR-1'!W:W,F240),"")</f>
        <v/>
      </c>
      <c r="H240" s="126" t="str">
        <f>IF(E240&lt;&gt;"",SUMIFS('JPK_KR-1'!AM:AM,'JPK_KR-1'!W:W,F240),"")</f>
        <v/>
      </c>
      <c r="I240" s="5" t="str">
        <f>IF(kokpit!I240&lt;&gt;"",kokpit!I240,"")</f>
        <v/>
      </c>
      <c r="J240" s="5" t="str">
        <f>IF(kokpit!J240&lt;&gt;"",kokpit!J240,"")</f>
        <v/>
      </c>
      <c r="K240" s="24" t="str">
        <f>IF(I240&lt;&gt;"",SUMIFS('JPK_KR-1'!AL:AL,'JPK_KR-1'!W:W,J240),"")</f>
        <v/>
      </c>
      <c r="L240" s="141" t="str">
        <f>IF(I240&lt;&gt;"",SUMIFS('JPK_KR-1'!AM:AM,'JPK_KR-1'!W:W,J240),"")</f>
        <v/>
      </c>
      <c r="M240" s="143" t="str">
        <f>IF(kokpit!M240&lt;&gt;"",kokpit!M240,"")</f>
        <v/>
      </c>
      <c r="N240" s="117" t="str">
        <f>IF(kokpit!N240&lt;&gt;"",kokpit!N240,"")</f>
        <v/>
      </c>
      <c r="O240" s="117" t="str">
        <f>IF(kokpit!O240&lt;&gt;"",kokpit!O240,"")</f>
        <v/>
      </c>
      <c r="P240" s="141" t="str">
        <f>IF(M240&lt;&gt;"",IF(O240="",SUMIFS('JPK_KR-1'!AL:AL,'JPK_KR-1'!W:W,N240),SUMIFS('JPK_KR-1'!BF:BF,'JPK_KR-1'!BE:BE,N240,'JPK_KR-1'!BG:BG,O240)),"")</f>
        <v/>
      </c>
      <c r="Q240" s="144" t="str">
        <f>IF(M240&lt;&gt;"",IF(O240="",SUMIFS('JPK_KR-1'!AM:AM,'JPK_KR-1'!W:W,N240),SUMIFS('JPK_KR-1'!BI:BI,'JPK_KR-1'!BH:BH,N240,'JPK_KR-1'!BJ:BJ,O240)),"")</f>
        <v/>
      </c>
      <c r="R240" s="117" t="str">
        <f>IF(kokpit!R240&lt;&gt;"",kokpit!R240,"")</f>
        <v/>
      </c>
      <c r="S240" s="117" t="str">
        <f>IF(kokpit!S240&lt;&gt;"",kokpit!S240,"")</f>
        <v/>
      </c>
      <c r="T240" s="117" t="str">
        <f>IF(kokpit!T240&lt;&gt;"",kokpit!T240,"")</f>
        <v/>
      </c>
      <c r="U240" s="141" t="str">
        <f>IF(R240&lt;&gt;"",SUMIFS('JPK_KR-1'!AL:AL,'JPK_KR-1'!W:W,S240),"")</f>
        <v/>
      </c>
      <c r="V240" s="144" t="str">
        <f>IF(R240&lt;&gt;"",SUMIFS('JPK_KR-1'!AM:AM,'JPK_KR-1'!W:W,S240),"")</f>
        <v/>
      </c>
    </row>
    <row r="241" spans="1:22" x14ac:dyDescent="0.3">
      <c r="A241" s="5" t="str">
        <f>IF(kokpit!A241&lt;&gt;"",kokpit!A241,"")</f>
        <v/>
      </c>
      <c r="B241" s="5" t="str">
        <f>IF(kokpit!B241&lt;&gt;"",kokpit!B241,"")</f>
        <v/>
      </c>
      <c r="C241" s="24" t="str">
        <f>IF(A241&lt;&gt;"",SUMIFS('JPK_KR-1'!AL:AL,'JPK_KR-1'!W:W,B241),"")</f>
        <v/>
      </c>
      <c r="D241" s="126" t="str">
        <f>IF(A241&lt;&gt;"",SUMIFS('JPK_KR-1'!AM:AM,'JPK_KR-1'!W:W,B241),"")</f>
        <v/>
      </c>
      <c r="E241" s="5" t="str">
        <f>IF(kokpit!E241&lt;&gt;"",kokpit!E241,"")</f>
        <v/>
      </c>
      <c r="F241" s="127" t="str">
        <f>IF(kokpit!F241&lt;&gt;"",kokpit!F241,"")</f>
        <v/>
      </c>
      <c r="G241" s="24" t="str">
        <f>IF(E241&lt;&gt;"",SUMIFS('JPK_KR-1'!AL:AL,'JPK_KR-1'!W:W,F241),"")</f>
        <v/>
      </c>
      <c r="H241" s="126" t="str">
        <f>IF(E241&lt;&gt;"",SUMIFS('JPK_KR-1'!AM:AM,'JPK_KR-1'!W:W,F241),"")</f>
        <v/>
      </c>
      <c r="I241" s="5" t="str">
        <f>IF(kokpit!I241&lt;&gt;"",kokpit!I241,"")</f>
        <v/>
      </c>
      <c r="J241" s="5" t="str">
        <f>IF(kokpit!J241&lt;&gt;"",kokpit!J241,"")</f>
        <v/>
      </c>
      <c r="K241" s="24" t="str">
        <f>IF(I241&lt;&gt;"",SUMIFS('JPK_KR-1'!AL:AL,'JPK_KR-1'!W:W,J241),"")</f>
        <v/>
      </c>
      <c r="L241" s="141" t="str">
        <f>IF(I241&lt;&gt;"",SUMIFS('JPK_KR-1'!AM:AM,'JPK_KR-1'!W:W,J241),"")</f>
        <v/>
      </c>
      <c r="M241" s="143" t="str">
        <f>IF(kokpit!M241&lt;&gt;"",kokpit!M241,"")</f>
        <v/>
      </c>
      <c r="N241" s="117" t="str">
        <f>IF(kokpit!N241&lt;&gt;"",kokpit!N241,"")</f>
        <v/>
      </c>
      <c r="O241" s="117" t="str">
        <f>IF(kokpit!O241&lt;&gt;"",kokpit!O241,"")</f>
        <v/>
      </c>
      <c r="P241" s="141" t="str">
        <f>IF(M241&lt;&gt;"",IF(O241="",SUMIFS('JPK_KR-1'!AL:AL,'JPK_KR-1'!W:W,N241),SUMIFS('JPK_KR-1'!BF:BF,'JPK_KR-1'!BE:BE,N241,'JPK_KR-1'!BG:BG,O241)),"")</f>
        <v/>
      </c>
      <c r="Q241" s="144" t="str">
        <f>IF(M241&lt;&gt;"",IF(O241="",SUMIFS('JPK_KR-1'!AM:AM,'JPK_KR-1'!W:W,N241),SUMIFS('JPK_KR-1'!BI:BI,'JPK_KR-1'!BH:BH,N241,'JPK_KR-1'!BJ:BJ,O241)),"")</f>
        <v/>
      </c>
      <c r="R241" s="117" t="str">
        <f>IF(kokpit!R241&lt;&gt;"",kokpit!R241,"")</f>
        <v/>
      </c>
      <c r="S241" s="117" t="str">
        <f>IF(kokpit!S241&lt;&gt;"",kokpit!S241,"")</f>
        <v/>
      </c>
      <c r="T241" s="117" t="str">
        <f>IF(kokpit!T241&lt;&gt;"",kokpit!T241,"")</f>
        <v/>
      </c>
      <c r="U241" s="141" t="str">
        <f>IF(R241&lt;&gt;"",SUMIFS('JPK_KR-1'!AL:AL,'JPK_KR-1'!W:W,S241),"")</f>
        <v/>
      </c>
      <c r="V241" s="144" t="str">
        <f>IF(R241&lt;&gt;"",SUMIFS('JPK_KR-1'!AM:AM,'JPK_KR-1'!W:W,S241),"")</f>
        <v/>
      </c>
    </row>
    <row r="242" spans="1:22" x14ac:dyDescent="0.3">
      <c r="A242" s="5" t="str">
        <f>IF(kokpit!A242&lt;&gt;"",kokpit!A242,"")</f>
        <v/>
      </c>
      <c r="B242" s="5" t="str">
        <f>IF(kokpit!B242&lt;&gt;"",kokpit!B242,"")</f>
        <v/>
      </c>
      <c r="C242" s="24" t="str">
        <f>IF(A242&lt;&gt;"",SUMIFS('JPK_KR-1'!AL:AL,'JPK_KR-1'!W:W,B242),"")</f>
        <v/>
      </c>
      <c r="D242" s="126" t="str">
        <f>IF(A242&lt;&gt;"",SUMIFS('JPK_KR-1'!AM:AM,'JPK_KR-1'!W:W,B242),"")</f>
        <v/>
      </c>
      <c r="E242" s="5" t="str">
        <f>IF(kokpit!E242&lt;&gt;"",kokpit!E242,"")</f>
        <v/>
      </c>
      <c r="F242" s="127" t="str">
        <f>IF(kokpit!F242&lt;&gt;"",kokpit!F242,"")</f>
        <v/>
      </c>
      <c r="G242" s="24" t="str">
        <f>IF(E242&lt;&gt;"",SUMIFS('JPK_KR-1'!AL:AL,'JPK_KR-1'!W:W,F242),"")</f>
        <v/>
      </c>
      <c r="H242" s="126" t="str">
        <f>IF(E242&lt;&gt;"",SUMIFS('JPK_KR-1'!AM:AM,'JPK_KR-1'!W:W,F242),"")</f>
        <v/>
      </c>
      <c r="I242" s="5" t="str">
        <f>IF(kokpit!I242&lt;&gt;"",kokpit!I242,"")</f>
        <v/>
      </c>
      <c r="J242" s="5" t="str">
        <f>IF(kokpit!J242&lt;&gt;"",kokpit!J242,"")</f>
        <v/>
      </c>
      <c r="K242" s="24" t="str">
        <f>IF(I242&lt;&gt;"",SUMIFS('JPK_KR-1'!AL:AL,'JPK_KR-1'!W:W,J242),"")</f>
        <v/>
      </c>
      <c r="L242" s="141" t="str">
        <f>IF(I242&lt;&gt;"",SUMIFS('JPK_KR-1'!AM:AM,'JPK_KR-1'!W:W,J242),"")</f>
        <v/>
      </c>
      <c r="M242" s="143" t="str">
        <f>IF(kokpit!M242&lt;&gt;"",kokpit!M242,"")</f>
        <v/>
      </c>
      <c r="N242" s="117" t="str">
        <f>IF(kokpit!N242&lt;&gt;"",kokpit!N242,"")</f>
        <v/>
      </c>
      <c r="O242" s="117" t="str">
        <f>IF(kokpit!O242&lt;&gt;"",kokpit!O242,"")</f>
        <v/>
      </c>
      <c r="P242" s="141" t="str">
        <f>IF(M242&lt;&gt;"",IF(O242="",SUMIFS('JPK_KR-1'!AL:AL,'JPK_KR-1'!W:W,N242),SUMIFS('JPK_KR-1'!BF:BF,'JPK_KR-1'!BE:BE,N242,'JPK_KR-1'!BG:BG,O242)),"")</f>
        <v/>
      </c>
      <c r="Q242" s="144" t="str">
        <f>IF(M242&lt;&gt;"",IF(O242="",SUMIFS('JPK_KR-1'!AM:AM,'JPK_KR-1'!W:W,N242),SUMIFS('JPK_KR-1'!BI:BI,'JPK_KR-1'!BH:BH,N242,'JPK_KR-1'!BJ:BJ,O242)),"")</f>
        <v/>
      </c>
      <c r="R242" s="117" t="str">
        <f>IF(kokpit!R242&lt;&gt;"",kokpit!R242,"")</f>
        <v/>
      </c>
      <c r="S242" s="117" t="str">
        <f>IF(kokpit!S242&lt;&gt;"",kokpit!S242,"")</f>
        <v/>
      </c>
      <c r="T242" s="117" t="str">
        <f>IF(kokpit!T242&lt;&gt;"",kokpit!T242,"")</f>
        <v/>
      </c>
      <c r="U242" s="141" t="str">
        <f>IF(R242&lt;&gt;"",SUMIFS('JPK_KR-1'!AL:AL,'JPK_KR-1'!W:W,S242),"")</f>
        <v/>
      </c>
      <c r="V242" s="144" t="str">
        <f>IF(R242&lt;&gt;"",SUMIFS('JPK_KR-1'!AM:AM,'JPK_KR-1'!W:W,S242),"")</f>
        <v/>
      </c>
    </row>
    <row r="243" spans="1:22" x14ac:dyDescent="0.3">
      <c r="A243" s="5" t="str">
        <f>IF(kokpit!A243&lt;&gt;"",kokpit!A243,"")</f>
        <v/>
      </c>
      <c r="B243" s="5" t="str">
        <f>IF(kokpit!B243&lt;&gt;"",kokpit!B243,"")</f>
        <v/>
      </c>
      <c r="C243" s="24" t="str">
        <f>IF(A243&lt;&gt;"",SUMIFS('JPK_KR-1'!AL:AL,'JPK_KR-1'!W:W,B243),"")</f>
        <v/>
      </c>
      <c r="D243" s="126" t="str">
        <f>IF(A243&lt;&gt;"",SUMIFS('JPK_KR-1'!AM:AM,'JPK_KR-1'!W:W,B243),"")</f>
        <v/>
      </c>
      <c r="E243" s="5" t="str">
        <f>IF(kokpit!E243&lt;&gt;"",kokpit!E243,"")</f>
        <v/>
      </c>
      <c r="F243" s="127" t="str">
        <f>IF(kokpit!F243&lt;&gt;"",kokpit!F243,"")</f>
        <v/>
      </c>
      <c r="G243" s="24" t="str">
        <f>IF(E243&lt;&gt;"",SUMIFS('JPK_KR-1'!AL:AL,'JPK_KR-1'!W:W,F243),"")</f>
        <v/>
      </c>
      <c r="H243" s="126" t="str">
        <f>IF(E243&lt;&gt;"",SUMIFS('JPK_KR-1'!AM:AM,'JPK_KR-1'!W:W,F243),"")</f>
        <v/>
      </c>
      <c r="I243" s="5" t="str">
        <f>IF(kokpit!I243&lt;&gt;"",kokpit!I243,"")</f>
        <v/>
      </c>
      <c r="J243" s="5" t="str">
        <f>IF(kokpit!J243&lt;&gt;"",kokpit!J243,"")</f>
        <v/>
      </c>
      <c r="K243" s="24" t="str">
        <f>IF(I243&lt;&gt;"",SUMIFS('JPK_KR-1'!AL:AL,'JPK_KR-1'!W:W,J243),"")</f>
        <v/>
      </c>
      <c r="L243" s="141" t="str">
        <f>IF(I243&lt;&gt;"",SUMIFS('JPK_KR-1'!AM:AM,'JPK_KR-1'!W:W,J243),"")</f>
        <v/>
      </c>
      <c r="M243" s="143" t="str">
        <f>IF(kokpit!M243&lt;&gt;"",kokpit!M243,"")</f>
        <v/>
      </c>
      <c r="N243" s="117" t="str">
        <f>IF(kokpit!N243&lt;&gt;"",kokpit!N243,"")</f>
        <v/>
      </c>
      <c r="O243" s="117" t="str">
        <f>IF(kokpit!O243&lt;&gt;"",kokpit!O243,"")</f>
        <v/>
      </c>
      <c r="P243" s="141" t="str">
        <f>IF(M243&lt;&gt;"",IF(O243="",SUMIFS('JPK_KR-1'!AL:AL,'JPK_KR-1'!W:W,N243),SUMIFS('JPK_KR-1'!BF:BF,'JPK_KR-1'!BE:BE,N243,'JPK_KR-1'!BG:BG,O243)),"")</f>
        <v/>
      </c>
      <c r="Q243" s="144" t="str">
        <f>IF(M243&lt;&gt;"",IF(O243="",SUMIFS('JPK_KR-1'!AM:AM,'JPK_KR-1'!W:W,N243),SUMIFS('JPK_KR-1'!BI:BI,'JPK_KR-1'!BH:BH,N243,'JPK_KR-1'!BJ:BJ,O243)),"")</f>
        <v/>
      </c>
      <c r="R243" s="117" t="str">
        <f>IF(kokpit!R243&lt;&gt;"",kokpit!R243,"")</f>
        <v/>
      </c>
      <c r="S243" s="117" t="str">
        <f>IF(kokpit!S243&lt;&gt;"",kokpit!S243,"")</f>
        <v/>
      </c>
      <c r="T243" s="117" t="str">
        <f>IF(kokpit!T243&lt;&gt;"",kokpit!T243,"")</f>
        <v/>
      </c>
      <c r="U243" s="141" t="str">
        <f>IF(R243&lt;&gt;"",SUMIFS('JPK_KR-1'!AL:AL,'JPK_KR-1'!W:W,S243),"")</f>
        <v/>
      </c>
      <c r="V243" s="144" t="str">
        <f>IF(R243&lt;&gt;"",SUMIFS('JPK_KR-1'!AM:AM,'JPK_KR-1'!W:W,S243),"")</f>
        <v/>
      </c>
    </row>
    <row r="244" spans="1:22" x14ac:dyDescent="0.3">
      <c r="A244" s="5" t="str">
        <f>IF(kokpit!A244&lt;&gt;"",kokpit!A244,"")</f>
        <v/>
      </c>
      <c r="B244" s="5" t="str">
        <f>IF(kokpit!B244&lt;&gt;"",kokpit!B244,"")</f>
        <v/>
      </c>
      <c r="C244" s="24" t="str">
        <f>IF(A244&lt;&gt;"",SUMIFS('JPK_KR-1'!AL:AL,'JPK_KR-1'!W:W,B244),"")</f>
        <v/>
      </c>
      <c r="D244" s="126" t="str">
        <f>IF(A244&lt;&gt;"",SUMIFS('JPK_KR-1'!AM:AM,'JPK_KR-1'!W:W,B244),"")</f>
        <v/>
      </c>
      <c r="E244" s="5" t="str">
        <f>IF(kokpit!E244&lt;&gt;"",kokpit!E244,"")</f>
        <v/>
      </c>
      <c r="F244" s="127" t="str">
        <f>IF(kokpit!F244&lt;&gt;"",kokpit!F244,"")</f>
        <v/>
      </c>
      <c r="G244" s="24" t="str">
        <f>IF(E244&lt;&gt;"",SUMIFS('JPK_KR-1'!AL:AL,'JPK_KR-1'!W:W,F244),"")</f>
        <v/>
      </c>
      <c r="H244" s="126" t="str">
        <f>IF(E244&lt;&gt;"",SUMIFS('JPK_KR-1'!AM:AM,'JPK_KR-1'!W:W,F244),"")</f>
        <v/>
      </c>
      <c r="I244" s="5" t="str">
        <f>IF(kokpit!I244&lt;&gt;"",kokpit!I244,"")</f>
        <v/>
      </c>
      <c r="J244" s="5" t="str">
        <f>IF(kokpit!J244&lt;&gt;"",kokpit!J244,"")</f>
        <v/>
      </c>
      <c r="K244" s="24" t="str">
        <f>IF(I244&lt;&gt;"",SUMIFS('JPK_KR-1'!AL:AL,'JPK_KR-1'!W:W,J244),"")</f>
        <v/>
      </c>
      <c r="L244" s="141" t="str">
        <f>IF(I244&lt;&gt;"",SUMIFS('JPK_KR-1'!AM:AM,'JPK_KR-1'!W:W,J244),"")</f>
        <v/>
      </c>
      <c r="M244" s="143" t="str">
        <f>IF(kokpit!M244&lt;&gt;"",kokpit!M244,"")</f>
        <v/>
      </c>
      <c r="N244" s="117" t="str">
        <f>IF(kokpit!N244&lt;&gt;"",kokpit!N244,"")</f>
        <v/>
      </c>
      <c r="O244" s="117" t="str">
        <f>IF(kokpit!O244&lt;&gt;"",kokpit!O244,"")</f>
        <v/>
      </c>
      <c r="P244" s="141" t="str">
        <f>IF(M244&lt;&gt;"",IF(O244="",SUMIFS('JPK_KR-1'!AL:AL,'JPK_KR-1'!W:W,N244),SUMIFS('JPK_KR-1'!BF:BF,'JPK_KR-1'!BE:BE,N244,'JPK_KR-1'!BG:BG,O244)),"")</f>
        <v/>
      </c>
      <c r="Q244" s="144" t="str">
        <f>IF(M244&lt;&gt;"",IF(O244="",SUMIFS('JPK_KR-1'!AM:AM,'JPK_KR-1'!W:W,N244),SUMIFS('JPK_KR-1'!BI:BI,'JPK_KR-1'!BH:BH,N244,'JPK_KR-1'!BJ:BJ,O244)),"")</f>
        <v/>
      </c>
      <c r="R244" s="117" t="str">
        <f>IF(kokpit!R244&lt;&gt;"",kokpit!R244,"")</f>
        <v/>
      </c>
      <c r="S244" s="117" t="str">
        <f>IF(kokpit!S244&lt;&gt;"",kokpit!S244,"")</f>
        <v/>
      </c>
      <c r="T244" s="117" t="str">
        <f>IF(kokpit!T244&lt;&gt;"",kokpit!T244,"")</f>
        <v/>
      </c>
      <c r="U244" s="141" t="str">
        <f>IF(R244&lt;&gt;"",SUMIFS('JPK_KR-1'!AL:AL,'JPK_KR-1'!W:W,S244),"")</f>
        <v/>
      </c>
      <c r="V244" s="144" t="str">
        <f>IF(R244&lt;&gt;"",SUMIFS('JPK_KR-1'!AM:AM,'JPK_KR-1'!W:W,S244),"")</f>
        <v/>
      </c>
    </row>
    <row r="245" spans="1:22" x14ac:dyDescent="0.3">
      <c r="A245" s="5" t="str">
        <f>IF(kokpit!A245&lt;&gt;"",kokpit!A245,"")</f>
        <v/>
      </c>
      <c r="B245" s="5" t="str">
        <f>IF(kokpit!B245&lt;&gt;"",kokpit!B245,"")</f>
        <v/>
      </c>
      <c r="C245" s="24" t="str">
        <f>IF(A245&lt;&gt;"",SUMIFS('JPK_KR-1'!AL:AL,'JPK_KR-1'!W:W,B245),"")</f>
        <v/>
      </c>
      <c r="D245" s="126" t="str">
        <f>IF(A245&lt;&gt;"",SUMIFS('JPK_KR-1'!AM:AM,'JPK_KR-1'!W:W,B245),"")</f>
        <v/>
      </c>
      <c r="E245" s="5" t="str">
        <f>IF(kokpit!E245&lt;&gt;"",kokpit!E245,"")</f>
        <v/>
      </c>
      <c r="F245" s="127" t="str">
        <f>IF(kokpit!F245&lt;&gt;"",kokpit!F245,"")</f>
        <v/>
      </c>
      <c r="G245" s="24" t="str">
        <f>IF(E245&lt;&gt;"",SUMIFS('JPK_KR-1'!AL:AL,'JPK_KR-1'!W:W,F245),"")</f>
        <v/>
      </c>
      <c r="H245" s="126" t="str">
        <f>IF(E245&lt;&gt;"",SUMIFS('JPK_KR-1'!AM:AM,'JPK_KR-1'!W:W,F245),"")</f>
        <v/>
      </c>
      <c r="I245" s="5" t="str">
        <f>IF(kokpit!I245&lt;&gt;"",kokpit!I245,"")</f>
        <v/>
      </c>
      <c r="J245" s="5" t="str">
        <f>IF(kokpit!J245&lt;&gt;"",kokpit!J245,"")</f>
        <v/>
      </c>
      <c r="K245" s="24" t="str">
        <f>IF(I245&lt;&gt;"",SUMIFS('JPK_KR-1'!AL:AL,'JPK_KR-1'!W:W,J245),"")</f>
        <v/>
      </c>
      <c r="L245" s="141" t="str">
        <f>IF(I245&lt;&gt;"",SUMIFS('JPK_KR-1'!AM:AM,'JPK_KR-1'!W:W,J245),"")</f>
        <v/>
      </c>
      <c r="M245" s="143" t="str">
        <f>IF(kokpit!M245&lt;&gt;"",kokpit!M245,"")</f>
        <v/>
      </c>
      <c r="N245" s="117" t="str">
        <f>IF(kokpit!N245&lt;&gt;"",kokpit!N245,"")</f>
        <v/>
      </c>
      <c r="O245" s="117" t="str">
        <f>IF(kokpit!O245&lt;&gt;"",kokpit!O245,"")</f>
        <v/>
      </c>
      <c r="P245" s="141" t="str">
        <f>IF(M245&lt;&gt;"",IF(O245="",SUMIFS('JPK_KR-1'!AL:AL,'JPK_KR-1'!W:W,N245),SUMIFS('JPK_KR-1'!BF:BF,'JPK_KR-1'!BE:BE,N245,'JPK_KR-1'!BG:BG,O245)),"")</f>
        <v/>
      </c>
      <c r="Q245" s="144" t="str">
        <f>IF(M245&lt;&gt;"",IF(O245="",SUMIFS('JPK_KR-1'!AM:AM,'JPK_KR-1'!W:W,N245),SUMIFS('JPK_KR-1'!BI:BI,'JPK_KR-1'!BH:BH,N245,'JPK_KR-1'!BJ:BJ,O245)),"")</f>
        <v/>
      </c>
      <c r="R245" s="117" t="str">
        <f>IF(kokpit!R245&lt;&gt;"",kokpit!R245,"")</f>
        <v/>
      </c>
      <c r="S245" s="117" t="str">
        <f>IF(kokpit!S245&lt;&gt;"",kokpit!S245,"")</f>
        <v/>
      </c>
      <c r="T245" s="117" t="str">
        <f>IF(kokpit!T245&lt;&gt;"",kokpit!T245,"")</f>
        <v/>
      </c>
      <c r="U245" s="141" t="str">
        <f>IF(R245&lt;&gt;"",SUMIFS('JPK_KR-1'!AL:AL,'JPK_KR-1'!W:W,S245),"")</f>
        <v/>
      </c>
      <c r="V245" s="144" t="str">
        <f>IF(R245&lt;&gt;"",SUMIFS('JPK_KR-1'!AM:AM,'JPK_KR-1'!W:W,S245),"")</f>
        <v/>
      </c>
    </row>
    <row r="246" spans="1:22" x14ac:dyDescent="0.3">
      <c r="A246" s="5" t="str">
        <f>IF(kokpit!A246&lt;&gt;"",kokpit!A246,"")</f>
        <v/>
      </c>
      <c r="B246" s="5" t="str">
        <f>IF(kokpit!B246&lt;&gt;"",kokpit!B246,"")</f>
        <v/>
      </c>
      <c r="C246" s="24" t="str">
        <f>IF(A246&lt;&gt;"",SUMIFS('JPK_KR-1'!AL:AL,'JPK_KR-1'!W:W,B246),"")</f>
        <v/>
      </c>
      <c r="D246" s="126" t="str">
        <f>IF(A246&lt;&gt;"",SUMIFS('JPK_KR-1'!AM:AM,'JPK_KR-1'!W:W,B246),"")</f>
        <v/>
      </c>
      <c r="E246" s="5" t="str">
        <f>IF(kokpit!E246&lt;&gt;"",kokpit!E246,"")</f>
        <v/>
      </c>
      <c r="F246" s="127" t="str">
        <f>IF(kokpit!F246&lt;&gt;"",kokpit!F246,"")</f>
        <v/>
      </c>
      <c r="G246" s="24" t="str">
        <f>IF(E246&lt;&gt;"",SUMIFS('JPK_KR-1'!AL:AL,'JPK_KR-1'!W:W,F246),"")</f>
        <v/>
      </c>
      <c r="H246" s="126" t="str">
        <f>IF(E246&lt;&gt;"",SUMIFS('JPK_KR-1'!AM:AM,'JPK_KR-1'!W:W,F246),"")</f>
        <v/>
      </c>
      <c r="I246" s="5" t="str">
        <f>IF(kokpit!I246&lt;&gt;"",kokpit!I246,"")</f>
        <v/>
      </c>
      <c r="J246" s="5" t="str">
        <f>IF(kokpit!J246&lt;&gt;"",kokpit!J246,"")</f>
        <v/>
      </c>
      <c r="K246" s="24" t="str">
        <f>IF(I246&lt;&gt;"",SUMIFS('JPK_KR-1'!AL:AL,'JPK_KR-1'!W:W,J246),"")</f>
        <v/>
      </c>
      <c r="L246" s="141" t="str">
        <f>IF(I246&lt;&gt;"",SUMIFS('JPK_KR-1'!AM:AM,'JPK_KR-1'!W:W,J246),"")</f>
        <v/>
      </c>
      <c r="M246" s="143" t="str">
        <f>IF(kokpit!M246&lt;&gt;"",kokpit!M246,"")</f>
        <v/>
      </c>
      <c r="N246" s="117" t="str">
        <f>IF(kokpit!N246&lt;&gt;"",kokpit!N246,"")</f>
        <v/>
      </c>
      <c r="O246" s="117" t="str">
        <f>IF(kokpit!O246&lt;&gt;"",kokpit!O246,"")</f>
        <v/>
      </c>
      <c r="P246" s="141" t="str">
        <f>IF(M246&lt;&gt;"",IF(O246="",SUMIFS('JPK_KR-1'!AL:AL,'JPK_KR-1'!W:W,N246),SUMIFS('JPK_KR-1'!BF:BF,'JPK_KR-1'!BE:BE,N246,'JPK_KR-1'!BG:BG,O246)),"")</f>
        <v/>
      </c>
      <c r="Q246" s="144" t="str">
        <f>IF(M246&lt;&gt;"",IF(O246="",SUMIFS('JPK_KR-1'!AM:AM,'JPK_KR-1'!W:W,N246),SUMIFS('JPK_KR-1'!BI:BI,'JPK_KR-1'!BH:BH,N246,'JPK_KR-1'!BJ:BJ,O246)),"")</f>
        <v/>
      </c>
      <c r="R246" s="117" t="str">
        <f>IF(kokpit!R246&lt;&gt;"",kokpit!R246,"")</f>
        <v/>
      </c>
      <c r="S246" s="117" t="str">
        <f>IF(kokpit!S246&lt;&gt;"",kokpit!S246,"")</f>
        <v/>
      </c>
      <c r="T246" s="117" t="str">
        <f>IF(kokpit!T246&lt;&gt;"",kokpit!T246,"")</f>
        <v/>
      </c>
      <c r="U246" s="141" t="str">
        <f>IF(R246&lt;&gt;"",SUMIFS('JPK_KR-1'!AL:AL,'JPK_KR-1'!W:W,S246),"")</f>
        <v/>
      </c>
      <c r="V246" s="144" t="str">
        <f>IF(R246&lt;&gt;"",SUMIFS('JPK_KR-1'!AM:AM,'JPK_KR-1'!W:W,S246),"")</f>
        <v/>
      </c>
    </row>
    <row r="247" spans="1:22" x14ac:dyDescent="0.3">
      <c r="A247" s="5" t="str">
        <f>IF(kokpit!A247&lt;&gt;"",kokpit!A247,"")</f>
        <v/>
      </c>
      <c r="B247" s="5" t="str">
        <f>IF(kokpit!B247&lt;&gt;"",kokpit!B247,"")</f>
        <v/>
      </c>
      <c r="C247" s="24" t="str">
        <f>IF(A247&lt;&gt;"",SUMIFS('JPK_KR-1'!AL:AL,'JPK_KR-1'!W:W,B247),"")</f>
        <v/>
      </c>
      <c r="D247" s="126" t="str">
        <f>IF(A247&lt;&gt;"",SUMIFS('JPK_KR-1'!AM:AM,'JPK_KR-1'!W:W,B247),"")</f>
        <v/>
      </c>
      <c r="E247" s="5" t="str">
        <f>IF(kokpit!E247&lt;&gt;"",kokpit!E247,"")</f>
        <v/>
      </c>
      <c r="F247" s="127" t="str">
        <f>IF(kokpit!F247&lt;&gt;"",kokpit!F247,"")</f>
        <v/>
      </c>
      <c r="G247" s="24" t="str">
        <f>IF(E247&lt;&gt;"",SUMIFS('JPK_KR-1'!AL:AL,'JPK_KR-1'!W:W,F247),"")</f>
        <v/>
      </c>
      <c r="H247" s="126" t="str">
        <f>IF(E247&lt;&gt;"",SUMIFS('JPK_KR-1'!AM:AM,'JPK_KR-1'!W:W,F247),"")</f>
        <v/>
      </c>
      <c r="I247" s="5" t="str">
        <f>IF(kokpit!I247&lt;&gt;"",kokpit!I247,"")</f>
        <v/>
      </c>
      <c r="J247" s="5" t="str">
        <f>IF(kokpit!J247&lt;&gt;"",kokpit!J247,"")</f>
        <v/>
      </c>
      <c r="K247" s="24" t="str">
        <f>IF(I247&lt;&gt;"",SUMIFS('JPK_KR-1'!AL:AL,'JPK_KR-1'!W:W,J247),"")</f>
        <v/>
      </c>
      <c r="L247" s="141" t="str">
        <f>IF(I247&lt;&gt;"",SUMIFS('JPK_KR-1'!AM:AM,'JPK_KR-1'!W:W,J247),"")</f>
        <v/>
      </c>
      <c r="M247" s="143" t="str">
        <f>IF(kokpit!M247&lt;&gt;"",kokpit!M247,"")</f>
        <v/>
      </c>
      <c r="N247" s="117" t="str">
        <f>IF(kokpit!N247&lt;&gt;"",kokpit!N247,"")</f>
        <v/>
      </c>
      <c r="O247" s="117" t="str">
        <f>IF(kokpit!O247&lt;&gt;"",kokpit!O247,"")</f>
        <v/>
      </c>
      <c r="P247" s="141" t="str">
        <f>IF(M247&lt;&gt;"",IF(O247="",SUMIFS('JPK_KR-1'!AL:AL,'JPK_KR-1'!W:W,N247),SUMIFS('JPK_KR-1'!BF:BF,'JPK_KR-1'!BE:BE,N247,'JPK_KR-1'!BG:BG,O247)),"")</f>
        <v/>
      </c>
      <c r="Q247" s="144" t="str">
        <f>IF(M247&lt;&gt;"",IF(O247="",SUMIFS('JPK_KR-1'!AM:AM,'JPK_KR-1'!W:W,N247),SUMIFS('JPK_KR-1'!BI:BI,'JPK_KR-1'!BH:BH,N247,'JPK_KR-1'!BJ:BJ,O247)),"")</f>
        <v/>
      </c>
      <c r="R247" s="117" t="str">
        <f>IF(kokpit!R247&lt;&gt;"",kokpit!R247,"")</f>
        <v/>
      </c>
      <c r="S247" s="117" t="str">
        <f>IF(kokpit!S247&lt;&gt;"",kokpit!S247,"")</f>
        <v/>
      </c>
      <c r="T247" s="117" t="str">
        <f>IF(kokpit!T247&lt;&gt;"",kokpit!T247,"")</f>
        <v/>
      </c>
      <c r="U247" s="141" t="str">
        <f>IF(R247&lt;&gt;"",SUMIFS('JPK_KR-1'!AL:AL,'JPK_KR-1'!W:W,S247),"")</f>
        <v/>
      </c>
      <c r="V247" s="144" t="str">
        <f>IF(R247&lt;&gt;"",SUMIFS('JPK_KR-1'!AM:AM,'JPK_KR-1'!W:W,S247),"")</f>
        <v/>
      </c>
    </row>
    <row r="248" spans="1:22" x14ac:dyDescent="0.3">
      <c r="A248" s="5" t="str">
        <f>IF(kokpit!A248&lt;&gt;"",kokpit!A248,"")</f>
        <v/>
      </c>
      <c r="B248" s="5" t="str">
        <f>IF(kokpit!B248&lt;&gt;"",kokpit!B248,"")</f>
        <v/>
      </c>
      <c r="C248" s="24" t="str">
        <f>IF(A248&lt;&gt;"",SUMIFS('JPK_KR-1'!AL:AL,'JPK_KR-1'!W:W,B248),"")</f>
        <v/>
      </c>
      <c r="D248" s="126" t="str">
        <f>IF(A248&lt;&gt;"",SUMIFS('JPK_KR-1'!AM:AM,'JPK_KR-1'!W:W,B248),"")</f>
        <v/>
      </c>
      <c r="E248" s="5" t="str">
        <f>IF(kokpit!E248&lt;&gt;"",kokpit!E248,"")</f>
        <v/>
      </c>
      <c r="F248" s="127" t="str">
        <f>IF(kokpit!F248&lt;&gt;"",kokpit!F248,"")</f>
        <v/>
      </c>
      <c r="G248" s="24" t="str">
        <f>IF(E248&lt;&gt;"",SUMIFS('JPK_KR-1'!AL:AL,'JPK_KR-1'!W:W,F248),"")</f>
        <v/>
      </c>
      <c r="H248" s="126" t="str">
        <f>IF(E248&lt;&gt;"",SUMIFS('JPK_KR-1'!AM:AM,'JPK_KR-1'!W:W,F248),"")</f>
        <v/>
      </c>
      <c r="I248" s="5" t="str">
        <f>IF(kokpit!I248&lt;&gt;"",kokpit!I248,"")</f>
        <v/>
      </c>
      <c r="J248" s="5" t="str">
        <f>IF(kokpit!J248&lt;&gt;"",kokpit!J248,"")</f>
        <v/>
      </c>
      <c r="K248" s="24" t="str">
        <f>IF(I248&lt;&gt;"",SUMIFS('JPK_KR-1'!AL:AL,'JPK_KR-1'!W:W,J248),"")</f>
        <v/>
      </c>
      <c r="L248" s="141" t="str">
        <f>IF(I248&lt;&gt;"",SUMIFS('JPK_KR-1'!AM:AM,'JPK_KR-1'!W:W,J248),"")</f>
        <v/>
      </c>
      <c r="M248" s="143" t="str">
        <f>IF(kokpit!M248&lt;&gt;"",kokpit!M248,"")</f>
        <v/>
      </c>
      <c r="N248" s="117" t="str">
        <f>IF(kokpit!N248&lt;&gt;"",kokpit!N248,"")</f>
        <v/>
      </c>
      <c r="O248" s="117" t="str">
        <f>IF(kokpit!O248&lt;&gt;"",kokpit!O248,"")</f>
        <v/>
      </c>
      <c r="P248" s="141" t="str">
        <f>IF(M248&lt;&gt;"",IF(O248="",SUMIFS('JPK_KR-1'!AL:AL,'JPK_KR-1'!W:W,N248),SUMIFS('JPK_KR-1'!BF:BF,'JPK_KR-1'!BE:BE,N248,'JPK_KR-1'!BG:BG,O248)),"")</f>
        <v/>
      </c>
      <c r="Q248" s="144" t="str">
        <f>IF(M248&lt;&gt;"",IF(O248="",SUMIFS('JPK_KR-1'!AM:AM,'JPK_KR-1'!W:W,N248),SUMIFS('JPK_KR-1'!BI:BI,'JPK_KR-1'!BH:BH,N248,'JPK_KR-1'!BJ:BJ,O248)),"")</f>
        <v/>
      </c>
      <c r="R248" s="117" t="str">
        <f>IF(kokpit!R248&lt;&gt;"",kokpit!R248,"")</f>
        <v/>
      </c>
      <c r="S248" s="117" t="str">
        <f>IF(kokpit!S248&lt;&gt;"",kokpit!S248,"")</f>
        <v/>
      </c>
      <c r="T248" s="117" t="str">
        <f>IF(kokpit!T248&lt;&gt;"",kokpit!T248,"")</f>
        <v/>
      </c>
      <c r="U248" s="141" t="str">
        <f>IF(R248&lt;&gt;"",SUMIFS('JPK_KR-1'!AL:AL,'JPK_KR-1'!W:W,S248),"")</f>
        <v/>
      </c>
      <c r="V248" s="144" t="str">
        <f>IF(R248&lt;&gt;"",SUMIFS('JPK_KR-1'!AM:AM,'JPK_KR-1'!W:W,S248),"")</f>
        <v/>
      </c>
    </row>
    <row r="249" spans="1:22" x14ac:dyDescent="0.3">
      <c r="A249" s="5" t="str">
        <f>IF(kokpit!A249&lt;&gt;"",kokpit!A249,"")</f>
        <v/>
      </c>
      <c r="B249" s="5" t="str">
        <f>IF(kokpit!B249&lt;&gt;"",kokpit!B249,"")</f>
        <v/>
      </c>
      <c r="C249" s="24" t="str">
        <f>IF(A249&lt;&gt;"",SUMIFS('JPK_KR-1'!AL:AL,'JPK_KR-1'!W:W,B249),"")</f>
        <v/>
      </c>
      <c r="D249" s="126" t="str">
        <f>IF(A249&lt;&gt;"",SUMIFS('JPK_KR-1'!AM:AM,'JPK_KR-1'!W:W,B249),"")</f>
        <v/>
      </c>
      <c r="E249" s="5" t="str">
        <f>IF(kokpit!E249&lt;&gt;"",kokpit!E249,"")</f>
        <v/>
      </c>
      <c r="F249" s="127" t="str">
        <f>IF(kokpit!F249&lt;&gt;"",kokpit!F249,"")</f>
        <v/>
      </c>
      <c r="G249" s="24" t="str">
        <f>IF(E249&lt;&gt;"",SUMIFS('JPK_KR-1'!AL:AL,'JPK_KR-1'!W:W,F249),"")</f>
        <v/>
      </c>
      <c r="H249" s="126" t="str">
        <f>IF(E249&lt;&gt;"",SUMIFS('JPK_KR-1'!AM:AM,'JPK_KR-1'!W:W,F249),"")</f>
        <v/>
      </c>
      <c r="I249" s="5" t="str">
        <f>IF(kokpit!I249&lt;&gt;"",kokpit!I249,"")</f>
        <v/>
      </c>
      <c r="J249" s="5" t="str">
        <f>IF(kokpit!J249&lt;&gt;"",kokpit!J249,"")</f>
        <v/>
      </c>
      <c r="K249" s="24" t="str">
        <f>IF(I249&lt;&gt;"",SUMIFS('JPK_KR-1'!AL:AL,'JPK_KR-1'!W:W,J249),"")</f>
        <v/>
      </c>
      <c r="L249" s="141" t="str">
        <f>IF(I249&lt;&gt;"",SUMIFS('JPK_KR-1'!AM:AM,'JPK_KR-1'!W:W,J249),"")</f>
        <v/>
      </c>
      <c r="M249" s="143" t="str">
        <f>IF(kokpit!M249&lt;&gt;"",kokpit!M249,"")</f>
        <v/>
      </c>
      <c r="N249" s="117" t="str">
        <f>IF(kokpit!N249&lt;&gt;"",kokpit!N249,"")</f>
        <v/>
      </c>
      <c r="O249" s="117" t="str">
        <f>IF(kokpit!O249&lt;&gt;"",kokpit!O249,"")</f>
        <v/>
      </c>
      <c r="P249" s="141" t="str">
        <f>IF(M249&lt;&gt;"",IF(O249="",SUMIFS('JPK_KR-1'!AL:AL,'JPK_KR-1'!W:W,N249),SUMIFS('JPK_KR-1'!BF:BF,'JPK_KR-1'!BE:BE,N249,'JPK_KR-1'!BG:BG,O249)),"")</f>
        <v/>
      </c>
      <c r="Q249" s="144" t="str">
        <f>IF(M249&lt;&gt;"",IF(O249="",SUMIFS('JPK_KR-1'!AM:AM,'JPK_KR-1'!W:W,N249),SUMIFS('JPK_KR-1'!BI:BI,'JPK_KR-1'!BH:BH,N249,'JPK_KR-1'!BJ:BJ,O249)),"")</f>
        <v/>
      </c>
      <c r="R249" s="117" t="str">
        <f>IF(kokpit!R249&lt;&gt;"",kokpit!R249,"")</f>
        <v/>
      </c>
      <c r="S249" s="117" t="str">
        <f>IF(kokpit!S249&lt;&gt;"",kokpit!S249,"")</f>
        <v/>
      </c>
      <c r="T249" s="117" t="str">
        <f>IF(kokpit!T249&lt;&gt;"",kokpit!T249,"")</f>
        <v/>
      </c>
      <c r="U249" s="141" t="str">
        <f>IF(R249&lt;&gt;"",SUMIFS('JPK_KR-1'!AL:AL,'JPK_KR-1'!W:W,S249),"")</f>
        <v/>
      </c>
      <c r="V249" s="144" t="str">
        <f>IF(R249&lt;&gt;"",SUMIFS('JPK_KR-1'!AM:AM,'JPK_KR-1'!W:W,S249),"")</f>
        <v/>
      </c>
    </row>
    <row r="250" spans="1:22" x14ac:dyDescent="0.3">
      <c r="A250" s="5" t="str">
        <f>IF(kokpit!A250&lt;&gt;"",kokpit!A250,"")</f>
        <v/>
      </c>
      <c r="B250" s="5" t="str">
        <f>IF(kokpit!B250&lt;&gt;"",kokpit!B250,"")</f>
        <v/>
      </c>
      <c r="C250" s="24" t="str">
        <f>IF(A250&lt;&gt;"",SUMIFS('JPK_KR-1'!AL:AL,'JPK_KR-1'!W:W,B250),"")</f>
        <v/>
      </c>
      <c r="D250" s="126" t="str">
        <f>IF(A250&lt;&gt;"",SUMIFS('JPK_KR-1'!AM:AM,'JPK_KR-1'!W:W,B250),"")</f>
        <v/>
      </c>
      <c r="E250" s="5" t="str">
        <f>IF(kokpit!E250&lt;&gt;"",kokpit!E250,"")</f>
        <v/>
      </c>
      <c r="F250" s="127" t="str">
        <f>IF(kokpit!F250&lt;&gt;"",kokpit!F250,"")</f>
        <v/>
      </c>
      <c r="G250" s="24" t="str">
        <f>IF(E250&lt;&gt;"",SUMIFS('JPK_KR-1'!AL:AL,'JPK_KR-1'!W:W,F250),"")</f>
        <v/>
      </c>
      <c r="H250" s="126" t="str">
        <f>IF(E250&lt;&gt;"",SUMIFS('JPK_KR-1'!AM:AM,'JPK_KR-1'!W:W,F250),"")</f>
        <v/>
      </c>
      <c r="I250" s="5" t="str">
        <f>IF(kokpit!I250&lt;&gt;"",kokpit!I250,"")</f>
        <v/>
      </c>
      <c r="J250" s="5" t="str">
        <f>IF(kokpit!J250&lt;&gt;"",kokpit!J250,"")</f>
        <v/>
      </c>
      <c r="K250" s="24" t="str">
        <f>IF(I250&lt;&gt;"",SUMIFS('JPK_KR-1'!AL:AL,'JPK_KR-1'!W:W,J250),"")</f>
        <v/>
      </c>
      <c r="L250" s="141" t="str">
        <f>IF(I250&lt;&gt;"",SUMIFS('JPK_KR-1'!AM:AM,'JPK_KR-1'!W:W,J250),"")</f>
        <v/>
      </c>
      <c r="M250" s="143" t="str">
        <f>IF(kokpit!M250&lt;&gt;"",kokpit!M250,"")</f>
        <v/>
      </c>
      <c r="N250" s="117" t="str">
        <f>IF(kokpit!N250&lt;&gt;"",kokpit!N250,"")</f>
        <v/>
      </c>
      <c r="O250" s="117" t="str">
        <f>IF(kokpit!O250&lt;&gt;"",kokpit!O250,"")</f>
        <v/>
      </c>
      <c r="P250" s="141" t="str">
        <f>IF(M250&lt;&gt;"",IF(O250="",SUMIFS('JPK_KR-1'!AL:AL,'JPK_KR-1'!W:W,N250),SUMIFS('JPK_KR-1'!BF:BF,'JPK_KR-1'!BE:BE,N250,'JPK_KR-1'!BG:BG,O250)),"")</f>
        <v/>
      </c>
      <c r="Q250" s="144" t="str">
        <f>IF(M250&lt;&gt;"",IF(O250="",SUMIFS('JPK_KR-1'!AM:AM,'JPK_KR-1'!W:W,N250),SUMIFS('JPK_KR-1'!BI:BI,'JPK_KR-1'!BH:BH,N250,'JPK_KR-1'!BJ:BJ,O250)),"")</f>
        <v/>
      </c>
      <c r="R250" s="117" t="str">
        <f>IF(kokpit!R250&lt;&gt;"",kokpit!R250,"")</f>
        <v/>
      </c>
      <c r="S250" s="117" t="str">
        <f>IF(kokpit!S250&lt;&gt;"",kokpit!S250,"")</f>
        <v/>
      </c>
      <c r="T250" s="117" t="str">
        <f>IF(kokpit!T250&lt;&gt;"",kokpit!T250,"")</f>
        <v/>
      </c>
      <c r="U250" s="141" t="str">
        <f>IF(R250&lt;&gt;"",SUMIFS('JPK_KR-1'!AL:AL,'JPK_KR-1'!W:W,S250),"")</f>
        <v/>
      </c>
      <c r="V250" s="144" t="str">
        <f>IF(R250&lt;&gt;"",SUMIFS('JPK_KR-1'!AM:AM,'JPK_KR-1'!W:W,S250),"")</f>
        <v/>
      </c>
    </row>
    <row r="251" spans="1:22" x14ac:dyDescent="0.3">
      <c r="A251" s="5" t="str">
        <f>IF(kokpit!A251&lt;&gt;"",kokpit!A251,"")</f>
        <v/>
      </c>
      <c r="B251" s="5" t="str">
        <f>IF(kokpit!B251&lt;&gt;"",kokpit!B251,"")</f>
        <v/>
      </c>
      <c r="C251" s="24" t="str">
        <f>IF(A251&lt;&gt;"",SUMIFS('JPK_KR-1'!AL:AL,'JPK_KR-1'!W:W,B251),"")</f>
        <v/>
      </c>
      <c r="D251" s="126" t="str">
        <f>IF(A251&lt;&gt;"",SUMIFS('JPK_KR-1'!AM:AM,'JPK_KR-1'!W:W,B251),"")</f>
        <v/>
      </c>
      <c r="E251" s="5" t="str">
        <f>IF(kokpit!E251&lt;&gt;"",kokpit!E251,"")</f>
        <v/>
      </c>
      <c r="F251" s="127" t="str">
        <f>IF(kokpit!F251&lt;&gt;"",kokpit!F251,"")</f>
        <v/>
      </c>
      <c r="G251" s="24" t="str">
        <f>IF(E251&lt;&gt;"",SUMIFS('JPK_KR-1'!AL:AL,'JPK_KR-1'!W:W,F251),"")</f>
        <v/>
      </c>
      <c r="H251" s="126" t="str">
        <f>IF(E251&lt;&gt;"",SUMIFS('JPK_KR-1'!AM:AM,'JPK_KR-1'!W:W,F251),"")</f>
        <v/>
      </c>
      <c r="I251" s="5" t="str">
        <f>IF(kokpit!I251&lt;&gt;"",kokpit!I251,"")</f>
        <v/>
      </c>
      <c r="J251" s="5" t="str">
        <f>IF(kokpit!J251&lt;&gt;"",kokpit!J251,"")</f>
        <v/>
      </c>
      <c r="K251" s="24" t="str">
        <f>IF(I251&lt;&gt;"",SUMIFS('JPK_KR-1'!AL:AL,'JPK_KR-1'!W:W,J251),"")</f>
        <v/>
      </c>
      <c r="L251" s="141" t="str">
        <f>IF(I251&lt;&gt;"",SUMIFS('JPK_KR-1'!AM:AM,'JPK_KR-1'!W:W,J251),"")</f>
        <v/>
      </c>
      <c r="M251" s="143" t="str">
        <f>IF(kokpit!M251&lt;&gt;"",kokpit!M251,"")</f>
        <v/>
      </c>
      <c r="N251" s="117" t="str">
        <f>IF(kokpit!N251&lt;&gt;"",kokpit!N251,"")</f>
        <v/>
      </c>
      <c r="O251" s="117" t="str">
        <f>IF(kokpit!O251&lt;&gt;"",kokpit!O251,"")</f>
        <v/>
      </c>
      <c r="P251" s="141" t="str">
        <f>IF(M251&lt;&gt;"",IF(O251="",SUMIFS('JPK_KR-1'!AL:AL,'JPK_KR-1'!W:W,N251),SUMIFS('JPK_KR-1'!BF:BF,'JPK_KR-1'!BE:BE,N251,'JPK_KR-1'!BG:BG,O251)),"")</f>
        <v/>
      </c>
      <c r="Q251" s="144" t="str">
        <f>IF(M251&lt;&gt;"",IF(O251="",SUMIFS('JPK_KR-1'!AM:AM,'JPK_KR-1'!W:W,N251),SUMIFS('JPK_KR-1'!BI:BI,'JPK_KR-1'!BH:BH,N251,'JPK_KR-1'!BJ:BJ,O251)),"")</f>
        <v/>
      </c>
      <c r="R251" s="117" t="str">
        <f>IF(kokpit!R251&lt;&gt;"",kokpit!R251,"")</f>
        <v/>
      </c>
      <c r="S251" s="117" t="str">
        <f>IF(kokpit!S251&lt;&gt;"",kokpit!S251,"")</f>
        <v/>
      </c>
      <c r="T251" s="117" t="str">
        <f>IF(kokpit!T251&lt;&gt;"",kokpit!T251,"")</f>
        <v/>
      </c>
      <c r="U251" s="141" t="str">
        <f>IF(R251&lt;&gt;"",SUMIFS('JPK_KR-1'!AL:AL,'JPK_KR-1'!W:W,S251),"")</f>
        <v/>
      </c>
      <c r="V251" s="144" t="str">
        <f>IF(R251&lt;&gt;"",SUMIFS('JPK_KR-1'!AM:AM,'JPK_KR-1'!W:W,S251),"")</f>
        <v/>
      </c>
    </row>
    <row r="252" spans="1:22" x14ac:dyDescent="0.3">
      <c r="A252" s="5" t="str">
        <f>IF(kokpit!A252&lt;&gt;"",kokpit!A252,"")</f>
        <v/>
      </c>
      <c r="B252" s="5" t="str">
        <f>IF(kokpit!B252&lt;&gt;"",kokpit!B252,"")</f>
        <v/>
      </c>
      <c r="C252" s="24" t="str">
        <f>IF(A252&lt;&gt;"",SUMIFS('JPK_KR-1'!AL:AL,'JPK_KR-1'!W:W,B252),"")</f>
        <v/>
      </c>
      <c r="D252" s="126" t="str">
        <f>IF(A252&lt;&gt;"",SUMIFS('JPK_KR-1'!AM:AM,'JPK_KR-1'!W:W,B252),"")</f>
        <v/>
      </c>
      <c r="E252" s="5" t="str">
        <f>IF(kokpit!E252&lt;&gt;"",kokpit!E252,"")</f>
        <v/>
      </c>
      <c r="F252" s="127" t="str">
        <f>IF(kokpit!F252&lt;&gt;"",kokpit!F252,"")</f>
        <v/>
      </c>
      <c r="G252" s="24" t="str">
        <f>IF(E252&lt;&gt;"",SUMIFS('JPK_KR-1'!AL:AL,'JPK_KR-1'!W:W,F252),"")</f>
        <v/>
      </c>
      <c r="H252" s="126" t="str">
        <f>IF(E252&lt;&gt;"",SUMIFS('JPK_KR-1'!AM:AM,'JPK_KR-1'!W:W,F252),"")</f>
        <v/>
      </c>
      <c r="I252" s="5" t="str">
        <f>IF(kokpit!I252&lt;&gt;"",kokpit!I252,"")</f>
        <v/>
      </c>
      <c r="J252" s="5" t="str">
        <f>IF(kokpit!J252&lt;&gt;"",kokpit!J252,"")</f>
        <v/>
      </c>
      <c r="K252" s="24" t="str">
        <f>IF(I252&lt;&gt;"",SUMIFS('JPK_KR-1'!AL:AL,'JPK_KR-1'!W:W,J252),"")</f>
        <v/>
      </c>
      <c r="L252" s="141" t="str">
        <f>IF(I252&lt;&gt;"",SUMIFS('JPK_KR-1'!AM:AM,'JPK_KR-1'!W:W,J252),"")</f>
        <v/>
      </c>
      <c r="M252" s="143" t="str">
        <f>IF(kokpit!M252&lt;&gt;"",kokpit!M252,"")</f>
        <v/>
      </c>
      <c r="N252" s="117" t="str">
        <f>IF(kokpit!N252&lt;&gt;"",kokpit!N252,"")</f>
        <v/>
      </c>
      <c r="O252" s="117" t="str">
        <f>IF(kokpit!O252&lt;&gt;"",kokpit!O252,"")</f>
        <v/>
      </c>
      <c r="P252" s="141" t="str">
        <f>IF(M252&lt;&gt;"",IF(O252="",SUMIFS('JPK_KR-1'!AL:AL,'JPK_KR-1'!W:W,N252),SUMIFS('JPK_KR-1'!BF:BF,'JPK_KR-1'!BE:BE,N252,'JPK_KR-1'!BG:BG,O252)),"")</f>
        <v/>
      </c>
      <c r="Q252" s="144" t="str">
        <f>IF(M252&lt;&gt;"",IF(O252="",SUMIFS('JPK_KR-1'!AM:AM,'JPK_KR-1'!W:W,N252),SUMIFS('JPK_KR-1'!BI:BI,'JPK_KR-1'!BH:BH,N252,'JPK_KR-1'!BJ:BJ,O252)),"")</f>
        <v/>
      </c>
      <c r="R252" s="117" t="str">
        <f>IF(kokpit!R252&lt;&gt;"",kokpit!R252,"")</f>
        <v/>
      </c>
      <c r="S252" s="117" t="str">
        <f>IF(kokpit!S252&lt;&gt;"",kokpit!S252,"")</f>
        <v/>
      </c>
      <c r="T252" s="117" t="str">
        <f>IF(kokpit!T252&lt;&gt;"",kokpit!T252,"")</f>
        <v/>
      </c>
      <c r="U252" s="141" t="str">
        <f>IF(R252&lt;&gt;"",SUMIFS('JPK_KR-1'!AL:AL,'JPK_KR-1'!W:W,S252),"")</f>
        <v/>
      </c>
      <c r="V252" s="144" t="str">
        <f>IF(R252&lt;&gt;"",SUMIFS('JPK_KR-1'!AM:AM,'JPK_KR-1'!W:W,S252),"")</f>
        <v/>
      </c>
    </row>
    <row r="253" spans="1:22" x14ac:dyDescent="0.3">
      <c r="A253" s="5" t="str">
        <f>IF(kokpit!A253&lt;&gt;"",kokpit!A253,"")</f>
        <v/>
      </c>
      <c r="B253" s="5" t="str">
        <f>IF(kokpit!B253&lt;&gt;"",kokpit!B253,"")</f>
        <v/>
      </c>
      <c r="C253" s="24" t="str">
        <f>IF(A253&lt;&gt;"",SUMIFS('JPK_KR-1'!AL:AL,'JPK_KR-1'!W:W,B253),"")</f>
        <v/>
      </c>
      <c r="D253" s="126" t="str">
        <f>IF(A253&lt;&gt;"",SUMIFS('JPK_KR-1'!AM:AM,'JPK_KR-1'!W:W,B253),"")</f>
        <v/>
      </c>
      <c r="E253" s="5" t="str">
        <f>IF(kokpit!E253&lt;&gt;"",kokpit!E253,"")</f>
        <v/>
      </c>
      <c r="F253" s="127" t="str">
        <f>IF(kokpit!F253&lt;&gt;"",kokpit!F253,"")</f>
        <v/>
      </c>
      <c r="G253" s="24" t="str">
        <f>IF(E253&lt;&gt;"",SUMIFS('JPK_KR-1'!AL:AL,'JPK_KR-1'!W:W,F253),"")</f>
        <v/>
      </c>
      <c r="H253" s="126" t="str">
        <f>IF(E253&lt;&gt;"",SUMIFS('JPK_KR-1'!AM:AM,'JPK_KR-1'!W:W,F253),"")</f>
        <v/>
      </c>
      <c r="I253" s="5" t="str">
        <f>IF(kokpit!I253&lt;&gt;"",kokpit!I253,"")</f>
        <v/>
      </c>
      <c r="J253" s="5" t="str">
        <f>IF(kokpit!J253&lt;&gt;"",kokpit!J253,"")</f>
        <v/>
      </c>
      <c r="K253" s="24" t="str">
        <f>IF(I253&lt;&gt;"",SUMIFS('JPK_KR-1'!AL:AL,'JPK_KR-1'!W:W,J253),"")</f>
        <v/>
      </c>
      <c r="L253" s="141" t="str">
        <f>IF(I253&lt;&gt;"",SUMIFS('JPK_KR-1'!AM:AM,'JPK_KR-1'!W:W,J253),"")</f>
        <v/>
      </c>
      <c r="M253" s="143" t="str">
        <f>IF(kokpit!M253&lt;&gt;"",kokpit!M253,"")</f>
        <v/>
      </c>
      <c r="N253" s="117" t="str">
        <f>IF(kokpit!N253&lt;&gt;"",kokpit!N253,"")</f>
        <v/>
      </c>
      <c r="O253" s="117" t="str">
        <f>IF(kokpit!O253&lt;&gt;"",kokpit!O253,"")</f>
        <v/>
      </c>
      <c r="P253" s="141" t="str">
        <f>IF(M253&lt;&gt;"",IF(O253="",SUMIFS('JPK_KR-1'!AL:AL,'JPK_KR-1'!W:W,N253),SUMIFS('JPK_KR-1'!BF:BF,'JPK_KR-1'!BE:BE,N253,'JPK_KR-1'!BG:BG,O253)),"")</f>
        <v/>
      </c>
      <c r="Q253" s="144" t="str">
        <f>IF(M253&lt;&gt;"",IF(O253="",SUMIFS('JPK_KR-1'!AM:AM,'JPK_KR-1'!W:W,N253),SUMIFS('JPK_KR-1'!BI:BI,'JPK_KR-1'!BH:BH,N253,'JPK_KR-1'!BJ:BJ,O253)),"")</f>
        <v/>
      </c>
      <c r="R253" s="117" t="str">
        <f>IF(kokpit!R253&lt;&gt;"",kokpit!R253,"")</f>
        <v/>
      </c>
      <c r="S253" s="117" t="str">
        <f>IF(kokpit!S253&lt;&gt;"",kokpit!S253,"")</f>
        <v/>
      </c>
      <c r="T253" s="117" t="str">
        <f>IF(kokpit!T253&lt;&gt;"",kokpit!T253,"")</f>
        <v/>
      </c>
      <c r="U253" s="141" t="str">
        <f>IF(R253&lt;&gt;"",SUMIFS('JPK_KR-1'!AL:AL,'JPK_KR-1'!W:W,S253),"")</f>
        <v/>
      </c>
      <c r="V253" s="144" t="str">
        <f>IF(R253&lt;&gt;"",SUMIFS('JPK_KR-1'!AM:AM,'JPK_KR-1'!W:W,S253),"")</f>
        <v/>
      </c>
    </row>
    <row r="254" spans="1:22" x14ac:dyDescent="0.3">
      <c r="A254" s="5" t="str">
        <f>IF(kokpit!A254&lt;&gt;"",kokpit!A254,"")</f>
        <v/>
      </c>
      <c r="B254" s="5" t="str">
        <f>IF(kokpit!B254&lt;&gt;"",kokpit!B254,"")</f>
        <v/>
      </c>
      <c r="C254" s="24" t="str">
        <f>IF(A254&lt;&gt;"",SUMIFS('JPK_KR-1'!AL:AL,'JPK_KR-1'!W:W,B254),"")</f>
        <v/>
      </c>
      <c r="D254" s="126" t="str">
        <f>IF(A254&lt;&gt;"",SUMIFS('JPK_KR-1'!AM:AM,'JPK_KR-1'!W:W,B254),"")</f>
        <v/>
      </c>
      <c r="E254" s="5" t="str">
        <f>IF(kokpit!E254&lt;&gt;"",kokpit!E254,"")</f>
        <v/>
      </c>
      <c r="F254" s="127" t="str">
        <f>IF(kokpit!F254&lt;&gt;"",kokpit!F254,"")</f>
        <v/>
      </c>
      <c r="G254" s="24" t="str">
        <f>IF(E254&lt;&gt;"",SUMIFS('JPK_KR-1'!AL:AL,'JPK_KR-1'!W:W,F254),"")</f>
        <v/>
      </c>
      <c r="H254" s="126" t="str">
        <f>IF(E254&lt;&gt;"",SUMIFS('JPK_KR-1'!AM:AM,'JPK_KR-1'!W:W,F254),"")</f>
        <v/>
      </c>
      <c r="I254" s="5" t="str">
        <f>IF(kokpit!I254&lt;&gt;"",kokpit!I254,"")</f>
        <v/>
      </c>
      <c r="J254" s="5" t="str">
        <f>IF(kokpit!J254&lt;&gt;"",kokpit!J254,"")</f>
        <v/>
      </c>
      <c r="K254" s="24" t="str">
        <f>IF(I254&lt;&gt;"",SUMIFS('JPK_KR-1'!AL:AL,'JPK_KR-1'!W:W,J254),"")</f>
        <v/>
      </c>
      <c r="L254" s="141" t="str">
        <f>IF(I254&lt;&gt;"",SUMIFS('JPK_KR-1'!AM:AM,'JPK_KR-1'!W:W,J254),"")</f>
        <v/>
      </c>
      <c r="M254" s="143" t="str">
        <f>IF(kokpit!M254&lt;&gt;"",kokpit!M254,"")</f>
        <v/>
      </c>
      <c r="N254" s="117" t="str">
        <f>IF(kokpit!N254&lt;&gt;"",kokpit!N254,"")</f>
        <v/>
      </c>
      <c r="O254" s="117" t="str">
        <f>IF(kokpit!O254&lt;&gt;"",kokpit!O254,"")</f>
        <v/>
      </c>
      <c r="P254" s="141" t="str">
        <f>IF(M254&lt;&gt;"",IF(O254="",SUMIFS('JPK_KR-1'!AL:AL,'JPK_KR-1'!W:W,N254),SUMIFS('JPK_KR-1'!BF:BF,'JPK_KR-1'!BE:BE,N254,'JPK_KR-1'!BG:BG,O254)),"")</f>
        <v/>
      </c>
      <c r="Q254" s="144" t="str">
        <f>IF(M254&lt;&gt;"",IF(O254="",SUMIFS('JPK_KR-1'!AM:AM,'JPK_KR-1'!W:W,N254),SUMIFS('JPK_KR-1'!BI:BI,'JPK_KR-1'!BH:BH,N254,'JPK_KR-1'!BJ:BJ,O254)),"")</f>
        <v/>
      </c>
      <c r="R254" s="117" t="str">
        <f>IF(kokpit!R254&lt;&gt;"",kokpit!R254,"")</f>
        <v/>
      </c>
      <c r="S254" s="117" t="str">
        <f>IF(kokpit!S254&lt;&gt;"",kokpit!S254,"")</f>
        <v/>
      </c>
      <c r="T254" s="117" t="str">
        <f>IF(kokpit!T254&lt;&gt;"",kokpit!T254,"")</f>
        <v/>
      </c>
      <c r="U254" s="141" t="str">
        <f>IF(R254&lt;&gt;"",SUMIFS('JPK_KR-1'!AL:AL,'JPK_KR-1'!W:W,S254),"")</f>
        <v/>
      </c>
      <c r="V254" s="144" t="str">
        <f>IF(R254&lt;&gt;"",SUMIFS('JPK_KR-1'!AM:AM,'JPK_KR-1'!W:W,S254),"")</f>
        <v/>
      </c>
    </row>
    <row r="255" spans="1:22" x14ac:dyDescent="0.3">
      <c r="A255" s="5" t="str">
        <f>IF(kokpit!A255&lt;&gt;"",kokpit!A255,"")</f>
        <v/>
      </c>
      <c r="B255" s="5" t="str">
        <f>IF(kokpit!B255&lt;&gt;"",kokpit!B255,"")</f>
        <v/>
      </c>
      <c r="C255" s="24" t="str">
        <f>IF(A255&lt;&gt;"",SUMIFS('JPK_KR-1'!AL:AL,'JPK_KR-1'!W:W,B255),"")</f>
        <v/>
      </c>
      <c r="D255" s="126" t="str">
        <f>IF(A255&lt;&gt;"",SUMIFS('JPK_KR-1'!AM:AM,'JPK_KR-1'!W:W,B255),"")</f>
        <v/>
      </c>
      <c r="E255" s="5" t="str">
        <f>IF(kokpit!E255&lt;&gt;"",kokpit!E255,"")</f>
        <v/>
      </c>
      <c r="F255" s="127" t="str">
        <f>IF(kokpit!F255&lt;&gt;"",kokpit!F255,"")</f>
        <v/>
      </c>
      <c r="G255" s="24" t="str">
        <f>IF(E255&lt;&gt;"",SUMIFS('JPK_KR-1'!AL:AL,'JPK_KR-1'!W:W,F255),"")</f>
        <v/>
      </c>
      <c r="H255" s="126" t="str">
        <f>IF(E255&lt;&gt;"",SUMIFS('JPK_KR-1'!AM:AM,'JPK_KR-1'!W:W,F255),"")</f>
        <v/>
      </c>
      <c r="I255" s="5" t="str">
        <f>IF(kokpit!I255&lt;&gt;"",kokpit!I255,"")</f>
        <v/>
      </c>
      <c r="J255" s="5" t="str">
        <f>IF(kokpit!J255&lt;&gt;"",kokpit!J255,"")</f>
        <v/>
      </c>
      <c r="K255" s="24" t="str">
        <f>IF(I255&lt;&gt;"",SUMIFS('JPK_KR-1'!AL:AL,'JPK_KR-1'!W:W,J255),"")</f>
        <v/>
      </c>
      <c r="L255" s="141" t="str">
        <f>IF(I255&lt;&gt;"",SUMIFS('JPK_KR-1'!AM:AM,'JPK_KR-1'!W:W,J255),"")</f>
        <v/>
      </c>
      <c r="M255" s="143" t="str">
        <f>IF(kokpit!M255&lt;&gt;"",kokpit!M255,"")</f>
        <v/>
      </c>
      <c r="N255" s="117" t="str">
        <f>IF(kokpit!N255&lt;&gt;"",kokpit!N255,"")</f>
        <v/>
      </c>
      <c r="O255" s="117" t="str">
        <f>IF(kokpit!O255&lt;&gt;"",kokpit!O255,"")</f>
        <v/>
      </c>
      <c r="P255" s="141" t="str">
        <f>IF(M255&lt;&gt;"",IF(O255="",SUMIFS('JPK_KR-1'!AL:AL,'JPK_KR-1'!W:W,N255),SUMIFS('JPK_KR-1'!BF:BF,'JPK_KR-1'!BE:BE,N255,'JPK_KR-1'!BG:BG,O255)),"")</f>
        <v/>
      </c>
      <c r="Q255" s="144" t="str">
        <f>IF(M255&lt;&gt;"",IF(O255="",SUMIFS('JPK_KR-1'!AM:AM,'JPK_KR-1'!W:W,N255),SUMIFS('JPK_KR-1'!BI:BI,'JPK_KR-1'!BH:BH,N255,'JPK_KR-1'!BJ:BJ,O255)),"")</f>
        <v/>
      </c>
      <c r="R255" s="117" t="str">
        <f>IF(kokpit!R255&lt;&gt;"",kokpit!R255,"")</f>
        <v/>
      </c>
      <c r="S255" s="117" t="str">
        <f>IF(kokpit!S255&lt;&gt;"",kokpit!S255,"")</f>
        <v/>
      </c>
      <c r="T255" s="117" t="str">
        <f>IF(kokpit!T255&lt;&gt;"",kokpit!T255,"")</f>
        <v/>
      </c>
      <c r="U255" s="141" t="str">
        <f>IF(R255&lt;&gt;"",SUMIFS('JPK_KR-1'!AL:AL,'JPK_KR-1'!W:W,S255),"")</f>
        <v/>
      </c>
      <c r="V255" s="144" t="str">
        <f>IF(R255&lt;&gt;"",SUMIFS('JPK_KR-1'!AM:AM,'JPK_KR-1'!W:W,S255),"")</f>
        <v/>
      </c>
    </row>
    <row r="256" spans="1:22" x14ac:dyDescent="0.3">
      <c r="A256" s="5" t="str">
        <f>IF(kokpit!A256&lt;&gt;"",kokpit!A256,"")</f>
        <v/>
      </c>
      <c r="B256" s="5" t="str">
        <f>IF(kokpit!B256&lt;&gt;"",kokpit!B256,"")</f>
        <v/>
      </c>
      <c r="C256" s="24" t="str">
        <f>IF(A256&lt;&gt;"",SUMIFS('JPK_KR-1'!AL:AL,'JPK_KR-1'!W:W,B256),"")</f>
        <v/>
      </c>
      <c r="D256" s="126" t="str">
        <f>IF(A256&lt;&gt;"",SUMIFS('JPK_KR-1'!AM:AM,'JPK_KR-1'!W:W,B256),"")</f>
        <v/>
      </c>
      <c r="E256" s="5" t="str">
        <f>IF(kokpit!E256&lt;&gt;"",kokpit!E256,"")</f>
        <v/>
      </c>
      <c r="F256" s="127" t="str">
        <f>IF(kokpit!F256&lt;&gt;"",kokpit!F256,"")</f>
        <v/>
      </c>
      <c r="G256" s="24" t="str">
        <f>IF(E256&lt;&gt;"",SUMIFS('JPK_KR-1'!AL:AL,'JPK_KR-1'!W:W,F256),"")</f>
        <v/>
      </c>
      <c r="H256" s="126" t="str">
        <f>IF(E256&lt;&gt;"",SUMIFS('JPK_KR-1'!AM:AM,'JPK_KR-1'!W:W,F256),"")</f>
        <v/>
      </c>
      <c r="I256" s="5" t="str">
        <f>IF(kokpit!I256&lt;&gt;"",kokpit!I256,"")</f>
        <v/>
      </c>
      <c r="J256" s="5" t="str">
        <f>IF(kokpit!J256&lt;&gt;"",kokpit!J256,"")</f>
        <v/>
      </c>
      <c r="K256" s="24" t="str">
        <f>IF(I256&lt;&gt;"",SUMIFS('JPK_KR-1'!AL:AL,'JPK_KR-1'!W:W,J256),"")</f>
        <v/>
      </c>
      <c r="L256" s="141" t="str">
        <f>IF(I256&lt;&gt;"",SUMIFS('JPK_KR-1'!AM:AM,'JPK_KR-1'!W:W,J256),"")</f>
        <v/>
      </c>
      <c r="M256" s="143" t="str">
        <f>IF(kokpit!M256&lt;&gt;"",kokpit!M256,"")</f>
        <v/>
      </c>
      <c r="N256" s="117" t="str">
        <f>IF(kokpit!N256&lt;&gt;"",kokpit!N256,"")</f>
        <v/>
      </c>
      <c r="O256" s="117" t="str">
        <f>IF(kokpit!O256&lt;&gt;"",kokpit!O256,"")</f>
        <v/>
      </c>
      <c r="P256" s="141" t="str">
        <f>IF(M256&lt;&gt;"",IF(O256="",SUMIFS('JPK_KR-1'!AL:AL,'JPK_KR-1'!W:W,N256),SUMIFS('JPK_KR-1'!BF:BF,'JPK_KR-1'!BE:BE,N256,'JPK_KR-1'!BG:BG,O256)),"")</f>
        <v/>
      </c>
      <c r="Q256" s="144" t="str">
        <f>IF(M256&lt;&gt;"",IF(O256="",SUMIFS('JPK_KR-1'!AM:AM,'JPK_KR-1'!W:W,N256),SUMIFS('JPK_KR-1'!BI:BI,'JPK_KR-1'!BH:BH,N256,'JPK_KR-1'!BJ:BJ,O256)),"")</f>
        <v/>
      </c>
      <c r="R256" s="117" t="str">
        <f>IF(kokpit!R256&lt;&gt;"",kokpit!R256,"")</f>
        <v/>
      </c>
      <c r="S256" s="117" t="str">
        <f>IF(kokpit!S256&lt;&gt;"",kokpit!S256,"")</f>
        <v/>
      </c>
      <c r="T256" s="117" t="str">
        <f>IF(kokpit!T256&lt;&gt;"",kokpit!T256,"")</f>
        <v/>
      </c>
      <c r="U256" s="141" t="str">
        <f>IF(R256&lt;&gt;"",SUMIFS('JPK_KR-1'!AL:AL,'JPK_KR-1'!W:W,S256),"")</f>
        <v/>
      </c>
      <c r="V256" s="144" t="str">
        <f>IF(R256&lt;&gt;"",SUMIFS('JPK_KR-1'!AM:AM,'JPK_KR-1'!W:W,S256),"")</f>
        <v/>
      </c>
    </row>
    <row r="257" spans="1:22" x14ac:dyDescent="0.3">
      <c r="A257" s="5" t="str">
        <f>IF(kokpit!A257&lt;&gt;"",kokpit!A257,"")</f>
        <v/>
      </c>
      <c r="B257" s="5" t="str">
        <f>IF(kokpit!B257&lt;&gt;"",kokpit!B257,"")</f>
        <v/>
      </c>
      <c r="C257" s="24" t="str">
        <f>IF(A257&lt;&gt;"",SUMIFS('JPK_KR-1'!AL:AL,'JPK_KR-1'!W:W,B257),"")</f>
        <v/>
      </c>
      <c r="D257" s="126" t="str">
        <f>IF(A257&lt;&gt;"",SUMIFS('JPK_KR-1'!AM:AM,'JPK_KR-1'!W:W,B257),"")</f>
        <v/>
      </c>
      <c r="E257" s="5" t="str">
        <f>IF(kokpit!E257&lt;&gt;"",kokpit!E257,"")</f>
        <v/>
      </c>
      <c r="F257" s="127" t="str">
        <f>IF(kokpit!F257&lt;&gt;"",kokpit!F257,"")</f>
        <v/>
      </c>
      <c r="G257" s="24" t="str">
        <f>IF(E257&lt;&gt;"",SUMIFS('JPK_KR-1'!AL:AL,'JPK_KR-1'!W:W,F257),"")</f>
        <v/>
      </c>
      <c r="H257" s="126" t="str">
        <f>IF(E257&lt;&gt;"",SUMIFS('JPK_KR-1'!AM:AM,'JPK_KR-1'!W:W,F257),"")</f>
        <v/>
      </c>
      <c r="I257" s="5" t="str">
        <f>IF(kokpit!I257&lt;&gt;"",kokpit!I257,"")</f>
        <v/>
      </c>
      <c r="J257" s="5" t="str">
        <f>IF(kokpit!J257&lt;&gt;"",kokpit!J257,"")</f>
        <v/>
      </c>
      <c r="K257" s="24" t="str">
        <f>IF(I257&lt;&gt;"",SUMIFS('JPK_KR-1'!AL:AL,'JPK_KR-1'!W:W,J257),"")</f>
        <v/>
      </c>
      <c r="L257" s="141" t="str">
        <f>IF(I257&lt;&gt;"",SUMIFS('JPK_KR-1'!AM:AM,'JPK_KR-1'!W:W,J257),"")</f>
        <v/>
      </c>
      <c r="M257" s="143" t="str">
        <f>IF(kokpit!M257&lt;&gt;"",kokpit!M257,"")</f>
        <v/>
      </c>
      <c r="N257" s="117" t="str">
        <f>IF(kokpit!N257&lt;&gt;"",kokpit!N257,"")</f>
        <v/>
      </c>
      <c r="O257" s="117" t="str">
        <f>IF(kokpit!O257&lt;&gt;"",kokpit!O257,"")</f>
        <v/>
      </c>
      <c r="P257" s="141" t="str">
        <f>IF(M257&lt;&gt;"",IF(O257="",SUMIFS('JPK_KR-1'!AL:AL,'JPK_KR-1'!W:W,N257),SUMIFS('JPK_KR-1'!BF:BF,'JPK_KR-1'!BE:BE,N257,'JPK_KR-1'!BG:BG,O257)),"")</f>
        <v/>
      </c>
      <c r="Q257" s="144" t="str">
        <f>IF(M257&lt;&gt;"",IF(O257="",SUMIFS('JPK_KR-1'!AM:AM,'JPK_KR-1'!W:W,N257),SUMIFS('JPK_KR-1'!BI:BI,'JPK_KR-1'!BH:BH,N257,'JPK_KR-1'!BJ:BJ,O257)),"")</f>
        <v/>
      </c>
      <c r="R257" s="117" t="str">
        <f>IF(kokpit!R257&lt;&gt;"",kokpit!R257,"")</f>
        <v/>
      </c>
      <c r="S257" s="117" t="str">
        <f>IF(kokpit!S257&lt;&gt;"",kokpit!S257,"")</f>
        <v/>
      </c>
      <c r="T257" s="117" t="str">
        <f>IF(kokpit!T257&lt;&gt;"",kokpit!T257,"")</f>
        <v/>
      </c>
      <c r="U257" s="141" t="str">
        <f>IF(R257&lt;&gt;"",SUMIFS('JPK_KR-1'!AL:AL,'JPK_KR-1'!W:W,S257),"")</f>
        <v/>
      </c>
      <c r="V257" s="144" t="str">
        <f>IF(R257&lt;&gt;"",SUMIFS('JPK_KR-1'!AM:AM,'JPK_KR-1'!W:W,S257),"")</f>
        <v/>
      </c>
    </row>
    <row r="258" spans="1:22" x14ac:dyDescent="0.3">
      <c r="A258" s="5" t="str">
        <f>IF(kokpit!A258&lt;&gt;"",kokpit!A258,"")</f>
        <v/>
      </c>
      <c r="B258" s="5" t="str">
        <f>IF(kokpit!B258&lt;&gt;"",kokpit!B258,"")</f>
        <v/>
      </c>
      <c r="C258" s="24" t="str">
        <f>IF(A258&lt;&gt;"",SUMIFS('JPK_KR-1'!AL:AL,'JPK_KR-1'!W:W,B258),"")</f>
        <v/>
      </c>
      <c r="D258" s="126" t="str">
        <f>IF(A258&lt;&gt;"",SUMIFS('JPK_KR-1'!AM:AM,'JPK_KR-1'!W:W,B258),"")</f>
        <v/>
      </c>
      <c r="E258" s="5" t="str">
        <f>IF(kokpit!E258&lt;&gt;"",kokpit!E258,"")</f>
        <v/>
      </c>
      <c r="F258" s="127" t="str">
        <f>IF(kokpit!F258&lt;&gt;"",kokpit!F258,"")</f>
        <v/>
      </c>
      <c r="G258" s="24" t="str">
        <f>IF(E258&lt;&gt;"",SUMIFS('JPK_KR-1'!AL:AL,'JPK_KR-1'!W:W,F258),"")</f>
        <v/>
      </c>
      <c r="H258" s="126" t="str">
        <f>IF(E258&lt;&gt;"",SUMIFS('JPK_KR-1'!AM:AM,'JPK_KR-1'!W:W,F258),"")</f>
        <v/>
      </c>
      <c r="I258" s="5" t="str">
        <f>IF(kokpit!I258&lt;&gt;"",kokpit!I258,"")</f>
        <v/>
      </c>
      <c r="J258" s="5" t="str">
        <f>IF(kokpit!J258&lt;&gt;"",kokpit!J258,"")</f>
        <v/>
      </c>
      <c r="K258" s="24" t="str">
        <f>IF(I258&lt;&gt;"",SUMIFS('JPK_KR-1'!AL:AL,'JPK_KR-1'!W:W,J258),"")</f>
        <v/>
      </c>
      <c r="L258" s="141" t="str">
        <f>IF(I258&lt;&gt;"",SUMIFS('JPK_KR-1'!AM:AM,'JPK_KR-1'!W:W,J258),"")</f>
        <v/>
      </c>
      <c r="M258" s="143" t="str">
        <f>IF(kokpit!M258&lt;&gt;"",kokpit!M258,"")</f>
        <v/>
      </c>
      <c r="N258" s="117" t="str">
        <f>IF(kokpit!N258&lt;&gt;"",kokpit!N258,"")</f>
        <v/>
      </c>
      <c r="O258" s="117" t="str">
        <f>IF(kokpit!O258&lt;&gt;"",kokpit!O258,"")</f>
        <v/>
      </c>
      <c r="P258" s="141" t="str">
        <f>IF(M258&lt;&gt;"",IF(O258="",SUMIFS('JPK_KR-1'!AL:AL,'JPK_KR-1'!W:W,N258),SUMIFS('JPK_KR-1'!BF:BF,'JPK_KR-1'!BE:BE,N258,'JPK_KR-1'!BG:BG,O258)),"")</f>
        <v/>
      </c>
      <c r="Q258" s="144" t="str">
        <f>IF(M258&lt;&gt;"",IF(O258="",SUMIFS('JPK_KR-1'!AM:AM,'JPK_KR-1'!W:W,N258),SUMIFS('JPK_KR-1'!BI:BI,'JPK_KR-1'!BH:BH,N258,'JPK_KR-1'!BJ:BJ,O258)),"")</f>
        <v/>
      </c>
      <c r="R258" s="117" t="str">
        <f>IF(kokpit!R258&lt;&gt;"",kokpit!R258,"")</f>
        <v/>
      </c>
      <c r="S258" s="117" t="str">
        <f>IF(kokpit!S258&lt;&gt;"",kokpit!S258,"")</f>
        <v/>
      </c>
      <c r="T258" s="117" t="str">
        <f>IF(kokpit!T258&lt;&gt;"",kokpit!T258,"")</f>
        <v/>
      </c>
      <c r="U258" s="141" t="str">
        <f>IF(R258&lt;&gt;"",SUMIFS('JPK_KR-1'!AL:AL,'JPK_KR-1'!W:W,S258),"")</f>
        <v/>
      </c>
      <c r="V258" s="144" t="str">
        <f>IF(R258&lt;&gt;"",SUMIFS('JPK_KR-1'!AM:AM,'JPK_KR-1'!W:W,S258),"")</f>
        <v/>
      </c>
    </row>
    <row r="259" spans="1:22" x14ac:dyDescent="0.3">
      <c r="A259" s="5" t="str">
        <f>IF(kokpit!A259&lt;&gt;"",kokpit!A259,"")</f>
        <v/>
      </c>
      <c r="B259" s="5" t="str">
        <f>IF(kokpit!B259&lt;&gt;"",kokpit!B259,"")</f>
        <v/>
      </c>
      <c r="C259" s="24" t="str">
        <f>IF(A259&lt;&gt;"",SUMIFS('JPK_KR-1'!AL:AL,'JPK_KR-1'!W:W,B259),"")</f>
        <v/>
      </c>
      <c r="D259" s="126" t="str">
        <f>IF(A259&lt;&gt;"",SUMIFS('JPK_KR-1'!AM:AM,'JPK_KR-1'!W:W,B259),"")</f>
        <v/>
      </c>
      <c r="E259" s="5" t="str">
        <f>IF(kokpit!E259&lt;&gt;"",kokpit!E259,"")</f>
        <v/>
      </c>
      <c r="F259" s="127" t="str">
        <f>IF(kokpit!F259&lt;&gt;"",kokpit!F259,"")</f>
        <v/>
      </c>
      <c r="G259" s="24" t="str">
        <f>IF(E259&lt;&gt;"",SUMIFS('JPK_KR-1'!AL:AL,'JPK_KR-1'!W:W,F259),"")</f>
        <v/>
      </c>
      <c r="H259" s="126" t="str">
        <f>IF(E259&lt;&gt;"",SUMIFS('JPK_KR-1'!AM:AM,'JPK_KR-1'!W:W,F259),"")</f>
        <v/>
      </c>
      <c r="I259" s="5" t="str">
        <f>IF(kokpit!I259&lt;&gt;"",kokpit!I259,"")</f>
        <v/>
      </c>
      <c r="J259" s="5" t="str">
        <f>IF(kokpit!J259&lt;&gt;"",kokpit!J259,"")</f>
        <v/>
      </c>
      <c r="K259" s="24" t="str">
        <f>IF(I259&lt;&gt;"",SUMIFS('JPK_KR-1'!AL:AL,'JPK_KR-1'!W:W,J259),"")</f>
        <v/>
      </c>
      <c r="L259" s="141" t="str">
        <f>IF(I259&lt;&gt;"",SUMIFS('JPK_KR-1'!AM:AM,'JPK_KR-1'!W:W,J259),"")</f>
        <v/>
      </c>
      <c r="M259" s="143" t="str">
        <f>IF(kokpit!M259&lt;&gt;"",kokpit!M259,"")</f>
        <v/>
      </c>
      <c r="N259" s="117" t="str">
        <f>IF(kokpit!N259&lt;&gt;"",kokpit!N259,"")</f>
        <v/>
      </c>
      <c r="O259" s="117" t="str">
        <f>IF(kokpit!O259&lt;&gt;"",kokpit!O259,"")</f>
        <v/>
      </c>
      <c r="P259" s="141" t="str">
        <f>IF(M259&lt;&gt;"",IF(O259="",SUMIFS('JPK_KR-1'!AL:AL,'JPK_KR-1'!W:W,N259),SUMIFS('JPK_KR-1'!BF:BF,'JPK_KR-1'!BE:BE,N259,'JPK_KR-1'!BG:BG,O259)),"")</f>
        <v/>
      </c>
      <c r="Q259" s="144" t="str">
        <f>IF(M259&lt;&gt;"",IF(O259="",SUMIFS('JPK_KR-1'!AM:AM,'JPK_KR-1'!W:W,N259),SUMIFS('JPK_KR-1'!BI:BI,'JPK_KR-1'!BH:BH,N259,'JPK_KR-1'!BJ:BJ,O259)),"")</f>
        <v/>
      </c>
      <c r="R259" s="117" t="str">
        <f>IF(kokpit!R259&lt;&gt;"",kokpit!R259,"")</f>
        <v/>
      </c>
      <c r="S259" s="117" t="str">
        <f>IF(kokpit!S259&lt;&gt;"",kokpit!S259,"")</f>
        <v/>
      </c>
      <c r="T259" s="117" t="str">
        <f>IF(kokpit!T259&lt;&gt;"",kokpit!T259,"")</f>
        <v/>
      </c>
      <c r="U259" s="141" t="str">
        <f>IF(R259&lt;&gt;"",SUMIFS('JPK_KR-1'!AL:AL,'JPK_KR-1'!W:W,S259),"")</f>
        <v/>
      </c>
      <c r="V259" s="144" t="str">
        <f>IF(R259&lt;&gt;"",SUMIFS('JPK_KR-1'!AM:AM,'JPK_KR-1'!W:W,S259),"")</f>
        <v/>
      </c>
    </row>
    <row r="260" spans="1:22" x14ac:dyDescent="0.3">
      <c r="A260" s="5" t="str">
        <f>IF(kokpit!A260&lt;&gt;"",kokpit!A260,"")</f>
        <v/>
      </c>
      <c r="B260" s="5" t="str">
        <f>IF(kokpit!B260&lt;&gt;"",kokpit!B260,"")</f>
        <v/>
      </c>
      <c r="C260" s="24" t="str">
        <f>IF(A260&lt;&gt;"",SUMIFS('JPK_KR-1'!AL:AL,'JPK_KR-1'!W:W,B260),"")</f>
        <v/>
      </c>
      <c r="D260" s="126" t="str">
        <f>IF(A260&lt;&gt;"",SUMIFS('JPK_KR-1'!AM:AM,'JPK_KR-1'!W:W,B260),"")</f>
        <v/>
      </c>
      <c r="E260" s="5" t="str">
        <f>IF(kokpit!E260&lt;&gt;"",kokpit!E260,"")</f>
        <v/>
      </c>
      <c r="F260" s="127" t="str">
        <f>IF(kokpit!F260&lt;&gt;"",kokpit!F260,"")</f>
        <v/>
      </c>
      <c r="G260" s="24" t="str">
        <f>IF(E260&lt;&gt;"",SUMIFS('JPK_KR-1'!AL:AL,'JPK_KR-1'!W:W,F260),"")</f>
        <v/>
      </c>
      <c r="H260" s="126" t="str">
        <f>IF(E260&lt;&gt;"",SUMIFS('JPK_KR-1'!AM:AM,'JPK_KR-1'!W:W,F260),"")</f>
        <v/>
      </c>
      <c r="I260" s="5" t="str">
        <f>IF(kokpit!I260&lt;&gt;"",kokpit!I260,"")</f>
        <v/>
      </c>
      <c r="J260" s="5" t="str">
        <f>IF(kokpit!J260&lt;&gt;"",kokpit!J260,"")</f>
        <v/>
      </c>
      <c r="K260" s="24" t="str">
        <f>IF(I260&lt;&gt;"",SUMIFS('JPK_KR-1'!AL:AL,'JPK_KR-1'!W:W,J260),"")</f>
        <v/>
      </c>
      <c r="L260" s="141" t="str">
        <f>IF(I260&lt;&gt;"",SUMIFS('JPK_KR-1'!AM:AM,'JPK_KR-1'!W:W,J260),"")</f>
        <v/>
      </c>
      <c r="M260" s="143" t="str">
        <f>IF(kokpit!M260&lt;&gt;"",kokpit!M260,"")</f>
        <v/>
      </c>
      <c r="N260" s="117" t="str">
        <f>IF(kokpit!N260&lt;&gt;"",kokpit!N260,"")</f>
        <v/>
      </c>
      <c r="O260" s="117" t="str">
        <f>IF(kokpit!O260&lt;&gt;"",kokpit!O260,"")</f>
        <v/>
      </c>
      <c r="P260" s="141" t="str">
        <f>IF(M260&lt;&gt;"",IF(O260="",SUMIFS('JPK_KR-1'!AL:AL,'JPK_KR-1'!W:W,N260),SUMIFS('JPK_KR-1'!BF:BF,'JPK_KR-1'!BE:BE,N260,'JPK_KR-1'!BG:BG,O260)),"")</f>
        <v/>
      </c>
      <c r="Q260" s="144" t="str">
        <f>IF(M260&lt;&gt;"",IF(O260="",SUMIFS('JPK_KR-1'!AM:AM,'JPK_KR-1'!W:W,N260),SUMIFS('JPK_KR-1'!BI:BI,'JPK_KR-1'!BH:BH,N260,'JPK_KR-1'!BJ:BJ,O260)),"")</f>
        <v/>
      </c>
      <c r="R260" s="117" t="str">
        <f>IF(kokpit!R260&lt;&gt;"",kokpit!R260,"")</f>
        <v/>
      </c>
      <c r="S260" s="117" t="str">
        <f>IF(kokpit!S260&lt;&gt;"",kokpit!S260,"")</f>
        <v/>
      </c>
      <c r="T260" s="117" t="str">
        <f>IF(kokpit!T260&lt;&gt;"",kokpit!T260,"")</f>
        <v/>
      </c>
      <c r="U260" s="141" t="str">
        <f>IF(R260&lt;&gt;"",SUMIFS('JPK_KR-1'!AL:AL,'JPK_KR-1'!W:W,S260),"")</f>
        <v/>
      </c>
      <c r="V260" s="144" t="str">
        <f>IF(R260&lt;&gt;"",SUMIFS('JPK_KR-1'!AM:AM,'JPK_KR-1'!W:W,S260),"")</f>
        <v/>
      </c>
    </row>
    <row r="261" spans="1:22" x14ac:dyDescent="0.3">
      <c r="A261" s="5" t="str">
        <f>IF(kokpit!A261&lt;&gt;"",kokpit!A261,"")</f>
        <v/>
      </c>
      <c r="B261" s="5" t="str">
        <f>IF(kokpit!B261&lt;&gt;"",kokpit!B261,"")</f>
        <v/>
      </c>
      <c r="C261" s="24" t="str">
        <f>IF(A261&lt;&gt;"",SUMIFS('JPK_KR-1'!AL:AL,'JPK_KR-1'!W:W,B261),"")</f>
        <v/>
      </c>
      <c r="D261" s="126" t="str">
        <f>IF(A261&lt;&gt;"",SUMIFS('JPK_KR-1'!AM:AM,'JPK_KR-1'!W:W,B261),"")</f>
        <v/>
      </c>
      <c r="E261" s="5" t="str">
        <f>IF(kokpit!E261&lt;&gt;"",kokpit!E261,"")</f>
        <v/>
      </c>
      <c r="F261" s="127" t="str">
        <f>IF(kokpit!F261&lt;&gt;"",kokpit!F261,"")</f>
        <v/>
      </c>
      <c r="G261" s="24" t="str">
        <f>IF(E261&lt;&gt;"",SUMIFS('JPK_KR-1'!AL:AL,'JPK_KR-1'!W:W,F261),"")</f>
        <v/>
      </c>
      <c r="H261" s="126" t="str">
        <f>IF(E261&lt;&gt;"",SUMIFS('JPK_KR-1'!AM:AM,'JPK_KR-1'!W:W,F261),"")</f>
        <v/>
      </c>
      <c r="I261" s="5" t="str">
        <f>IF(kokpit!I261&lt;&gt;"",kokpit!I261,"")</f>
        <v/>
      </c>
      <c r="J261" s="5" t="str">
        <f>IF(kokpit!J261&lt;&gt;"",kokpit!J261,"")</f>
        <v/>
      </c>
      <c r="K261" s="24" t="str">
        <f>IF(I261&lt;&gt;"",SUMIFS('JPK_KR-1'!AL:AL,'JPK_KR-1'!W:W,J261),"")</f>
        <v/>
      </c>
      <c r="L261" s="141" t="str">
        <f>IF(I261&lt;&gt;"",SUMIFS('JPK_KR-1'!AM:AM,'JPK_KR-1'!W:W,J261),"")</f>
        <v/>
      </c>
      <c r="M261" s="143" t="str">
        <f>IF(kokpit!M261&lt;&gt;"",kokpit!M261,"")</f>
        <v/>
      </c>
      <c r="N261" s="117" t="str">
        <f>IF(kokpit!N261&lt;&gt;"",kokpit!N261,"")</f>
        <v/>
      </c>
      <c r="O261" s="117" t="str">
        <f>IF(kokpit!O261&lt;&gt;"",kokpit!O261,"")</f>
        <v/>
      </c>
      <c r="P261" s="141" t="str">
        <f>IF(M261&lt;&gt;"",IF(O261="",SUMIFS('JPK_KR-1'!AL:AL,'JPK_KR-1'!W:W,N261),SUMIFS('JPK_KR-1'!BF:BF,'JPK_KR-1'!BE:BE,N261,'JPK_KR-1'!BG:BG,O261)),"")</f>
        <v/>
      </c>
      <c r="Q261" s="144" t="str">
        <f>IF(M261&lt;&gt;"",IF(O261="",SUMIFS('JPK_KR-1'!AM:AM,'JPK_KR-1'!W:W,N261),SUMIFS('JPK_KR-1'!BI:BI,'JPK_KR-1'!BH:BH,N261,'JPK_KR-1'!BJ:BJ,O261)),"")</f>
        <v/>
      </c>
      <c r="R261" s="117" t="str">
        <f>IF(kokpit!R261&lt;&gt;"",kokpit!R261,"")</f>
        <v/>
      </c>
      <c r="S261" s="117" t="str">
        <f>IF(kokpit!S261&lt;&gt;"",kokpit!S261,"")</f>
        <v/>
      </c>
      <c r="T261" s="117" t="str">
        <f>IF(kokpit!T261&lt;&gt;"",kokpit!T261,"")</f>
        <v/>
      </c>
      <c r="U261" s="141" t="str">
        <f>IF(R261&lt;&gt;"",SUMIFS('JPK_KR-1'!AL:AL,'JPK_KR-1'!W:W,S261),"")</f>
        <v/>
      </c>
      <c r="V261" s="144" t="str">
        <f>IF(R261&lt;&gt;"",SUMIFS('JPK_KR-1'!AM:AM,'JPK_KR-1'!W:W,S261),"")</f>
        <v/>
      </c>
    </row>
    <row r="262" spans="1:22" x14ac:dyDescent="0.3">
      <c r="A262" s="5" t="str">
        <f>IF(kokpit!A262&lt;&gt;"",kokpit!A262,"")</f>
        <v/>
      </c>
      <c r="B262" s="5" t="str">
        <f>IF(kokpit!B262&lt;&gt;"",kokpit!B262,"")</f>
        <v/>
      </c>
      <c r="C262" s="24" t="str">
        <f>IF(A262&lt;&gt;"",SUMIFS('JPK_KR-1'!AL:AL,'JPK_KR-1'!W:W,B262),"")</f>
        <v/>
      </c>
      <c r="D262" s="126" t="str">
        <f>IF(A262&lt;&gt;"",SUMIFS('JPK_KR-1'!AM:AM,'JPK_KR-1'!W:W,B262),"")</f>
        <v/>
      </c>
      <c r="E262" s="5" t="str">
        <f>IF(kokpit!E262&lt;&gt;"",kokpit!E262,"")</f>
        <v/>
      </c>
      <c r="F262" s="127" t="str">
        <f>IF(kokpit!F262&lt;&gt;"",kokpit!F262,"")</f>
        <v/>
      </c>
      <c r="G262" s="24" t="str">
        <f>IF(E262&lt;&gt;"",SUMIFS('JPK_KR-1'!AL:AL,'JPK_KR-1'!W:W,F262),"")</f>
        <v/>
      </c>
      <c r="H262" s="126" t="str">
        <f>IF(E262&lt;&gt;"",SUMIFS('JPK_KR-1'!AM:AM,'JPK_KR-1'!W:W,F262),"")</f>
        <v/>
      </c>
      <c r="I262" s="5" t="str">
        <f>IF(kokpit!I262&lt;&gt;"",kokpit!I262,"")</f>
        <v/>
      </c>
      <c r="J262" s="5" t="str">
        <f>IF(kokpit!J262&lt;&gt;"",kokpit!J262,"")</f>
        <v/>
      </c>
      <c r="K262" s="24" t="str">
        <f>IF(I262&lt;&gt;"",SUMIFS('JPK_KR-1'!AL:AL,'JPK_KR-1'!W:W,J262),"")</f>
        <v/>
      </c>
      <c r="L262" s="141" t="str">
        <f>IF(I262&lt;&gt;"",SUMIFS('JPK_KR-1'!AM:AM,'JPK_KR-1'!W:W,J262),"")</f>
        <v/>
      </c>
      <c r="M262" s="143" t="str">
        <f>IF(kokpit!M262&lt;&gt;"",kokpit!M262,"")</f>
        <v/>
      </c>
      <c r="N262" s="117" t="str">
        <f>IF(kokpit!N262&lt;&gt;"",kokpit!N262,"")</f>
        <v/>
      </c>
      <c r="O262" s="117" t="str">
        <f>IF(kokpit!O262&lt;&gt;"",kokpit!O262,"")</f>
        <v/>
      </c>
      <c r="P262" s="141" t="str">
        <f>IF(M262&lt;&gt;"",IF(O262="",SUMIFS('JPK_KR-1'!AL:AL,'JPK_KR-1'!W:W,N262),SUMIFS('JPK_KR-1'!BF:BF,'JPK_KR-1'!BE:BE,N262,'JPK_KR-1'!BG:BG,O262)),"")</f>
        <v/>
      </c>
      <c r="Q262" s="144" t="str">
        <f>IF(M262&lt;&gt;"",IF(O262="",SUMIFS('JPK_KR-1'!AM:AM,'JPK_KR-1'!W:W,N262),SUMIFS('JPK_KR-1'!BI:BI,'JPK_KR-1'!BH:BH,N262,'JPK_KR-1'!BJ:BJ,O262)),"")</f>
        <v/>
      </c>
      <c r="R262" s="117" t="str">
        <f>IF(kokpit!R262&lt;&gt;"",kokpit!R262,"")</f>
        <v/>
      </c>
      <c r="S262" s="117" t="str">
        <f>IF(kokpit!S262&lt;&gt;"",kokpit!S262,"")</f>
        <v/>
      </c>
      <c r="T262" s="117" t="str">
        <f>IF(kokpit!T262&lt;&gt;"",kokpit!T262,"")</f>
        <v/>
      </c>
      <c r="U262" s="141" t="str">
        <f>IF(R262&lt;&gt;"",SUMIFS('JPK_KR-1'!AL:AL,'JPK_KR-1'!W:W,S262),"")</f>
        <v/>
      </c>
      <c r="V262" s="144" t="str">
        <f>IF(R262&lt;&gt;"",SUMIFS('JPK_KR-1'!AM:AM,'JPK_KR-1'!W:W,S262),"")</f>
        <v/>
      </c>
    </row>
    <row r="263" spans="1:22" x14ac:dyDescent="0.3">
      <c r="A263" s="5" t="str">
        <f>IF(kokpit!A263&lt;&gt;"",kokpit!A263,"")</f>
        <v/>
      </c>
      <c r="B263" s="5" t="str">
        <f>IF(kokpit!B263&lt;&gt;"",kokpit!B263,"")</f>
        <v/>
      </c>
      <c r="C263" s="24" t="str">
        <f>IF(A263&lt;&gt;"",SUMIFS('JPK_KR-1'!AL:AL,'JPK_KR-1'!W:W,B263),"")</f>
        <v/>
      </c>
      <c r="D263" s="126" t="str">
        <f>IF(A263&lt;&gt;"",SUMIFS('JPK_KR-1'!AM:AM,'JPK_KR-1'!W:W,B263),"")</f>
        <v/>
      </c>
      <c r="E263" s="5" t="str">
        <f>IF(kokpit!E263&lt;&gt;"",kokpit!E263,"")</f>
        <v/>
      </c>
      <c r="F263" s="127" t="str">
        <f>IF(kokpit!F263&lt;&gt;"",kokpit!F263,"")</f>
        <v/>
      </c>
      <c r="G263" s="24" t="str">
        <f>IF(E263&lt;&gt;"",SUMIFS('JPK_KR-1'!AL:AL,'JPK_KR-1'!W:W,F263),"")</f>
        <v/>
      </c>
      <c r="H263" s="126" t="str">
        <f>IF(E263&lt;&gt;"",SUMIFS('JPK_KR-1'!AM:AM,'JPK_KR-1'!W:W,F263),"")</f>
        <v/>
      </c>
      <c r="I263" s="5" t="str">
        <f>IF(kokpit!I263&lt;&gt;"",kokpit!I263,"")</f>
        <v/>
      </c>
      <c r="J263" s="5" t="str">
        <f>IF(kokpit!J263&lt;&gt;"",kokpit!J263,"")</f>
        <v/>
      </c>
      <c r="K263" s="24" t="str">
        <f>IF(I263&lt;&gt;"",SUMIFS('JPK_KR-1'!AL:AL,'JPK_KR-1'!W:W,J263),"")</f>
        <v/>
      </c>
      <c r="L263" s="141" t="str">
        <f>IF(I263&lt;&gt;"",SUMIFS('JPK_KR-1'!AM:AM,'JPK_KR-1'!W:W,J263),"")</f>
        <v/>
      </c>
      <c r="M263" s="143" t="str">
        <f>IF(kokpit!M263&lt;&gt;"",kokpit!M263,"")</f>
        <v/>
      </c>
      <c r="N263" s="117" t="str">
        <f>IF(kokpit!N263&lt;&gt;"",kokpit!N263,"")</f>
        <v/>
      </c>
      <c r="O263" s="117" t="str">
        <f>IF(kokpit!O263&lt;&gt;"",kokpit!O263,"")</f>
        <v/>
      </c>
      <c r="P263" s="141" t="str">
        <f>IF(M263&lt;&gt;"",IF(O263="",SUMIFS('JPK_KR-1'!AL:AL,'JPK_KR-1'!W:W,N263),SUMIFS('JPK_KR-1'!BF:BF,'JPK_KR-1'!BE:BE,N263,'JPK_KR-1'!BG:BG,O263)),"")</f>
        <v/>
      </c>
      <c r="Q263" s="144" t="str">
        <f>IF(M263&lt;&gt;"",IF(O263="",SUMIFS('JPK_KR-1'!AM:AM,'JPK_KR-1'!W:W,N263),SUMIFS('JPK_KR-1'!BI:BI,'JPK_KR-1'!BH:BH,N263,'JPK_KR-1'!BJ:BJ,O263)),"")</f>
        <v/>
      </c>
      <c r="R263" s="117" t="str">
        <f>IF(kokpit!R263&lt;&gt;"",kokpit!R263,"")</f>
        <v/>
      </c>
      <c r="S263" s="117" t="str">
        <f>IF(kokpit!S263&lt;&gt;"",kokpit!S263,"")</f>
        <v/>
      </c>
      <c r="T263" s="117" t="str">
        <f>IF(kokpit!T263&lt;&gt;"",kokpit!T263,"")</f>
        <v/>
      </c>
      <c r="U263" s="141" t="str">
        <f>IF(R263&lt;&gt;"",SUMIFS('JPK_KR-1'!AL:AL,'JPK_KR-1'!W:W,S263),"")</f>
        <v/>
      </c>
      <c r="V263" s="144" t="str">
        <f>IF(R263&lt;&gt;"",SUMIFS('JPK_KR-1'!AM:AM,'JPK_KR-1'!W:W,S263),"")</f>
        <v/>
      </c>
    </row>
    <row r="264" spans="1:22" x14ac:dyDescent="0.3">
      <c r="A264" s="5" t="str">
        <f>IF(kokpit!A264&lt;&gt;"",kokpit!A264,"")</f>
        <v/>
      </c>
      <c r="B264" s="5" t="str">
        <f>IF(kokpit!B264&lt;&gt;"",kokpit!B264,"")</f>
        <v/>
      </c>
      <c r="C264" s="24" t="str">
        <f>IF(A264&lt;&gt;"",SUMIFS('JPK_KR-1'!AL:AL,'JPK_KR-1'!W:W,B264),"")</f>
        <v/>
      </c>
      <c r="D264" s="126" t="str">
        <f>IF(A264&lt;&gt;"",SUMIFS('JPK_KR-1'!AM:AM,'JPK_KR-1'!W:W,B264),"")</f>
        <v/>
      </c>
      <c r="E264" s="5" t="str">
        <f>IF(kokpit!E264&lt;&gt;"",kokpit!E264,"")</f>
        <v/>
      </c>
      <c r="F264" s="127" t="str">
        <f>IF(kokpit!F264&lt;&gt;"",kokpit!F264,"")</f>
        <v/>
      </c>
      <c r="G264" s="24" t="str">
        <f>IF(E264&lt;&gt;"",SUMIFS('JPK_KR-1'!AL:AL,'JPK_KR-1'!W:W,F264),"")</f>
        <v/>
      </c>
      <c r="H264" s="126" t="str">
        <f>IF(E264&lt;&gt;"",SUMIFS('JPK_KR-1'!AM:AM,'JPK_KR-1'!W:W,F264),"")</f>
        <v/>
      </c>
      <c r="I264" s="5" t="str">
        <f>IF(kokpit!I264&lt;&gt;"",kokpit!I264,"")</f>
        <v/>
      </c>
      <c r="J264" s="5" t="str">
        <f>IF(kokpit!J264&lt;&gt;"",kokpit!J264,"")</f>
        <v/>
      </c>
      <c r="K264" s="24" t="str">
        <f>IF(I264&lt;&gt;"",SUMIFS('JPK_KR-1'!AL:AL,'JPK_KR-1'!W:W,J264),"")</f>
        <v/>
      </c>
      <c r="L264" s="141" t="str">
        <f>IF(I264&lt;&gt;"",SUMIFS('JPK_KR-1'!AM:AM,'JPK_KR-1'!W:W,J264),"")</f>
        <v/>
      </c>
      <c r="M264" s="143" t="str">
        <f>IF(kokpit!M264&lt;&gt;"",kokpit!M264,"")</f>
        <v/>
      </c>
      <c r="N264" s="117" t="str">
        <f>IF(kokpit!N264&lt;&gt;"",kokpit!N264,"")</f>
        <v/>
      </c>
      <c r="O264" s="117" t="str">
        <f>IF(kokpit!O264&lt;&gt;"",kokpit!O264,"")</f>
        <v/>
      </c>
      <c r="P264" s="141" t="str">
        <f>IF(M264&lt;&gt;"",IF(O264="",SUMIFS('JPK_KR-1'!AL:AL,'JPK_KR-1'!W:W,N264),SUMIFS('JPK_KR-1'!BF:BF,'JPK_KR-1'!BE:BE,N264,'JPK_KR-1'!BG:BG,O264)),"")</f>
        <v/>
      </c>
      <c r="Q264" s="144" t="str">
        <f>IF(M264&lt;&gt;"",IF(O264="",SUMIFS('JPK_KR-1'!AM:AM,'JPK_KR-1'!W:W,N264),SUMIFS('JPK_KR-1'!BI:BI,'JPK_KR-1'!BH:BH,N264,'JPK_KR-1'!BJ:BJ,O264)),"")</f>
        <v/>
      </c>
      <c r="R264" s="117" t="str">
        <f>IF(kokpit!R264&lt;&gt;"",kokpit!R264,"")</f>
        <v/>
      </c>
      <c r="S264" s="117" t="str">
        <f>IF(kokpit!S264&lt;&gt;"",kokpit!S264,"")</f>
        <v/>
      </c>
      <c r="T264" s="117" t="str">
        <f>IF(kokpit!T264&lt;&gt;"",kokpit!T264,"")</f>
        <v/>
      </c>
      <c r="U264" s="141" t="str">
        <f>IF(R264&lt;&gt;"",SUMIFS('JPK_KR-1'!AL:AL,'JPK_KR-1'!W:W,S264),"")</f>
        <v/>
      </c>
      <c r="V264" s="144" t="str">
        <f>IF(R264&lt;&gt;"",SUMIFS('JPK_KR-1'!AM:AM,'JPK_KR-1'!W:W,S264),"")</f>
        <v/>
      </c>
    </row>
    <row r="265" spans="1:22" x14ac:dyDescent="0.3">
      <c r="A265" s="5" t="str">
        <f>IF(kokpit!A265&lt;&gt;"",kokpit!A265,"")</f>
        <v/>
      </c>
      <c r="B265" s="5" t="str">
        <f>IF(kokpit!B265&lt;&gt;"",kokpit!B265,"")</f>
        <v/>
      </c>
      <c r="C265" s="24" t="str">
        <f>IF(A265&lt;&gt;"",SUMIFS('JPK_KR-1'!AL:AL,'JPK_KR-1'!W:W,B265),"")</f>
        <v/>
      </c>
      <c r="D265" s="126" t="str">
        <f>IF(A265&lt;&gt;"",SUMIFS('JPK_KR-1'!AM:AM,'JPK_KR-1'!W:W,B265),"")</f>
        <v/>
      </c>
      <c r="E265" s="5" t="str">
        <f>IF(kokpit!E265&lt;&gt;"",kokpit!E265,"")</f>
        <v/>
      </c>
      <c r="F265" s="127" t="str">
        <f>IF(kokpit!F265&lt;&gt;"",kokpit!F265,"")</f>
        <v/>
      </c>
      <c r="G265" s="24" t="str">
        <f>IF(E265&lt;&gt;"",SUMIFS('JPK_KR-1'!AL:AL,'JPK_KR-1'!W:W,F265),"")</f>
        <v/>
      </c>
      <c r="H265" s="126" t="str">
        <f>IF(E265&lt;&gt;"",SUMIFS('JPK_KR-1'!AM:AM,'JPK_KR-1'!W:W,F265),"")</f>
        <v/>
      </c>
      <c r="I265" s="5" t="str">
        <f>IF(kokpit!I265&lt;&gt;"",kokpit!I265,"")</f>
        <v/>
      </c>
      <c r="J265" s="5" t="str">
        <f>IF(kokpit!J265&lt;&gt;"",kokpit!J265,"")</f>
        <v/>
      </c>
      <c r="K265" s="24" t="str">
        <f>IF(I265&lt;&gt;"",SUMIFS('JPK_KR-1'!AL:AL,'JPK_KR-1'!W:W,J265),"")</f>
        <v/>
      </c>
      <c r="L265" s="141" t="str">
        <f>IF(I265&lt;&gt;"",SUMIFS('JPK_KR-1'!AM:AM,'JPK_KR-1'!W:W,J265),"")</f>
        <v/>
      </c>
      <c r="M265" s="143" t="str">
        <f>IF(kokpit!M265&lt;&gt;"",kokpit!M265,"")</f>
        <v/>
      </c>
      <c r="N265" s="117" t="str">
        <f>IF(kokpit!N265&lt;&gt;"",kokpit!N265,"")</f>
        <v/>
      </c>
      <c r="O265" s="117" t="str">
        <f>IF(kokpit!O265&lt;&gt;"",kokpit!O265,"")</f>
        <v/>
      </c>
      <c r="P265" s="141" t="str">
        <f>IF(M265&lt;&gt;"",IF(O265="",SUMIFS('JPK_KR-1'!AL:AL,'JPK_KR-1'!W:W,N265),SUMIFS('JPK_KR-1'!BF:BF,'JPK_KR-1'!BE:BE,N265,'JPK_KR-1'!BG:BG,O265)),"")</f>
        <v/>
      </c>
      <c r="Q265" s="144" t="str">
        <f>IF(M265&lt;&gt;"",IF(O265="",SUMIFS('JPK_KR-1'!AM:AM,'JPK_KR-1'!W:W,N265),SUMIFS('JPK_KR-1'!BI:BI,'JPK_KR-1'!BH:BH,N265,'JPK_KR-1'!BJ:BJ,O265)),"")</f>
        <v/>
      </c>
      <c r="R265" s="117" t="str">
        <f>IF(kokpit!R265&lt;&gt;"",kokpit!R265,"")</f>
        <v/>
      </c>
      <c r="S265" s="117" t="str">
        <f>IF(kokpit!S265&lt;&gt;"",kokpit!S265,"")</f>
        <v/>
      </c>
      <c r="T265" s="117" t="str">
        <f>IF(kokpit!T265&lt;&gt;"",kokpit!T265,"")</f>
        <v/>
      </c>
      <c r="U265" s="141" t="str">
        <f>IF(R265&lt;&gt;"",SUMIFS('JPK_KR-1'!AL:AL,'JPK_KR-1'!W:W,S265),"")</f>
        <v/>
      </c>
      <c r="V265" s="144" t="str">
        <f>IF(R265&lt;&gt;"",SUMIFS('JPK_KR-1'!AM:AM,'JPK_KR-1'!W:W,S265),"")</f>
        <v/>
      </c>
    </row>
    <row r="266" spans="1:22" x14ac:dyDescent="0.3">
      <c r="A266" s="5" t="str">
        <f>IF(kokpit!A266&lt;&gt;"",kokpit!A266,"")</f>
        <v/>
      </c>
      <c r="B266" s="5" t="str">
        <f>IF(kokpit!B266&lt;&gt;"",kokpit!B266,"")</f>
        <v/>
      </c>
      <c r="C266" s="24" t="str">
        <f>IF(A266&lt;&gt;"",SUMIFS('JPK_KR-1'!AL:AL,'JPK_KR-1'!W:W,B266),"")</f>
        <v/>
      </c>
      <c r="D266" s="126" t="str">
        <f>IF(A266&lt;&gt;"",SUMIFS('JPK_KR-1'!AM:AM,'JPK_KR-1'!W:W,B266),"")</f>
        <v/>
      </c>
      <c r="E266" s="5" t="str">
        <f>IF(kokpit!E266&lt;&gt;"",kokpit!E266,"")</f>
        <v/>
      </c>
      <c r="F266" s="127" t="str">
        <f>IF(kokpit!F266&lt;&gt;"",kokpit!F266,"")</f>
        <v/>
      </c>
      <c r="G266" s="24" t="str">
        <f>IF(E266&lt;&gt;"",SUMIFS('JPK_KR-1'!AL:AL,'JPK_KR-1'!W:W,F266),"")</f>
        <v/>
      </c>
      <c r="H266" s="126" t="str">
        <f>IF(E266&lt;&gt;"",SUMIFS('JPK_KR-1'!AM:AM,'JPK_KR-1'!W:W,F266),"")</f>
        <v/>
      </c>
      <c r="I266" s="5" t="str">
        <f>IF(kokpit!I266&lt;&gt;"",kokpit!I266,"")</f>
        <v/>
      </c>
      <c r="J266" s="5" t="str">
        <f>IF(kokpit!J266&lt;&gt;"",kokpit!J266,"")</f>
        <v/>
      </c>
      <c r="K266" s="24" t="str">
        <f>IF(I266&lt;&gt;"",SUMIFS('JPK_KR-1'!AL:AL,'JPK_KR-1'!W:W,J266),"")</f>
        <v/>
      </c>
      <c r="L266" s="141" t="str">
        <f>IF(I266&lt;&gt;"",SUMIFS('JPK_KR-1'!AM:AM,'JPK_KR-1'!W:W,J266),"")</f>
        <v/>
      </c>
      <c r="M266" s="143" t="str">
        <f>IF(kokpit!M266&lt;&gt;"",kokpit!M266,"")</f>
        <v/>
      </c>
      <c r="N266" s="117" t="str">
        <f>IF(kokpit!N266&lt;&gt;"",kokpit!N266,"")</f>
        <v/>
      </c>
      <c r="O266" s="117" t="str">
        <f>IF(kokpit!O266&lt;&gt;"",kokpit!O266,"")</f>
        <v/>
      </c>
      <c r="P266" s="141" t="str">
        <f>IF(M266&lt;&gt;"",IF(O266="",SUMIFS('JPK_KR-1'!AL:AL,'JPK_KR-1'!W:W,N266),SUMIFS('JPK_KR-1'!BF:BF,'JPK_KR-1'!BE:BE,N266,'JPK_KR-1'!BG:BG,O266)),"")</f>
        <v/>
      </c>
      <c r="Q266" s="144" t="str">
        <f>IF(M266&lt;&gt;"",IF(O266="",SUMIFS('JPK_KR-1'!AM:AM,'JPK_KR-1'!W:W,N266),SUMIFS('JPK_KR-1'!BI:BI,'JPK_KR-1'!BH:BH,N266,'JPK_KR-1'!BJ:BJ,O266)),"")</f>
        <v/>
      </c>
      <c r="R266" s="117" t="str">
        <f>IF(kokpit!R266&lt;&gt;"",kokpit!R266,"")</f>
        <v/>
      </c>
      <c r="S266" s="117" t="str">
        <f>IF(kokpit!S266&lt;&gt;"",kokpit!S266,"")</f>
        <v/>
      </c>
      <c r="T266" s="117" t="str">
        <f>IF(kokpit!T266&lt;&gt;"",kokpit!T266,"")</f>
        <v/>
      </c>
      <c r="U266" s="141" t="str">
        <f>IF(R266&lt;&gt;"",SUMIFS('JPK_KR-1'!AL:AL,'JPK_KR-1'!W:W,S266),"")</f>
        <v/>
      </c>
      <c r="V266" s="144" t="str">
        <f>IF(R266&lt;&gt;"",SUMIFS('JPK_KR-1'!AM:AM,'JPK_KR-1'!W:W,S266),"")</f>
        <v/>
      </c>
    </row>
    <row r="267" spans="1:22" x14ac:dyDescent="0.3">
      <c r="A267" s="5" t="str">
        <f>IF(kokpit!A267&lt;&gt;"",kokpit!A267,"")</f>
        <v/>
      </c>
      <c r="B267" s="5" t="str">
        <f>IF(kokpit!B267&lt;&gt;"",kokpit!B267,"")</f>
        <v/>
      </c>
      <c r="C267" s="24" t="str">
        <f>IF(A267&lt;&gt;"",SUMIFS('JPK_KR-1'!AL:AL,'JPK_KR-1'!W:W,B267),"")</f>
        <v/>
      </c>
      <c r="D267" s="126" t="str">
        <f>IF(A267&lt;&gt;"",SUMIFS('JPK_KR-1'!AM:AM,'JPK_KR-1'!W:W,B267),"")</f>
        <v/>
      </c>
      <c r="E267" s="5" t="str">
        <f>IF(kokpit!E267&lt;&gt;"",kokpit!E267,"")</f>
        <v/>
      </c>
      <c r="F267" s="127" t="str">
        <f>IF(kokpit!F267&lt;&gt;"",kokpit!F267,"")</f>
        <v/>
      </c>
      <c r="G267" s="24" t="str">
        <f>IF(E267&lt;&gt;"",SUMIFS('JPK_KR-1'!AL:AL,'JPK_KR-1'!W:W,F267),"")</f>
        <v/>
      </c>
      <c r="H267" s="126" t="str">
        <f>IF(E267&lt;&gt;"",SUMIFS('JPK_KR-1'!AM:AM,'JPK_KR-1'!W:W,F267),"")</f>
        <v/>
      </c>
      <c r="I267" s="5" t="str">
        <f>IF(kokpit!I267&lt;&gt;"",kokpit!I267,"")</f>
        <v/>
      </c>
      <c r="J267" s="5" t="str">
        <f>IF(kokpit!J267&lt;&gt;"",kokpit!J267,"")</f>
        <v/>
      </c>
      <c r="K267" s="24" t="str">
        <f>IF(I267&lt;&gt;"",SUMIFS('JPK_KR-1'!AL:AL,'JPK_KR-1'!W:W,J267),"")</f>
        <v/>
      </c>
      <c r="L267" s="141" t="str">
        <f>IF(I267&lt;&gt;"",SUMIFS('JPK_KR-1'!AM:AM,'JPK_KR-1'!W:W,J267),"")</f>
        <v/>
      </c>
      <c r="M267" s="143" t="str">
        <f>IF(kokpit!M267&lt;&gt;"",kokpit!M267,"")</f>
        <v/>
      </c>
      <c r="N267" s="117" t="str">
        <f>IF(kokpit!N267&lt;&gt;"",kokpit!N267,"")</f>
        <v/>
      </c>
      <c r="O267" s="117" t="str">
        <f>IF(kokpit!O267&lt;&gt;"",kokpit!O267,"")</f>
        <v/>
      </c>
      <c r="P267" s="141" t="str">
        <f>IF(M267&lt;&gt;"",IF(O267="",SUMIFS('JPK_KR-1'!AL:AL,'JPK_KR-1'!W:W,N267),SUMIFS('JPK_KR-1'!BF:BF,'JPK_KR-1'!BE:BE,N267,'JPK_KR-1'!BG:BG,O267)),"")</f>
        <v/>
      </c>
      <c r="Q267" s="144" t="str">
        <f>IF(M267&lt;&gt;"",IF(O267="",SUMIFS('JPK_KR-1'!AM:AM,'JPK_KR-1'!W:W,N267),SUMIFS('JPK_KR-1'!BI:BI,'JPK_KR-1'!BH:BH,N267,'JPK_KR-1'!BJ:BJ,O267)),"")</f>
        <v/>
      </c>
      <c r="R267" s="117" t="str">
        <f>IF(kokpit!R267&lt;&gt;"",kokpit!R267,"")</f>
        <v/>
      </c>
      <c r="S267" s="117" t="str">
        <f>IF(kokpit!S267&lt;&gt;"",kokpit!S267,"")</f>
        <v/>
      </c>
      <c r="T267" s="117" t="str">
        <f>IF(kokpit!T267&lt;&gt;"",kokpit!T267,"")</f>
        <v/>
      </c>
      <c r="U267" s="141" t="str">
        <f>IF(R267&lt;&gt;"",SUMIFS('JPK_KR-1'!AL:AL,'JPK_KR-1'!W:W,S267),"")</f>
        <v/>
      </c>
      <c r="V267" s="144" t="str">
        <f>IF(R267&lt;&gt;"",SUMIFS('JPK_KR-1'!AM:AM,'JPK_KR-1'!W:W,S267),"")</f>
        <v/>
      </c>
    </row>
    <row r="268" spans="1:22" x14ac:dyDescent="0.3">
      <c r="A268" s="5" t="str">
        <f>IF(kokpit!A268&lt;&gt;"",kokpit!A268,"")</f>
        <v/>
      </c>
      <c r="B268" s="5" t="str">
        <f>IF(kokpit!B268&lt;&gt;"",kokpit!B268,"")</f>
        <v/>
      </c>
      <c r="C268" s="24" t="str">
        <f>IF(A268&lt;&gt;"",SUMIFS('JPK_KR-1'!AL:AL,'JPK_KR-1'!W:W,B268),"")</f>
        <v/>
      </c>
      <c r="D268" s="126" t="str">
        <f>IF(A268&lt;&gt;"",SUMIFS('JPK_KR-1'!AM:AM,'JPK_KR-1'!W:W,B268),"")</f>
        <v/>
      </c>
      <c r="E268" s="5" t="str">
        <f>IF(kokpit!E268&lt;&gt;"",kokpit!E268,"")</f>
        <v/>
      </c>
      <c r="F268" s="127" t="str">
        <f>IF(kokpit!F268&lt;&gt;"",kokpit!F268,"")</f>
        <v/>
      </c>
      <c r="G268" s="24" t="str">
        <f>IF(E268&lt;&gt;"",SUMIFS('JPK_KR-1'!AL:AL,'JPK_KR-1'!W:W,F268),"")</f>
        <v/>
      </c>
      <c r="H268" s="126" t="str">
        <f>IF(E268&lt;&gt;"",SUMIFS('JPK_KR-1'!AM:AM,'JPK_KR-1'!W:W,F268),"")</f>
        <v/>
      </c>
      <c r="I268" s="5" t="str">
        <f>IF(kokpit!I268&lt;&gt;"",kokpit!I268,"")</f>
        <v/>
      </c>
      <c r="J268" s="5" t="str">
        <f>IF(kokpit!J268&lt;&gt;"",kokpit!J268,"")</f>
        <v/>
      </c>
      <c r="K268" s="24" t="str">
        <f>IF(I268&lt;&gt;"",SUMIFS('JPK_KR-1'!AL:AL,'JPK_KR-1'!W:W,J268),"")</f>
        <v/>
      </c>
      <c r="L268" s="141" t="str">
        <f>IF(I268&lt;&gt;"",SUMIFS('JPK_KR-1'!AM:AM,'JPK_KR-1'!W:W,J268),"")</f>
        <v/>
      </c>
      <c r="M268" s="143" t="str">
        <f>IF(kokpit!M268&lt;&gt;"",kokpit!M268,"")</f>
        <v/>
      </c>
      <c r="N268" s="117" t="str">
        <f>IF(kokpit!N268&lt;&gt;"",kokpit!N268,"")</f>
        <v/>
      </c>
      <c r="O268" s="117" t="str">
        <f>IF(kokpit!O268&lt;&gt;"",kokpit!O268,"")</f>
        <v/>
      </c>
      <c r="P268" s="141" t="str">
        <f>IF(M268&lt;&gt;"",IF(O268="",SUMIFS('JPK_KR-1'!AL:AL,'JPK_KR-1'!W:W,N268),SUMIFS('JPK_KR-1'!BF:BF,'JPK_KR-1'!BE:BE,N268,'JPK_KR-1'!BG:BG,O268)),"")</f>
        <v/>
      </c>
      <c r="Q268" s="144" t="str">
        <f>IF(M268&lt;&gt;"",IF(O268="",SUMIFS('JPK_KR-1'!AM:AM,'JPK_KR-1'!W:W,N268),SUMIFS('JPK_KR-1'!BI:BI,'JPK_KR-1'!BH:BH,N268,'JPK_KR-1'!BJ:BJ,O268)),"")</f>
        <v/>
      </c>
      <c r="R268" s="117" t="str">
        <f>IF(kokpit!R268&lt;&gt;"",kokpit!R268,"")</f>
        <v/>
      </c>
      <c r="S268" s="117" t="str">
        <f>IF(kokpit!S268&lt;&gt;"",kokpit!S268,"")</f>
        <v/>
      </c>
      <c r="T268" s="117" t="str">
        <f>IF(kokpit!T268&lt;&gt;"",kokpit!T268,"")</f>
        <v/>
      </c>
      <c r="U268" s="141" t="str">
        <f>IF(R268&lt;&gt;"",SUMIFS('JPK_KR-1'!AL:AL,'JPK_KR-1'!W:W,S268),"")</f>
        <v/>
      </c>
      <c r="V268" s="144" t="str">
        <f>IF(R268&lt;&gt;"",SUMIFS('JPK_KR-1'!AM:AM,'JPK_KR-1'!W:W,S268),"")</f>
        <v/>
      </c>
    </row>
    <row r="269" spans="1:22" x14ac:dyDescent="0.3">
      <c r="A269" s="5" t="str">
        <f>IF(kokpit!A269&lt;&gt;"",kokpit!A269,"")</f>
        <v/>
      </c>
      <c r="B269" s="5" t="str">
        <f>IF(kokpit!B269&lt;&gt;"",kokpit!B269,"")</f>
        <v/>
      </c>
      <c r="C269" s="24" t="str">
        <f>IF(A269&lt;&gt;"",SUMIFS('JPK_KR-1'!AL:AL,'JPK_KR-1'!W:W,B269),"")</f>
        <v/>
      </c>
      <c r="D269" s="126" t="str">
        <f>IF(A269&lt;&gt;"",SUMIFS('JPK_KR-1'!AM:AM,'JPK_KR-1'!W:W,B269),"")</f>
        <v/>
      </c>
      <c r="E269" s="5" t="str">
        <f>IF(kokpit!E269&lt;&gt;"",kokpit!E269,"")</f>
        <v/>
      </c>
      <c r="F269" s="127" t="str">
        <f>IF(kokpit!F269&lt;&gt;"",kokpit!F269,"")</f>
        <v/>
      </c>
      <c r="G269" s="24" t="str">
        <f>IF(E269&lt;&gt;"",SUMIFS('JPK_KR-1'!AL:AL,'JPK_KR-1'!W:W,F269),"")</f>
        <v/>
      </c>
      <c r="H269" s="126" t="str">
        <f>IF(E269&lt;&gt;"",SUMIFS('JPK_KR-1'!AM:AM,'JPK_KR-1'!W:W,F269),"")</f>
        <v/>
      </c>
      <c r="I269" s="5" t="str">
        <f>IF(kokpit!I269&lt;&gt;"",kokpit!I269,"")</f>
        <v/>
      </c>
      <c r="J269" s="5" t="str">
        <f>IF(kokpit!J269&lt;&gt;"",kokpit!J269,"")</f>
        <v/>
      </c>
      <c r="K269" s="24" t="str">
        <f>IF(I269&lt;&gt;"",SUMIFS('JPK_KR-1'!AL:AL,'JPK_KR-1'!W:W,J269),"")</f>
        <v/>
      </c>
      <c r="L269" s="141" t="str">
        <f>IF(I269&lt;&gt;"",SUMIFS('JPK_KR-1'!AM:AM,'JPK_KR-1'!W:W,J269),"")</f>
        <v/>
      </c>
      <c r="M269" s="143" t="str">
        <f>IF(kokpit!M269&lt;&gt;"",kokpit!M269,"")</f>
        <v/>
      </c>
      <c r="N269" s="117" t="str">
        <f>IF(kokpit!N269&lt;&gt;"",kokpit!N269,"")</f>
        <v/>
      </c>
      <c r="O269" s="117" t="str">
        <f>IF(kokpit!O269&lt;&gt;"",kokpit!O269,"")</f>
        <v/>
      </c>
      <c r="P269" s="141" t="str">
        <f>IF(M269&lt;&gt;"",IF(O269="",SUMIFS('JPK_KR-1'!AL:AL,'JPK_KR-1'!W:W,N269),SUMIFS('JPK_KR-1'!BF:BF,'JPK_KR-1'!BE:BE,N269,'JPK_KR-1'!BG:BG,O269)),"")</f>
        <v/>
      </c>
      <c r="Q269" s="144" t="str">
        <f>IF(M269&lt;&gt;"",IF(O269="",SUMIFS('JPK_KR-1'!AM:AM,'JPK_KR-1'!W:W,N269),SUMIFS('JPK_KR-1'!BI:BI,'JPK_KR-1'!BH:BH,N269,'JPK_KR-1'!BJ:BJ,O269)),"")</f>
        <v/>
      </c>
      <c r="R269" s="117" t="str">
        <f>IF(kokpit!R269&lt;&gt;"",kokpit!R269,"")</f>
        <v/>
      </c>
      <c r="S269" s="117" t="str">
        <f>IF(kokpit!S269&lt;&gt;"",kokpit!S269,"")</f>
        <v/>
      </c>
      <c r="T269" s="117" t="str">
        <f>IF(kokpit!T269&lt;&gt;"",kokpit!T269,"")</f>
        <v/>
      </c>
      <c r="U269" s="141" t="str">
        <f>IF(R269&lt;&gt;"",SUMIFS('JPK_KR-1'!AL:AL,'JPK_KR-1'!W:W,S269),"")</f>
        <v/>
      </c>
      <c r="V269" s="144" t="str">
        <f>IF(R269&lt;&gt;"",SUMIFS('JPK_KR-1'!AM:AM,'JPK_KR-1'!W:W,S269),"")</f>
        <v/>
      </c>
    </row>
    <row r="270" spans="1:22" x14ac:dyDescent="0.3">
      <c r="A270" s="5" t="str">
        <f>IF(kokpit!A270&lt;&gt;"",kokpit!A270,"")</f>
        <v/>
      </c>
      <c r="B270" s="5" t="str">
        <f>IF(kokpit!B270&lt;&gt;"",kokpit!B270,"")</f>
        <v/>
      </c>
      <c r="C270" s="24" t="str">
        <f>IF(A270&lt;&gt;"",SUMIFS('JPK_KR-1'!AL:AL,'JPK_KR-1'!W:W,B270),"")</f>
        <v/>
      </c>
      <c r="D270" s="126" t="str">
        <f>IF(A270&lt;&gt;"",SUMIFS('JPK_KR-1'!AM:AM,'JPK_KR-1'!W:W,B270),"")</f>
        <v/>
      </c>
      <c r="E270" s="5" t="str">
        <f>IF(kokpit!E270&lt;&gt;"",kokpit!E270,"")</f>
        <v/>
      </c>
      <c r="F270" s="127" t="str">
        <f>IF(kokpit!F270&lt;&gt;"",kokpit!F270,"")</f>
        <v/>
      </c>
      <c r="G270" s="24" t="str">
        <f>IF(E270&lt;&gt;"",SUMIFS('JPK_KR-1'!AL:AL,'JPK_KR-1'!W:W,F270),"")</f>
        <v/>
      </c>
      <c r="H270" s="126" t="str">
        <f>IF(E270&lt;&gt;"",SUMIFS('JPK_KR-1'!AM:AM,'JPK_KR-1'!W:W,F270),"")</f>
        <v/>
      </c>
      <c r="I270" s="5" t="str">
        <f>IF(kokpit!I270&lt;&gt;"",kokpit!I270,"")</f>
        <v/>
      </c>
      <c r="J270" s="5" t="str">
        <f>IF(kokpit!J270&lt;&gt;"",kokpit!J270,"")</f>
        <v/>
      </c>
      <c r="K270" s="24" t="str">
        <f>IF(I270&lt;&gt;"",SUMIFS('JPK_KR-1'!AL:AL,'JPK_KR-1'!W:W,J270),"")</f>
        <v/>
      </c>
      <c r="L270" s="141" t="str">
        <f>IF(I270&lt;&gt;"",SUMIFS('JPK_KR-1'!AM:AM,'JPK_KR-1'!W:W,J270),"")</f>
        <v/>
      </c>
      <c r="M270" s="143" t="str">
        <f>IF(kokpit!M270&lt;&gt;"",kokpit!M270,"")</f>
        <v/>
      </c>
      <c r="N270" s="117" t="str">
        <f>IF(kokpit!N270&lt;&gt;"",kokpit!N270,"")</f>
        <v/>
      </c>
      <c r="O270" s="117" t="str">
        <f>IF(kokpit!O270&lt;&gt;"",kokpit!O270,"")</f>
        <v/>
      </c>
      <c r="P270" s="141" t="str">
        <f>IF(M270&lt;&gt;"",IF(O270="",SUMIFS('JPK_KR-1'!AL:AL,'JPK_KR-1'!W:W,N270),SUMIFS('JPK_KR-1'!BF:BF,'JPK_KR-1'!BE:BE,N270,'JPK_KR-1'!BG:BG,O270)),"")</f>
        <v/>
      </c>
      <c r="Q270" s="144" t="str">
        <f>IF(M270&lt;&gt;"",IF(O270="",SUMIFS('JPK_KR-1'!AM:AM,'JPK_KR-1'!W:W,N270),SUMIFS('JPK_KR-1'!BI:BI,'JPK_KR-1'!BH:BH,N270,'JPK_KR-1'!BJ:BJ,O270)),"")</f>
        <v/>
      </c>
      <c r="R270" s="117" t="str">
        <f>IF(kokpit!R270&lt;&gt;"",kokpit!R270,"")</f>
        <v/>
      </c>
      <c r="S270" s="117" t="str">
        <f>IF(kokpit!S270&lt;&gt;"",kokpit!S270,"")</f>
        <v/>
      </c>
      <c r="T270" s="117" t="str">
        <f>IF(kokpit!T270&lt;&gt;"",kokpit!T270,"")</f>
        <v/>
      </c>
      <c r="U270" s="141" t="str">
        <f>IF(R270&lt;&gt;"",SUMIFS('JPK_KR-1'!AL:AL,'JPK_KR-1'!W:W,S270),"")</f>
        <v/>
      </c>
      <c r="V270" s="144" t="str">
        <f>IF(R270&lt;&gt;"",SUMIFS('JPK_KR-1'!AM:AM,'JPK_KR-1'!W:W,S270),"")</f>
        <v/>
      </c>
    </row>
    <row r="271" spans="1:22" x14ac:dyDescent="0.3">
      <c r="A271" s="5" t="str">
        <f>IF(kokpit!A271&lt;&gt;"",kokpit!A271,"")</f>
        <v/>
      </c>
      <c r="B271" s="5" t="str">
        <f>IF(kokpit!B271&lt;&gt;"",kokpit!B271,"")</f>
        <v/>
      </c>
      <c r="C271" s="24" t="str">
        <f>IF(A271&lt;&gt;"",SUMIFS('JPK_KR-1'!AL:AL,'JPK_KR-1'!W:W,B271),"")</f>
        <v/>
      </c>
      <c r="D271" s="126" t="str">
        <f>IF(A271&lt;&gt;"",SUMIFS('JPK_KR-1'!AM:AM,'JPK_KR-1'!W:W,B271),"")</f>
        <v/>
      </c>
      <c r="E271" s="5" t="str">
        <f>IF(kokpit!E271&lt;&gt;"",kokpit!E271,"")</f>
        <v/>
      </c>
      <c r="F271" s="127" t="str">
        <f>IF(kokpit!F271&lt;&gt;"",kokpit!F271,"")</f>
        <v/>
      </c>
      <c r="G271" s="24" t="str">
        <f>IF(E271&lt;&gt;"",SUMIFS('JPK_KR-1'!AL:AL,'JPK_KR-1'!W:W,F271),"")</f>
        <v/>
      </c>
      <c r="H271" s="126" t="str">
        <f>IF(E271&lt;&gt;"",SUMIFS('JPK_KR-1'!AM:AM,'JPK_KR-1'!W:W,F271),"")</f>
        <v/>
      </c>
      <c r="I271" s="5" t="str">
        <f>IF(kokpit!I271&lt;&gt;"",kokpit!I271,"")</f>
        <v/>
      </c>
      <c r="J271" s="5" t="str">
        <f>IF(kokpit!J271&lt;&gt;"",kokpit!J271,"")</f>
        <v/>
      </c>
      <c r="K271" s="24" t="str">
        <f>IF(I271&lt;&gt;"",SUMIFS('JPK_KR-1'!AL:AL,'JPK_KR-1'!W:W,J271),"")</f>
        <v/>
      </c>
      <c r="L271" s="141" t="str">
        <f>IF(I271&lt;&gt;"",SUMIFS('JPK_KR-1'!AM:AM,'JPK_KR-1'!W:W,J271),"")</f>
        <v/>
      </c>
      <c r="M271" s="143" t="str">
        <f>IF(kokpit!M271&lt;&gt;"",kokpit!M271,"")</f>
        <v/>
      </c>
      <c r="N271" s="117" t="str">
        <f>IF(kokpit!N271&lt;&gt;"",kokpit!N271,"")</f>
        <v/>
      </c>
      <c r="O271" s="117" t="str">
        <f>IF(kokpit!O271&lt;&gt;"",kokpit!O271,"")</f>
        <v/>
      </c>
      <c r="P271" s="141" t="str">
        <f>IF(M271&lt;&gt;"",IF(O271="",SUMIFS('JPK_KR-1'!AL:AL,'JPK_KR-1'!W:W,N271),SUMIFS('JPK_KR-1'!BF:BF,'JPK_KR-1'!BE:BE,N271,'JPK_KR-1'!BG:BG,O271)),"")</f>
        <v/>
      </c>
      <c r="Q271" s="144" t="str">
        <f>IF(M271&lt;&gt;"",IF(O271="",SUMIFS('JPK_KR-1'!AM:AM,'JPK_KR-1'!W:W,N271),SUMIFS('JPK_KR-1'!BI:BI,'JPK_KR-1'!BH:BH,N271,'JPK_KR-1'!BJ:BJ,O271)),"")</f>
        <v/>
      </c>
      <c r="R271" s="117" t="str">
        <f>IF(kokpit!R271&lt;&gt;"",kokpit!R271,"")</f>
        <v/>
      </c>
      <c r="S271" s="117" t="str">
        <f>IF(kokpit!S271&lt;&gt;"",kokpit!S271,"")</f>
        <v/>
      </c>
      <c r="T271" s="117" t="str">
        <f>IF(kokpit!T271&lt;&gt;"",kokpit!T271,"")</f>
        <v/>
      </c>
      <c r="U271" s="141" t="str">
        <f>IF(R271&lt;&gt;"",SUMIFS('JPK_KR-1'!AL:AL,'JPK_KR-1'!W:W,S271),"")</f>
        <v/>
      </c>
      <c r="V271" s="144" t="str">
        <f>IF(R271&lt;&gt;"",SUMIFS('JPK_KR-1'!AM:AM,'JPK_KR-1'!W:W,S271),"")</f>
        <v/>
      </c>
    </row>
    <row r="272" spans="1:22" x14ac:dyDescent="0.3">
      <c r="A272" s="5" t="str">
        <f>IF(kokpit!A272&lt;&gt;"",kokpit!A272,"")</f>
        <v/>
      </c>
      <c r="B272" s="5" t="str">
        <f>IF(kokpit!B272&lt;&gt;"",kokpit!B272,"")</f>
        <v/>
      </c>
      <c r="C272" s="24" t="str">
        <f>IF(A272&lt;&gt;"",SUMIFS('JPK_KR-1'!AL:AL,'JPK_KR-1'!W:W,B272),"")</f>
        <v/>
      </c>
      <c r="D272" s="126" t="str">
        <f>IF(A272&lt;&gt;"",SUMIFS('JPK_KR-1'!AM:AM,'JPK_KR-1'!W:W,B272),"")</f>
        <v/>
      </c>
      <c r="E272" s="5" t="str">
        <f>IF(kokpit!E272&lt;&gt;"",kokpit!E272,"")</f>
        <v/>
      </c>
      <c r="F272" s="127" t="str">
        <f>IF(kokpit!F272&lt;&gt;"",kokpit!F272,"")</f>
        <v/>
      </c>
      <c r="G272" s="24" t="str">
        <f>IF(E272&lt;&gt;"",SUMIFS('JPK_KR-1'!AL:AL,'JPK_KR-1'!W:W,F272),"")</f>
        <v/>
      </c>
      <c r="H272" s="126" t="str">
        <f>IF(E272&lt;&gt;"",SUMIFS('JPK_KR-1'!AM:AM,'JPK_KR-1'!W:W,F272),"")</f>
        <v/>
      </c>
      <c r="I272" s="5" t="str">
        <f>IF(kokpit!I272&lt;&gt;"",kokpit!I272,"")</f>
        <v/>
      </c>
      <c r="J272" s="5" t="str">
        <f>IF(kokpit!J272&lt;&gt;"",kokpit!J272,"")</f>
        <v/>
      </c>
      <c r="K272" s="24" t="str">
        <f>IF(I272&lt;&gt;"",SUMIFS('JPK_KR-1'!AL:AL,'JPK_KR-1'!W:W,J272),"")</f>
        <v/>
      </c>
      <c r="L272" s="141" t="str">
        <f>IF(I272&lt;&gt;"",SUMIFS('JPK_KR-1'!AM:AM,'JPK_KR-1'!W:W,J272),"")</f>
        <v/>
      </c>
      <c r="M272" s="143" t="str">
        <f>IF(kokpit!M272&lt;&gt;"",kokpit!M272,"")</f>
        <v/>
      </c>
      <c r="N272" s="117" t="str">
        <f>IF(kokpit!N272&lt;&gt;"",kokpit!N272,"")</f>
        <v/>
      </c>
      <c r="O272" s="117" t="str">
        <f>IF(kokpit!O272&lt;&gt;"",kokpit!O272,"")</f>
        <v/>
      </c>
      <c r="P272" s="141" t="str">
        <f>IF(M272&lt;&gt;"",IF(O272="",SUMIFS('JPK_KR-1'!AL:AL,'JPK_KR-1'!W:W,N272),SUMIFS('JPK_KR-1'!BF:BF,'JPK_KR-1'!BE:BE,N272,'JPK_KR-1'!BG:BG,O272)),"")</f>
        <v/>
      </c>
      <c r="Q272" s="144" t="str">
        <f>IF(M272&lt;&gt;"",IF(O272="",SUMIFS('JPK_KR-1'!AM:AM,'JPK_KR-1'!W:W,N272),SUMIFS('JPK_KR-1'!BI:BI,'JPK_KR-1'!BH:BH,N272,'JPK_KR-1'!BJ:BJ,O272)),"")</f>
        <v/>
      </c>
      <c r="R272" s="117" t="str">
        <f>IF(kokpit!R272&lt;&gt;"",kokpit!R272,"")</f>
        <v/>
      </c>
      <c r="S272" s="117" t="str">
        <f>IF(kokpit!S272&lt;&gt;"",kokpit!S272,"")</f>
        <v/>
      </c>
      <c r="T272" s="117" t="str">
        <f>IF(kokpit!T272&lt;&gt;"",kokpit!T272,"")</f>
        <v/>
      </c>
      <c r="U272" s="141" t="str">
        <f>IF(R272&lt;&gt;"",SUMIFS('JPK_KR-1'!AL:AL,'JPK_KR-1'!W:W,S272),"")</f>
        <v/>
      </c>
      <c r="V272" s="144" t="str">
        <f>IF(R272&lt;&gt;"",SUMIFS('JPK_KR-1'!AM:AM,'JPK_KR-1'!W:W,S272),"")</f>
        <v/>
      </c>
    </row>
    <row r="273" spans="1:22" x14ac:dyDescent="0.3">
      <c r="A273" s="5" t="str">
        <f>IF(kokpit!A273&lt;&gt;"",kokpit!A273,"")</f>
        <v/>
      </c>
      <c r="B273" s="5" t="str">
        <f>IF(kokpit!B273&lt;&gt;"",kokpit!B273,"")</f>
        <v/>
      </c>
      <c r="C273" s="24" t="str">
        <f>IF(A273&lt;&gt;"",SUMIFS('JPK_KR-1'!AL:AL,'JPK_KR-1'!W:W,B273),"")</f>
        <v/>
      </c>
      <c r="D273" s="126" t="str">
        <f>IF(A273&lt;&gt;"",SUMIFS('JPK_KR-1'!AM:AM,'JPK_KR-1'!W:W,B273),"")</f>
        <v/>
      </c>
      <c r="E273" s="5" t="str">
        <f>IF(kokpit!E273&lt;&gt;"",kokpit!E273,"")</f>
        <v/>
      </c>
      <c r="F273" s="127" t="str">
        <f>IF(kokpit!F273&lt;&gt;"",kokpit!F273,"")</f>
        <v/>
      </c>
      <c r="G273" s="24" t="str">
        <f>IF(E273&lt;&gt;"",SUMIFS('JPK_KR-1'!AL:AL,'JPK_KR-1'!W:W,F273),"")</f>
        <v/>
      </c>
      <c r="H273" s="126" t="str">
        <f>IF(E273&lt;&gt;"",SUMIFS('JPK_KR-1'!AM:AM,'JPK_KR-1'!W:W,F273),"")</f>
        <v/>
      </c>
      <c r="I273" s="5" t="str">
        <f>IF(kokpit!I273&lt;&gt;"",kokpit!I273,"")</f>
        <v/>
      </c>
      <c r="J273" s="5" t="str">
        <f>IF(kokpit!J273&lt;&gt;"",kokpit!J273,"")</f>
        <v/>
      </c>
      <c r="K273" s="24" t="str">
        <f>IF(I273&lt;&gt;"",SUMIFS('JPK_KR-1'!AL:AL,'JPK_KR-1'!W:W,J273),"")</f>
        <v/>
      </c>
      <c r="L273" s="141" t="str">
        <f>IF(I273&lt;&gt;"",SUMIFS('JPK_KR-1'!AM:AM,'JPK_KR-1'!W:W,J273),"")</f>
        <v/>
      </c>
      <c r="M273" s="143" t="str">
        <f>IF(kokpit!M273&lt;&gt;"",kokpit!M273,"")</f>
        <v/>
      </c>
      <c r="N273" s="117" t="str">
        <f>IF(kokpit!N273&lt;&gt;"",kokpit!N273,"")</f>
        <v/>
      </c>
      <c r="O273" s="117" t="str">
        <f>IF(kokpit!O273&lt;&gt;"",kokpit!O273,"")</f>
        <v/>
      </c>
      <c r="P273" s="141" t="str">
        <f>IF(M273&lt;&gt;"",IF(O273="",SUMIFS('JPK_KR-1'!AL:AL,'JPK_KR-1'!W:W,N273),SUMIFS('JPK_KR-1'!BF:BF,'JPK_KR-1'!BE:BE,N273,'JPK_KR-1'!BG:BG,O273)),"")</f>
        <v/>
      </c>
      <c r="Q273" s="144" t="str">
        <f>IF(M273&lt;&gt;"",IF(O273="",SUMIFS('JPK_KR-1'!AM:AM,'JPK_KR-1'!W:W,N273),SUMIFS('JPK_KR-1'!BI:BI,'JPK_KR-1'!BH:BH,N273,'JPK_KR-1'!BJ:BJ,O273)),"")</f>
        <v/>
      </c>
      <c r="R273" s="117" t="str">
        <f>IF(kokpit!R273&lt;&gt;"",kokpit!R273,"")</f>
        <v/>
      </c>
      <c r="S273" s="117" t="str">
        <f>IF(kokpit!S273&lt;&gt;"",kokpit!S273,"")</f>
        <v/>
      </c>
      <c r="T273" s="117" t="str">
        <f>IF(kokpit!T273&lt;&gt;"",kokpit!T273,"")</f>
        <v/>
      </c>
      <c r="U273" s="141" t="str">
        <f>IF(R273&lt;&gt;"",SUMIFS('JPK_KR-1'!AL:AL,'JPK_KR-1'!W:W,S273),"")</f>
        <v/>
      </c>
      <c r="V273" s="144" t="str">
        <f>IF(R273&lt;&gt;"",SUMIFS('JPK_KR-1'!AM:AM,'JPK_KR-1'!W:W,S273),"")</f>
        <v/>
      </c>
    </row>
    <row r="274" spans="1:22" x14ac:dyDescent="0.3">
      <c r="A274" s="5" t="str">
        <f>IF(kokpit!A274&lt;&gt;"",kokpit!A274,"")</f>
        <v/>
      </c>
      <c r="B274" s="5" t="str">
        <f>IF(kokpit!B274&lt;&gt;"",kokpit!B274,"")</f>
        <v/>
      </c>
      <c r="C274" s="24" t="str">
        <f>IF(A274&lt;&gt;"",SUMIFS('JPK_KR-1'!AL:AL,'JPK_KR-1'!W:W,B274),"")</f>
        <v/>
      </c>
      <c r="D274" s="126" t="str">
        <f>IF(A274&lt;&gt;"",SUMIFS('JPK_KR-1'!AM:AM,'JPK_KR-1'!W:W,B274),"")</f>
        <v/>
      </c>
      <c r="E274" s="5" t="str">
        <f>IF(kokpit!E274&lt;&gt;"",kokpit!E274,"")</f>
        <v/>
      </c>
      <c r="F274" s="127" t="str">
        <f>IF(kokpit!F274&lt;&gt;"",kokpit!F274,"")</f>
        <v/>
      </c>
      <c r="G274" s="24" t="str">
        <f>IF(E274&lt;&gt;"",SUMIFS('JPK_KR-1'!AL:AL,'JPK_KR-1'!W:W,F274),"")</f>
        <v/>
      </c>
      <c r="H274" s="126" t="str">
        <f>IF(E274&lt;&gt;"",SUMIFS('JPK_KR-1'!AM:AM,'JPK_KR-1'!W:W,F274),"")</f>
        <v/>
      </c>
      <c r="I274" s="5" t="str">
        <f>IF(kokpit!I274&lt;&gt;"",kokpit!I274,"")</f>
        <v/>
      </c>
      <c r="J274" s="5" t="str">
        <f>IF(kokpit!J274&lt;&gt;"",kokpit!J274,"")</f>
        <v/>
      </c>
      <c r="K274" s="24" t="str">
        <f>IF(I274&lt;&gt;"",SUMIFS('JPK_KR-1'!AL:AL,'JPK_KR-1'!W:W,J274),"")</f>
        <v/>
      </c>
      <c r="L274" s="141" t="str">
        <f>IF(I274&lt;&gt;"",SUMIFS('JPK_KR-1'!AM:AM,'JPK_KR-1'!W:W,J274),"")</f>
        <v/>
      </c>
      <c r="M274" s="143" t="str">
        <f>IF(kokpit!M274&lt;&gt;"",kokpit!M274,"")</f>
        <v/>
      </c>
      <c r="N274" s="117" t="str">
        <f>IF(kokpit!N274&lt;&gt;"",kokpit!N274,"")</f>
        <v/>
      </c>
      <c r="O274" s="117" t="str">
        <f>IF(kokpit!O274&lt;&gt;"",kokpit!O274,"")</f>
        <v/>
      </c>
      <c r="P274" s="141" t="str">
        <f>IF(M274&lt;&gt;"",IF(O274="",SUMIFS('JPK_KR-1'!AL:AL,'JPK_KR-1'!W:W,N274),SUMIFS('JPK_KR-1'!BF:BF,'JPK_KR-1'!BE:BE,N274,'JPK_KR-1'!BG:BG,O274)),"")</f>
        <v/>
      </c>
      <c r="Q274" s="144" t="str">
        <f>IF(M274&lt;&gt;"",IF(O274="",SUMIFS('JPK_KR-1'!AM:AM,'JPK_KR-1'!W:W,N274),SUMIFS('JPK_KR-1'!BI:BI,'JPK_KR-1'!BH:BH,N274,'JPK_KR-1'!BJ:BJ,O274)),"")</f>
        <v/>
      </c>
      <c r="R274" s="117" t="str">
        <f>IF(kokpit!R274&lt;&gt;"",kokpit!R274,"")</f>
        <v/>
      </c>
      <c r="S274" s="117" t="str">
        <f>IF(kokpit!S274&lt;&gt;"",kokpit!S274,"")</f>
        <v/>
      </c>
      <c r="T274" s="117" t="str">
        <f>IF(kokpit!T274&lt;&gt;"",kokpit!T274,"")</f>
        <v/>
      </c>
      <c r="U274" s="141" t="str">
        <f>IF(R274&lt;&gt;"",SUMIFS('JPK_KR-1'!AL:AL,'JPK_KR-1'!W:W,S274),"")</f>
        <v/>
      </c>
      <c r="V274" s="144" t="str">
        <f>IF(R274&lt;&gt;"",SUMIFS('JPK_KR-1'!AM:AM,'JPK_KR-1'!W:W,S274),"")</f>
        <v/>
      </c>
    </row>
    <row r="275" spans="1:22" x14ac:dyDescent="0.3">
      <c r="A275" s="5" t="str">
        <f>IF(kokpit!A275&lt;&gt;"",kokpit!A275,"")</f>
        <v/>
      </c>
      <c r="B275" s="5" t="str">
        <f>IF(kokpit!B275&lt;&gt;"",kokpit!B275,"")</f>
        <v/>
      </c>
      <c r="C275" s="24" t="str">
        <f>IF(A275&lt;&gt;"",SUMIFS('JPK_KR-1'!AL:AL,'JPK_KR-1'!W:W,B275),"")</f>
        <v/>
      </c>
      <c r="D275" s="126" t="str">
        <f>IF(A275&lt;&gt;"",SUMIFS('JPK_KR-1'!AM:AM,'JPK_KR-1'!W:W,B275),"")</f>
        <v/>
      </c>
      <c r="E275" s="5" t="str">
        <f>IF(kokpit!E275&lt;&gt;"",kokpit!E275,"")</f>
        <v/>
      </c>
      <c r="F275" s="127" t="str">
        <f>IF(kokpit!F275&lt;&gt;"",kokpit!F275,"")</f>
        <v/>
      </c>
      <c r="G275" s="24" t="str">
        <f>IF(E275&lt;&gt;"",SUMIFS('JPK_KR-1'!AL:AL,'JPK_KR-1'!W:W,F275),"")</f>
        <v/>
      </c>
      <c r="H275" s="126" t="str">
        <f>IF(E275&lt;&gt;"",SUMIFS('JPK_KR-1'!AM:AM,'JPK_KR-1'!W:W,F275),"")</f>
        <v/>
      </c>
      <c r="I275" s="5" t="str">
        <f>IF(kokpit!I275&lt;&gt;"",kokpit!I275,"")</f>
        <v/>
      </c>
      <c r="J275" s="5" t="str">
        <f>IF(kokpit!J275&lt;&gt;"",kokpit!J275,"")</f>
        <v/>
      </c>
      <c r="K275" s="24" t="str">
        <f>IF(I275&lt;&gt;"",SUMIFS('JPK_KR-1'!AL:AL,'JPK_KR-1'!W:W,J275),"")</f>
        <v/>
      </c>
      <c r="L275" s="141" t="str">
        <f>IF(I275&lt;&gt;"",SUMIFS('JPK_KR-1'!AM:AM,'JPK_KR-1'!W:W,J275),"")</f>
        <v/>
      </c>
      <c r="M275" s="143" t="str">
        <f>IF(kokpit!M275&lt;&gt;"",kokpit!M275,"")</f>
        <v/>
      </c>
      <c r="N275" s="117" t="str">
        <f>IF(kokpit!N275&lt;&gt;"",kokpit!N275,"")</f>
        <v/>
      </c>
      <c r="O275" s="117" t="str">
        <f>IF(kokpit!O275&lt;&gt;"",kokpit!O275,"")</f>
        <v/>
      </c>
      <c r="P275" s="141" t="str">
        <f>IF(M275&lt;&gt;"",IF(O275="",SUMIFS('JPK_KR-1'!AL:AL,'JPK_KR-1'!W:W,N275),SUMIFS('JPK_KR-1'!BF:BF,'JPK_KR-1'!BE:BE,N275,'JPK_KR-1'!BG:BG,O275)),"")</f>
        <v/>
      </c>
      <c r="Q275" s="144" t="str">
        <f>IF(M275&lt;&gt;"",IF(O275="",SUMIFS('JPK_KR-1'!AM:AM,'JPK_KR-1'!W:W,N275),SUMIFS('JPK_KR-1'!BI:BI,'JPK_KR-1'!BH:BH,N275,'JPK_KR-1'!BJ:BJ,O275)),"")</f>
        <v/>
      </c>
      <c r="R275" s="117" t="str">
        <f>IF(kokpit!R275&lt;&gt;"",kokpit!R275,"")</f>
        <v/>
      </c>
      <c r="S275" s="117" t="str">
        <f>IF(kokpit!S275&lt;&gt;"",kokpit!S275,"")</f>
        <v/>
      </c>
      <c r="T275" s="117" t="str">
        <f>IF(kokpit!T275&lt;&gt;"",kokpit!T275,"")</f>
        <v/>
      </c>
      <c r="U275" s="141" t="str">
        <f>IF(R275&lt;&gt;"",SUMIFS('JPK_KR-1'!AL:AL,'JPK_KR-1'!W:W,S275),"")</f>
        <v/>
      </c>
      <c r="V275" s="144" t="str">
        <f>IF(R275&lt;&gt;"",SUMIFS('JPK_KR-1'!AM:AM,'JPK_KR-1'!W:W,S275),"")</f>
        <v/>
      </c>
    </row>
    <row r="276" spans="1:22" x14ac:dyDescent="0.3">
      <c r="A276" s="5" t="str">
        <f>IF(kokpit!A276&lt;&gt;"",kokpit!A276,"")</f>
        <v/>
      </c>
      <c r="B276" s="5" t="str">
        <f>IF(kokpit!B276&lt;&gt;"",kokpit!B276,"")</f>
        <v/>
      </c>
      <c r="C276" s="24" t="str">
        <f>IF(A276&lt;&gt;"",SUMIFS('JPK_KR-1'!AL:AL,'JPK_KR-1'!W:W,B276),"")</f>
        <v/>
      </c>
      <c r="D276" s="126" t="str">
        <f>IF(A276&lt;&gt;"",SUMIFS('JPK_KR-1'!AM:AM,'JPK_KR-1'!W:W,B276),"")</f>
        <v/>
      </c>
      <c r="E276" s="5" t="str">
        <f>IF(kokpit!E276&lt;&gt;"",kokpit!E276,"")</f>
        <v/>
      </c>
      <c r="F276" s="127" t="str">
        <f>IF(kokpit!F276&lt;&gt;"",kokpit!F276,"")</f>
        <v/>
      </c>
      <c r="G276" s="24" t="str">
        <f>IF(E276&lt;&gt;"",SUMIFS('JPK_KR-1'!AL:AL,'JPK_KR-1'!W:W,F276),"")</f>
        <v/>
      </c>
      <c r="H276" s="126" t="str">
        <f>IF(E276&lt;&gt;"",SUMIFS('JPK_KR-1'!AM:AM,'JPK_KR-1'!W:W,F276),"")</f>
        <v/>
      </c>
      <c r="I276" s="5" t="str">
        <f>IF(kokpit!I276&lt;&gt;"",kokpit!I276,"")</f>
        <v/>
      </c>
      <c r="J276" s="5" t="str">
        <f>IF(kokpit!J276&lt;&gt;"",kokpit!J276,"")</f>
        <v/>
      </c>
      <c r="K276" s="24" t="str">
        <f>IF(I276&lt;&gt;"",SUMIFS('JPK_KR-1'!AL:AL,'JPK_KR-1'!W:W,J276),"")</f>
        <v/>
      </c>
      <c r="L276" s="141" t="str">
        <f>IF(I276&lt;&gt;"",SUMIFS('JPK_KR-1'!AM:AM,'JPK_KR-1'!W:W,J276),"")</f>
        <v/>
      </c>
      <c r="M276" s="143" t="str">
        <f>IF(kokpit!M276&lt;&gt;"",kokpit!M276,"")</f>
        <v/>
      </c>
      <c r="N276" s="117" t="str">
        <f>IF(kokpit!N276&lt;&gt;"",kokpit!N276,"")</f>
        <v/>
      </c>
      <c r="O276" s="117" t="str">
        <f>IF(kokpit!O276&lt;&gt;"",kokpit!O276,"")</f>
        <v/>
      </c>
      <c r="P276" s="141" t="str">
        <f>IF(M276&lt;&gt;"",IF(O276="",SUMIFS('JPK_KR-1'!AL:AL,'JPK_KR-1'!W:W,N276),SUMIFS('JPK_KR-1'!BF:BF,'JPK_KR-1'!BE:BE,N276,'JPK_KR-1'!BG:BG,O276)),"")</f>
        <v/>
      </c>
      <c r="Q276" s="144" t="str">
        <f>IF(M276&lt;&gt;"",IF(O276="",SUMIFS('JPK_KR-1'!AM:AM,'JPK_KR-1'!W:W,N276),SUMIFS('JPK_KR-1'!BI:BI,'JPK_KR-1'!BH:BH,N276,'JPK_KR-1'!BJ:BJ,O276)),"")</f>
        <v/>
      </c>
      <c r="R276" s="117" t="str">
        <f>IF(kokpit!R276&lt;&gt;"",kokpit!R276,"")</f>
        <v/>
      </c>
      <c r="S276" s="117" t="str">
        <f>IF(kokpit!S276&lt;&gt;"",kokpit!S276,"")</f>
        <v/>
      </c>
      <c r="T276" s="117" t="str">
        <f>IF(kokpit!T276&lt;&gt;"",kokpit!T276,"")</f>
        <v/>
      </c>
      <c r="U276" s="141" t="str">
        <f>IF(R276&lt;&gt;"",SUMIFS('JPK_KR-1'!AL:AL,'JPK_KR-1'!W:W,S276),"")</f>
        <v/>
      </c>
      <c r="V276" s="144" t="str">
        <f>IF(R276&lt;&gt;"",SUMIFS('JPK_KR-1'!AM:AM,'JPK_KR-1'!W:W,S276),"")</f>
        <v/>
      </c>
    </row>
    <row r="277" spans="1:22" x14ac:dyDescent="0.3">
      <c r="A277" s="5" t="str">
        <f>IF(kokpit!A277&lt;&gt;"",kokpit!A277,"")</f>
        <v/>
      </c>
      <c r="B277" s="5" t="str">
        <f>IF(kokpit!B277&lt;&gt;"",kokpit!B277,"")</f>
        <v/>
      </c>
      <c r="C277" s="24" t="str">
        <f>IF(A277&lt;&gt;"",SUMIFS('JPK_KR-1'!AL:AL,'JPK_KR-1'!W:W,B277),"")</f>
        <v/>
      </c>
      <c r="D277" s="126" t="str">
        <f>IF(A277&lt;&gt;"",SUMIFS('JPK_KR-1'!AM:AM,'JPK_KR-1'!W:W,B277),"")</f>
        <v/>
      </c>
      <c r="E277" s="5" t="str">
        <f>IF(kokpit!E277&lt;&gt;"",kokpit!E277,"")</f>
        <v/>
      </c>
      <c r="F277" s="127" t="str">
        <f>IF(kokpit!F277&lt;&gt;"",kokpit!F277,"")</f>
        <v/>
      </c>
      <c r="G277" s="24" t="str">
        <f>IF(E277&lt;&gt;"",SUMIFS('JPK_KR-1'!AL:AL,'JPK_KR-1'!W:W,F277),"")</f>
        <v/>
      </c>
      <c r="H277" s="126" t="str">
        <f>IF(E277&lt;&gt;"",SUMIFS('JPK_KR-1'!AM:AM,'JPK_KR-1'!W:W,F277),"")</f>
        <v/>
      </c>
      <c r="I277" s="5" t="str">
        <f>IF(kokpit!I277&lt;&gt;"",kokpit!I277,"")</f>
        <v/>
      </c>
      <c r="J277" s="5" t="str">
        <f>IF(kokpit!J277&lt;&gt;"",kokpit!J277,"")</f>
        <v/>
      </c>
      <c r="K277" s="24" t="str">
        <f>IF(I277&lt;&gt;"",SUMIFS('JPK_KR-1'!AL:AL,'JPK_KR-1'!W:W,J277),"")</f>
        <v/>
      </c>
      <c r="L277" s="141" t="str">
        <f>IF(I277&lt;&gt;"",SUMIFS('JPK_KR-1'!AM:AM,'JPK_KR-1'!W:W,J277),"")</f>
        <v/>
      </c>
      <c r="M277" s="143" t="str">
        <f>IF(kokpit!M277&lt;&gt;"",kokpit!M277,"")</f>
        <v/>
      </c>
      <c r="N277" s="117" t="str">
        <f>IF(kokpit!N277&lt;&gt;"",kokpit!N277,"")</f>
        <v/>
      </c>
      <c r="O277" s="117" t="str">
        <f>IF(kokpit!O277&lt;&gt;"",kokpit!O277,"")</f>
        <v/>
      </c>
      <c r="P277" s="141" t="str">
        <f>IF(M277&lt;&gt;"",IF(O277="",SUMIFS('JPK_KR-1'!AL:AL,'JPK_KR-1'!W:W,N277),SUMIFS('JPK_KR-1'!BF:BF,'JPK_KR-1'!BE:BE,N277,'JPK_KR-1'!BG:BG,O277)),"")</f>
        <v/>
      </c>
      <c r="Q277" s="144" t="str">
        <f>IF(M277&lt;&gt;"",IF(O277="",SUMIFS('JPK_KR-1'!AM:AM,'JPK_KR-1'!W:W,N277),SUMIFS('JPK_KR-1'!BI:BI,'JPK_KR-1'!BH:BH,N277,'JPK_KR-1'!BJ:BJ,O277)),"")</f>
        <v/>
      </c>
      <c r="R277" s="117" t="str">
        <f>IF(kokpit!R277&lt;&gt;"",kokpit!R277,"")</f>
        <v/>
      </c>
      <c r="S277" s="117" t="str">
        <f>IF(kokpit!S277&lt;&gt;"",kokpit!S277,"")</f>
        <v/>
      </c>
      <c r="T277" s="117" t="str">
        <f>IF(kokpit!T277&lt;&gt;"",kokpit!T277,"")</f>
        <v/>
      </c>
      <c r="U277" s="141" t="str">
        <f>IF(R277&lt;&gt;"",SUMIFS('JPK_KR-1'!AL:AL,'JPK_KR-1'!W:W,S277),"")</f>
        <v/>
      </c>
      <c r="V277" s="144" t="str">
        <f>IF(R277&lt;&gt;"",SUMIFS('JPK_KR-1'!AM:AM,'JPK_KR-1'!W:W,S277),"")</f>
        <v/>
      </c>
    </row>
    <row r="278" spans="1:22" x14ac:dyDescent="0.3">
      <c r="A278" s="5" t="str">
        <f>IF(kokpit!A278&lt;&gt;"",kokpit!A278,"")</f>
        <v/>
      </c>
      <c r="B278" s="5" t="str">
        <f>IF(kokpit!B278&lt;&gt;"",kokpit!B278,"")</f>
        <v/>
      </c>
      <c r="C278" s="24" t="str">
        <f>IF(A278&lt;&gt;"",SUMIFS('JPK_KR-1'!AL:AL,'JPK_KR-1'!W:W,B278),"")</f>
        <v/>
      </c>
      <c r="D278" s="126" t="str">
        <f>IF(A278&lt;&gt;"",SUMIFS('JPK_KR-1'!AM:AM,'JPK_KR-1'!W:W,B278),"")</f>
        <v/>
      </c>
      <c r="E278" s="5" t="str">
        <f>IF(kokpit!E278&lt;&gt;"",kokpit!E278,"")</f>
        <v/>
      </c>
      <c r="F278" s="127" t="str">
        <f>IF(kokpit!F278&lt;&gt;"",kokpit!F278,"")</f>
        <v/>
      </c>
      <c r="G278" s="24" t="str">
        <f>IF(E278&lt;&gt;"",SUMIFS('JPK_KR-1'!AL:AL,'JPK_KR-1'!W:W,F278),"")</f>
        <v/>
      </c>
      <c r="H278" s="126" t="str">
        <f>IF(E278&lt;&gt;"",SUMIFS('JPK_KR-1'!AM:AM,'JPK_KR-1'!W:W,F278),"")</f>
        <v/>
      </c>
      <c r="I278" s="5" t="str">
        <f>IF(kokpit!I278&lt;&gt;"",kokpit!I278,"")</f>
        <v/>
      </c>
      <c r="J278" s="5" t="str">
        <f>IF(kokpit!J278&lt;&gt;"",kokpit!J278,"")</f>
        <v/>
      </c>
      <c r="K278" s="24" t="str">
        <f>IF(I278&lt;&gt;"",SUMIFS('JPK_KR-1'!AL:AL,'JPK_KR-1'!W:W,J278),"")</f>
        <v/>
      </c>
      <c r="L278" s="141" t="str">
        <f>IF(I278&lt;&gt;"",SUMIFS('JPK_KR-1'!AM:AM,'JPK_KR-1'!W:W,J278),"")</f>
        <v/>
      </c>
      <c r="M278" s="143" t="str">
        <f>IF(kokpit!M278&lt;&gt;"",kokpit!M278,"")</f>
        <v/>
      </c>
      <c r="N278" s="117" t="str">
        <f>IF(kokpit!N278&lt;&gt;"",kokpit!N278,"")</f>
        <v/>
      </c>
      <c r="O278" s="117" t="str">
        <f>IF(kokpit!O278&lt;&gt;"",kokpit!O278,"")</f>
        <v/>
      </c>
      <c r="P278" s="141" t="str">
        <f>IF(M278&lt;&gt;"",IF(O278="",SUMIFS('JPK_KR-1'!AL:AL,'JPK_KR-1'!W:W,N278),SUMIFS('JPK_KR-1'!BF:BF,'JPK_KR-1'!BE:BE,N278,'JPK_KR-1'!BG:BG,O278)),"")</f>
        <v/>
      </c>
      <c r="Q278" s="144" t="str">
        <f>IF(M278&lt;&gt;"",IF(O278="",SUMIFS('JPK_KR-1'!AM:AM,'JPK_KR-1'!W:W,N278),SUMIFS('JPK_KR-1'!BI:BI,'JPK_KR-1'!BH:BH,N278,'JPK_KR-1'!BJ:BJ,O278)),"")</f>
        <v/>
      </c>
      <c r="R278" s="117" t="str">
        <f>IF(kokpit!R278&lt;&gt;"",kokpit!R278,"")</f>
        <v/>
      </c>
      <c r="S278" s="117" t="str">
        <f>IF(kokpit!S278&lt;&gt;"",kokpit!S278,"")</f>
        <v/>
      </c>
      <c r="T278" s="117" t="str">
        <f>IF(kokpit!T278&lt;&gt;"",kokpit!T278,"")</f>
        <v/>
      </c>
      <c r="U278" s="141" t="str">
        <f>IF(R278&lt;&gt;"",SUMIFS('JPK_KR-1'!AL:AL,'JPK_KR-1'!W:W,S278),"")</f>
        <v/>
      </c>
      <c r="V278" s="144" t="str">
        <f>IF(R278&lt;&gt;"",SUMIFS('JPK_KR-1'!AM:AM,'JPK_KR-1'!W:W,S278),"")</f>
        <v/>
      </c>
    </row>
    <row r="279" spans="1:22" x14ac:dyDescent="0.3">
      <c r="A279" s="5" t="str">
        <f>IF(kokpit!A279&lt;&gt;"",kokpit!A279,"")</f>
        <v/>
      </c>
      <c r="B279" s="5" t="str">
        <f>IF(kokpit!B279&lt;&gt;"",kokpit!B279,"")</f>
        <v/>
      </c>
      <c r="C279" s="24" t="str">
        <f>IF(A279&lt;&gt;"",SUMIFS('JPK_KR-1'!AL:AL,'JPK_KR-1'!W:W,B279),"")</f>
        <v/>
      </c>
      <c r="D279" s="126" t="str">
        <f>IF(A279&lt;&gt;"",SUMIFS('JPK_KR-1'!AM:AM,'JPK_KR-1'!W:W,B279),"")</f>
        <v/>
      </c>
      <c r="E279" s="5" t="str">
        <f>IF(kokpit!E279&lt;&gt;"",kokpit!E279,"")</f>
        <v/>
      </c>
      <c r="F279" s="127" t="str">
        <f>IF(kokpit!F279&lt;&gt;"",kokpit!F279,"")</f>
        <v/>
      </c>
      <c r="G279" s="24" t="str">
        <f>IF(E279&lt;&gt;"",SUMIFS('JPK_KR-1'!AL:AL,'JPK_KR-1'!W:W,F279),"")</f>
        <v/>
      </c>
      <c r="H279" s="126" t="str">
        <f>IF(E279&lt;&gt;"",SUMIFS('JPK_KR-1'!AM:AM,'JPK_KR-1'!W:W,F279),"")</f>
        <v/>
      </c>
      <c r="I279" s="5" t="str">
        <f>IF(kokpit!I279&lt;&gt;"",kokpit!I279,"")</f>
        <v/>
      </c>
      <c r="J279" s="5" t="str">
        <f>IF(kokpit!J279&lt;&gt;"",kokpit!J279,"")</f>
        <v/>
      </c>
      <c r="K279" s="24" t="str">
        <f>IF(I279&lt;&gt;"",SUMIFS('JPK_KR-1'!AL:AL,'JPK_KR-1'!W:W,J279),"")</f>
        <v/>
      </c>
      <c r="L279" s="141" t="str">
        <f>IF(I279&lt;&gt;"",SUMIFS('JPK_KR-1'!AM:AM,'JPK_KR-1'!W:W,J279),"")</f>
        <v/>
      </c>
      <c r="M279" s="143" t="str">
        <f>IF(kokpit!M279&lt;&gt;"",kokpit!M279,"")</f>
        <v/>
      </c>
      <c r="N279" s="117" t="str">
        <f>IF(kokpit!N279&lt;&gt;"",kokpit!N279,"")</f>
        <v/>
      </c>
      <c r="O279" s="117" t="str">
        <f>IF(kokpit!O279&lt;&gt;"",kokpit!O279,"")</f>
        <v/>
      </c>
      <c r="P279" s="141" t="str">
        <f>IF(M279&lt;&gt;"",IF(O279="",SUMIFS('JPK_KR-1'!AL:AL,'JPK_KR-1'!W:W,N279),SUMIFS('JPK_KR-1'!BF:BF,'JPK_KR-1'!BE:BE,N279,'JPK_KR-1'!BG:BG,O279)),"")</f>
        <v/>
      </c>
      <c r="Q279" s="144" t="str">
        <f>IF(M279&lt;&gt;"",IF(O279="",SUMIFS('JPK_KR-1'!AM:AM,'JPK_KR-1'!W:W,N279),SUMIFS('JPK_KR-1'!BI:BI,'JPK_KR-1'!BH:BH,N279,'JPK_KR-1'!BJ:BJ,O279)),"")</f>
        <v/>
      </c>
      <c r="R279" s="117" t="str">
        <f>IF(kokpit!R279&lt;&gt;"",kokpit!R279,"")</f>
        <v/>
      </c>
      <c r="S279" s="117" t="str">
        <f>IF(kokpit!S279&lt;&gt;"",kokpit!S279,"")</f>
        <v/>
      </c>
      <c r="T279" s="117" t="str">
        <f>IF(kokpit!T279&lt;&gt;"",kokpit!T279,"")</f>
        <v/>
      </c>
      <c r="U279" s="141" t="str">
        <f>IF(R279&lt;&gt;"",SUMIFS('JPK_KR-1'!AL:AL,'JPK_KR-1'!W:W,S279),"")</f>
        <v/>
      </c>
      <c r="V279" s="144" t="str">
        <f>IF(R279&lt;&gt;"",SUMIFS('JPK_KR-1'!AM:AM,'JPK_KR-1'!W:W,S279),"")</f>
        <v/>
      </c>
    </row>
    <row r="280" spans="1:22" x14ac:dyDescent="0.3">
      <c r="A280" s="5" t="str">
        <f>IF(kokpit!A280&lt;&gt;"",kokpit!A280,"")</f>
        <v/>
      </c>
      <c r="B280" s="5" t="str">
        <f>IF(kokpit!B280&lt;&gt;"",kokpit!B280,"")</f>
        <v/>
      </c>
      <c r="C280" s="24" t="str">
        <f>IF(A280&lt;&gt;"",SUMIFS('JPK_KR-1'!AL:AL,'JPK_KR-1'!W:W,B280),"")</f>
        <v/>
      </c>
      <c r="D280" s="126" t="str">
        <f>IF(A280&lt;&gt;"",SUMIFS('JPK_KR-1'!AM:AM,'JPK_KR-1'!W:W,B280),"")</f>
        <v/>
      </c>
      <c r="E280" s="5" t="str">
        <f>IF(kokpit!E280&lt;&gt;"",kokpit!E280,"")</f>
        <v/>
      </c>
      <c r="F280" s="127" t="str">
        <f>IF(kokpit!F280&lt;&gt;"",kokpit!F280,"")</f>
        <v/>
      </c>
      <c r="G280" s="24" t="str">
        <f>IF(E280&lt;&gt;"",SUMIFS('JPK_KR-1'!AL:AL,'JPK_KR-1'!W:W,F280),"")</f>
        <v/>
      </c>
      <c r="H280" s="126" t="str">
        <f>IF(E280&lt;&gt;"",SUMIFS('JPK_KR-1'!AM:AM,'JPK_KR-1'!W:W,F280),"")</f>
        <v/>
      </c>
      <c r="I280" s="5" t="str">
        <f>IF(kokpit!I280&lt;&gt;"",kokpit!I280,"")</f>
        <v/>
      </c>
      <c r="J280" s="5" t="str">
        <f>IF(kokpit!J280&lt;&gt;"",kokpit!J280,"")</f>
        <v/>
      </c>
      <c r="K280" s="24" t="str">
        <f>IF(I280&lt;&gt;"",SUMIFS('JPK_KR-1'!AL:AL,'JPK_KR-1'!W:W,J280),"")</f>
        <v/>
      </c>
      <c r="L280" s="141" t="str">
        <f>IF(I280&lt;&gt;"",SUMIFS('JPK_KR-1'!AM:AM,'JPK_KR-1'!W:W,J280),"")</f>
        <v/>
      </c>
      <c r="M280" s="143" t="str">
        <f>IF(kokpit!M280&lt;&gt;"",kokpit!M280,"")</f>
        <v/>
      </c>
      <c r="N280" s="117" t="str">
        <f>IF(kokpit!N280&lt;&gt;"",kokpit!N280,"")</f>
        <v/>
      </c>
      <c r="O280" s="117" t="str">
        <f>IF(kokpit!O280&lt;&gt;"",kokpit!O280,"")</f>
        <v/>
      </c>
      <c r="P280" s="141" t="str">
        <f>IF(M280&lt;&gt;"",IF(O280="",SUMIFS('JPK_KR-1'!AL:AL,'JPK_KR-1'!W:W,N280),SUMIFS('JPK_KR-1'!BF:BF,'JPK_KR-1'!BE:BE,N280,'JPK_KR-1'!BG:BG,O280)),"")</f>
        <v/>
      </c>
      <c r="Q280" s="144" t="str">
        <f>IF(M280&lt;&gt;"",IF(O280="",SUMIFS('JPK_KR-1'!AM:AM,'JPK_KR-1'!W:W,N280),SUMIFS('JPK_KR-1'!BI:BI,'JPK_KR-1'!BH:BH,N280,'JPK_KR-1'!BJ:BJ,O280)),"")</f>
        <v/>
      </c>
      <c r="R280" s="117" t="str">
        <f>IF(kokpit!R280&lt;&gt;"",kokpit!R280,"")</f>
        <v/>
      </c>
      <c r="S280" s="117" t="str">
        <f>IF(kokpit!S280&lt;&gt;"",kokpit!S280,"")</f>
        <v/>
      </c>
      <c r="T280" s="117" t="str">
        <f>IF(kokpit!T280&lt;&gt;"",kokpit!T280,"")</f>
        <v/>
      </c>
      <c r="U280" s="141" t="str">
        <f>IF(R280&lt;&gt;"",SUMIFS('JPK_KR-1'!AL:AL,'JPK_KR-1'!W:W,S280),"")</f>
        <v/>
      </c>
      <c r="V280" s="144" t="str">
        <f>IF(R280&lt;&gt;"",SUMIFS('JPK_KR-1'!AM:AM,'JPK_KR-1'!W:W,S280),"")</f>
        <v/>
      </c>
    </row>
    <row r="281" spans="1:22" x14ac:dyDescent="0.3">
      <c r="A281" s="5" t="str">
        <f>IF(kokpit!A281&lt;&gt;"",kokpit!A281,"")</f>
        <v/>
      </c>
      <c r="B281" s="5" t="str">
        <f>IF(kokpit!B281&lt;&gt;"",kokpit!B281,"")</f>
        <v/>
      </c>
      <c r="C281" s="24" t="str">
        <f>IF(A281&lt;&gt;"",SUMIFS('JPK_KR-1'!AL:AL,'JPK_KR-1'!W:W,B281),"")</f>
        <v/>
      </c>
      <c r="D281" s="126" t="str">
        <f>IF(A281&lt;&gt;"",SUMIFS('JPK_KR-1'!AM:AM,'JPK_KR-1'!W:W,B281),"")</f>
        <v/>
      </c>
      <c r="E281" s="5" t="str">
        <f>IF(kokpit!E281&lt;&gt;"",kokpit!E281,"")</f>
        <v/>
      </c>
      <c r="F281" s="127" t="str">
        <f>IF(kokpit!F281&lt;&gt;"",kokpit!F281,"")</f>
        <v/>
      </c>
      <c r="G281" s="24" t="str">
        <f>IF(E281&lt;&gt;"",SUMIFS('JPK_KR-1'!AL:AL,'JPK_KR-1'!W:W,F281),"")</f>
        <v/>
      </c>
      <c r="H281" s="126" t="str">
        <f>IF(E281&lt;&gt;"",SUMIFS('JPK_KR-1'!AM:AM,'JPK_KR-1'!W:W,F281),"")</f>
        <v/>
      </c>
      <c r="I281" s="5" t="str">
        <f>IF(kokpit!I281&lt;&gt;"",kokpit!I281,"")</f>
        <v/>
      </c>
      <c r="J281" s="5" t="str">
        <f>IF(kokpit!J281&lt;&gt;"",kokpit!J281,"")</f>
        <v/>
      </c>
      <c r="K281" s="24" t="str">
        <f>IF(I281&lt;&gt;"",SUMIFS('JPK_KR-1'!AL:AL,'JPK_KR-1'!W:W,J281),"")</f>
        <v/>
      </c>
      <c r="L281" s="141" t="str">
        <f>IF(I281&lt;&gt;"",SUMIFS('JPK_KR-1'!AM:AM,'JPK_KR-1'!W:W,J281),"")</f>
        <v/>
      </c>
      <c r="M281" s="143" t="str">
        <f>IF(kokpit!M281&lt;&gt;"",kokpit!M281,"")</f>
        <v/>
      </c>
      <c r="N281" s="117" t="str">
        <f>IF(kokpit!N281&lt;&gt;"",kokpit!N281,"")</f>
        <v/>
      </c>
      <c r="O281" s="117" t="str">
        <f>IF(kokpit!O281&lt;&gt;"",kokpit!O281,"")</f>
        <v/>
      </c>
      <c r="P281" s="141" t="str">
        <f>IF(M281&lt;&gt;"",IF(O281="",SUMIFS('JPK_KR-1'!AL:AL,'JPK_KR-1'!W:W,N281),SUMIFS('JPK_KR-1'!BF:BF,'JPK_KR-1'!BE:BE,N281,'JPK_KR-1'!BG:BG,O281)),"")</f>
        <v/>
      </c>
      <c r="Q281" s="144" t="str">
        <f>IF(M281&lt;&gt;"",IF(O281="",SUMIFS('JPK_KR-1'!AM:AM,'JPK_KR-1'!W:W,N281),SUMIFS('JPK_KR-1'!BI:BI,'JPK_KR-1'!BH:BH,N281,'JPK_KR-1'!BJ:BJ,O281)),"")</f>
        <v/>
      </c>
      <c r="R281" s="117" t="str">
        <f>IF(kokpit!R281&lt;&gt;"",kokpit!R281,"")</f>
        <v/>
      </c>
      <c r="S281" s="117" t="str">
        <f>IF(kokpit!S281&lt;&gt;"",kokpit!S281,"")</f>
        <v/>
      </c>
      <c r="T281" s="117" t="str">
        <f>IF(kokpit!T281&lt;&gt;"",kokpit!T281,"")</f>
        <v/>
      </c>
      <c r="U281" s="141" t="str">
        <f>IF(R281&lt;&gt;"",SUMIFS('JPK_KR-1'!AL:AL,'JPK_KR-1'!W:W,S281),"")</f>
        <v/>
      </c>
      <c r="V281" s="144" t="str">
        <f>IF(R281&lt;&gt;"",SUMIFS('JPK_KR-1'!AM:AM,'JPK_KR-1'!W:W,S281),"")</f>
        <v/>
      </c>
    </row>
    <row r="282" spans="1:22" x14ac:dyDescent="0.3">
      <c r="A282" s="5" t="str">
        <f>IF(kokpit!A282&lt;&gt;"",kokpit!A282,"")</f>
        <v/>
      </c>
      <c r="B282" s="5" t="str">
        <f>IF(kokpit!B282&lt;&gt;"",kokpit!B282,"")</f>
        <v/>
      </c>
      <c r="C282" s="24" t="str">
        <f>IF(A282&lt;&gt;"",SUMIFS('JPK_KR-1'!AL:AL,'JPK_KR-1'!W:W,B282),"")</f>
        <v/>
      </c>
      <c r="D282" s="126" t="str">
        <f>IF(A282&lt;&gt;"",SUMIFS('JPK_KR-1'!AM:AM,'JPK_KR-1'!W:W,B282),"")</f>
        <v/>
      </c>
      <c r="E282" s="5" t="str">
        <f>IF(kokpit!E282&lt;&gt;"",kokpit!E282,"")</f>
        <v/>
      </c>
      <c r="F282" s="127" t="str">
        <f>IF(kokpit!F282&lt;&gt;"",kokpit!F282,"")</f>
        <v/>
      </c>
      <c r="G282" s="24" t="str">
        <f>IF(E282&lt;&gt;"",SUMIFS('JPK_KR-1'!AL:AL,'JPK_KR-1'!W:W,F282),"")</f>
        <v/>
      </c>
      <c r="H282" s="126" t="str">
        <f>IF(E282&lt;&gt;"",SUMIFS('JPK_KR-1'!AM:AM,'JPK_KR-1'!W:W,F282),"")</f>
        <v/>
      </c>
      <c r="I282" s="5" t="str">
        <f>IF(kokpit!I282&lt;&gt;"",kokpit!I282,"")</f>
        <v/>
      </c>
      <c r="J282" s="5" t="str">
        <f>IF(kokpit!J282&lt;&gt;"",kokpit!J282,"")</f>
        <v/>
      </c>
      <c r="K282" s="24" t="str">
        <f>IF(I282&lt;&gt;"",SUMIFS('JPK_KR-1'!AL:AL,'JPK_KR-1'!W:W,J282),"")</f>
        <v/>
      </c>
      <c r="L282" s="141" t="str">
        <f>IF(I282&lt;&gt;"",SUMIFS('JPK_KR-1'!AM:AM,'JPK_KR-1'!W:W,J282),"")</f>
        <v/>
      </c>
      <c r="M282" s="143" t="str">
        <f>IF(kokpit!M282&lt;&gt;"",kokpit!M282,"")</f>
        <v/>
      </c>
      <c r="N282" s="117" t="str">
        <f>IF(kokpit!N282&lt;&gt;"",kokpit!N282,"")</f>
        <v/>
      </c>
      <c r="O282" s="117" t="str">
        <f>IF(kokpit!O282&lt;&gt;"",kokpit!O282,"")</f>
        <v/>
      </c>
      <c r="P282" s="141" t="str">
        <f>IF(M282&lt;&gt;"",IF(O282="",SUMIFS('JPK_KR-1'!AL:AL,'JPK_KR-1'!W:W,N282),SUMIFS('JPK_KR-1'!BF:BF,'JPK_KR-1'!BE:BE,N282,'JPK_KR-1'!BG:BG,O282)),"")</f>
        <v/>
      </c>
      <c r="Q282" s="144" t="str">
        <f>IF(M282&lt;&gt;"",IF(O282="",SUMIFS('JPK_KR-1'!AM:AM,'JPK_KR-1'!W:W,N282),SUMIFS('JPK_KR-1'!BI:BI,'JPK_KR-1'!BH:BH,N282,'JPK_KR-1'!BJ:BJ,O282)),"")</f>
        <v/>
      </c>
      <c r="R282" s="117" t="str">
        <f>IF(kokpit!R282&lt;&gt;"",kokpit!R282,"")</f>
        <v/>
      </c>
      <c r="S282" s="117" t="str">
        <f>IF(kokpit!S282&lt;&gt;"",kokpit!S282,"")</f>
        <v/>
      </c>
      <c r="T282" s="117" t="str">
        <f>IF(kokpit!T282&lt;&gt;"",kokpit!T282,"")</f>
        <v/>
      </c>
      <c r="U282" s="141" t="str">
        <f>IF(R282&lt;&gt;"",SUMIFS('JPK_KR-1'!AL:AL,'JPK_KR-1'!W:W,S282),"")</f>
        <v/>
      </c>
      <c r="V282" s="144" t="str">
        <f>IF(R282&lt;&gt;"",SUMIFS('JPK_KR-1'!AM:AM,'JPK_KR-1'!W:W,S282),"")</f>
        <v/>
      </c>
    </row>
    <row r="283" spans="1:22" x14ac:dyDescent="0.3">
      <c r="A283" s="5" t="str">
        <f>IF(kokpit!A283&lt;&gt;"",kokpit!A283,"")</f>
        <v/>
      </c>
      <c r="B283" s="5" t="str">
        <f>IF(kokpit!B283&lt;&gt;"",kokpit!B283,"")</f>
        <v/>
      </c>
      <c r="C283" s="24" t="str">
        <f>IF(A283&lt;&gt;"",SUMIFS('JPK_KR-1'!AL:AL,'JPK_KR-1'!W:W,B283),"")</f>
        <v/>
      </c>
      <c r="D283" s="126" t="str">
        <f>IF(A283&lt;&gt;"",SUMIFS('JPK_KR-1'!AM:AM,'JPK_KR-1'!W:W,B283),"")</f>
        <v/>
      </c>
      <c r="E283" s="5" t="str">
        <f>IF(kokpit!E283&lt;&gt;"",kokpit!E283,"")</f>
        <v/>
      </c>
      <c r="F283" s="127" t="str">
        <f>IF(kokpit!F283&lt;&gt;"",kokpit!F283,"")</f>
        <v/>
      </c>
      <c r="G283" s="24" t="str">
        <f>IF(E283&lt;&gt;"",SUMIFS('JPK_KR-1'!AL:AL,'JPK_KR-1'!W:W,F283),"")</f>
        <v/>
      </c>
      <c r="H283" s="126" t="str">
        <f>IF(E283&lt;&gt;"",SUMIFS('JPK_KR-1'!AM:AM,'JPK_KR-1'!W:W,F283),"")</f>
        <v/>
      </c>
      <c r="I283" s="5" t="str">
        <f>IF(kokpit!I283&lt;&gt;"",kokpit!I283,"")</f>
        <v/>
      </c>
      <c r="J283" s="5" t="str">
        <f>IF(kokpit!J283&lt;&gt;"",kokpit!J283,"")</f>
        <v/>
      </c>
      <c r="K283" s="24" t="str">
        <f>IF(I283&lt;&gt;"",SUMIFS('JPK_KR-1'!AL:AL,'JPK_KR-1'!W:W,J283),"")</f>
        <v/>
      </c>
      <c r="L283" s="141" t="str">
        <f>IF(I283&lt;&gt;"",SUMIFS('JPK_KR-1'!AM:AM,'JPK_KR-1'!W:W,J283),"")</f>
        <v/>
      </c>
      <c r="M283" s="143" t="str">
        <f>IF(kokpit!M283&lt;&gt;"",kokpit!M283,"")</f>
        <v/>
      </c>
      <c r="N283" s="117" t="str">
        <f>IF(kokpit!N283&lt;&gt;"",kokpit!N283,"")</f>
        <v/>
      </c>
      <c r="O283" s="117" t="str">
        <f>IF(kokpit!O283&lt;&gt;"",kokpit!O283,"")</f>
        <v/>
      </c>
      <c r="P283" s="141" t="str">
        <f>IF(M283&lt;&gt;"",IF(O283="",SUMIFS('JPK_KR-1'!AL:AL,'JPK_KR-1'!W:W,N283),SUMIFS('JPK_KR-1'!BF:BF,'JPK_KR-1'!BE:BE,N283,'JPK_KR-1'!BG:BG,O283)),"")</f>
        <v/>
      </c>
      <c r="Q283" s="144" t="str">
        <f>IF(M283&lt;&gt;"",IF(O283="",SUMIFS('JPK_KR-1'!AM:AM,'JPK_KR-1'!W:W,N283),SUMIFS('JPK_KR-1'!BI:BI,'JPK_KR-1'!BH:BH,N283,'JPK_KR-1'!BJ:BJ,O283)),"")</f>
        <v/>
      </c>
      <c r="R283" s="117" t="str">
        <f>IF(kokpit!R283&lt;&gt;"",kokpit!R283,"")</f>
        <v/>
      </c>
      <c r="S283" s="117" t="str">
        <f>IF(kokpit!S283&lt;&gt;"",kokpit!S283,"")</f>
        <v/>
      </c>
      <c r="T283" s="117" t="str">
        <f>IF(kokpit!T283&lt;&gt;"",kokpit!T283,"")</f>
        <v/>
      </c>
      <c r="U283" s="141" t="str">
        <f>IF(R283&lt;&gt;"",SUMIFS('JPK_KR-1'!AL:AL,'JPK_KR-1'!W:W,S283),"")</f>
        <v/>
      </c>
      <c r="V283" s="144" t="str">
        <f>IF(R283&lt;&gt;"",SUMIFS('JPK_KR-1'!AM:AM,'JPK_KR-1'!W:W,S283),"")</f>
        <v/>
      </c>
    </row>
    <row r="284" spans="1:22" x14ac:dyDescent="0.3">
      <c r="A284" s="5" t="str">
        <f>IF(kokpit!A284&lt;&gt;"",kokpit!A284,"")</f>
        <v/>
      </c>
      <c r="B284" s="5" t="str">
        <f>IF(kokpit!B284&lt;&gt;"",kokpit!B284,"")</f>
        <v/>
      </c>
      <c r="C284" s="24" t="str">
        <f>IF(A284&lt;&gt;"",SUMIFS('JPK_KR-1'!AL:AL,'JPK_KR-1'!W:W,B284),"")</f>
        <v/>
      </c>
      <c r="D284" s="126" t="str">
        <f>IF(A284&lt;&gt;"",SUMIFS('JPK_KR-1'!AM:AM,'JPK_KR-1'!W:W,B284),"")</f>
        <v/>
      </c>
      <c r="E284" s="5" t="str">
        <f>IF(kokpit!E284&lt;&gt;"",kokpit!E284,"")</f>
        <v/>
      </c>
      <c r="F284" s="127" t="str">
        <f>IF(kokpit!F284&lt;&gt;"",kokpit!F284,"")</f>
        <v/>
      </c>
      <c r="G284" s="24" t="str">
        <f>IF(E284&lt;&gt;"",SUMIFS('JPK_KR-1'!AL:AL,'JPK_KR-1'!W:W,F284),"")</f>
        <v/>
      </c>
      <c r="H284" s="126" t="str">
        <f>IF(E284&lt;&gt;"",SUMIFS('JPK_KR-1'!AM:AM,'JPK_KR-1'!W:W,F284),"")</f>
        <v/>
      </c>
      <c r="I284" s="5" t="str">
        <f>IF(kokpit!I284&lt;&gt;"",kokpit!I284,"")</f>
        <v/>
      </c>
      <c r="J284" s="5" t="str">
        <f>IF(kokpit!J284&lt;&gt;"",kokpit!J284,"")</f>
        <v/>
      </c>
      <c r="K284" s="24" t="str">
        <f>IF(I284&lt;&gt;"",SUMIFS('JPK_KR-1'!AL:AL,'JPK_KR-1'!W:W,J284),"")</f>
        <v/>
      </c>
      <c r="L284" s="141" t="str">
        <f>IF(I284&lt;&gt;"",SUMIFS('JPK_KR-1'!AM:AM,'JPK_KR-1'!W:W,J284),"")</f>
        <v/>
      </c>
      <c r="M284" s="143" t="str">
        <f>IF(kokpit!M284&lt;&gt;"",kokpit!M284,"")</f>
        <v/>
      </c>
      <c r="N284" s="117" t="str">
        <f>IF(kokpit!N284&lt;&gt;"",kokpit!N284,"")</f>
        <v/>
      </c>
      <c r="O284" s="117" t="str">
        <f>IF(kokpit!O284&lt;&gt;"",kokpit!O284,"")</f>
        <v/>
      </c>
      <c r="P284" s="141" t="str">
        <f>IF(M284&lt;&gt;"",IF(O284="",SUMIFS('JPK_KR-1'!AL:AL,'JPK_KR-1'!W:W,N284),SUMIFS('JPK_KR-1'!BF:BF,'JPK_KR-1'!BE:BE,N284,'JPK_KR-1'!BG:BG,O284)),"")</f>
        <v/>
      </c>
      <c r="Q284" s="144" t="str">
        <f>IF(M284&lt;&gt;"",IF(O284="",SUMIFS('JPK_KR-1'!AM:AM,'JPK_KR-1'!W:W,N284),SUMIFS('JPK_KR-1'!BI:BI,'JPK_KR-1'!BH:BH,N284,'JPK_KR-1'!BJ:BJ,O284)),"")</f>
        <v/>
      </c>
      <c r="R284" s="117" t="str">
        <f>IF(kokpit!R284&lt;&gt;"",kokpit!R284,"")</f>
        <v/>
      </c>
      <c r="S284" s="117" t="str">
        <f>IF(kokpit!S284&lt;&gt;"",kokpit!S284,"")</f>
        <v/>
      </c>
      <c r="T284" s="117" t="str">
        <f>IF(kokpit!T284&lt;&gt;"",kokpit!T284,"")</f>
        <v/>
      </c>
      <c r="U284" s="141" t="str">
        <f>IF(R284&lt;&gt;"",SUMIFS('JPK_KR-1'!AL:AL,'JPK_KR-1'!W:W,S284),"")</f>
        <v/>
      </c>
      <c r="V284" s="144" t="str">
        <f>IF(R284&lt;&gt;"",SUMIFS('JPK_KR-1'!AM:AM,'JPK_KR-1'!W:W,S284),"")</f>
        <v/>
      </c>
    </row>
    <row r="285" spans="1:22" x14ac:dyDescent="0.3">
      <c r="A285" s="5" t="str">
        <f>IF(kokpit!A285&lt;&gt;"",kokpit!A285,"")</f>
        <v/>
      </c>
      <c r="B285" s="5" t="str">
        <f>IF(kokpit!B285&lt;&gt;"",kokpit!B285,"")</f>
        <v/>
      </c>
      <c r="C285" s="24" t="str">
        <f>IF(A285&lt;&gt;"",SUMIFS('JPK_KR-1'!AL:AL,'JPK_KR-1'!W:W,B285),"")</f>
        <v/>
      </c>
      <c r="D285" s="126" t="str">
        <f>IF(A285&lt;&gt;"",SUMIFS('JPK_KR-1'!AM:AM,'JPK_KR-1'!W:W,B285),"")</f>
        <v/>
      </c>
      <c r="E285" s="5" t="str">
        <f>IF(kokpit!E285&lt;&gt;"",kokpit!E285,"")</f>
        <v/>
      </c>
      <c r="F285" s="127" t="str">
        <f>IF(kokpit!F285&lt;&gt;"",kokpit!F285,"")</f>
        <v/>
      </c>
      <c r="G285" s="24" t="str">
        <f>IF(E285&lt;&gt;"",SUMIFS('JPK_KR-1'!AL:AL,'JPK_KR-1'!W:W,F285),"")</f>
        <v/>
      </c>
      <c r="H285" s="126" t="str">
        <f>IF(E285&lt;&gt;"",SUMIFS('JPK_KR-1'!AM:AM,'JPK_KR-1'!W:W,F285),"")</f>
        <v/>
      </c>
      <c r="I285" s="5" t="str">
        <f>IF(kokpit!I285&lt;&gt;"",kokpit!I285,"")</f>
        <v/>
      </c>
      <c r="J285" s="5" t="str">
        <f>IF(kokpit!J285&lt;&gt;"",kokpit!J285,"")</f>
        <v/>
      </c>
      <c r="K285" s="24" t="str">
        <f>IF(I285&lt;&gt;"",SUMIFS('JPK_KR-1'!AL:AL,'JPK_KR-1'!W:W,J285),"")</f>
        <v/>
      </c>
      <c r="L285" s="141" t="str">
        <f>IF(I285&lt;&gt;"",SUMIFS('JPK_KR-1'!AM:AM,'JPK_KR-1'!W:W,J285),"")</f>
        <v/>
      </c>
      <c r="M285" s="143" t="str">
        <f>IF(kokpit!M285&lt;&gt;"",kokpit!M285,"")</f>
        <v/>
      </c>
      <c r="N285" s="117" t="str">
        <f>IF(kokpit!N285&lt;&gt;"",kokpit!N285,"")</f>
        <v/>
      </c>
      <c r="O285" s="117" t="str">
        <f>IF(kokpit!O285&lt;&gt;"",kokpit!O285,"")</f>
        <v/>
      </c>
      <c r="P285" s="141" t="str">
        <f>IF(M285&lt;&gt;"",IF(O285="",SUMIFS('JPK_KR-1'!AL:AL,'JPK_KR-1'!W:W,N285),SUMIFS('JPK_KR-1'!BF:BF,'JPK_KR-1'!BE:BE,N285,'JPK_KR-1'!BG:BG,O285)),"")</f>
        <v/>
      </c>
      <c r="Q285" s="144" t="str">
        <f>IF(M285&lt;&gt;"",IF(O285="",SUMIFS('JPK_KR-1'!AM:AM,'JPK_KR-1'!W:W,N285),SUMIFS('JPK_KR-1'!BI:BI,'JPK_KR-1'!BH:BH,N285,'JPK_KR-1'!BJ:BJ,O285)),"")</f>
        <v/>
      </c>
      <c r="R285" s="117" t="str">
        <f>IF(kokpit!R285&lt;&gt;"",kokpit!R285,"")</f>
        <v/>
      </c>
      <c r="S285" s="117" t="str">
        <f>IF(kokpit!S285&lt;&gt;"",kokpit!S285,"")</f>
        <v/>
      </c>
      <c r="T285" s="117" t="str">
        <f>IF(kokpit!T285&lt;&gt;"",kokpit!T285,"")</f>
        <v/>
      </c>
      <c r="U285" s="141" t="str">
        <f>IF(R285&lt;&gt;"",SUMIFS('JPK_KR-1'!AL:AL,'JPK_KR-1'!W:W,S285),"")</f>
        <v/>
      </c>
      <c r="V285" s="144" t="str">
        <f>IF(R285&lt;&gt;"",SUMIFS('JPK_KR-1'!AM:AM,'JPK_KR-1'!W:W,S285),"")</f>
        <v/>
      </c>
    </row>
    <row r="286" spans="1:22" x14ac:dyDescent="0.3">
      <c r="A286" s="5" t="str">
        <f>IF(kokpit!A286&lt;&gt;"",kokpit!A286,"")</f>
        <v/>
      </c>
      <c r="B286" s="5" t="str">
        <f>IF(kokpit!B286&lt;&gt;"",kokpit!B286,"")</f>
        <v/>
      </c>
      <c r="C286" s="24" t="str">
        <f>IF(A286&lt;&gt;"",SUMIFS('JPK_KR-1'!AL:AL,'JPK_KR-1'!W:W,B286),"")</f>
        <v/>
      </c>
      <c r="D286" s="126" t="str">
        <f>IF(A286&lt;&gt;"",SUMIFS('JPK_KR-1'!AM:AM,'JPK_KR-1'!W:W,B286),"")</f>
        <v/>
      </c>
      <c r="E286" s="5" t="str">
        <f>IF(kokpit!E286&lt;&gt;"",kokpit!E286,"")</f>
        <v/>
      </c>
      <c r="F286" s="127" t="str">
        <f>IF(kokpit!F286&lt;&gt;"",kokpit!F286,"")</f>
        <v/>
      </c>
      <c r="G286" s="24" t="str">
        <f>IF(E286&lt;&gt;"",SUMIFS('JPK_KR-1'!AL:AL,'JPK_KR-1'!W:W,F286),"")</f>
        <v/>
      </c>
      <c r="H286" s="126" t="str">
        <f>IF(E286&lt;&gt;"",SUMIFS('JPK_KR-1'!AM:AM,'JPK_KR-1'!W:W,F286),"")</f>
        <v/>
      </c>
      <c r="I286" s="5" t="str">
        <f>IF(kokpit!I286&lt;&gt;"",kokpit!I286,"")</f>
        <v/>
      </c>
      <c r="J286" s="5" t="str">
        <f>IF(kokpit!J286&lt;&gt;"",kokpit!J286,"")</f>
        <v/>
      </c>
      <c r="K286" s="24" t="str">
        <f>IF(I286&lt;&gt;"",SUMIFS('JPK_KR-1'!AL:AL,'JPK_KR-1'!W:W,J286),"")</f>
        <v/>
      </c>
      <c r="L286" s="141" t="str">
        <f>IF(I286&lt;&gt;"",SUMIFS('JPK_KR-1'!AM:AM,'JPK_KR-1'!W:W,J286),"")</f>
        <v/>
      </c>
      <c r="M286" s="143" t="str">
        <f>IF(kokpit!M286&lt;&gt;"",kokpit!M286,"")</f>
        <v/>
      </c>
      <c r="N286" s="117" t="str">
        <f>IF(kokpit!N286&lt;&gt;"",kokpit!N286,"")</f>
        <v/>
      </c>
      <c r="O286" s="117" t="str">
        <f>IF(kokpit!O286&lt;&gt;"",kokpit!O286,"")</f>
        <v/>
      </c>
      <c r="P286" s="141" t="str">
        <f>IF(M286&lt;&gt;"",IF(O286="",SUMIFS('JPK_KR-1'!AL:AL,'JPK_KR-1'!W:W,N286),SUMIFS('JPK_KR-1'!BF:BF,'JPK_KR-1'!BE:BE,N286,'JPK_KR-1'!BG:BG,O286)),"")</f>
        <v/>
      </c>
      <c r="Q286" s="144" t="str">
        <f>IF(M286&lt;&gt;"",IF(O286="",SUMIFS('JPK_KR-1'!AM:AM,'JPK_KR-1'!W:W,N286),SUMIFS('JPK_KR-1'!BI:BI,'JPK_KR-1'!BH:BH,N286,'JPK_KR-1'!BJ:BJ,O286)),"")</f>
        <v/>
      </c>
      <c r="R286" s="117" t="str">
        <f>IF(kokpit!R286&lt;&gt;"",kokpit!R286,"")</f>
        <v/>
      </c>
      <c r="S286" s="117" t="str">
        <f>IF(kokpit!S286&lt;&gt;"",kokpit!S286,"")</f>
        <v/>
      </c>
      <c r="T286" s="117" t="str">
        <f>IF(kokpit!T286&lt;&gt;"",kokpit!T286,"")</f>
        <v/>
      </c>
      <c r="U286" s="141" t="str">
        <f>IF(R286&lt;&gt;"",SUMIFS('JPK_KR-1'!AL:AL,'JPK_KR-1'!W:W,S286),"")</f>
        <v/>
      </c>
      <c r="V286" s="144" t="str">
        <f>IF(R286&lt;&gt;"",SUMIFS('JPK_KR-1'!AM:AM,'JPK_KR-1'!W:W,S286),"")</f>
        <v/>
      </c>
    </row>
    <row r="287" spans="1:22" x14ac:dyDescent="0.3">
      <c r="A287" s="5" t="str">
        <f>IF(kokpit!A287&lt;&gt;"",kokpit!A287,"")</f>
        <v/>
      </c>
      <c r="B287" s="5" t="str">
        <f>IF(kokpit!B287&lt;&gt;"",kokpit!B287,"")</f>
        <v/>
      </c>
      <c r="C287" s="24" t="str">
        <f>IF(A287&lt;&gt;"",SUMIFS('JPK_KR-1'!AL:AL,'JPK_KR-1'!W:W,B287),"")</f>
        <v/>
      </c>
      <c r="D287" s="126" t="str">
        <f>IF(A287&lt;&gt;"",SUMIFS('JPK_KR-1'!AM:AM,'JPK_KR-1'!W:W,B287),"")</f>
        <v/>
      </c>
      <c r="E287" s="5" t="str">
        <f>IF(kokpit!E287&lt;&gt;"",kokpit!E287,"")</f>
        <v/>
      </c>
      <c r="F287" s="127" t="str">
        <f>IF(kokpit!F287&lt;&gt;"",kokpit!F287,"")</f>
        <v/>
      </c>
      <c r="G287" s="24" t="str">
        <f>IF(E287&lt;&gt;"",SUMIFS('JPK_KR-1'!AL:AL,'JPK_KR-1'!W:W,F287),"")</f>
        <v/>
      </c>
      <c r="H287" s="126" t="str">
        <f>IF(E287&lt;&gt;"",SUMIFS('JPK_KR-1'!AM:AM,'JPK_KR-1'!W:W,F287),"")</f>
        <v/>
      </c>
      <c r="I287" s="5" t="str">
        <f>IF(kokpit!I287&lt;&gt;"",kokpit!I287,"")</f>
        <v/>
      </c>
      <c r="J287" s="5" t="str">
        <f>IF(kokpit!J287&lt;&gt;"",kokpit!J287,"")</f>
        <v/>
      </c>
      <c r="K287" s="24" t="str">
        <f>IF(I287&lt;&gt;"",SUMIFS('JPK_KR-1'!AL:AL,'JPK_KR-1'!W:W,J287),"")</f>
        <v/>
      </c>
      <c r="L287" s="141" t="str">
        <f>IF(I287&lt;&gt;"",SUMIFS('JPK_KR-1'!AM:AM,'JPK_KR-1'!W:W,J287),"")</f>
        <v/>
      </c>
      <c r="M287" s="143" t="str">
        <f>IF(kokpit!M287&lt;&gt;"",kokpit!M287,"")</f>
        <v/>
      </c>
      <c r="N287" s="117" t="str">
        <f>IF(kokpit!N287&lt;&gt;"",kokpit!N287,"")</f>
        <v/>
      </c>
      <c r="O287" s="117" t="str">
        <f>IF(kokpit!O287&lt;&gt;"",kokpit!O287,"")</f>
        <v/>
      </c>
      <c r="P287" s="141" t="str">
        <f>IF(M287&lt;&gt;"",IF(O287="",SUMIFS('JPK_KR-1'!AL:AL,'JPK_KR-1'!W:W,N287),SUMIFS('JPK_KR-1'!BF:BF,'JPK_KR-1'!BE:BE,N287,'JPK_KR-1'!BG:BG,O287)),"")</f>
        <v/>
      </c>
      <c r="Q287" s="144" t="str">
        <f>IF(M287&lt;&gt;"",IF(O287="",SUMIFS('JPK_KR-1'!AM:AM,'JPK_KR-1'!W:W,N287),SUMIFS('JPK_KR-1'!BI:BI,'JPK_KR-1'!BH:BH,N287,'JPK_KR-1'!BJ:BJ,O287)),"")</f>
        <v/>
      </c>
      <c r="R287" s="117" t="str">
        <f>IF(kokpit!R287&lt;&gt;"",kokpit!R287,"")</f>
        <v/>
      </c>
      <c r="S287" s="117" t="str">
        <f>IF(kokpit!S287&lt;&gt;"",kokpit!S287,"")</f>
        <v/>
      </c>
      <c r="T287" s="117" t="str">
        <f>IF(kokpit!T287&lt;&gt;"",kokpit!T287,"")</f>
        <v/>
      </c>
      <c r="U287" s="141" t="str">
        <f>IF(R287&lt;&gt;"",SUMIFS('JPK_KR-1'!AL:AL,'JPK_KR-1'!W:W,S287),"")</f>
        <v/>
      </c>
      <c r="V287" s="144" t="str">
        <f>IF(R287&lt;&gt;"",SUMIFS('JPK_KR-1'!AM:AM,'JPK_KR-1'!W:W,S287),"")</f>
        <v/>
      </c>
    </row>
    <row r="288" spans="1:22" x14ac:dyDescent="0.3">
      <c r="A288" s="5" t="str">
        <f>IF(kokpit!A288&lt;&gt;"",kokpit!A288,"")</f>
        <v/>
      </c>
      <c r="B288" s="5" t="str">
        <f>IF(kokpit!B288&lt;&gt;"",kokpit!B288,"")</f>
        <v/>
      </c>
      <c r="C288" s="24" t="str">
        <f>IF(A288&lt;&gt;"",SUMIFS('JPK_KR-1'!AL:AL,'JPK_KR-1'!W:W,B288),"")</f>
        <v/>
      </c>
      <c r="D288" s="126" t="str">
        <f>IF(A288&lt;&gt;"",SUMIFS('JPK_KR-1'!AM:AM,'JPK_KR-1'!W:W,B288),"")</f>
        <v/>
      </c>
      <c r="E288" s="5" t="str">
        <f>IF(kokpit!E288&lt;&gt;"",kokpit!E288,"")</f>
        <v/>
      </c>
      <c r="F288" s="127" t="str">
        <f>IF(kokpit!F288&lt;&gt;"",kokpit!F288,"")</f>
        <v/>
      </c>
      <c r="G288" s="24" t="str">
        <f>IF(E288&lt;&gt;"",SUMIFS('JPK_KR-1'!AL:AL,'JPK_KR-1'!W:W,F288),"")</f>
        <v/>
      </c>
      <c r="H288" s="126" t="str">
        <f>IF(E288&lt;&gt;"",SUMIFS('JPK_KR-1'!AM:AM,'JPK_KR-1'!W:W,F288),"")</f>
        <v/>
      </c>
      <c r="I288" s="5" t="str">
        <f>IF(kokpit!I288&lt;&gt;"",kokpit!I288,"")</f>
        <v/>
      </c>
      <c r="J288" s="5" t="str">
        <f>IF(kokpit!J288&lt;&gt;"",kokpit!J288,"")</f>
        <v/>
      </c>
      <c r="K288" s="24" t="str">
        <f>IF(I288&lt;&gt;"",SUMIFS('JPK_KR-1'!AL:AL,'JPK_KR-1'!W:W,J288),"")</f>
        <v/>
      </c>
      <c r="L288" s="141" t="str">
        <f>IF(I288&lt;&gt;"",SUMIFS('JPK_KR-1'!AM:AM,'JPK_KR-1'!W:W,J288),"")</f>
        <v/>
      </c>
      <c r="M288" s="143" t="str">
        <f>IF(kokpit!M288&lt;&gt;"",kokpit!M288,"")</f>
        <v/>
      </c>
      <c r="N288" s="117" t="str">
        <f>IF(kokpit!N288&lt;&gt;"",kokpit!N288,"")</f>
        <v/>
      </c>
      <c r="O288" s="117" t="str">
        <f>IF(kokpit!O288&lt;&gt;"",kokpit!O288,"")</f>
        <v/>
      </c>
      <c r="P288" s="141" t="str">
        <f>IF(M288&lt;&gt;"",IF(O288="",SUMIFS('JPK_KR-1'!AL:AL,'JPK_KR-1'!W:W,N288),SUMIFS('JPK_KR-1'!BF:BF,'JPK_KR-1'!BE:BE,N288,'JPK_KR-1'!BG:BG,O288)),"")</f>
        <v/>
      </c>
      <c r="Q288" s="144" t="str">
        <f>IF(M288&lt;&gt;"",IF(O288="",SUMIFS('JPK_KR-1'!AM:AM,'JPK_KR-1'!W:W,N288),SUMIFS('JPK_KR-1'!BI:BI,'JPK_KR-1'!BH:BH,N288,'JPK_KR-1'!BJ:BJ,O288)),"")</f>
        <v/>
      </c>
      <c r="R288" s="117" t="str">
        <f>IF(kokpit!R288&lt;&gt;"",kokpit!R288,"")</f>
        <v/>
      </c>
      <c r="S288" s="117" t="str">
        <f>IF(kokpit!S288&lt;&gt;"",kokpit!S288,"")</f>
        <v/>
      </c>
      <c r="T288" s="117" t="str">
        <f>IF(kokpit!T288&lt;&gt;"",kokpit!T288,"")</f>
        <v/>
      </c>
      <c r="U288" s="141" t="str">
        <f>IF(R288&lt;&gt;"",SUMIFS('JPK_KR-1'!AL:AL,'JPK_KR-1'!W:W,S288),"")</f>
        <v/>
      </c>
      <c r="V288" s="144" t="str">
        <f>IF(R288&lt;&gt;"",SUMIFS('JPK_KR-1'!AM:AM,'JPK_KR-1'!W:W,S288),"")</f>
        <v/>
      </c>
    </row>
    <row r="289" spans="1:22" x14ac:dyDescent="0.3">
      <c r="A289" s="5" t="str">
        <f>IF(kokpit!A289&lt;&gt;"",kokpit!A289,"")</f>
        <v/>
      </c>
      <c r="B289" s="5" t="str">
        <f>IF(kokpit!B289&lt;&gt;"",kokpit!B289,"")</f>
        <v/>
      </c>
      <c r="C289" s="24" t="str">
        <f>IF(A289&lt;&gt;"",SUMIFS('JPK_KR-1'!AL:AL,'JPK_KR-1'!W:W,B289),"")</f>
        <v/>
      </c>
      <c r="D289" s="126" t="str">
        <f>IF(A289&lt;&gt;"",SUMIFS('JPK_KR-1'!AM:AM,'JPK_KR-1'!W:W,B289),"")</f>
        <v/>
      </c>
      <c r="E289" s="5" t="str">
        <f>IF(kokpit!E289&lt;&gt;"",kokpit!E289,"")</f>
        <v/>
      </c>
      <c r="F289" s="127" t="str">
        <f>IF(kokpit!F289&lt;&gt;"",kokpit!F289,"")</f>
        <v/>
      </c>
      <c r="G289" s="24" t="str">
        <f>IF(E289&lt;&gt;"",SUMIFS('JPK_KR-1'!AL:AL,'JPK_KR-1'!W:W,F289),"")</f>
        <v/>
      </c>
      <c r="H289" s="126" t="str">
        <f>IF(E289&lt;&gt;"",SUMIFS('JPK_KR-1'!AM:AM,'JPK_KR-1'!W:W,F289),"")</f>
        <v/>
      </c>
      <c r="I289" s="5" t="str">
        <f>IF(kokpit!I289&lt;&gt;"",kokpit!I289,"")</f>
        <v/>
      </c>
      <c r="J289" s="5" t="str">
        <f>IF(kokpit!J289&lt;&gt;"",kokpit!J289,"")</f>
        <v/>
      </c>
      <c r="K289" s="24" t="str">
        <f>IF(I289&lt;&gt;"",SUMIFS('JPK_KR-1'!AL:AL,'JPK_KR-1'!W:W,J289),"")</f>
        <v/>
      </c>
      <c r="L289" s="141" t="str">
        <f>IF(I289&lt;&gt;"",SUMIFS('JPK_KR-1'!AM:AM,'JPK_KR-1'!W:W,J289),"")</f>
        <v/>
      </c>
      <c r="M289" s="143" t="str">
        <f>IF(kokpit!M289&lt;&gt;"",kokpit!M289,"")</f>
        <v/>
      </c>
      <c r="N289" s="117" t="str">
        <f>IF(kokpit!N289&lt;&gt;"",kokpit!N289,"")</f>
        <v/>
      </c>
      <c r="O289" s="117" t="str">
        <f>IF(kokpit!O289&lt;&gt;"",kokpit!O289,"")</f>
        <v/>
      </c>
      <c r="P289" s="141" t="str">
        <f>IF(M289&lt;&gt;"",IF(O289="",SUMIFS('JPK_KR-1'!AL:AL,'JPK_KR-1'!W:W,N289),SUMIFS('JPK_KR-1'!BF:BF,'JPK_KR-1'!BE:BE,N289,'JPK_KR-1'!BG:BG,O289)),"")</f>
        <v/>
      </c>
      <c r="Q289" s="144" t="str">
        <f>IF(M289&lt;&gt;"",IF(O289="",SUMIFS('JPK_KR-1'!AM:AM,'JPK_KR-1'!W:W,N289),SUMIFS('JPK_KR-1'!BI:BI,'JPK_KR-1'!BH:BH,N289,'JPK_KR-1'!BJ:BJ,O289)),"")</f>
        <v/>
      </c>
      <c r="R289" s="117" t="str">
        <f>IF(kokpit!R289&lt;&gt;"",kokpit!R289,"")</f>
        <v/>
      </c>
      <c r="S289" s="117" t="str">
        <f>IF(kokpit!S289&lt;&gt;"",kokpit!S289,"")</f>
        <v/>
      </c>
      <c r="T289" s="117" t="str">
        <f>IF(kokpit!T289&lt;&gt;"",kokpit!T289,"")</f>
        <v/>
      </c>
      <c r="U289" s="141" t="str">
        <f>IF(R289&lt;&gt;"",SUMIFS('JPK_KR-1'!AL:AL,'JPK_KR-1'!W:W,S289),"")</f>
        <v/>
      </c>
      <c r="V289" s="144" t="str">
        <f>IF(R289&lt;&gt;"",SUMIFS('JPK_KR-1'!AM:AM,'JPK_KR-1'!W:W,S289),"")</f>
        <v/>
      </c>
    </row>
    <row r="290" spans="1:22" x14ac:dyDescent="0.3">
      <c r="A290" s="5" t="str">
        <f>IF(kokpit!A290&lt;&gt;"",kokpit!A290,"")</f>
        <v/>
      </c>
      <c r="B290" s="5" t="str">
        <f>IF(kokpit!B290&lt;&gt;"",kokpit!B290,"")</f>
        <v/>
      </c>
      <c r="C290" s="24" t="str">
        <f>IF(A290&lt;&gt;"",SUMIFS('JPK_KR-1'!AL:AL,'JPK_KR-1'!W:W,B290),"")</f>
        <v/>
      </c>
      <c r="D290" s="126" t="str">
        <f>IF(A290&lt;&gt;"",SUMIFS('JPK_KR-1'!AM:AM,'JPK_KR-1'!W:W,B290),"")</f>
        <v/>
      </c>
      <c r="E290" s="5" t="str">
        <f>IF(kokpit!E290&lt;&gt;"",kokpit!E290,"")</f>
        <v/>
      </c>
      <c r="F290" s="127" t="str">
        <f>IF(kokpit!F290&lt;&gt;"",kokpit!F290,"")</f>
        <v/>
      </c>
      <c r="G290" s="24" t="str">
        <f>IF(E290&lt;&gt;"",SUMIFS('JPK_KR-1'!AL:AL,'JPK_KR-1'!W:W,F290),"")</f>
        <v/>
      </c>
      <c r="H290" s="126" t="str">
        <f>IF(E290&lt;&gt;"",SUMIFS('JPK_KR-1'!AM:AM,'JPK_KR-1'!W:W,F290),"")</f>
        <v/>
      </c>
      <c r="I290" s="5" t="str">
        <f>IF(kokpit!I290&lt;&gt;"",kokpit!I290,"")</f>
        <v/>
      </c>
      <c r="J290" s="5" t="str">
        <f>IF(kokpit!J290&lt;&gt;"",kokpit!J290,"")</f>
        <v/>
      </c>
      <c r="K290" s="24" t="str">
        <f>IF(I290&lt;&gt;"",SUMIFS('JPK_KR-1'!AL:AL,'JPK_KR-1'!W:W,J290),"")</f>
        <v/>
      </c>
      <c r="L290" s="141" t="str">
        <f>IF(I290&lt;&gt;"",SUMIFS('JPK_KR-1'!AM:AM,'JPK_KR-1'!W:W,J290),"")</f>
        <v/>
      </c>
      <c r="M290" s="143" t="str">
        <f>IF(kokpit!M290&lt;&gt;"",kokpit!M290,"")</f>
        <v/>
      </c>
      <c r="N290" s="117" t="str">
        <f>IF(kokpit!N290&lt;&gt;"",kokpit!N290,"")</f>
        <v/>
      </c>
      <c r="O290" s="117" t="str">
        <f>IF(kokpit!O290&lt;&gt;"",kokpit!O290,"")</f>
        <v/>
      </c>
      <c r="P290" s="141" t="str">
        <f>IF(M290&lt;&gt;"",IF(O290="",SUMIFS('JPK_KR-1'!AL:AL,'JPK_KR-1'!W:W,N290),SUMIFS('JPK_KR-1'!BF:BF,'JPK_KR-1'!BE:BE,N290,'JPK_KR-1'!BG:BG,O290)),"")</f>
        <v/>
      </c>
      <c r="Q290" s="144" t="str">
        <f>IF(M290&lt;&gt;"",IF(O290="",SUMIFS('JPK_KR-1'!AM:AM,'JPK_KR-1'!W:W,N290),SUMIFS('JPK_KR-1'!BI:BI,'JPK_KR-1'!BH:BH,N290,'JPK_KR-1'!BJ:BJ,O290)),"")</f>
        <v/>
      </c>
      <c r="R290" s="117" t="str">
        <f>IF(kokpit!R290&lt;&gt;"",kokpit!R290,"")</f>
        <v/>
      </c>
      <c r="S290" s="117" t="str">
        <f>IF(kokpit!S290&lt;&gt;"",kokpit!S290,"")</f>
        <v/>
      </c>
      <c r="T290" s="117" t="str">
        <f>IF(kokpit!T290&lt;&gt;"",kokpit!T290,"")</f>
        <v/>
      </c>
      <c r="U290" s="141" t="str">
        <f>IF(R290&lt;&gt;"",SUMIFS('JPK_KR-1'!AL:AL,'JPK_KR-1'!W:W,S290),"")</f>
        <v/>
      </c>
      <c r="V290" s="144" t="str">
        <f>IF(R290&lt;&gt;"",SUMIFS('JPK_KR-1'!AM:AM,'JPK_KR-1'!W:W,S290),"")</f>
        <v/>
      </c>
    </row>
    <row r="291" spans="1:22" x14ac:dyDescent="0.3">
      <c r="A291" s="5" t="str">
        <f>IF(kokpit!A291&lt;&gt;"",kokpit!A291,"")</f>
        <v/>
      </c>
      <c r="B291" s="5" t="str">
        <f>IF(kokpit!B291&lt;&gt;"",kokpit!B291,"")</f>
        <v/>
      </c>
      <c r="C291" s="24" t="str">
        <f>IF(A291&lt;&gt;"",SUMIFS('JPK_KR-1'!AL:AL,'JPK_KR-1'!W:W,B291),"")</f>
        <v/>
      </c>
      <c r="D291" s="126" t="str">
        <f>IF(A291&lt;&gt;"",SUMIFS('JPK_KR-1'!AM:AM,'JPK_KR-1'!W:W,B291),"")</f>
        <v/>
      </c>
      <c r="E291" s="5" t="str">
        <f>IF(kokpit!E291&lt;&gt;"",kokpit!E291,"")</f>
        <v/>
      </c>
      <c r="F291" s="127" t="str">
        <f>IF(kokpit!F291&lt;&gt;"",kokpit!F291,"")</f>
        <v/>
      </c>
      <c r="G291" s="24" t="str">
        <f>IF(E291&lt;&gt;"",SUMIFS('JPK_KR-1'!AL:AL,'JPK_KR-1'!W:W,F291),"")</f>
        <v/>
      </c>
      <c r="H291" s="126" t="str">
        <f>IF(E291&lt;&gt;"",SUMIFS('JPK_KR-1'!AM:AM,'JPK_KR-1'!W:W,F291),"")</f>
        <v/>
      </c>
      <c r="I291" s="5" t="str">
        <f>IF(kokpit!I291&lt;&gt;"",kokpit!I291,"")</f>
        <v/>
      </c>
      <c r="J291" s="5" t="str">
        <f>IF(kokpit!J291&lt;&gt;"",kokpit!J291,"")</f>
        <v/>
      </c>
      <c r="K291" s="24" t="str">
        <f>IF(I291&lt;&gt;"",SUMIFS('JPK_KR-1'!AL:AL,'JPK_KR-1'!W:W,J291),"")</f>
        <v/>
      </c>
      <c r="L291" s="141" t="str">
        <f>IF(I291&lt;&gt;"",SUMIFS('JPK_KR-1'!AM:AM,'JPK_KR-1'!W:W,J291),"")</f>
        <v/>
      </c>
      <c r="M291" s="143" t="str">
        <f>IF(kokpit!M291&lt;&gt;"",kokpit!M291,"")</f>
        <v/>
      </c>
      <c r="N291" s="117" t="str">
        <f>IF(kokpit!N291&lt;&gt;"",kokpit!N291,"")</f>
        <v/>
      </c>
      <c r="O291" s="117" t="str">
        <f>IF(kokpit!O291&lt;&gt;"",kokpit!O291,"")</f>
        <v/>
      </c>
      <c r="P291" s="141" t="str">
        <f>IF(M291&lt;&gt;"",IF(O291="",SUMIFS('JPK_KR-1'!AL:AL,'JPK_KR-1'!W:W,N291),SUMIFS('JPK_KR-1'!BF:BF,'JPK_KR-1'!BE:BE,N291,'JPK_KR-1'!BG:BG,O291)),"")</f>
        <v/>
      </c>
      <c r="Q291" s="144" t="str">
        <f>IF(M291&lt;&gt;"",IF(O291="",SUMIFS('JPK_KR-1'!AM:AM,'JPK_KR-1'!W:W,N291),SUMIFS('JPK_KR-1'!BI:BI,'JPK_KR-1'!BH:BH,N291,'JPK_KR-1'!BJ:BJ,O291)),"")</f>
        <v/>
      </c>
      <c r="R291" s="117" t="str">
        <f>IF(kokpit!R291&lt;&gt;"",kokpit!R291,"")</f>
        <v/>
      </c>
      <c r="S291" s="117" t="str">
        <f>IF(kokpit!S291&lt;&gt;"",kokpit!S291,"")</f>
        <v/>
      </c>
      <c r="T291" s="117" t="str">
        <f>IF(kokpit!T291&lt;&gt;"",kokpit!T291,"")</f>
        <v/>
      </c>
      <c r="U291" s="141" t="str">
        <f>IF(R291&lt;&gt;"",SUMIFS('JPK_KR-1'!AL:AL,'JPK_KR-1'!W:W,S291),"")</f>
        <v/>
      </c>
      <c r="V291" s="144" t="str">
        <f>IF(R291&lt;&gt;"",SUMIFS('JPK_KR-1'!AM:AM,'JPK_KR-1'!W:W,S291),"")</f>
        <v/>
      </c>
    </row>
    <row r="292" spans="1:22" x14ac:dyDescent="0.3">
      <c r="A292" s="5" t="str">
        <f>IF(kokpit!A292&lt;&gt;"",kokpit!A292,"")</f>
        <v/>
      </c>
      <c r="B292" s="5" t="str">
        <f>IF(kokpit!B292&lt;&gt;"",kokpit!B292,"")</f>
        <v/>
      </c>
      <c r="C292" s="24" t="str">
        <f>IF(A292&lt;&gt;"",SUMIFS('JPK_KR-1'!AL:AL,'JPK_KR-1'!W:W,B292),"")</f>
        <v/>
      </c>
      <c r="D292" s="126" t="str">
        <f>IF(A292&lt;&gt;"",SUMIFS('JPK_KR-1'!AM:AM,'JPK_KR-1'!W:W,B292),"")</f>
        <v/>
      </c>
      <c r="E292" s="5" t="str">
        <f>IF(kokpit!E292&lt;&gt;"",kokpit!E292,"")</f>
        <v/>
      </c>
      <c r="F292" s="127" t="str">
        <f>IF(kokpit!F292&lt;&gt;"",kokpit!F292,"")</f>
        <v/>
      </c>
      <c r="G292" s="24" t="str">
        <f>IF(E292&lt;&gt;"",SUMIFS('JPK_KR-1'!AL:AL,'JPK_KR-1'!W:W,F292),"")</f>
        <v/>
      </c>
      <c r="H292" s="126" t="str">
        <f>IF(E292&lt;&gt;"",SUMIFS('JPK_KR-1'!AM:AM,'JPK_KR-1'!W:W,F292),"")</f>
        <v/>
      </c>
      <c r="I292" s="5" t="str">
        <f>IF(kokpit!I292&lt;&gt;"",kokpit!I292,"")</f>
        <v/>
      </c>
      <c r="J292" s="5" t="str">
        <f>IF(kokpit!J292&lt;&gt;"",kokpit!J292,"")</f>
        <v/>
      </c>
      <c r="K292" s="24" t="str">
        <f>IF(I292&lt;&gt;"",SUMIFS('JPK_KR-1'!AL:AL,'JPK_KR-1'!W:W,J292),"")</f>
        <v/>
      </c>
      <c r="L292" s="141" t="str">
        <f>IF(I292&lt;&gt;"",SUMIFS('JPK_KR-1'!AM:AM,'JPK_KR-1'!W:W,J292),"")</f>
        <v/>
      </c>
      <c r="M292" s="143" t="str">
        <f>IF(kokpit!M292&lt;&gt;"",kokpit!M292,"")</f>
        <v/>
      </c>
      <c r="N292" s="117" t="str">
        <f>IF(kokpit!N292&lt;&gt;"",kokpit!N292,"")</f>
        <v/>
      </c>
      <c r="O292" s="117" t="str">
        <f>IF(kokpit!O292&lt;&gt;"",kokpit!O292,"")</f>
        <v/>
      </c>
      <c r="P292" s="141" t="str">
        <f>IF(M292&lt;&gt;"",IF(O292="",SUMIFS('JPK_KR-1'!AL:AL,'JPK_KR-1'!W:W,N292),SUMIFS('JPK_KR-1'!BF:BF,'JPK_KR-1'!BE:BE,N292,'JPK_KR-1'!BG:BG,O292)),"")</f>
        <v/>
      </c>
      <c r="Q292" s="144" t="str">
        <f>IF(M292&lt;&gt;"",IF(O292="",SUMIFS('JPK_KR-1'!AM:AM,'JPK_KR-1'!W:W,N292),SUMIFS('JPK_KR-1'!BI:BI,'JPK_KR-1'!BH:BH,N292,'JPK_KR-1'!BJ:BJ,O292)),"")</f>
        <v/>
      </c>
      <c r="R292" s="117" t="str">
        <f>IF(kokpit!R292&lt;&gt;"",kokpit!R292,"")</f>
        <v/>
      </c>
      <c r="S292" s="117" t="str">
        <f>IF(kokpit!S292&lt;&gt;"",kokpit!S292,"")</f>
        <v/>
      </c>
      <c r="T292" s="117" t="str">
        <f>IF(kokpit!T292&lt;&gt;"",kokpit!T292,"")</f>
        <v/>
      </c>
      <c r="U292" s="141" t="str">
        <f>IF(R292&lt;&gt;"",SUMIFS('JPK_KR-1'!AL:AL,'JPK_KR-1'!W:W,S292),"")</f>
        <v/>
      </c>
      <c r="V292" s="144" t="str">
        <f>IF(R292&lt;&gt;"",SUMIFS('JPK_KR-1'!AM:AM,'JPK_KR-1'!W:W,S292),"")</f>
        <v/>
      </c>
    </row>
    <row r="293" spans="1:22" x14ac:dyDescent="0.3">
      <c r="A293" s="5" t="str">
        <f>IF(kokpit!A293&lt;&gt;"",kokpit!A293,"")</f>
        <v/>
      </c>
      <c r="B293" s="5" t="str">
        <f>IF(kokpit!B293&lt;&gt;"",kokpit!B293,"")</f>
        <v/>
      </c>
      <c r="C293" s="24" t="str">
        <f>IF(A293&lt;&gt;"",SUMIFS('JPK_KR-1'!AL:AL,'JPK_KR-1'!W:W,B293),"")</f>
        <v/>
      </c>
      <c r="D293" s="126" t="str">
        <f>IF(A293&lt;&gt;"",SUMIFS('JPK_KR-1'!AM:AM,'JPK_KR-1'!W:W,B293),"")</f>
        <v/>
      </c>
      <c r="E293" s="5" t="str">
        <f>IF(kokpit!E293&lt;&gt;"",kokpit!E293,"")</f>
        <v/>
      </c>
      <c r="F293" s="127" t="str">
        <f>IF(kokpit!F293&lt;&gt;"",kokpit!F293,"")</f>
        <v/>
      </c>
      <c r="G293" s="24" t="str">
        <f>IF(E293&lt;&gt;"",SUMIFS('JPK_KR-1'!AL:AL,'JPK_KR-1'!W:W,F293),"")</f>
        <v/>
      </c>
      <c r="H293" s="126" t="str">
        <f>IF(E293&lt;&gt;"",SUMIFS('JPK_KR-1'!AM:AM,'JPK_KR-1'!W:W,F293),"")</f>
        <v/>
      </c>
      <c r="I293" s="5" t="str">
        <f>IF(kokpit!I293&lt;&gt;"",kokpit!I293,"")</f>
        <v/>
      </c>
      <c r="J293" s="5" t="str">
        <f>IF(kokpit!J293&lt;&gt;"",kokpit!J293,"")</f>
        <v/>
      </c>
      <c r="K293" s="24" t="str">
        <f>IF(I293&lt;&gt;"",SUMIFS('JPK_KR-1'!AL:AL,'JPK_KR-1'!W:W,J293),"")</f>
        <v/>
      </c>
      <c r="L293" s="141" t="str">
        <f>IF(I293&lt;&gt;"",SUMIFS('JPK_KR-1'!AM:AM,'JPK_KR-1'!W:W,J293),"")</f>
        <v/>
      </c>
      <c r="M293" s="143" t="str">
        <f>IF(kokpit!M293&lt;&gt;"",kokpit!M293,"")</f>
        <v/>
      </c>
      <c r="N293" s="117" t="str">
        <f>IF(kokpit!N293&lt;&gt;"",kokpit!N293,"")</f>
        <v/>
      </c>
      <c r="O293" s="117" t="str">
        <f>IF(kokpit!O293&lt;&gt;"",kokpit!O293,"")</f>
        <v/>
      </c>
      <c r="P293" s="141" t="str">
        <f>IF(M293&lt;&gt;"",IF(O293="",SUMIFS('JPK_KR-1'!AL:AL,'JPK_KR-1'!W:W,N293),SUMIFS('JPK_KR-1'!BF:BF,'JPK_KR-1'!BE:BE,N293,'JPK_KR-1'!BG:BG,O293)),"")</f>
        <v/>
      </c>
      <c r="Q293" s="144" t="str">
        <f>IF(M293&lt;&gt;"",IF(O293="",SUMIFS('JPK_KR-1'!AM:AM,'JPK_KR-1'!W:W,N293),SUMIFS('JPK_KR-1'!BI:BI,'JPK_KR-1'!BH:BH,N293,'JPK_KR-1'!BJ:BJ,O293)),"")</f>
        <v/>
      </c>
      <c r="R293" s="117" t="str">
        <f>IF(kokpit!R293&lt;&gt;"",kokpit!R293,"")</f>
        <v/>
      </c>
      <c r="S293" s="117" t="str">
        <f>IF(kokpit!S293&lt;&gt;"",kokpit!S293,"")</f>
        <v/>
      </c>
      <c r="T293" s="117" t="str">
        <f>IF(kokpit!T293&lt;&gt;"",kokpit!T293,"")</f>
        <v/>
      </c>
      <c r="U293" s="141" t="str">
        <f>IF(R293&lt;&gt;"",SUMIFS('JPK_KR-1'!AL:AL,'JPK_KR-1'!W:W,S293),"")</f>
        <v/>
      </c>
      <c r="V293" s="144" t="str">
        <f>IF(R293&lt;&gt;"",SUMIFS('JPK_KR-1'!AM:AM,'JPK_KR-1'!W:W,S293),"")</f>
        <v/>
      </c>
    </row>
    <row r="294" spans="1:22" x14ac:dyDescent="0.3">
      <c r="A294" s="5" t="str">
        <f>IF(kokpit!A294&lt;&gt;"",kokpit!A294,"")</f>
        <v/>
      </c>
      <c r="B294" s="5" t="str">
        <f>IF(kokpit!B294&lt;&gt;"",kokpit!B294,"")</f>
        <v/>
      </c>
      <c r="C294" s="24" t="str">
        <f>IF(A294&lt;&gt;"",SUMIFS('JPK_KR-1'!AL:AL,'JPK_KR-1'!W:W,B294),"")</f>
        <v/>
      </c>
      <c r="D294" s="126" t="str">
        <f>IF(A294&lt;&gt;"",SUMIFS('JPK_KR-1'!AM:AM,'JPK_KR-1'!W:W,B294),"")</f>
        <v/>
      </c>
      <c r="E294" s="5" t="str">
        <f>IF(kokpit!E294&lt;&gt;"",kokpit!E294,"")</f>
        <v/>
      </c>
      <c r="F294" s="127" t="str">
        <f>IF(kokpit!F294&lt;&gt;"",kokpit!F294,"")</f>
        <v/>
      </c>
      <c r="G294" s="24" t="str">
        <f>IF(E294&lt;&gt;"",SUMIFS('JPK_KR-1'!AL:AL,'JPK_KR-1'!W:W,F294),"")</f>
        <v/>
      </c>
      <c r="H294" s="126" t="str">
        <f>IF(E294&lt;&gt;"",SUMIFS('JPK_KR-1'!AM:AM,'JPK_KR-1'!W:W,F294),"")</f>
        <v/>
      </c>
      <c r="I294" s="5" t="str">
        <f>IF(kokpit!I294&lt;&gt;"",kokpit!I294,"")</f>
        <v/>
      </c>
      <c r="J294" s="5" t="str">
        <f>IF(kokpit!J294&lt;&gt;"",kokpit!J294,"")</f>
        <v/>
      </c>
      <c r="K294" s="24" t="str">
        <f>IF(I294&lt;&gt;"",SUMIFS('JPK_KR-1'!AL:AL,'JPK_KR-1'!W:W,J294),"")</f>
        <v/>
      </c>
      <c r="L294" s="141" t="str">
        <f>IF(I294&lt;&gt;"",SUMIFS('JPK_KR-1'!AM:AM,'JPK_KR-1'!W:W,J294),"")</f>
        <v/>
      </c>
      <c r="M294" s="143" t="str">
        <f>IF(kokpit!M294&lt;&gt;"",kokpit!M294,"")</f>
        <v/>
      </c>
      <c r="N294" s="117" t="str">
        <f>IF(kokpit!N294&lt;&gt;"",kokpit!N294,"")</f>
        <v/>
      </c>
      <c r="O294" s="117" t="str">
        <f>IF(kokpit!O294&lt;&gt;"",kokpit!O294,"")</f>
        <v/>
      </c>
      <c r="P294" s="141" t="str">
        <f>IF(M294&lt;&gt;"",IF(O294="",SUMIFS('JPK_KR-1'!AL:AL,'JPK_KR-1'!W:W,N294),SUMIFS('JPK_KR-1'!BF:BF,'JPK_KR-1'!BE:BE,N294,'JPK_KR-1'!BG:BG,O294)),"")</f>
        <v/>
      </c>
      <c r="Q294" s="144" t="str">
        <f>IF(M294&lt;&gt;"",IF(O294="",SUMIFS('JPK_KR-1'!AM:AM,'JPK_KR-1'!W:W,N294),SUMIFS('JPK_KR-1'!BI:BI,'JPK_KR-1'!BH:BH,N294,'JPK_KR-1'!BJ:BJ,O294)),"")</f>
        <v/>
      </c>
      <c r="R294" s="117" t="str">
        <f>IF(kokpit!R294&lt;&gt;"",kokpit!R294,"")</f>
        <v/>
      </c>
      <c r="S294" s="117" t="str">
        <f>IF(kokpit!S294&lt;&gt;"",kokpit!S294,"")</f>
        <v/>
      </c>
      <c r="T294" s="117" t="str">
        <f>IF(kokpit!T294&lt;&gt;"",kokpit!T294,"")</f>
        <v/>
      </c>
      <c r="U294" s="141" t="str">
        <f>IF(R294&lt;&gt;"",SUMIFS('JPK_KR-1'!AL:AL,'JPK_KR-1'!W:W,S294),"")</f>
        <v/>
      </c>
      <c r="V294" s="144" t="str">
        <f>IF(R294&lt;&gt;"",SUMIFS('JPK_KR-1'!AM:AM,'JPK_KR-1'!W:W,S294),"")</f>
        <v/>
      </c>
    </row>
    <row r="295" spans="1:22" x14ac:dyDescent="0.3">
      <c r="A295" s="5" t="str">
        <f>IF(kokpit!A295&lt;&gt;"",kokpit!A295,"")</f>
        <v/>
      </c>
      <c r="B295" s="5" t="str">
        <f>IF(kokpit!B295&lt;&gt;"",kokpit!B295,"")</f>
        <v/>
      </c>
      <c r="C295" s="24" t="str">
        <f>IF(A295&lt;&gt;"",SUMIFS('JPK_KR-1'!AL:AL,'JPK_KR-1'!W:W,B295),"")</f>
        <v/>
      </c>
      <c r="D295" s="126" t="str">
        <f>IF(A295&lt;&gt;"",SUMIFS('JPK_KR-1'!AM:AM,'JPK_KR-1'!W:W,B295),"")</f>
        <v/>
      </c>
      <c r="E295" s="5" t="str">
        <f>IF(kokpit!E295&lt;&gt;"",kokpit!E295,"")</f>
        <v/>
      </c>
      <c r="F295" s="127" t="str">
        <f>IF(kokpit!F295&lt;&gt;"",kokpit!F295,"")</f>
        <v/>
      </c>
      <c r="G295" s="24" t="str">
        <f>IF(E295&lt;&gt;"",SUMIFS('JPK_KR-1'!AL:AL,'JPK_KR-1'!W:W,F295),"")</f>
        <v/>
      </c>
      <c r="H295" s="126" t="str">
        <f>IF(E295&lt;&gt;"",SUMIFS('JPK_KR-1'!AM:AM,'JPK_KR-1'!W:W,F295),"")</f>
        <v/>
      </c>
      <c r="I295" s="5" t="str">
        <f>IF(kokpit!I295&lt;&gt;"",kokpit!I295,"")</f>
        <v/>
      </c>
      <c r="J295" s="5" t="str">
        <f>IF(kokpit!J295&lt;&gt;"",kokpit!J295,"")</f>
        <v/>
      </c>
      <c r="K295" s="24" t="str">
        <f>IF(I295&lt;&gt;"",SUMIFS('JPK_KR-1'!AL:AL,'JPK_KR-1'!W:W,J295),"")</f>
        <v/>
      </c>
      <c r="L295" s="141" t="str">
        <f>IF(I295&lt;&gt;"",SUMIFS('JPK_KR-1'!AM:AM,'JPK_KR-1'!W:W,J295),"")</f>
        <v/>
      </c>
      <c r="M295" s="143" t="str">
        <f>IF(kokpit!M295&lt;&gt;"",kokpit!M295,"")</f>
        <v/>
      </c>
      <c r="N295" s="117" t="str">
        <f>IF(kokpit!N295&lt;&gt;"",kokpit!N295,"")</f>
        <v/>
      </c>
      <c r="O295" s="117" t="str">
        <f>IF(kokpit!O295&lt;&gt;"",kokpit!O295,"")</f>
        <v/>
      </c>
      <c r="P295" s="141" t="str">
        <f>IF(M295&lt;&gt;"",IF(O295="",SUMIFS('JPK_KR-1'!AL:AL,'JPK_KR-1'!W:W,N295),SUMIFS('JPK_KR-1'!BF:BF,'JPK_KR-1'!BE:BE,N295,'JPK_KR-1'!BG:BG,O295)),"")</f>
        <v/>
      </c>
      <c r="Q295" s="144" t="str">
        <f>IF(M295&lt;&gt;"",IF(O295="",SUMIFS('JPK_KR-1'!AM:AM,'JPK_KR-1'!W:W,N295),SUMIFS('JPK_KR-1'!BI:BI,'JPK_KR-1'!BH:BH,N295,'JPK_KR-1'!BJ:BJ,O295)),"")</f>
        <v/>
      </c>
      <c r="R295" s="117" t="str">
        <f>IF(kokpit!R295&lt;&gt;"",kokpit!R295,"")</f>
        <v/>
      </c>
      <c r="S295" s="117" t="str">
        <f>IF(kokpit!S295&lt;&gt;"",kokpit!S295,"")</f>
        <v/>
      </c>
      <c r="T295" s="117" t="str">
        <f>IF(kokpit!T295&lt;&gt;"",kokpit!T295,"")</f>
        <v/>
      </c>
      <c r="U295" s="141" t="str">
        <f>IF(R295&lt;&gt;"",SUMIFS('JPK_KR-1'!AL:AL,'JPK_KR-1'!W:W,S295),"")</f>
        <v/>
      </c>
      <c r="V295" s="144" t="str">
        <f>IF(R295&lt;&gt;"",SUMIFS('JPK_KR-1'!AM:AM,'JPK_KR-1'!W:W,S295),"")</f>
        <v/>
      </c>
    </row>
    <row r="296" spans="1:22" x14ac:dyDescent="0.3">
      <c r="A296" s="5" t="str">
        <f>IF(kokpit!A296&lt;&gt;"",kokpit!A296,"")</f>
        <v/>
      </c>
      <c r="B296" s="5" t="str">
        <f>IF(kokpit!B296&lt;&gt;"",kokpit!B296,"")</f>
        <v/>
      </c>
      <c r="C296" s="24" t="str">
        <f>IF(A296&lt;&gt;"",SUMIFS('JPK_KR-1'!AL:AL,'JPK_KR-1'!W:W,B296),"")</f>
        <v/>
      </c>
      <c r="D296" s="126" t="str">
        <f>IF(A296&lt;&gt;"",SUMIFS('JPK_KR-1'!AM:AM,'JPK_KR-1'!W:W,B296),"")</f>
        <v/>
      </c>
      <c r="E296" s="5" t="str">
        <f>IF(kokpit!E296&lt;&gt;"",kokpit!E296,"")</f>
        <v/>
      </c>
      <c r="F296" s="127" t="str">
        <f>IF(kokpit!F296&lt;&gt;"",kokpit!F296,"")</f>
        <v/>
      </c>
      <c r="G296" s="24" t="str">
        <f>IF(E296&lt;&gt;"",SUMIFS('JPK_KR-1'!AL:AL,'JPK_KR-1'!W:W,F296),"")</f>
        <v/>
      </c>
      <c r="H296" s="126" t="str">
        <f>IF(E296&lt;&gt;"",SUMIFS('JPK_KR-1'!AM:AM,'JPK_KR-1'!W:W,F296),"")</f>
        <v/>
      </c>
      <c r="I296" s="5" t="str">
        <f>IF(kokpit!I296&lt;&gt;"",kokpit!I296,"")</f>
        <v/>
      </c>
      <c r="J296" s="5" t="str">
        <f>IF(kokpit!J296&lt;&gt;"",kokpit!J296,"")</f>
        <v/>
      </c>
      <c r="K296" s="24" t="str">
        <f>IF(I296&lt;&gt;"",SUMIFS('JPK_KR-1'!AL:AL,'JPK_KR-1'!W:W,J296),"")</f>
        <v/>
      </c>
      <c r="L296" s="141" t="str">
        <f>IF(I296&lt;&gt;"",SUMIFS('JPK_KR-1'!AM:AM,'JPK_KR-1'!W:W,J296),"")</f>
        <v/>
      </c>
      <c r="M296" s="143" t="str">
        <f>IF(kokpit!M296&lt;&gt;"",kokpit!M296,"")</f>
        <v/>
      </c>
      <c r="N296" s="117" t="str">
        <f>IF(kokpit!N296&lt;&gt;"",kokpit!N296,"")</f>
        <v/>
      </c>
      <c r="O296" s="117" t="str">
        <f>IF(kokpit!O296&lt;&gt;"",kokpit!O296,"")</f>
        <v/>
      </c>
      <c r="P296" s="141" t="str">
        <f>IF(M296&lt;&gt;"",IF(O296="",SUMIFS('JPK_KR-1'!AL:AL,'JPK_KR-1'!W:W,N296),SUMIFS('JPK_KR-1'!BF:BF,'JPK_KR-1'!BE:BE,N296,'JPK_KR-1'!BG:BG,O296)),"")</f>
        <v/>
      </c>
      <c r="Q296" s="144" t="str">
        <f>IF(M296&lt;&gt;"",IF(O296="",SUMIFS('JPK_KR-1'!AM:AM,'JPK_KR-1'!W:W,N296),SUMIFS('JPK_KR-1'!BI:BI,'JPK_KR-1'!BH:BH,N296,'JPK_KR-1'!BJ:BJ,O296)),"")</f>
        <v/>
      </c>
      <c r="R296" s="117" t="str">
        <f>IF(kokpit!R296&lt;&gt;"",kokpit!R296,"")</f>
        <v/>
      </c>
      <c r="S296" s="117" t="str">
        <f>IF(kokpit!S296&lt;&gt;"",kokpit!S296,"")</f>
        <v/>
      </c>
      <c r="T296" s="117" t="str">
        <f>IF(kokpit!T296&lt;&gt;"",kokpit!T296,"")</f>
        <v/>
      </c>
      <c r="U296" s="141" t="str">
        <f>IF(R296&lt;&gt;"",SUMIFS('JPK_KR-1'!AL:AL,'JPK_KR-1'!W:W,S296),"")</f>
        <v/>
      </c>
      <c r="V296" s="144" t="str">
        <f>IF(R296&lt;&gt;"",SUMIFS('JPK_KR-1'!AM:AM,'JPK_KR-1'!W:W,S296),"")</f>
        <v/>
      </c>
    </row>
    <row r="297" spans="1:22" x14ac:dyDescent="0.3">
      <c r="A297" s="5" t="str">
        <f>IF(kokpit!A297&lt;&gt;"",kokpit!A297,"")</f>
        <v/>
      </c>
      <c r="B297" s="5" t="str">
        <f>IF(kokpit!B297&lt;&gt;"",kokpit!B297,"")</f>
        <v/>
      </c>
      <c r="C297" s="24" t="str">
        <f>IF(A297&lt;&gt;"",SUMIFS('JPK_KR-1'!AL:AL,'JPK_KR-1'!W:W,B297),"")</f>
        <v/>
      </c>
      <c r="D297" s="126" t="str">
        <f>IF(A297&lt;&gt;"",SUMIFS('JPK_KR-1'!AM:AM,'JPK_KR-1'!W:W,B297),"")</f>
        <v/>
      </c>
      <c r="E297" s="5" t="str">
        <f>IF(kokpit!E297&lt;&gt;"",kokpit!E297,"")</f>
        <v/>
      </c>
      <c r="F297" s="127" t="str">
        <f>IF(kokpit!F297&lt;&gt;"",kokpit!F297,"")</f>
        <v/>
      </c>
      <c r="G297" s="24" t="str">
        <f>IF(E297&lt;&gt;"",SUMIFS('JPK_KR-1'!AL:AL,'JPK_KR-1'!W:W,F297),"")</f>
        <v/>
      </c>
      <c r="H297" s="126" t="str">
        <f>IF(E297&lt;&gt;"",SUMIFS('JPK_KR-1'!AM:AM,'JPK_KR-1'!W:W,F297),"")</f>
        <v/>
      </c>
      <c r="I297" s="5" t="str">
        <f>IF(kokpit!I297&lt;&gt;"",kokpit!I297,"")</f>
        <v/>
      </c>
      <c r="J297" s="5" t="str">
        <f>IF(kokpit!J297&lt;&gt;"",kokpit!J297,"")</f>
        <v/>
      </c>
      <c r="K297" s="24" t="str">
        <f>IF(I297&lt;&gt;"",SUMIFS('JPK_KR-1'!AL:AL,'JPK_KR-1'!W:W,J297),"")</f>
        <v/>
      </c>
      <c r="L297" s="141" t="str">
        <f>IF(I297&lt;&gt;"",SUMIFS('JPK_KR-1'!AM:AM,'JPK_KR-1'!W:W,J297),"")</f>
        <v/>
      </c>
      <c r="M297" s="143" t="str">
        <f>IF(kokpit!M297&lt;&gt;"",kokpit!M297,"")</f>
        <v/>
      </c>
      <c r="N297" s="117" t="str">
        <f>IF(kokpit!N297&lt;&gt;"",kokpit!N297,"")</f>
        <v/>
      </c>
      <c r="O297" s="117" t="str">
        <f>IF(kokpit!O297&lt;&gt;"",kokpit!O297,"")</f>
        <v/>
      </c>
      <c r="P297" s="141" t="str">
        <f>IF(M297&lt;&gt;"",IF(O297="",SUMIFS('JPK_KR-1'!AL:AL,'JPK_KR-1'!W:W,N297),SUMIFS('JPK_KR-1'!BF:BF,'JPK_KR-1'!BE:BE,N297,'JPK_KR-1'!BG:BG,O297)),"")</f>
        <v/>
      </c>
      <c r="Q297" s="144" t="str">
        <f>IF(M297&lt;&gt;"",IF(O297="",SUMIFS('JPK_KR-1'!AM:AM,'JPK_KR-1'!W:W,N297),SUMIFS('JPK_KR-1'!BI:BI,'JPK_KR-1'!BH:BH,N297,'JPK_KR-1'!BJ:BJ,O297)),"")</f>
        <v/>
      </c>
      <c r="R297" s="117" t="str">
        <f>IF(kokpit!R297&lt;&gt;"",kokpit!R297,"")</f>
        <v/>
      </c>
      <c r="S297" s="117" t="str">
        <f>IF(kokpit!S297&lt;&gt;"",kokpit!S297,"")</f>
        <v/>
      </c>
      <c r="T297" s="117" t="str">
        <f>IF(kokpit!T297&lt;&gt;"",kokpit!T297,"")</f>
        <v/>
      </c>
      <c r="U297" s="141" t="str">
        <f>IF(R297&lt;&gt;"",SUMIFS('JPK_KR-1'!AL:AL,'JPK_KR-1'!W:W,S297),"")</f>
        <v/>
      </c>
      <c r="V297" s="144" t="str">
        <f>IF(R297&lt;&gt;"",SUMIFS('JPK_KR-1'!AM:AM,'JPK_KR-1'!W:W,S297),"")</f>
        <v/>
      </c>
    </row>
    <row r="298" spans="1:22" x14ac:dyDescent="0.3">
      <c r="A298" s="5" t="str">
        <f>IF(kokpit!A298&lt;&gt;"",kokpit!A298,"")</f>
        <v/>
      </c>
      <c r="B298" s="5" t="str">
        <f>IF(kokpit!B298&lt;&gt;"",kokpit!B298,"")</f>
        <v/>
      </c>
      <c r="C298" s="24" t="str">
        <f>IF(A298&lt;&gt;"",SUMIFS('JPK_KR-1'!AL:AL,'JPK_KR-1'!W:W,B298),"")</f>
        <v/>
      </c>
      <c r="D298" s="126" t="str">
        <f>IF(A298&lt;&gt;"",SUMIFS('JPK_KR-1'!AM:AM,'JPK_KR-1'!W:W,B298),"")</f>
        <v/>
      </c>
      <c r="E298" s="5" t="str">
        <f>IF(kokpit!E298&lt;&gt;"",kokpit!E298,"")</f>
        <v/>
      </c>
      <c r="F298" s="127" t="str">
        <f>IF(kokpit!F298&lt;&gt;"",kokpit!F298,"")</f>
        <v/>
      </c>
      <c r="G298" s="24" t="str">
        <f>IF(E298&lt;&gt;"",SUMIFS('JPK_KR-1'!AL:AL,'JPK_KR-1'!W:W,F298),"")</f>
        <v/>
      </c>
      <c r="H298" s="126" t="str">
        <f>IF(E298&lt;&gt;"",SUMIFS('JPK_KR-1'!AM:AM,'JPK_KR-1'!W:W,F298),"")</f>
        <v/>
      </c>
      <c r="I298" s="5" t="str">
        <f>IF(kokpit!I298&lt;&gt;"",kokpit!I298,"")</f>
        <v/>
      </c>
      <c r="J298" s="5" t="str">
        <f>IF(kokpit!J298&lt;&gt;"",kokpit!J298,"")</f>
        <v/>
      </c>
      <c r="K298" s="24" t="str">
        <f>IF(I298&lt;&gt;"",SUMIFS('JPK_KR-1'!AL:AL,'JPK_KR-1'!W:W,J298),"")</f>
        <v/>
      </c>
      <c r="L298" s="141" t="str">
        <f>IF(I298&lt;&gt;"",SUMIFS('JPK_KR-1'!AM:AM,'JPK_KR-1'!W:W,J298),"")</f>
        <v/>
      </c>
      <c r="M298" s="143" t="str">
        <f>IF(kokpit!M298&lt;&gt;"",kokpit!M298,"")</f>
        <v/>
      </c>
      <c r="N298" s="117" t="str">
        <f>IF(kokpit!N298&lt;&gt;"",kokpit!N298,"")</f>
        <v/>
      </c>
      <c r="O298" s="117" t="str">
        <f>IF(kokpit!O298&lt;&gt;"",kokpit!O298,"")</f>
        <v/>
      </c>
      <c r="P298" s="141" t="str">
        <f>IF(M298&lt;&gt;"",IF(O298="",SUMIFS('JPK_KR-1'!AL:AL,'JPK_KR-1'!W:W,N298),SUMIFS('JPK_KR-1'!BF:BF,'JPK_KR-1'!BE:BE,N298,'JPK_KR-1'!BG:BG,O298)),"")</f>
        <v/>
      </c>
      <c r="Q298" s="144" t="str">
        <f>IF(M298&lt;&gt;"",IF(O298="",SUMIFS('JPK_KR-1'!AM:AM,'JPK_KR-1'!W:W,N298),SUMIFS('JPK_KR-1'!BI:BI,'JPK_KR-1'!BH:BH,N298,'JPK_KR-1'!BJ:BJ,O298)),"")</f>
        <v/>
      </c>
      <c r="R298" s="117" t="str">
        <f>IF(kokpit!R298&lt;&gt;"",kokpit!R298,"")</f>
        <v/>
      </c>
      <c r="S298" s="117" t="str">
        <f>IF(kokpit!S298&lt;&gt;"",kokpit!S298,"")</f>
        <v/>
      </c>
      <c r="T298" s="117" t="str">
        <f>IF(kokpit!T298&lt;&gt;"",kokpit!T298,"")</f>
        <v/>
      </c>
      <c r="U298" s="141" t="str">
        <f>IF(R298&lt;&gt;"",SUMIFS('JPK_KR-1'!AL:AL,'JPK_KR-1'!W:W,S298),"")</f>
        <v/>
      </c>
      <c r="V298" s="144" t="str">
        <f>IF(R298&lt;&gt;"",SUMIFS('JPK_KR-1'!AM:AM,'JPK_KR-1'!W:W,S298),"")</f>
        <v/>
      </c>
    </row>
    <row r="299" spans="1:22" x14ac:dyDescent="0.3">
      <c r="A299" s="5" t="str">
        <f>IF(kokpit!A299&lt;&gt;"",kokpit!A299,"")</f>
        <v/>
      </c>
      <c r="B299" s="5" t="str">
        <f>IF(kokpit!B299&lt;&gt;"",kokpit!B299,"")</f>
        <v/>
      </c>
      <c r="C299" s="24" t="str">
        <f>IF(A299&lt;&gt;"",SUMIFS('JPK_KR-1'!AL:AL,'JPK_KR-1'!W:W,B299),"")</f>
        <v/>
      </c>
      <c r="D299" s="126" t="str">
        <f>IF(A299&lt;&gt;"",SUMIFS('JPK_KR-1'!AM:AM,'JPK_KR-1'!W:W,B299),"")</f>
        <v/>
      </c>
      <c r="E299" s="5" t="str">
        <f>IF(kokpit!E299&lt;&gt;"",kokpit!E299,"")</f>
        <v/>
      </c>
      <c r="F299" s="127" t="str">
        <f>IF(kokpit!F299&lt;&gt;"",kokpit!F299,"")</f>
        <v/>
      </c>
      <c r="G299" s="24" t="str">
        <f>IF(E299&lt;&gt;"",SUMIFS('JPK_KR-1'!AL:AL,'JPK_KR-1'!W:W,F299),"")</f>
        <v/>
      </c>
      <c r="H299" s="126" t="str">
        <f>IF(E299&lt;&gt;"",SUMIFS('JPK_KR-1'!AM:AM,'JPK_KR-1'!W:W,F299),"")</f>
        <v/>
      </c>
      <c r="I299" s="5" t="str">
        <f>IF(kokpit!I299&lt;&gt;"",kokpit!I299,"")</f>
        <v/>
      </c>
      <c r="J299" s="5" t="str">
        <f>IF(kokpit!J299&lt;&gt;"",kokpit!J299,"")</f>
        <v/>
      </c>
      <c r="K299" s="24" t="str">
        <f>IF(I299&lt;&gt;"",SUMIFS('JPK_KR-1'!AL:AL,'JPK_KR-1'!W:W,J299),"")</f>
        <v/>
      </c>
      <c r="L299" s="141" t="str">
        <f>IF(I299&lt;&gt;"",SUMIFS('JPK_KR-1'!AM:AM,'JPK_KR-1'!W:W,J299),"")</f>
        <v/>
      </c>
      <c r="M299" s="143" t="str">
        <f>IF(kokpit!M299&lt;&gt;"",kokpit!M299,"")</f>
        <v/>
      </c>
      <c r="N299" s="117" t="str">
        <f>IF(kokpit!N299&lt;&gt;"",kokpit!N299,"")</f>
        <v/>
      </c>
      <c r="O299" s="117" t="str">
        <f>IF(kokpit!O299&lt;&gt;"",kokpit!O299,"")</f>
        <v/>
      </c>
      <c r="P299" s="141" t="str">
        <f>IF(M299&lt;&gt;"",IF(O299="",SUMIFS('JPK_KR-1'!AL:AL,'JPK_KR-1'!W:W,N299),SUMIFS('JPK_KR-1'!BF:BF,'JPK_KR-1'!BE:BE,N299,'JPK_KR-1'!BG:BG,O299)),"")</f>
        <v/>
      </c>
      <c r="Q299" s="144" t="str">
        <f>IF(M299&lt;&gt;"",IF(O299="",SUMIFS('JPK_KR-1'!AM:AM,'JPK_KR-1'!W:W,N299),SUMIFS('JPK_KR-1'!BI:BI,'JPK_KR-1'!BH:BH,N299,'JPK_KR-1'!BJ:BJ,O299)),"")</f>
        <v/>
      </c>
      <c r="R299" s="117" t="str">
        <f>IF(kokpit!R299&lt;&gt;"",kokpit!R299,"")</f>
        <v/>
      </c>
      <c r="S299" s="117" t="str">
        <f>IF(kokpit!S299&lt;&gt;"",kokpit!S299,"")</f>
        <v/>
      </c>
      <c r="T299" s="117" t="str">
        <f>IF(kokpit!T299&lt;&gt;"",kokpit!T299,"")</f>
        <v/>
      </c>
      <c r="U299" s="141" t="str">
        <f>IF(R299&lt;&gt;"",SUMIFS('JPK_KR-1'!AL:AL,'JPK_KR-1'!W:W,S299),"")</f>
        <v/>
      </c>
      <c r="V299" s="144" t="str">
        <f>IF(R299&lt;&gt;"",SUMIFS('JPK_KR-1'!AM:AM,'JPK_KR-1'!W:W,S299),"")</f>
        <v/>
      </c>
    </row>
    <row r="300" spans="1:22" x14ac:dyDescent="0.3">
      <c r="A300" s="5" t="str">
        <f>IF(kokpit!A300&lt;&gt;"",kokpit!A300,"")</f>
        <v/>
      </c>
      <c r="B300" s="5" t="str">
        <f>IF(kokpit!B300&lt;&gt;"",kokpit!B300,"")</f>
        <v/>
      </c>
      <c r="C300" s="24" t="str">
        <f>IF(A300&lt;&gt;"",SUMIFS('JPK_KR-1'!AL:AL,'JPK_KR-1'!W:W,B300),"")</f>
        <v/>
      </c>
      <c r="D300" s="126" t="str">
        <f>IF(A300&lt;&gt;"",SUMIFS('JPK_KR-1'!AM:AM,'JPK_KR-1'!W:W,B300),"")</f>
        <v/>
      </c>
      <c r="E300" s="5" t="str">
        <f>IF(kokpit!E300&lt;&gt;"",kokpit!E300,"")</f>
        <v/>
      </c>
      <c r="F300" s="127" t="str">
        <f>IF(kokpit!F300&lt;&gt;"",kokpit!F300,"")</f>
        <v/>
      </c>
      <c r="G300" s="24" t="str">
        <f>IF(E300&lt;&gt;"",SUMIFS('JPK_KR-1'!AL:AL,'JPK_KR-1'!W:W,F300),"")</f>
        <v/>
      </c>
      <c r="H300" s="126" t="str">
        <f>IF(E300&lt;&gt;"",SUMIFS('JPK_KR-1'!AM:AM,'JPK_KR-1'!W:W,F300),"")</f>
        <v/>
      </c>
      <c r="I300" s="5" t="str">
        <f>IF(kokpit!I300&lt;&gt;"",kokpit!I300,"")</f>
        <v/>
      </c>
      <c r="J300" s="5" t="str">
        <f>IF(kokpit!J300&lt;&gt;"",kokpit!J300,"")</f>
        <v/>
      </c>
      <c r="K300" s="24" t="str">
        <f>IF(I300&lt;&gt;"",SUMIFS('JPK_KR-1'!AL:AL,'JPK_KR-1'!W:W,J300),"")</f>
        <v/>
      </c>
      <c r="L300" s="141" t="str">
        <f>IF(I300&lt;&gt;"",SUMIFS('JPK_KR-1'!AM:AM,'JPK_KR-1'!W:W,J300),"")</f>
        <v/>
      </c>
      <c r="M300" s="143" t="str">
        <f>IF(kokpit!M300&lt;&gt;"",kokpit!M300,"")</f>
        <v/>
      </c>
      <c r="N300" s="117" t="str">
        <f>IF(kokpit!N300&lt;&gt;"",kokpit!N300,"")</f>
        <v/>
      </c>
      <c r="O300" s="117" t="str">
        <f>IF(kokpit!O300&lt;&gt;"",kokpit!O300,"")</f>
        <v/>
      </c>
      <c r="P300" s="141" t="str">
        <f>IF(M300&lt;&gt;"",IF(O300="",SUMIFS('JPK_KR-1'!AL:AL,'JPK_KR-1'!W:W,N300),SUMIFS('JPK_KR-1'!BF:BF,'JPK_KR-1'!BE:BE,N300,'JPK_KR-1'!BG:BG,O300)),"")</f>
        <v/>
      </c>
      <c r="Q300" s="144" t="str">
        <f>IF(M300&lt;&gt;"",IF(O300="",SUMIFS('JPK_KR-1'!AM:AM,'JPK_KR-1'!W:W,N300),SUMIFS('JPK_KR-1'!BI:BI,'JPK_KR-1'!BH:BH,N300,'JPK_KR-1'!BJ:BJ,O300)),"")</f>
        <v/>
      </c>
      <c r="R300" s="117" t="str">
        <f>IF(kokpit!R300&lt;&gt;"",kokpit!R300,"")</f>
        <v/>
      </c>
      <c r="S300" s="117" t="str">
        <f>IF(kokpit!S300&lt;&gt;"",kokpit!S300,"")</f>
        <v/>
      </c>
      <c r="T300" s="117" t="str">
        <f>IF(kokpit!T300&lt;&gt;"",kokpit!T300,"")</f>
        <v/>
      </c>
      <c r="U300" s="141" t="str">
        <f>IF(R300&lt;&gt;"",SUMIFS('JPK_KR-1'!AL:AL,'JPK_KR-1'!W:W,S300),"")</f>
        <v/>
      </c>
      <c r="V300" s="144" t="str">
        <f>IF(R300&lt;&gt;"",SUMIFS('JPK_KR-1'!AM:AM,'JPK_KR-1'!W:W,S300),"")</f>
        <v/>
      </c>
    </row>
    <row r="301" spans="1:22" x14ac:dyDescent="0.3">
      <c r="A301" s="5" t="str">
        <f>IF(kokpit!A301&lt;&gt;"",kokpit!A301,"")</f>
        <v/>
      </c>
      <c r="B301" s="5" t="str">
        <f>IF(kokpit!B301&lt;&gt;"",kokpit!B301,"")</f>
        <v/>
      </c>
      <c r="C301" s="24" t="str">
        <f>IF(A301&lt;&gt;"",SUMIFS('JPK_KR-1'!AL:AL,'JPK_KR-1'!W:W,B301),"")</f>
        <v/>
      </c>
      <c r="D301" s="126" t="str">
        <f>IF(A301&lt;&gt;"",SUMIFS('JPK_KR-1'!AM:AM,'JPK_KR-1'!W:W,B301),"")</f>
        <v/>
      </c>
      <c r="E301" s="5" t="str">
        <f>IF(kokpit!E301&lt;&gt;"",kokpit!E301,"")</f>
        <v/>
      </c>
      <c r="F301" s="127" t="str">
        <f>IF(kokpit!F301&lt;&gt;"",kokpit!F301,"")</f>
        <v/>
      </c>
      <c r="G301" s="24" t="str">
        <f>IF(E301&lt;&gt;"",SUMIFS('JPK_KR-1'!AL:AL,'JPK_KR-1'!W:W,F301),"")</f>
        <v/>
      </c>
      <c r="H301" s="126" t="str">
        <f>IF(E301&lt;&gt;"",SUMIFS('JPK_KR-1'!AM:AM,'JPK_KR-1'!W:W,F301),"")</f>
        <v/>
      </c>
      <c r="I301" s="5" t="str">
        <f>IF(kokpit!I301&lt;&gt;"",kokpit!I301,"")</f>
        <v/>
      </c>
      <c r="J301" s="5" t="str">
        <f>IF(kokpit!J301&lt;&gt;"",kokpit!J301,"")</f>
        <v/>
      </c>
      <c r="K301" s="24" t="str">
        <f>IF(I301&lt;&gt;"",SUMIFS('JPK_KR-1'!AL:AL,'JPK_KR-1'!W:W,J301),"")</f>
        <v/>
      </c>
      <c r="L301" s="141" t="str">
        <f>IF(I301&lt;&gt;"",SUMIFS('JPK_KR-1'!AM:AM,'JPK_KR-1'!W:W,J301),"")</f>
        <v/>
      </c>
      <c r="M301" s="143" t="str">
        <f>IF(kokpit!M301&lt;&gt;"",kokpit!M301,"")</f>
        <v/>
      </c>
      <c r="N301" s="117" t="str">
        <f>IF(kokpit!N301&lt;&gt;"",kokpit!N301,"")</f>
        <v/>
      </c>
      <c r="O301" s="117" t="str">
        <f>IF(kokpit!O301&lt;&gt;"",kokpit!O301,"")</f>
        <v/>
      </c>
      <c r="P301" s="141" t="str">
        <f>IF(M301&lt;&gt;"",IF(O301="",SUMIFS('JPK_KR-1'!AL:AL,'JPK_KR-1'!W:W,N301),SUMIFS('JPK_KR-1'!BF:BF,'JPK_KR-1'!BE:BE,N301,'JPK_KR-1'!BG:BG,O301)),"")</f>
        <v/>
      </c>
      <c r="Q301" s="144" t="str">
        <f>IF(M301&lt;&gt;"",IF(O301="",SUMIFS('JPK_KR-1'!AM:AM,'JPK_KR-1'!W:W,N301),SUMIFS('JPK_KR-1'!BI:BI,'JPK_KR-1'!BH:BH,N301,'JPK_KR-1'!BJ:BJ,O301)),"")</f>
        <v/>
      </c>
      <c r="R301" s="117" t="str">
        <f>IF(kokpit!R301&lt;&gt;"",kokpit!R301,"")</f>
        <v/>
      </c>
      <c r="S301" s="117" t="str">
        <f>IF(kokpit!S301&lt;&gt;"",kokpit!S301,"")</f>
        <v/>
      </c>
      <c r="T301" s="117" t="str">
        <f>IF(kokpit!T301&lt;&gt;"",kokpit!T301,"")</f>
        <v/>
      </c>
      <c r="U301" s="141" t="str">
        <f>IF(R301&lt;&gt;"",SUMIFS('JPK_KR-1'!AL:AL,'JPK_KR-1'!W:W,S301),"")</f>
        <v/>
      </c>
      <c r="V301" s="144" t="str">
        <f>IF(R301&lt;&gt;"",SUMIFS('JPK_KR-1'!AM:AM,'JPK_KR-1'!W:W,S301),"")</f>
        <v/>
      </c>
    </row>
    <row r="302" spans="1:22" x14ac:dyDescent="0.3">
      <c r="A302" s="5" t="str">
        <f>IF(kokpit!A302&lt;&gt;"",kokpit!A302,"")</f>
        <v/>
      </c>
      <c r="B302" s="5" t="str">
        <f>IF(kokpit!B302&lt;&gt;"",kokpit!B302,"")</f>
        <v/>
      </c>
      <c r="C302" s="24" t="str">
        <f>IF(A302&lt;&gt;"",SUMIFS('JPK_KR-1'!AL:AL,'JPK_KR-1'!W:W,B302),"")</f>
        <v/>
      </c>
      <c r="D302" s="126" t="str">
        <f>IF(A302&lt;&gt;"",SUMIFS('JPK_KR-1'!AM:AM,'JPK_KR-1'!W:W,B302),"")</f>
        <v/>
      </c>
      <c r="E302" s="5" t="str">
        <f>IF(kokpit!E302&lt;&gt;"",kokpit!E302,"")</f>
        <v/>
      </c>
      <c r="F302" s="127" t="str">
        <f>IF(kokpit!F302&lt;&gt;"",kokpit!F302,"")</f>
        <v/>
      </c>
      <c r="G302" s="24" t="str">
        <f>IF(E302&lt;&gt;"",SUMIFS('JPK_KR-1'!AL:AL,'JPK_KR-1'!W:W,F302),"")</f>
        <v/>
      </c>
      <c r="H302" s="126" t="str">
        <f>IF(E302&lt;&gt;"",SUMIFS('JPK_KR-1'!AM:AM,'JPK_KR-1'!W:W,F302),"")</f>
        <v/>
      </c>
      <c r="I302" s="5" t="str">
        <f>IF(kokpit!I302&lt;&gt;"",kokpit!I302,"")</f>
        <v/>
      </c>
      <c r="J302" s="5" t="str">
        <f>IF(kokpit!J302&lt;&gt;"",kokpit!J302,"")</f>
        <v/>
      </c>
      <c r="K302" s="24" t="str">
        <f>IF(I302&lt;&gt;"",SUMIFS('JPK_KR-1'!AL:AL,'JPK_KR-1'!W:W,J302),"")</f>
        <v/>
      </c>
      <c r="L302" s="141" t="str">
        <f>IF(I302&lt;&gt;"",SUMIFS('JPK_KR-1'!AM:AM,'JPK_KR-1'!W:W,J302),"")</f>
        <v/>
      </c>
      <c r="M302" s="143" t="str">
        <f>IF(kokpit!M302&lt;&gt;"",kokpit!M302,"")</f>
        <v/>
      </c>
      <c r="N302" s="117" t="str">
        <f>IF(kokpit!N302&lt;&gt;"",kokpit!N302,"")</f>
        <v/>
      </c>
      <c r="O302" s="117" t="str">
        <f>IF(kokpit!O302&lt;&gt;"",kokpit!O302,"")</f>
        <v/>
      </c>
      <c r="P302" s="141" t="str">
        <f>IF(M302&lt;&gt;"",IF(O302="",SUMIFS('JPK_KR-1'!AL:AL,'JPK_KR-1'!W:W,N302),SUMIFS('JPK_KR-1'!BF:BF,'JPK_KR-1'!BE:BE,N302,'JPK_KR-1'!BG:BG,O302)),"")</f>
        <v/>
      </c>
      <c r="Q302" s="144" t="str">
        <f>IF(M302&lt;&gt;"",IF(O302="",SUMIFS('JPK_KR-1'!AM:AM,'JPK_KR-1'!W:W,N302),SUMIFS('JPK_KR-1'!BI:BI,'JPK_KR-1'!BH:BH,N302,'JPK_KR-1'!BJ:BJ,O302)),"")</f>
        <v/>
      </c>
      <c r="R302" s="117" t="str">
        <f>IF(kokpit!R302&lt;&gt;"",kokpit!R302,"")</f>
        <v/>
      </c>
      <c r="S302" s="117" t="str">
        <f>IF(kokpit!S302&lt;&gt;"",kokpit!S302,"")</f>
        <v/>
      </c>
      <c r="T302" s="117" t="str">
        <f>IF(kokpit!T302&lt;&gt;"",kokpit!T302,"")</f>
        <v/>
      </c>
      <c r="U302" s="141" t="str">
        <f>IF(R302&lt;&gt;"",SUMIFS('JPK_KR-1'!AL:AL,'JPK_KR-1'!W:W,S302),"")</f>
        <v/>
      </c>
      <c r="V302" s="144" t="str">
        <f>IF(R302&lt;&gt;"",SUMIFS('JPK_KR-1'!AM:AM,'JPK_KR-1'!W:W,S302),"")</f>
        <v/>
      </c>
    </row>
    <row r="303" spans="1:22" x14ac:dyDescent="0.3">
      <c r="A303" s="5" t="str">
        <f>IF(kokpit!A303&lt;&gt;"",kokpit!A303,"")</f>
        <v/>
      </c>
      <c r="B303" s="5" t="str">
        <f>IF(kokpit!B303&lt;&gt;"",kokpit!B303,"")</f>
        <v/>
      </c>
      <c r="C303" s="24" t="str">
        <f>IF(A303&lt;&gt;"",SUMIFS('JPK_KR-1'!AL:AL,'JPK_KR-1'!W:W,B303),"")</f>
        <v/>
      </c>
      <c r="D303" s="126" t="str">
        <f>IF(A303&lt;&gt;"",SUMIFS('JPK_KR-1'!AM:AM,'JPK_KR-1'!W:W,B303),"")</f>
        <v/>
      </c>
      <c r="E303" s="5" t="str">
        <f>IF(kokpit!E303&lt;&gt;"",kokpit!E303,"")</f>
        <v/>
      </c>
      <c r="F303" s="127" t="str">
        <f>IF(kokpit!F303&lt;&gt;"",kokpit!F303,"")</f>
        <v/>
      </c>
      <c r="G303" s="24" t="str">
        <f>IF(E303&lt;&gt;"",SUMIFS('JPK_KR-1'!AL:AL,'JPK_KR-1'!W:W,F303),"")</f>
        <v/>
      </c>
      <c r="H303" s="126" t="str">
        <f>IF(E303&lt;&gt;"",SUMIFS('JPK_KR-1'!AM:AM,'JPK_KR-1'!W:W,F303),"")</f>
        <v/>
      </c>
      <c r="I303" s="5" t="str">
        <f>IF(kokpit!I303&lt;&gt;"",kokpit!I303,"")</f>
        <v/>
      </c>
      <c r="J303" s="5" t="str">
        <f>IF(kokpit!J303&lt;&gt;"",kokpit!J303,"")</f>
        <v/>
      </c>
      <c r="K303" s="24" t="str">
        <f>IF(I303&lt;&gt;"",SUMIFS('JPK_KR-1'!AL:AL,'JPK_KR-1'!W:W,J303),"")</f>
        <v/>
      </c>
      <c r="L303" s="141" t="str">
        <f>IF(I303&lt;&gt;"",SUMIFS('JPK_KR-1'!AM:AM,'JPK_KR-1'!W:W,J303),"")</f>
        <v/>
      </c>
      <c r="M303" s="143" t="str">
        <f>IF(kokpit!M303&lt;&gt;"",kokpit!M303,"")</f>
        <v/>
      </c>
      <c r="N303" s="117" t="str">
        <f>IF(kokpit!N303&lt;&gt;"",kokpit!N303,"")</f>
        <v/>
      </c>
      <c r="O303" s="117" t="str">
        <f>IF(kokpit!O303&lt;&gt;"",kokpit!O303,"")</f>
        <v/>
      </c>
      <c r="P303" s="141" t="str">
        <f>IF(M303&lt;&gt;"",IF(O303="",SUMIFS('JPK_KR-1'!AL:AL,'JPK_KR-1'!W:W,N303),SUMIFS('JPK_KR-1'!BF:BF,'JPK_KR-1'!BE:BE,N303,'JPK_KR-1'!BG:BG,O303)),"")</f>
        <v/>
      </c>
      <c r="Q303" s="144" t="str">
        <f>IF(M303&lt;&gt;"",IF(O303="",SUMIFS('JPK_KR-1'!AM:AM,'JPK_KR-1'!W:W,N303),SUMIFS('JPK_KR-1'!BI:BI,'JPK_KR-1'!BH:BH,N303,'JPK_KR-1'!BJ:BJ,O303)),"")</f>
        <v/>
      </c>
      <c r="R303" s="117" t="str">
        <f>IF(kokpit!R303&lt;&gt;"",kokpit!R303,"")</f>
        <v/>
      </c>
      <c r="S303" s="117" t="str">
        <f>IF(kokpit!S303&lt;&gt;"",kokpit!S303,"")</f>
        <v/>
      </c>
      <c r="T303" s="117" t="str">
        <f>IF(kokpit!T303&lt;&gt;"",kokpit!T303,"")</f>
        <v/>
      </c>
      <c r="U303" s="141" t="str">
        <f>IF(R303&lt;&gt;"",SUMIFS('JPK_KR-1'!AL:AL,'JPK_KR-1'!W:W,S303),"")</f>
        <v/>
      </c>
      <c r="V303" s="144" t="str">
        <f>IF(R303&lt;&gt;"",SUMIFS('JPK_KR-1'!AM:AM,'JPK_KR-1'!W:W,S303),"")</f>
        <v/>
      </c>
    </row>
    <row r="304" spans="1:22" x14ac:dyDescent="0.3">
      <c r="A304" s="5" t="str">
        <f>IF(kokpit!A304&lt;&gt;"",kokpit!A304,"")</f>
        <v/>
      </c>
      <c r="B304" s="5" t="str">
        <f>IF(kokpit!B304&lt;&gt;"",kokpit!B304,"")</f>
        <v/>
      </c>
      <c r="C304" s="24" t="str">
        <f>IF(A304&lt;&gt;"",SUMIFS('JPK_KR-1'!AL:AL,'JPK_KR-1'!W:W,B304),"")</f>
        <v/>
      </c>
      <c r="D304" s="126" t="str">
        <f>IF(A304&lt;&gt;"",SUMIFS('JPK_KR-1'!AM:AM,'JPK_KR-1'!W:W,B304),"")</f>
        <v/>
      </c>
      <c r="E304" s="5" t="str">
        <f>IF(kokpit!E304&lt;&gt;"",kokpit!E304,"")</f>
        <v/>
      </c>
      <c r="F304" s="127" t="str">
        <f>IF(kokpit!F304&lt;&gt;"",kokpit!F304,"")</f>
        <v/>
      </c>
      <c r="G304" s="24" t="str">
        <f>IF(E304&lt;&gt;"",SUMIFS('JPK_KR-1'!AL:AL,'JPK_KR-1'!W:W,F304),"")</f>
        <v/>
      </c>
      <c r="H304" s="126" t="str">
        <f>IF(E304&lt;&gt;"",SUMIFS('JPK_KR-1'!AM:AM,'JPK_KR-1'!W:W,F304),"")</f>
        <v/>
      </c>
      <c r="I304" s="5" t="str">
        <f>IF(kokpit!I304&lt;&gt;"",kokpit!I304,"")</f>
        <v/>
      </c>
      <c r="J304" s="5" t="str">
        <f>IF(kokpit!J304&lt;&gt;"",kokpit!J304,"")</f>
        <v/>
      </c>
      <c r="K304" s="24" t="str">
        <f>IF(I304&lt;&gt;"",SUMIFS('JPK_KR-1'!AL:AL,'JPK_KR-1'!W:W,J304),"")</f>
        <v/>
      </c>
      <c r="L304" s="141" t="str">
        <f>IF(I304&lt;&gt;"",SUMIFS('JPK_KR-1'!AM:AM,'JPK_KR-1'!W:W,J304),"")</f>
        <v/>
      </c>
      <c r="M304" s="143" t="str">
        <f>IF(kokpit!M304&lt;&gt;"",kokpit!M304,"")</f>
        <v/>
      </c>
      <c r="N304" s="117" t="str">
        <f>IF(kokpit!N304&lt;&gt;"",kokpit!N304,"")</f>
        <v/>
      </c>
      <c r="O304" s="117" t="str">
        <f>IF(kokpit!O304&lt;&gt;"",kokpit!O304,"")</f>
        <v/>
      </c>
      <c r="P304" s="141" t="str">
        <f>IF(M304&lt;&gt;"",IF(O304="",SUMIFS('JPK_KR-1'!AL:AL,'JPK_KR-1'!W:W,N304),SUMIFS('JPK_KR-1'!BF:BF,'JPK_KR-1'!BE:BE,N304,'JPK_KR-1'!BG:BG,O304)),"")</f>
        <v/>
      </c>
      <c r="Q304" s="144" t="str">
        <f>IF(M304&lt;&gt;"",IF(O304="",SUMIFS('JPK_KR-1'!AM:AM,'JPK_KR-1'!W:W,N304),SUMIFS('JPK_KR-1'!BI:BI,'JPK_KR-1'!BH:BH,N304,'JPK_KR-1'!BJ:BJ,O304)),"")</f>
        <v/>
      </c>
      <c r="R304" s="117" t="str">
        <f>IF(kokpit!R304&lt;&gt;"",kokpit!R304,"")</f>
        <v/>
      </c>
      <c r="S304" s="117" t="str">
        <f>IF(kokpit!S304&lt;&gt;"",kokpit!S304,"")</f>
        <v/>
      </c>
      <c r="T304" s="117" t="str">
        <f>IF(kokpit!T304&lt;&gt;"",kokpit!T304,"")</f>
        <v/>
      </c>
      <c r="U304" s="141" t="str">
        <f>IF(R304&lt;&gt;"",SUMIFS('JPK_KR-1'!AL:AL,'JPK_KR-1'!W:W,S304),"")</f>
        <v/>
      </c>
      <c r="V304" s="144" t="str">
        <f>IF(R304&lt;&gt;"",SUMIFS('JPK_KR-1'!AM:AM,'JPK_KR-1'!W:W,S304),"")</f>
        <v/>
      </c>
    </row>
    <row r="305" spans="1:22" x14ac:dyDescent="0.3">
      <c r="A305" s="5" t="str">
        <f>IF(kokpit!A305&lt;&gt;"",kokpit!A305,"")</f>
        <v/>
      </c>
      <c r="B305" s="5" t="str">
        <f>IF(kokpit!B305&lt;&gt;"",kokpit!B305,"")</f>
        <v/>
      </c>
      <c r="C305" s="24" t="str">
        <f>IF(A305&lt;&gt;"",SUMIFS('JPK_KR-1'!AL:AL,'JPK_KR-1'!W:W,B305),"")</f>
        <v/>
      </c>
      <c r="D305" s="126" t="str">
        <f>IF(A305&lt;&gt;"",SUMIFS('JPK_KR-1'!AM:AM,'JPK_KR-1'!W:W,B305),"")</f>
        <v/>
      </c>
      <c r="E305" s="5" t="str">
        <f>IF(kokpit!E305&lt;&gt;"",kokpit!E305,"")</f>
        <v/>
      </c>
      <c r="F305" s="127" t="str">
        <f>IF(kokpit!F305&lt;&gt;"",kokpit!F305,"")</f>
        <v/>
      </c>
      <c r="G305" s="24" t="str">
        <f>IF(E305&lt;&gt;"",SUMIFS('JPK_KR-1'!AL:AL,'JPK_KR-1'!W:W,F305),"")</f>
        <v/>
      </c>
      <c r="H305" s="126" t="str">
        <f>IF(E305&lt;&gt;"",SUMIFS('JPK_KR-1'!AM:AM,'JPK_KR-1'!W:W,F305),"")</f>
        <v/>
      </c>
      <c r="I305" s="5" t="str">
        <f>IF(kokpit!I305&lt;&gt;"",kokpit!I305,"")</f>
        <v/>
      </c>
      <c r="J305" s="5" t="str">
        <f>IF(kokpit!J305&lt;&gt;"",kokpit!J305,"")</f>
        <v/>
      </c>
      <c r="K305" s="24" t="str">
        <f>IF(I305&lt;&gt;"",SUMIFS('JPK_KR-1'!AL:AL,'JPK_KR-1'!W:W,J305),"")</f>
        <v/>
      </c>
      <c r="L305" s="141" t="str">
        <f>IF(I305&lt;&gt;"",SUMIFS('JPK_KR-1'!AM:AM,'JPK_KR-1'!W:W,J305),"")</f>
        <v/>
      </c>
      <c r="M305" s="143" t="str">
        <f>IF(kokpit!M305&lt;&gt;"",kokpit!M305,"")</f>
        <v/>
      </c>
      <c r="N305" s="117" t="str">
        <f>IF(kokpit!N305&lt;&gt;"",kokpit!N305,"")</f>
        <v/>
      </c>
      <c r="O305" s="117" t="str">
        <f>IF(kokpit!O305&lt;&gt;"",kokpit!O305,"")</f>
        <v/>
      </c>
      <c r="P305" s="141" t="str">
        <f>IF(M305&lt;&gt;"",IF(O305="",SUMIFS('JPK_KR-1'!AL:AL,'JPK_KR-1'!W:W,N305),SUMIFS('JPK_KR-1'!BF:BF,'JPK_KR-1'!BE:BE,N305,'JPK_KR-1'!BG:BG,O305)),"")</f>
        <v/>
      </c>
      <c r="Q305" s="144" t="str">
        <f>IF(M305&lt;&gt;"",IF(O305="",SUMIFS('JPK_KR-1'!AM:AM,'JPK_KR-1'!W:W,N305),SUMIFS('JPK_KR-1'!BI:BI,'JPK_KR-1'!BH:BH,N305,'JPK_KR-1'!BJ:BJ,O305)),"")</f>
        <v/>
      </c>
      <c r="R305" s="117" t="str">
        <f>IF(kokpit!R305&lt;&gt;"",kokpit!R305,"")</f>
        <v/>
      </c>
      <c r="S305" s="117" t="str">
        <f>IF(kokpit!S305&lt;&gt;"",kokpit!S305,"")</f>
        <v/>
      </c>
      <c r="T305" s="117" t="str">
        <f>IF(kokpit!T305&lt;&gt;"",kokpit!T305,"")</f>
        <v/>
      </c>
      <c r="U305" s="141" t="str">
        <f>IF(R305&lt;&gt;"",SUMIFS('JPK_KR-1'!AL:AL,'JPK_KR-1'!W:W,S305),"")</f>
        <v/>
      </c>
      <c r="V305" s="144" t="str">
        <f>IF(R305&lt;&gt;"",SUMIFS('JPK_KR-1'!AM:AM,'JPK_KR-1'!W:W,S305),"")</f>
        <v/>
      </c>
    </row>
    <row r="306" spans="1:22" x14ac:dyDescent="0.3">
      <c r="A306" s="5" t="str">
        <f>IF(kokpit!A306&lt;&gt;"",kokpit!A306,"")</f>
        <v/>
      </c>
      <c r="B306" s="5" t="str">
        <f>IF(kokpit!B306&lt;&gt;"",kokpit!B306,"")</f>
        <v/>
      </c>
      <c r="C306" s="24" t="str">
        <f>IF(A306&lt;&gt;"",SUMIFS('JPK_KR-1'!AL:AL,'JPK_KR-1'!W:W,B306),"")</f>
        <v/>
      </c>
      <c r="D306" s="126" t="str">
        <f>IF(A306&lt;&gt;"",SUMIFS('JPK_KR-1'!AM:AM,'JPK_KR-1'!W:W,B306),"")</f>
        <v/>
      </c>
      <c r="E306" s="5" t="str">
        <f>IF(kokpit!E306&lt;&gt;"",kokpit!E306,"")</f>
        <v/>
      </c>
      <c r="F306" s="127" t="str">
        <f>IF(kokpit!F306&lt;&gt;"",kokpit!F306,"")</f>
        <v/>
      </c>
      <c r="G306" s="24" t="str">
        <f>IF(E306&lt;&gt;"",SUMIFS('JPK_KR-1'!AL:AL,'JPK_KR-1'!W:W,F306),"")</f>
        <v/>
      </c>
      <c r="H306" s="126" t="str">
        <f>IF(E306&lt;&gt;"",SUMIFS('JPK_KR-1'!AM:AM,'JPK_KR-1'!W:W,F306),"")</f>
        <v/>
      </c>
      <c r="I306" s="5" t="str">
        <f>IF(kokpit!I306&lt;&gt;"",kokpit!I306,"")</f>
        <v/>
      </c>
      <c r="J306" s="5" t="str">
        <f>IF(kokpit!J306&lt;&gt;"",kokpit!J306,"")</f>
        <v/>
      </c>
      <c r="K306" s="24" t="str">
        <f>IF(I306&lt;&gt;"",SUMIFS('JPK_KR-1'!AL:AL,'JPK_KR-1'!W:W,J306),"")</f>
        <v/>
      </c>
      <c r="L306" s="141" t="str">
        <f>IF(I306&lt;&gt;"",SUMIFS('JPK_KR-1'!AM:AM,'JPK_KR-1'!W:W,J306),"")</f>
        <v/>
      </c>
      <c r="M306" s="143" t="str">
        <f>IF(kokpit!M306&lt;&gt;"",kokpit!M306,"")</f>
        <v/>
      </c>
      <c r="N306" s="117" t="str">
        <f>IF(kokpit!N306&lt;&gt;"",kokpit!N306,"")</f>
        <v/>
      </c>
      <c r="O306" s="117" t="str">
        <f>IF(kokpit!O306&lt;&gt;"",kokpit!O306,"")</f>
        <v/>
      </c>
      <c r="P306" s="141" t="str">
        <f>IF(M306&lt;&gt;"",IF(O306="",SUMIFS('JPK_KR-1'!AL:AL,'JPK_KR-1'!W:W,N306),SUMIFS('JPK_KR-1'!BF:BF,'JPK_KR-1'!BE:BE,N306,'JPK_KR-1'!BG:BG,O306)),"")</f>
        <v/>
      </c>
      <c r="Q306" s="144" t="str">
        <f>IF(M306&lt;&gt;"",IF(O306="",SUMIFS('JPK_KR-1'!AM:AM,'JPK_KR-1'!W:W,N306),SUMIFS('JPK_KR-1'!BI:BI,'JPK_KR-1'!BH:BH,N306,'JPK_KR-1'!BJ:BJ,O306)),"")</f>
        <v/>
      </c>
      <c r="R306" s="117" t="str">
        <f>IF(kokpit!R306&lt;&gt;"",kokpit!R306,"")</f>
        <v/>
      </c>
      <c r="S306" s="117" t="str">
        <f>IF(kokpit!S306&lt;&gt;"",kokpit!S306,"")</f>
        <v/>
      </c>
      <c r="T306" s="117" t="str">
        <f>IF(kokpit!T306&lt;&gt;"",kokpit!T306,"")</f>
        <v/>
      </c>
      <c r="U306" s="141" t="str">
        <f>IF(R306&lt;&gt;"",SUMIFS('JPK_KR-1'!AL:AL,'JPK_KR-1'!W:W,S306),"")</f>
        <v/>
      </c>
      <c r="V306" s="144" t="str">
        <f>IF(R306&lt;&gt;"",SUMIFS('JPK_KR-1'!AM:AM,'JPK_KR-1'!W:W,S306),"")</f>
        <v/>
      </c>
    </row>
    <row r="307" spans="1:22" x14ac:dyDescent="0.3">
      <c r="A307" s="5" t="str">
        <f>IF(kokpit!A307&lt;&gt;"",kokpit!A307,"")</f>
        <v/>
      </c>
      <c r="B307" s="5" t="str">
        <f>IF(kokpit!B307&lt;&gt;"",kokpit!B307,"")</f>
        <v/>
      </c>
      <c r="C307" s="24" t="str">
        <f>IF(A307&lt;&gt;"",SUMIFS('JPK_KR-1'!AL:AL,'JPK_KR-1'!W:W,B307),"")</f>
        <v/>
      </c>
      <c r="D307" s="126" t="str">
        <f>IF(A307&lt;&gt;"",SUMIFS('JPK_KR-1'!AM:AM,'JPK_KR-1'!W:W,B307),"")</f>
        <v/>
      </c>
      <c r="E307" s="5" t="str">
        <f>IF(kokpit!E307&lt;&gt;"",kokpit!E307,"")</f>
        <v/>
      </c>
      <c r="F307" s="127" t="str">
        <f>IF(kokpit!F307&lt;&gt;"",kokpit!F307,"")</f>
        <v/>
      </c>
      <c r="G307" s="24" t="str">
        <f>IF(E307&lt;&gt;"",SUMIFS('JPK_KR-1'!AL:AL,'JPK_KR-1'!W:W,F307),"")</f>
        <v/>
      </c>
      <c r="H307" s="126" t="str">
        <f>IF(E307&lt;&gt;"",SUMIFS('JPK_KR-1'!AM:AM,'JPK_KR-1'!W:W,F307),"")</f>
        <v/>
      </c>
      <c r="I307" s="5" t="str">
        <f>IF(kokpit!I307&lt;&gt;"",kokpit!I307,"")</f>
        <v/>
      </c>
      <c r="J307" s="5" t="str">
        <f>IF(kokpit!J307&lt;&gt;"",kokpit!J307,"")</f>
        <v/>
      </c>
      <c r="K307" s="24" t="str">
        <f>IF(I307&lt;&gt;"",SUMIFS('JPK_KR-1'!AL:AL,'JPK_KR-1'!W:W,J307),"")</f>
        <v/>
      </c>
      <c r="L307" s="141" t="str">
        <f>IF(I307&lt;&gt;"",SUMIFS('JPK_KR-1'!AM:AM,'JPK_KR-1'!W:W,J307),"")</f>
        <v/>
      </c>
      <c r="M307" s="143" t="str">
        <f>IF(kokpit!M307&lt;&gt;"",kokpit!M307,"")</f>
        <v/>
      </c>
      <c r="N307" s="117" t="str">
        <f>IF(kokpit!N307&lt;&gt;"",kokpit!N307,"")</f>
        <v/>
      </c>
      <c r="O307" s="117" t="str">
        <f>IF(kokpit!O307&lt;&gt;"",kokpit!O307,"")</f>
        <v/>
      </c>
      <c r="P307" s="141" t="str">
        <f>IF(M307&lt;&gt;"",IF(O307="",SUMIFS('JPK_KR-1'!AL:AL,'JPK_KR-1'!W:W,N307),SUMIFS('JPK_KR-1'!BF:BF,'JPK_KR-1'!BE:BE,N307,'JPK_KR-1'!BG:BG,O307)),"")</f>
        <v/>
      </c>
      <c r="Q307" s="144" t="str">
        <f>IF(M307&lt;&gt;"",IF(O307="",SUMIFS('JPK_KR-1'!AM:AM,'JPK_KR-1'!W:W,N307),SUMIFS('JPK_KR-1'!BI:BI,'JPK_KR-1'!BH:BH,N307,'JPK_KR-1'!BJ:BJ,O307)),"")</f>
        <v/>
      </c>
      <c r="R307" s="117" t="str">
        <f>IF(kokpit!R307&lt;&gt;"",kokpit!R307,"")</f>
        <v/>
      </c>
      <c r="S307" s="117" t="str">
        <f>IF(kokpit!S307&lt;&gt;"",kokpit!S307,"")</f>
        <v/>
      </c>
      <c r="T307" s="117" t="str">
        <f>IF(kokpit!T307&lt;&gt;"",kokpit!T307,"")</f>
        <v/>
      </c>
      <c r="U307" s="141" t="str">
        <f>IF(R307&lt;&gt;"",SUMIFS('JPK_KR-1'!AL:AL,'JPK_KR-1'!W:W,S307),"")</f>
        <v/>
      </c>
      <c r="V307" s="144" t="str">
        <f>IF(R307&lt;&gt;"",SUMIFS('JPK_KR-1'!AM:AM,'JPK_KR-1'!W:W,S307),"")</f>
        <v/>
      </c>
    </row>
    <row r="308" spans="1:22" x14ac:dyDescent="0.3">
      <c r="A308" s="5" t="str">
        <f>IF(kokpit!A308&lt;&gt;"",kokpit!A308,"")</f>
        <v/>
      </c>
      <c r="B308" s="5" t="str">
        <f>IF(kokpit!B308&lt;&gt;"",kokpit!B308,"")</f>
        <v/>
      </c>
      <c r="C308" s="24" t="str">
        <f>IF(A308&lt;&gt;"",SUMIFS('JPK_KR-1'!AL:AL,'JPK_KR-1'!W:W,B308),"")</f>
        <v/>
      </c>
      <c r="D308" s="126" t="str">
        <f>IF(A308&lt;&gt;"",SUMIFS('JPK_KR-1'!AM:AM,'JPK_KR-1'!W:W,B308),"")</f>
        <v/>
      </c>
      <c r="E308" s="5" t="str">
        <f>IF(kokpit!E308&lt;&gt;"",kokpit!E308,"")</f>
        <v/>
      </c>
      <c r="F308" s="127" t="str">
        <f>IF(kokpit!F308&lt;&gt;"",kokpit!F308,"")</f>
        <v/>
      </c>
      <c r="G308" s="24" t="str">
        <f>IF(E308&lt;&gt;"",SUMIFS('JPK_KR-1'!AL:AL,'JPK_KR-1'!W:W,F308),"")</f>
        <v/>
      </c>
      <c r="H308" s="126" t="str">
        <f>IF(E308&lt;&gt;"",SUMIFS('JPK_KR-1'!AM:AM,'JPK_KR-1'!W:W,F308),"")</f>
        <v/>
      </c>
      <c r="I308" s="5" t="str">
        <f>IF(kokpit!I308&lt;&gt;"",kokpit!I308,"")</f>
        <v/>
      </c>
      <c r="J308" s="5" t="str">
        <f>IF(kokpit!J308&lt;&gt;"",kokpit!J308,"")</f>
        <v/>
      </c>
      <c r="K308" s="24" t="str">
        <f>IF(I308&lt;&gt;"",SUMIFS('JPK_KR-1'!AL:AL,'JPK_KR-1'!W:W,J308),"")</f>
        <v/>
      </c>
      <c r="L308" s="141" t="str">
        <f>IF(I308&lt;&gt;"",SUMIFS('JPK_KR-1'!AM:AM,'JPK_KR-1'!W:W,J308),"")</f>
        <v/>
      </c>
      <c r="M308" s="143" t="str">
        <f>IF(kokpit!M308&lt;&gt;"",kokpit!M308,"")</f>
        <v/>
      </c>
      <c r="N308" s="117" t="str">
        <f>IF(kokpit!N308&lt;&gt;"",kokpit!N308,"")</f>
        <v/>
      </c>
      <c r="O308" s="117" t="str">
        <f>IF(kokpit!O308&lt;&gt;"",kokpit!O308,"")</f>
        <v/>
      </c>
      <c r="P308" s="141" t="str">
        <f>IF(M308&lt;&gt;"",IF(O308="",SUMIFS('JPK_KR-1'!AL:AL,'JPK_KR-1'!W:W,N308),SUMIFS('JPK_KR-1'!BF:BF,'JPK_KR-1'!BE:BE,N308,'JPK_KR-1'!BG:BG,O308)),"")</f>
        <v/>
      </c>
      <c r="Q308" s="144" t="str">
        <f>IF(M308&lt;&gt;"",IF(O308="",SUMIFS('JPK_KR-1'!AM:AM,'JPK_KR-1'!W:W,N308),SUMIFS('JPK_KR-1'!BI:BI,'JPK_KR-1'!BH:BH,N308,'JPK_KR-1'!BJ:BJ,O308)),"")</f>
        <v/>
      </c>
      <c r="R308" s="117" t="str">
        <f>IF(kokpit!R308&lt;&gt;"",kokpit!R308,"")</f>
        <v/>
      </c>
      <c r="S308" s="117" t="str">
        <f>IF(kokpit!S308&lt;&gt;"",kokpit!S308,"")</f>
        <v/>
      </c>
      <c r="T308" s="117" t="str">
        <f>IF(kokpit!T308&lt;&gt;"",kokpit!T308,"")</f>
        <v/>
      </c>
      <c r="U308" s="141" t="str">
        <f>IF(R308&lt;&gt;"",SUMIFS('JPK_KR-1'!AL:AL,'JPK_KR-1'!W:W,S308),"")</f>
        <v/>
      </c>
      <c r="V308" s="144" t="str">
        <f>IF(R308&lt;&gt;"",SUMIFS('JPK_KR-1'!AM:AM,'JPK_KR-1'!W:W,S308),"")</f>
        <v/>
      </c>
    </row>
    <row r="309" spans="1:22" x14ac:dyDescent="0.3">
      <c r="A309" s="5" t="str">
        <f>IF(kokpit!A309&lt;&gt;"",kokpit!A309,"")</f>
        <v/>
      </c>
      <c r="B309" s="5" t="str">
        <f>IF(kokpit!B309&lt;&gt;"",kokpit!B309,"")</f>
        <v/>
      </c>
      <c r="C309" s="24" t="str">
        <f>IF(A309&lt;&gt;"",SUMIFS('JPK_KR-1'!AL:AL,'JPK_KR-1'!W:W,B309),"")</f>
        <v/>
      </c>
      <c r="D309" s="126" t="str">
        <f>IF(A309&lt;&gt;"",SUMIFS('JPK_KR-1'!AM:AM,'JPK_KR-1'!W:W,B309),"")</f>
        <v/>
      </c>
      <c r="E309" s="5" t="str">
        <f>IF(kokpit!E309&lt;&gt;"",kokpit!E309,"")</f>
        <v/>
      </c>
      <c r="F309" s="127" t="str">
        <f>IF(kokpit!F309&lt;&gt;"",kokpit!F309,"")</f>
        <v/>
      </c>
      <c r="G309" s="24" t="str">
        <f>IF(E309&lt;&gt;"",SUMIFS('JPK_KR-1'!AL:AL,'JPK_KR-1'!W:W,F309),"")</f>
        <v/>
      </c>
      <c r="H309" s="126" t="str">
        <f>IF(E309&lt;&gt;"",SUMIFS('JPK_KR-1'!AM:AM,'JPK_KR-1'!W:W,F309),"")</f>
        <v/>
      </c>
      <c r="I309" s="5" t="str">
        <f>IF(kokpit!I309&lt;&gt;"",kokpit!I309,"")</f>
        <v/>
      </c>
      <c r="J309" s="5" t="str">
        <f>IF(kokpit!J309&lt;&gt;"",kokpit!J309,"")</f>
        <v/>
      </c>
      <c r="K309" s="24" t="str">
        <f>IF(I309&lt;&gt;"",SUMIFS('JPK_KR-1'!AL:AL,'JPK_KR-1'!W:W,J309),"")</f>
        <v/>
      </c>
      <c r="L309" s="141" t="str">
        <f>IF(I309&lt;&gt;"",SUMIFS('JPK_KR-1'!AM:AM,'JPK_KR-1'!W:W,J309),"")</f>
        <v/>
      </c>
      <c r="M309" s="143" t="str">
        <f>IF(kokpit!M309&lt;&gt;"",kokpit!M309,"")</f>
        <v/>
      </c>
      <c r="N309" s="117" t="str">
        <f>IF(kokpit!N309&lt;&gt;"",kokpit!N309,"")</f>
        <v/>
      </c>
      <c r="O309" s="117" t="str">
        <f>IF(kokpit!O309&lt;&gt;"",kokpit!O309,"")</f>
        <v/>
      </c>
      <c r="P309" s="141" t="str">
        <f>IF(M309&lt;&gt;"",IF(O309="",SUMIFS('JPK_KR-1'!AL:AL,'JPK_KR-1'!W:W,N309),SUMIFS('JPK_KR-1'!BF:BF,'JPK_KR-1'!BE:BE,N309,'JPK_KR-1'!BG:BG,O309)),"")</f>
        <v/>
      </c>
      <c r="Q309" s="144" t="str">
        <f>IF(M309&lt;&gt;"",IF(O309="",SUMIFS('JPK_KR-1'!AM:AM,'JPK_KR-1'!W:W,N309),SUMIFS('JPK_KR-1'!BI:BI,'JPK_KR-1'!BH:BH,N309,'JPK_KR-1'!BJ:BJ,O309)),"")</f>
        <v/>
      </c>
      <c r="R309" s="117" t="str">
        <f>IF(kokpit!R309&lt;&gt;"",kokpit!R309,"")</f>
        <v/>
      </c>
      <c r="S309" s="117" t="str">
        <f>IF(kokpit!S309&lt;&gt;"",kokpit!S309,"")</f>
        <v/>
      </c>
      <c r="T309" s="117" t="str">
        <f>IF(kokpit!T309&lt;&gt;"",kokpit!T309,"")</f>
        <v/>
      </c>
      <c r="U309" s="141" t="str">
        <f>IF(R309&lt;&gt;"",SUMIFS('JPK_KR-1'!AL:AL,'JPK_KR-1'!W:W,S309),"")</f>
        <v/>
      </c>
      <c r="V309" s="144" t="str">
        <f>IF(R309&lt;&gt;"",SUMIFS('JPK_KR-1'!AM:AM,'JPK_KR-1'!W:W,S309),"")</f>
        <v/>
      </c>
    </row>
    <row r="310" spans="1:22" x14ac:dyDescent="0.3">
      <c r="A310" s="5" t="str">
        <f>IF(kokpit!A310&lt;&gt;"",kokpit!A310,"")</f>
        <v/>
      </c>
      <c r="B310" s="5" t="str">
        <f>IF(kokpit!B310&lt;&gt;"",kokpit!B310,"")</f>
        <v/>
      </c>
      <c r="C310" s="24" t="str">
        <f>IF(A310&lt;&gt;"",SUMIFS('JPK_KR-1'!AL:AL,'JPK_KR-1'!W:W,B310),"")</f>
        <v/>
      </c>
      <c r="D310" s="126" t="str">
        <f>IF(A310&lt;&gt;"",SUMIFS('JPK_KR-1'!AM:AM,'JPK_KR-1'!W:W,B310),"")</f>
        <v/>
      </c>
      <c r="E310" s="5" t="str">
        <f>IF(kokpit!E310&lt;&gt;"",kokpit!E310,"")</f>
        <v/>
      </c>
      <c r="F310" s="127" t="str">
        <f>IF(kokpit!F310&lt;&gt;"",kokpit!F310,"")</f>
        <v/>
      </c>
      <c r="G310" s="24" t="str">
        <f>IF(E310&lt;&gt;"",SUMIFS('JPK_KR-1'!AL:AL,'JPK_KR-1'!W:W,F310),"")</f>
        <v/>
      </c>
      <c r="H310" s="126" t="str">
        <f>IF(E310&lt;&gt;"",SUMIFS('JPK_KR-1'!AM:AM,'JPK_KR-1'!W:W,F310),"")</f>
        <v/>
      </c>
      <c r="I310" s="5" t="str">
        <f>IF(kokpit!I310&lt;&gt;"",kokpit!I310,"")</f>
        <v/>
      </c>
      <c r="J310" s="5" t="str">
        <f>IF(kokpit!J310&lt;&gt;"",kokpit!J310,"")</f>
        <v/>
      </c>
      <c r="K310" s="24" t="str">
        <f>IF(I310&lt;&gt;"",SUMIFS('JPK_KR-1'!AL:AL,'JPK_KR-1'!W:W,J310),"")</f>
        <v/>
      </c>
      <c r="L310" s="141" t="str">
        <f>IF(I310&lt;&gt;"",SUMIFS('JPK_KR-1'!AM:AM,'JPK_KR-1'!W:W,J310),"")</f>
        <v/>
      </c>
      <c r="M310" s="143" t="str">
        <f>IF(kokpit!M310&lt;&gt;"",kokpit!M310,"")</f>
        <v/>
      </c>
      <c r="N310" s="117" t="str">
        <f>IF(kokpit!N310&lt;&gt;"",kokpit!N310,"")</f>
        <v/>
      </c>
      <c r="O310" s="117" t="str">
        <f>IF(kokpit!O310&lt;&gt;"",kokpit!O310,"")</f>
        <v/>
      </c>
      <c r="P310" s="141" t="str">
        <f>IF(M310&lt;&gt;"",IF(O310="",SUMIFS('JPK_KR-1'!AL:AL,'JPK_KR-1'!W:W,N310),SUMIFS('JPK_KR-1'!BF:BF,'JPK_KR-1'!BE:BE,N310,'JPK_KR-1'!BG:BG,O310)),"")</f>
        <v/>
      </c>
      <c r="Q310" s="144" t="str">
        <f>IF(M310&lt;&gt;"",IF(O310="",SUMIFS('JPK_KR-1'!AM:AM,'JPK_KR-1'!W:W,N310),SUMIFS('JPK_KR-1'!BI:BI,'JPK_KR-1'!BH:BH,N310,'JPK_KR-1'!BJ:BJ,O310)),"")</f>
        <v/>
      </c>
      <c r="R310" s="117" t="str">
        <f>IF(kokpit!R310&lt;&gt;"",kokpit!R310,"")</f>
        <v/>
      </c>
      <c r="S310" s="117" t="str">
        <f>IF(kokpit!S310&lt;&gt;"",kokpit!S310,"")</f>
        <v/>
      </c>
      <c r="T310" s="117" t="str">
        <f>IF(kokpit!T310&lt;&gt;"",kokpit!T310,"")</f>
        <v/>
      </c>
      <c r="U310" s="141" t="str">
        <f>IF(R310&lt;&gt;"",SUMIFS('JPK_KR-1'!AL:AL,'JPK_KR-1'!W:W,S310),"")</f>
        <v/>
      </c>
      <c r="V310" s="144" t="str">
        <f>IF(R310&lt;&gt;"",SUMIFS('JPK_KR-1'!AM:AM,'JPK_KR-1'!W:W,S310),"")</f>
        <v/>
      </c>
    </row>
    <row r="311" spans="1:22" x14ac:dyDescent="0.3">
      <c r="A311" s="5" t="str">
        <f>IF(kokpit!A311&lt;&gt;"",kokpit!A311,"")</f>
        <v/>
      </c>
      <c r="B311" s="5" t="str">
        <f>IF(kokpit!B311&lt;&gt;"",kokpit!B311,"")</f>
        <v/>
      </c>
      <c r="C311" s="24" t="str">
        <f>IF(A311&lt;&gt;"",SUMIFS('JPK_KR-1'!AL:AL,'JPK_KR-1'!W:W,B311),"")</f>
        <v/>
      </c>
      <c r="D311" s="126" t="str">
        <f>IF(A311&lt;&gt;"",SUMIFS('JPK_KR-1'!AM:AM,'JPK_KR-1'!W:W,B311),"")</f>
        <v/>
      </c>
      <c r="E311" s="5" t="str">
        <f>IF(kokpit!E311&lt;&gt;"",kokpit!E311,"")</f>
        <v/>
      </c>
      <c r="F311" s="127" t="str">
        <f>IF(kokpit!F311&lt;&gt;"",kokpit!F311,"")</f>
        <v/>
      </c>
      <c r="G311" s="24" t="str">
        <f>IF(E311&lt;&gt;"",SUMIFS('JPK_KR-1'!AL:AL,'JPK_KR-1'!W:W,F311),"")</f>
        <v/>
      </c>
      <c r="H311" s="126" t="str">
        <f>IF(E311&lt;&gt;"",SUMIFS('JPK_KR-1'!AM:AM,'JPK_KR-1'!W:W,F311),"")</f>
        <v/>
      </c>
      <c r="I311" s="5" t="str">
        <f>IF(kokpit!I311&lt;&gt;"",kokpit!I311,"")</f>
        <v/>
      </c>
      <c r="J311" s="5" t="str">
        <f>IF(kokpit!J311&lt;&gt;"",kokpit!J311,"")</f>
        <v/>
      </c>
      <c r="K311" s="24" t="str">
        <f>IF(I311&lt;&gt;"",SUMIFS('JPK_KR-1'!AL:AL,'JPK_KR-1'!W:W,J311),"")</f>
        <v/>
      </c>
      <c r="L311" s="141" t="str">
        <f>IF(I311&lt;&gt;"",SUMIFS('JPK_KR-1'!AM:AM,'JPK_KR-1'!W:W,J311),"")</f>
        <v/>
      </c>
      <c r="M311" s="143" t="str">
        <f>IF(kokpit!M311&lt;&gt;"",kokpit!M311,"")</f>
        <v/>
      </c>
      <c r="N311" s="117" t="str">
        <f>IF(kokpit!N311&lt;&gt;"",kokpit!N311,"")</f>
        <v/>
      </c>
      <c r="O311" s="117" t="str">
        <f>IF(kokpit!O311&lt;&gt;"",kokpit!O311,"")</f>
        <v/>
      </c>
      <c r="P311" s="141" t="str">
        <f>IF(M311&lt;&gt;"",IF(O311="",SUMIFS('JPK_KR-1'!AL:AL,'JPK_KR-1'!W:W,N311),SUMIFS('JPK_KR-1'!BF:BF,'JPK_KR-1'!BE:BE,N311,'JPK_KR-1'!BG:BG,O311)),"")</f>
        <v/>
      </c>
      <c r="Q311" s="144" t="str">
        <f>IF(M311&lt;&gt;"",IF(O311="",SUMIFS('JPK_KR-1'!AM:AM,'JPK_KR-1'!W:W,N311),SUMIFS('JPK_KR-1'!BI:BI,'JPK_KR-1'!BH:BH,N311,'JPK_KR-1'!BJ:BJ,O311)),"")</f>
        <v/>
      </c>
      <c r="R311" s="117" t="str">
        <f>IF(kokpit!R311&lt;&gt;"",kokpit!R311,"")</f>
        <v/>
      </c>
      <c r="S311" s="117" t="str">
        <f>IF(kokpit!S311&lt;&gt;"",kokpit!S311,"")</f>
        <v/>
      </c>
      <c r="T311" s="117" t="str">
        <f>IF(kokpit!T311&lt;&gt;"",kokpit!T311,"")</f>
        <v/>
      </c>
      <c r="U311" s="141" t="str">
        <f>IF(R311&lt;&gt;"",SUMIFS('JPK_KR-1'!AL:AL,'JPK_KR-1'!W:W,S311),"")</f>
        <v/>
      </c>
      <c r="V311" s="144" t="str">
        <f>IF(R311&lt;&gt;"",SUMIFS('JPK_KR-1'!AM:AM,'JPK_KR-1'!W:W,S311),"")</f>
        <v/>
      </c>
    </row>
    <row r="312" spans="1:22" x14ac:dyDescent="0.3">
      <c r="A312" s="5" t="str">
        <f>IF(kokpit!A312&lt;&gt;"",kokpit!A312,"")</f>
        <v/>
      </c>
      <c r="B312" s="5" t="str">
        <f>IF(kokpit!B312&lt;&gt;"",kokpit!B312,"")</f>
        <v/>
      </c>
      <c r="C312" s="24" t="str">
        <f>IF(A312&lt;&gt;"",SUMIFS('JPK_KR-1'!AL:AL,'JPK_KR-1'!W:W,B312),"")</f>
        <v/>
      </c>
      <c r="D312" s="126" t="str">
        <f>IF(A312&lt;&gt;"",SUMIFS('JPK_KR-1'!AM:AM,'JPK_KR-1'!W:W,B312),"")</f>
        <v/>
      </c>
      <c r="E312" s="5" t="str">
        <f>IF(kokpit!E312&lt;&gt;"",kokpit!E312,"")</f>
        <v/>
      </c>
      <c r="F312" s="127" t="str">
        <f>IF(kokpit!F312&lt;&gt;"",kokpit!F312,"")</f>
        <v/>
      </c>
      <c r="G312" s="24" t="str">
        <f>IF(E312&lt;&gt;"",SUMIFS('JPK_KR-1'!AL:AL,'JPK_KR-1'!W:W,F312),"")</f>
        <v/>
      </c>
      <c r="H312" s="126" t="str">
        <f>IF(E312&lt;&gt;"",SUMIFS('JPK_KR-1'!AM:AM,'JPK_KR-1'!W:W,F312),"")</f>
        <v/>
      </c>
      <c r="I312" s="5" t="str">
        <f>IF(kokpit!I312&lt;&gt;"",kokpit!I312,"")</f>
        <v/>
      </c>
      <c r="J312" s="5" t="str">
        <f>IF(kokpit!J312&lt;&gt;"",kokpit!J312,"")</f>
        <v/>
      </c>
      <c r="K312" s="24" t="str">
        <f>IF(I312&lt;&gt;"",SUMIFS('JPK_KR-1'!AL:AL,'JPK_KR-1'!W:W,J312),"")</f>
        <v/>
      </c>
      <c r="L312" s="141" t="str">
        <f>IF(I312&lt;&gt;"",SUMIFS('JPK_KR-1'!AM:AM,'JPK_KR-1'!W:W,J312),"")</f>
        <v/>
      </c>
      <c r="M312" s="143" t="str">
        <f>IF(kokpit!M312&lt;&gt;"",kokpit!M312,"")</f>
        <v/>
      </c>
      <c r="N312" s="117" t="str">
        <f>IF(kokpit!N312&lt;&gt;"",kokpit!N312,"")</f>
        <v/>
      </c>
      <c r="O312" s="117" t="str">
        <f>IF(kokpit!O312&lt;&gt;"",kokpit!O312,"")</f>
        <v/>
      </c>
      <c r="P312" s="141" t="str">
        <f>IF(M312&lt;&gt;"",IF(O312="",SUMIFS('JPK_KR-1'!AL:AL,'JPK_KR-1'!W:W,N312),SUMIFS('JPK_KR-1'!BF:BF,'JPK_KR-1'!BE:BE,N312,'JPK_KR-1'!BG:BG,O312)),"")</f>
        <v/>
      </c>
      <c r="Q312" s="144" t="str">
        <f>IF(M312&lt;&gt;"",IF(O312="",SUMIFS('JPK_KR-1'!AM:AM,'JPK_KR-1'!W:W,N312),SUMIFS('JPK_KR-1'!BI:BI,'JPK_KR-1'!BH:BH,N312,'JPK_KR-1'!BJ:BJ,O312)),"")</f>
        <v/>
      </c>
      <c r="R312" s="117" t="str">
        <f>IF(kokpit!R312&lt;&gt;"",kokpit!R312,"")</f>
        <v/>
      </c>
      <c r="S312" s="117" t="str">
        <f>IF(kokpit!S312&lt;&gt;"",kokpit!S312,"")</f>
        <v/>
      </c>
      <c r="T312" s="117" t="str">
        <f>IF(kokpit!T312&lt;&gt;"",kokpit!T312,"")</f>
        <v/>
      </c>
      <c r="U312" s="141" t="str">
        <f>IF(R312&lt;&gt;"",SUMIFS('JPK_KR-1'!AL:AL,'JPK_KR-1'!W:W,S312),"")</f>
        <v/>
      </c>
      <c r="V312" s="144" t="str">
        <f>IF(R312&lt;&gt;"",SUMIFS('JPK_KR-1'!AM:AM,'JPK_KR-1'!W:W,S312),"")</f>
        <v/>
      </c>
    </row>
    <row r="313" spans="1:22" x14ac:dyDescent="0.3">
      <c r="A313" s="5" t="str">
        <f>IF(kokpit!A313&lt;&gt;"",kokpit!A313,"")</f>
        <v/>
      </c>
      <c r="B313" s="5" t="str">
        <f>IF(kokpit!B313&lt;&gt;"",kokpit!B313,"")</f>
        <v/>
      </c>
      <c r="C313" s="24" t="str">
        <f>IF(A313&lt;&gt;"",SUMIFS('JPK_KR-1'!AL:AL,'JPK_KR-1'!W:W,B313),"")</f>
        <v/>
      </c>
      <c r="D313" s="126" t="str">
        <f>IF(A313&lt;&gt;"",SUMIFS('JPK_KR-1'!AM:AM,'JPK_KR-1'!W:W,B313),"")</f>
        <v/>
      </c>
      <c r="E313" s="5" t="str">
        <f>IF(kokpit!E313&lt;&gt;"",kokpit!E313,"")</f>
        <v/>
      </c>
      <c r="F313" s="127" t="str">
        <f>IF(kokpit!F313&lt;&gt;"",kokpit!F313,"")</f>
        <v/>
      </c>
      <c r="G313" s="24" t="str">
        <f>IF(E313&lt;&gt;"",SUMIFS('JPK_KR-1'!AL:AL,'JPK_KR-1'!W:W,F313),"")</f>
        <v/>
      </c>
      <c r="H313" s="126" t="str">
        <f>IF(E313&lt;&gt;"",SUMIFS('JPK_KR-1'!AM:AM,'JPK_KR-1'!W:W,F313),"")</f>
        <v/>
      </c>
      <c r="I313" s="5" t="str">
        <f>IF(kokpit!I313&lt;&gt;"",kokpit!I313,"")</f>
        <v/>
      </c>
      <c r="J313" s="5" t="str">
        <f>IF(kokpit!J313&lt;&gt;"",kokpit!J313,"")</f>
        <v/>
      </c>
      <c r="K313" s="24" t="str">
        <f>IF(I313&lt;&gt;"",SUMIFS('JPK_KR-1'!AL:AL,'JPK_KR-1'!W:W,J313),"")</f>
        <v/>
      </c>
      <c r="L313" s="141" t="str">
        <f>IF(I313&lt;&gt;"",SUMIFS('JPK_KR-1'!AM:AM,'JPK_KR-1'!W:W,J313),"")</f>
        <v/>
      </c>
      <c r="M313" s="143" t="str">
        <f>IF(kokpit!M313&lt;&gt;"",kokpit!M313,"")</f>
        <v/>
      </c>
      <c r="N313" s="117" t="str">
        <f>IF(kokpit!N313&lt;&gt;"",kokpit!N313,"")</f>
        <v/>
      </c>
      <c r="O313" s="117" t="str">
        <f>IF(kokpit!O313&lt;&gt;"",kokpit!O313,"")</f>
        <v/>
      </c>
      <c r="P313" s="141" t="str">
        <f>IF(M313&lt;&gt;"",IF(O313="",SUMIFS('JPK_KR-1'!AL:AL,'JPK_KR-1'!W:W,N313),SUMIFS('JPK_KR-1'!BF:BF,'JPK_KR-1'!BE:BE,N313,'JPK_KR-1'!BG:BG,O313)),"")</f>
        <v/>
      </c>
      <c r="Q313" s="144" t="str">
        <f>IF(M313&lt;&gt;"",IF(O313="",SUMIFS('JPK_KR-1'!AM:AM,'JPK_KR-1'!W:W,N313),SUMIFS('JPK_KR-1'!BI:BI,'JPK_KR-1'!BH:BH,N313,'JPK_KR-1'!BJ:BJ,O313)),"")</f>
        <v/>
      </c>
      <c r="R313" s="117" t="str">
        <f>IF(kokpit!R313&lt;&gt;"",kokpit!R313,"")</f>
        <v/>
      </c>
      <c r="S313" s="117" t="str">
        <f>IF(kokpit!S313&lt;&gt;"",kokpit!S313,"")</f>
        <v/>
      </c>
      <c r="T313" s="117" t="str">
        <f>IF(kokpit!T313&lt;&gt;"",kokpit!T313,"")</f>
        <v/>
      </c>
      <c r="U313" s="141" t="str">
        <f>IF(R313&lt;&gt;"",SUMIFS('JPK_KR-1'!AL:AL,'JPK_KR-1'!W:W,S313),"")</f>
        <v/>
      </c>
      <c r="V313" s="144" t="str">
        <f>IF(R313&lt;&gt;"",SUMIFS('JPK_KR-1'!AM:AM,'JPK_KR-1'!W:W,S313),"")</f>
        <v/>
      </c>
    </row>
    <row r="314" spans="1:22" x14ac:dyDescent="0.3">
      <c r="A314" s="5" t="str">
        <f>IF(kokpit!A314&lt;&gt;"",kokpit!A314,"")</f>
        <v/>
      </c>
      <c r="B314" s="5" t="str">
        <f>IF(kokpit!B314&lt;&gt;"",kokpit!B314,"")</f>
        <v/>
      </c>
      <c r="C314" s="24" t="str">
        <f>IF(A314&lt;&gt;"",SUMIFS('JPK_KR-1'!AL:AL,'JPK_KR-1'!W:W,B314),"")</f>
        <v/>
      </c>
      <c r="D314" s="126" t="str">
        <f>IF(A314&lt;&gt;"",SUMIFS('JPK_KR-1'!AM:AM,'JPK_KR-1'!W:W,B314),"")</f>
        <v/>
      </c>
      <c r="E314" s="5" t="str">
        <f>IF(kokpit!E314&lt;&gt;"",kokpit!E314,"")</f>
        <v/>
      </c>
      <c r="F314" s="127" t="str">
        <f>IF(kokpit!F314&lt;&gt;"",kokpit!F314,"")</f>
        <v/>
      </c>
      <c r="G314" s="24" t="str">
        <f>IF(E314&lt;&gt;"",SUMIFS('JPK_KR-1'!AL:AL,'JPK_KR-1'!W:W,F314),"")</f>
        <v/>
      </c>
      <c r="H314" s="126" t="str">
        <f>IF(E314&lt;&gt;"",SUMIFS('JPK_KR-1'!AM:AM,'JPK_KR-1'!W:W,F314),"")</f>
        <v/>
      </c>
      <c r="I314" s="5" t="str">
        <f>IF(kokpit!I314&lt;&gt;"",kokpit!I314,"")</f>
        <v/>
      </c>
      <c r="J314" s="5" t="str">
        <f>IF(kokpit!J314&lt;&gt;"",kokpit!J314,"")</f>
        <v/>
      </c>
      <c r="K314" s="24" t="str">
        <f>IF(I314&lt;&gt;"",SUMIFS('JPK_KR-1'!AL:AL,'JPK_KR-1'!W:W,J314),"")</f>
        <v/>
      </c>
      <c r="L314" s="141" t="str">
        <f>IF(I314&lt;&gt;"",SUMIFS('JPK_KR-1'!AM:AM,'JPK_KR-1'!W:W,J314),"")</f>
        <v/>
      </c>
      <c r="M314" s="143" t="str">
        <f>IF(kokpit!M314&lt;&gt;"",kokpit!M314,"")</f>
        <v/>
      </c>
      <c r="N314" s="117" t="str">
        <f>IF(kokpit!N314&lt;&gt;"",kokpit!N314,"")</f>
        <v/>
      </c>
      <c r="O314" s="117" t="str">
        <f>IF(kokpit!O314&lt;&gt;"",kokpit!O314,"")</f>
        <v/>
      </c>
      <c r="P314" s="141" t="str">
        <f>IF(M314&lt;&gt;"",IF(O314="",SUMIFS('JPK_KR-1'!AL:AL,'JPK_KR-1'!W:W,N314),SUMIFS('JPK_KR-1'!BF:BF,'JPK_KR-1'!BE:BE,N314,'JPK_KR-1'!BG:BG,O314)),"")</f>
        <v/>
      </c>
      <c r="Q314" s="144" t="str">
        <f>IF(M314&lt;&gt;"",IF(O314="",SUMIFS('JPK_KR-1'!AM:AM,'JPK_KR-1'!W:W,N314),SUMIFS('JPK_KR-1'!BI:BI,'JPK_KR-1'!BH:BH,N314,'JPK_KR-1'!BJ:BJ,O314)),"")</f>
        <v/>
      </c>
      <c r="R314" s="117" t="str">
        <f>IF(kokpit!R314&lt;&gt;"",kokpit!R314,"")</f>
        <v/>
      </c>
      <c r="S314" s="117" t="str">
        <f>IF(kokpit!S314&lt;&gt;"",kokpit!S314,"")</f>
        <v/>
      </c>
      <c r="T314" s="117" t="str">
        <f>IF(kokpit!T314&lt;&gt;"",kokpit!T314,"")</f>
        <v/>
      </c>
      <c r="U314" s="141" t="str">
        <f>IF(R314&lt;&gt;"",SUMIFS('JPK_KR-1'!AL:AL,'JPK_KR-1'!W:W,S314),"")</f>
        <v/>
      </c>
      <c r="V314" s="144" t="str">
        <f>IF(R314&lt;&gt;"",SUMIFS('JPK_KR-1'!AM:AM,'JPK_KR-1'!W:W,S314),"")</f>
        <v/>
      </c>
    </row>
    <row r="315" spans="1:22" x14ac:dyDescent="0.3">
      <c r="A315" s="5" t="str">
        <f>IF(kokpit!A315&lt;&gt;"",kokpit!A315,"")</f>
        <v/>
      </c>
      <c r="B315" s="5" t="str">
        <f>IF(kokpit!B315&lt;&gt;"",kokpit!B315,"")</f>
        <v/>
      </c>
      <c r="C315" s="24" t="str">
        <f>IF(A315&lt;&gt;"",SUMIFS('JPK_KR-1'!AL:AL,'JPK_KR-1'!W:W,B315),"")</f>
        <v/>
      </c>
      <c r="D315" s="126" t="str">
        <f>IF(A315&lt;&gt;"",SUMIFS('JPK_KR-1'!AM:AM,'JPK_KR-1'!W:W,B315),"")</f>
        <v/>
      </c>
      <c r="E315" s="5" t="str">
        <f>IF(kokpit!E315&lt;&gt;"",kokpit!E315,"")</f>
        <v/>
      </c>
      <c r="F315" s="127" t="str">
        <f>IF(kokpit!F315&lt;&gt;"",kokpit!F315,"")</f>
        <v/>
      </c>
      <c r="G315" s="24" t="str">
        <f>IF(E315&lt;&gt;"",SUMIFS('JPK_KR-1'!AL:AL,'JPK_KR-1'!W:W,F315),"")</f>
        <v/>
      </c>
      <c r="H315" s="126" t="str">
        <f>IF(E315&lt;&gt;"",SUMIFS('JPK_KR-1'!AM:AM,'JPK_KR-1'!W:W,F315),"")</f>
        <v/>
      </c>
      <c r="I315" s="5" t="str">
        <f>IF(kokpit!I315&lt;&gt;"",kokpit!I315,"")</f>
        <v/>
      </c>
      <c r="J315" s="5" t="str">
        <f>IF(kokpit!J315&lt;&gt;"",kokpit!J315,"")</f>
        <v/>
      </c>
      <c r="K315" s="24" t="str">
        <f>IF(I315&lt;&gt;"",SUMIFS('JPK_KR-1'!AL:AL,'JPK_KR-1'!W:W,J315),"")</f>
        <v/>
      </c>
      <c r="L315" s="141" t="str">
        <f>IF(I315&lt;&gt;"",SUMIFS('JPK_KR-1'!AM:AM,'JPK_KR-1'!W:W,J315),"")</f>
        <v/>
      </c>
      <c r="M315" s="143" t="str">
        <f>IF(kokpit!M315&lt;&gt;"",kokpit!M315,"")</f>
        <v/>
      </c>
      <c r="N315" s="117" t="str">
        <f>IF(kokpit!N315&lt;&gt;"",kokpit!N315,"")</f>
        <v/>
      </c>
      <c r="O315" s="117" t="str">
        <f>IF(kokpit!O315&lt;&gt;"",kokpit!O315,"")</f>
        <v/>
      </c>
      <c r="P315" s="141" t="str">
        <f>IF(M315&lt;&gt;"",IF(O315="",SUMIFS('JPK_KR-1'!AL:AL,'JPK_KR-1'!W:W,N315),SUMIFS('JPK_KR-1'!BF:BF,'JPK_KR-1'!BE:BE,N315,'JPK_KR-1'!BG:BG,O315)),"")</f>
        <v/>
      </c>
      <c r="Q315" s="144" t="str">
        <f>IF(M315&lt;&gt;"",IF(O315="",SUMIFS('JPK_KR-1'!AM:AM,'JPK_KR-1'!W:W,N315),SUMIFS('JPK_KR-1'!BI:BI,'JPK_KR-1'!BH:BH,N315,'JPK_KR-1'!BJ:BJ,O315)),"")</f>
        <v/>
      </c>
      <c r="R315" s="117" t="str">
        <f>IF(kokpit!R315&lt;&gt;"",kokpit!R315,"")</f>
        <v/>
      </c>
      <c r="S315" s="117" t="str">
        <f>IF(kokpit!S315&lt;&gt;"",kokpit!S315,"")</f>
        <v/>
      </c>
      <c r="T315" s="117" t="str">
        <f>IF(kokpit!T315&lt;&gt;"",kokpit!T315,"")</f>
        <v/>
      </c>
      <c r="U315" s="141" t="str">
        <f>IF(R315&lt;&gt;"",SUMIFS('JPK_KR-1'!AL:AL,'JPK_KR-1'!W:W,S315),"")</f>
        <v/>
      </c>
      <c r="V315" s="144" t="str">
        <f>IF(R315&lt;&gt;"",SUMIFS('JPK_KR-1'!AM:AM,'JPK_KR-1'!W:W,S315),"")</f>
        <v/>
      </c>
    </row>
    <row r="316" spans="1:22" x14ac:dyDescent="0.3">
      <c r="A316" s="5" t="str">
        <f>IF(kokpit!A316&lt;&gt;"",kokpit!A316,"")</f>
        <v/>
      </c>
      <c r="B316" s="5" t="str">
        <f>IF(kokpit!B316&lt;&gt;"",kokpit!B316,"")</f>
        <v/>
      </c>
      <c r="C316" s="24" t="str">
        <f>IF(A316&lt;&gt;"",SUMIFS('JPK_KR-1'!AL:AL,'JPK_KR-1'!W:W,B316),"")</f>
        <v/>
      </c>
      <c r="D316" s="126" t="str">
        <f>IF(A316&lt;&gt;"",SUMIFS('JPK_KR-1'!AM:AM,'JPK_KR-1'!W:W,B316),"")</f>
        <v/>
      </c>
      <c r="E316" s="5" t="str">
        <f>IF(kokpit!E316&lt;&gt;"",kokpit!E316,"")</f>
        <v/>
      </c>
      <c r="F316" s="127" t="str">
        <f>IF(kokpit!F316&lt;&gt;"",kokpit!F316,"")</f>
        <v/>
      </c>
      <c r="G316" s="24" t="str">
        <f>IF(E316&lt;&gt;"",SUMIFS('JPK_KR-1'!AL:AL,'JPK_KR-1'!W:W,F316),"")</f>
        <v/>
      </c>
      <c r="H316" s="126" t="str">
        <f>IF(E316&lt;&gt;"",SUMIFS('JPK_KR-1'!AM:AM,'JPK_KR-1'!W:W,F316),"")</f>
        <v/>
      </c>
      <c r="I316" s="5" t="str">
        <f>IF(kokpit!I316&lt;&gt;"",kokpit!I316,"")</f>
        <v/>
      </c>
      <c r="J316" s="5" t="str">
        <f>IF(kokpit!J316&lt;&gt;"",kokpit!J316,"")</f>
        <v/>
      </c>
      <c r="K316" s="24" t="str">
        <f>IF(I316&lt;&gt;"",SUMIFS('JPK_KR-1'!AL:AL,'JPK_KR-1'!W:W,J316),"")</f>
        <v/>
      </c>
      <c r="L316" s="141" t="str">
        <f>IF(I316&lt;&gt;"",SUMIFS('JPK_KR-1'!AM:AM,'JPK_KR-1'!W:W,J316),"")</f>
        <v/>
      </c>
      <c r="M316" s="143" t="str">
        <f>IF(kokpit!M316&lt;&gt;"",kokpit!M316,"")</f>
        <v/>
      </c>
      <c r="N316" s="117" t="str">
        <f>IF(kokpit!N316&lt;&gt;"",kokpit!N316,"")</f>
        <v/>
      </c>
      <c r="O316" s="117" t="str">
        <f>IF(kokpit!O316&lt;&gt;"",kokpit!O316,"")</f>
        <v/>
      </c>
      <c r="P316" s="141" t="str">
        <f>IF(M316&lt;&gt;"",IF(O316="",SUMIFS('JPK_KR-1'!AL:AL,'JPK_KR-1'!W:W,N316),SUMIFS('JPK_KR-1'!BF:BF,'JPK_KR-1'!BE:BE,N316,'JPK_KR-1'!BG:BG,O316)),"")</f>
        <v/>
      </c>
      <c r="Q316" s="144" t="str">
        <f>IF(M316&lt;&gt;"",IF(O316="",SUMIFS('JPK_KR-1'!AM:AM,'JPK_KR-1'!W:W,N316),SUMIFS('JPK_KR-1'!BI:BI,'JPK_KR-1'!BH:BH,N316,'JPK_KR-1'!BJ:BJ,O316)),"")</f>
        <v/>
      </c>
      <c r="R316" s="117" t="str">
        <f>IF(kokpit!R316&lt;&gt;"",kokpit!R316,"")</f>
        <v/>
      </c>
      <c r="S316" s="117" t="str">
        <f>IF(kokpit!S316&lt;&gt;"",kokpit!S316,"")</f>
        <v/>
      </c>
      <c r="T316" s="117" t="str">
        <f>IF(kokpit!T316&lt;&gt;"",kokpit!T316,"")</f>
        <v/>
      </c>
      <c r="U316" s="141" t="str">
        <f>IF(R316&lt;&gt;"",SUMIFS('JPK_KR-1'!AL:AL,'JPK_KR-1'!W:W,S316),"")</f>
        <v/>
      </c>
      <c r="V316" s="144" t="str">
        <f>IF(R316&lt;&gt;"",SUMIFS('JPK_KR-1'!AM:AM,'JPK_KR-1'!W:W,S316),"")</f>
        <v/>
      </c>
    </row>
    <row r="317" spans="1:22" x14ac:dyDescent="0.3">
      <c r="A317" s="5" t="str">
        <f>IF(kokpit!A317&lt;&gt;"",kokpit!A317,"")</f>
        <v/>
      </c>
      <c r="B317" s="5" t="str">
        <f>IF(kokpit!B317&lt;&gt;"",kokpit!B317,"")</f>
        <v/>
      </c>
      <c r="C317" s="24" t="str">
        <f>IF(A317&lt;&gt;"",SUMIFS('JPK_KR-1'!AL:AL,'JPK_KR-1'!W:W,B317),"")</f>
        <v/>
      </c>
      <c r="D317" s="126" t="str">
        <f>IF(A317&lt;&gt;"",SUMIFS('JPK_KR-1'!AM:AM,'JPK_KR-1'!W:W,B317),"")</f>
        <v/>
      </c>
      <c r="E317" s="5" t="str">
        <f>IF(kokpit!E317&lt;&gt;"",kokpit!E317,"")</f>
        <v/>
      </c>
      <c r="F317" s="127" t="str">
        <f>IF(kokpit!F317&lt;&gt;"",kokpit!F317,"")</f>
        <v/>
      </c>
      <c r="G317" s="24" t="str">
        <f>IF(E317&lt;&gt;"",SUMIFS('JPK_KR-1'!AL:AL,'JPK_KR-1'!W:W,F317),"")</f>
        <v/>
      </c>
      <c r="H317" s="126" t="str">
        <f>IF(E317&lt;&gt;"",SUMIFS('JPK_KR-1'!AM:AM,'JPK_KR-1'!W:W,F317),"")</f>
        <v/>
      </c>
      <c r="I317" s="5" t="str">
        <f>IF(kokpit!I317&lt;&gt;"",kokpit!I317,"")</f>
        <v/>
      </c>
      <c r="J317" s="5" t="str">
        <f>IF(kokpit!J317&lt;&gt;"",kokpit!J317,"")</f>
        <v/>
      </c>
      <c r="K317" s="24" t="str">
        <f>IF(I317&lt;&gt;"",SUMIFS('JPK_KR-1'!AL:AL,'JPK_KR-1'!W:W,J317),"")</f>
        <v/>
      </c>
      <c r="L317" s="141" t="str">
        <f>IF(I317&lt;&gt;"",SUMIFS('JPK_KR-1'!AM:AM,'JPK_KR-1'!W:W,J317),"")</f>
        <v/>
      </c>
      <c r="M317" s="143" t="str">
        <f>IF(kokpit!M317&lt;&gt;"",kokpit!M317,"")</f>
        <v/>
      </c>
      <c r="N317" s="117" t="str">
        <f>IF(kokpit!N317&lt;&gt;"",kokpit!N317,"")</f>
        <v/>
      </c>
      <c r="O317" s="117" t="str">
        <f>IF(kokpit!O317&lt;&gt;"",kokpit!O317,"")</f>
        <v/>
      </c>
      <c r="P317" s="141" t="str">
        <f>IF(M317&lt;&gt;"",IF(O317="",SUMIFS('JPK_KR-1'!AL:AL,'JPK_KR-1'!W:W,N317),SUMIFS('JPK_KR-1'!BF:BF,'JPK_KR-1'!BE:BE,N317,'JPK_KR-1'!BG:BG,O317)),"")</f>
        <v/>
      </c>
      <c r="Q317" s="144" t="str">
        <f>IF(M317&lt;&gt;"",IF(O317="",SUMIFS('JPK_KR-1'!AM:AM,'JPK_KR-1'!W:W,N317),SUMIFS('JPK_KR-1'!BI:BI,'JPK_KR-1'!BH:BH,N317,'JPK_KR-1'!BJ:BJ,O317)),"")</f>
        <v/>
      </c>
      <c r="R317" s="117" t="str">
        <f>IF(kokpit!R317&lt;&gt;"",kokpit!R317,"")</f>
        <v/>
      </c>
      <c r="S317" s="117" t="str">
        <f>IF(kokpit!S317&lt;&gt;"",kokpit!S317,"")</f>
        <v/>
      </c>
      <c r="T317" s="117" t="str">
        <f>IF(kokpit!T317&lt;&gt;"",kokpit!T317,"")</f>
        <v/>
      </c>
      <c r="U317" s="141" t="str">
        <f>IF(R317&lt;&gt;"",SUMIFS('JPK_KR-1'!AL:AL,'JPK_KR-1'!W:W,S317),"")</f>
        <v/>
      </c>
      <c r="V317" s="144" t="str">
        <f>IF(R317&lt;&gt;"",SUMIFS('JPK_KR-1'!AM:AM,'JPK_KR-1'!W:W,S317),"")</f>
        <v/>
      </c>
    </row>
    <row r="318" spans="1:22" x14ac:dyDescent="0.3">
      <c r="A318" s="5" t="str">
        <f>IF(kokpit!A318&lt;&gt;"",kokpit!A318,"")</f>
        <v/>
      </c>
      <c r="B318" s="5" t="str">
        <f>IF(kokpit!B318&lt;&gt;"",kokpit!B318,"")</f>
        <v/>
      </c>
      <c r="C318" s="24" t="str">
        <f>IF(A318&lt;&gt;"",SUMIFS('JPK_KR-1'!AL:AL,'JPK_KR-1'!W:W,B318),"")</f>
        <v/>
      </c>
      <c r="D318" s="126" t="str">
        <f>IF(A318&lt;&gt;"",SUMIFS('JPK_KR-1'!AM:AM,'JPK_KR-1'!W:W,B318),"")</f>
        <v/>
      </c>
      <c r="E318" s="5" t="str">
        <f>IF(kokpit!E318&lt;&gt;"",kokpit!E318,"")</f>
        <v/>
      </c>
      <c r="F318" s="127" t="str">
        <f>IF(kokpit!F318&lt;&gt;"",kokpit!F318,"")</f>
        <v/>
      </c>
      <c r="G318" s="24" t="str">
        <f>IF(E318&lt;&gt;"",SUMIFS('JPK_KR-1'!AL:AL,'JPK_KR-1'!W:W,F318),"")</f>
        <v/>
      </c>
      <c r="H318" s="126" t="str">
        <f>IF(E318&lt;&gt;"",SUMIFS('JPK_KR-1'!AM:AM,'JPK_KR-1'!W:W,F318),"")</f>
        <v/>
      </c>
      <c r="I318" s="5" t="str">
        <f>IF(kokpit!I318&lt;&gt;"",kokpit!I318,"")</f>
        <v/>
      </c>
      <c r="J318" s="5" t="str">
        <f>IF(kokpit!J318&lt;&gt;"",kokpit!J318,"")</f>
        <v/>
      </c>
      <c r="K318" s="24" t="str">
        <f>IF(I318&lt;&gt;"",SUMIFS('JPK_KR-1'!AL:AL,'JPK_KR-1'!W:W,J318),"")</f>
        <v/>
      </c>
      <c r="L318" s="141" t="str">
        <f>IF(I318&lt;&gt;"",SUMIFS('JPK_KR-1'!AM:AM,'JPK_KR-1'!W:W,J318),"")</f>
        <v/>
      </c>
      <c r="M318" s="143" t="str">
        <f>IF(kokpit!M318&lt;&gt;"",kokpit!M318,"")</f>
        <v/>
      </c>
      <c r="N318" s="117" t="str">
        <f>IF(kokpit!N318&lt;&gt;"",kokpit!N318,"")</f>
        <v/>
      </c>
      <c r="O318" s="117" t="str">
        <f>IF(kokpit!O318&lt;&gt;"",kokpit!O318,"")</f>
        <v/>
      </c>
      <c r="P318" s="141" t="str">
        <f>IF(M318&lt;&gt;"",IF(O318="",SUMIFS('JPK_KR-1'!AL:AL,'JPK_KR-1'!W:W,N318),SUMIFS('JPK_KR-1'!BF:BF,'JPK_KR-1'!BE:BE,N318,'JPK_KR-1'!BG:BG,O318)),"")</f>
        <v/>
      </c>
      <c r="Q318" s="144" t="str">
        <f>IF(M318&lt;&gt;"",IF(O318="",SUMIFS('JPK_KR-1'!AM:AM,'JPK_KR-1'!W:W,N318),SUMIFS('JPK_KR-1'!BI:BI,'JPK_KR-1'!BH:BH,N318,'JPK_KR-1'!BJ:BJ,O318)),"")</f>
        <v/>
      </c>
      <c r="R318" s="117" t="str">
        <f>IF(kokpit!R318&lt;&gt;"",kokpit!R318,"")</f>
        <v/>
      </c>
      <c r="S318" s="117" t="str">
        <f>IF(kokpit!S318&lt;&gt;"",kokpit!S318,"")</f>
        <v/>
      </c>
      <c r="T318" s="117" t="str">
        <f>IF(kokpit!T318&lt;&gt;"",kokpit!T318,"")</f>
        <v/>
      </c>
      <c r="U318" s="141" t="str">
        <f>IF(R318&lt;&gt;"",SUMIFS('JPK_KR-1'!AL:AL,'JPK_KR-1'!W:W,S318),"")</f>
        <v/>
      </c>
      <c r="V318" s="144" t="str">
        <f>IF(R318&lt;&gt;"",SUMIFS('JPK_KR-1'!AM:AM,'JPK_KR-1'!W:W,S318),"")</f>
        <v/>
      </c>
    </row>
    <row r="319" spans="1:22" x14ac:dyDescent="0.3">
      <c r="A319" s="5" t="str">
        <f>IF(kokpit!A319&lt;&gt;"",kokpit!A319,"")</f>
        <v/>
      </c>
      <c r="B319" s="5" t="str">
        <f>IF(kokpit!B319&lt;&gt;"",kokpit!B319,"")</f>
        <v/>
      </c>
      <c r="C319" s="24" t="str">
        <f>IF(A319&lt;&gt;"",SUMIFS('JPK_KR-1'!AL:AL,'JPK_KR-1'!W:W,B319),"")</f>
        <v/>
      </c>
      <c r="D319" s="126" t="str">
        <f>IF(A319&lt;&gt;"",SUMIFS('JPK_KR-1'!AM:AM,'JPK_KR-1'!W:W,B319),"")</f>
        <v/>
      </c>
      <c r="E319" s="5" t="str">
        <f>IF(kokpit!E319&lt;&gt;"",kokpit!E319,"")</f>
        <v/>
      </c>
      <c r="F319" s="127" t="str">
        <f>IF(kokpit!F319&lt;&gt;"",kokpit!F319,"")</f>
        <v/>
      </c>
      <c r="G319" s="24" t="str">
        <f>IF(E319&lt;&gt;"",SUMIFS('JPK_KR-1'!AL:AL,'JPK_KR-1'!W:W,F319),"")</f>
        <v/>
      </c>
      <c r="H319" s="126" t="str">
        <f>IF(E319&lt;&gt;"",SUMIFS('JPK_KR-1'!AM:AM,'JPK_KR-1'!W:W,F319),"")</f>
        <v/>
      </c>
      <c r="I319" s="5" t="str">
        <f>IF(kokpit!I319&lt;&gt;"",kokpit!I319,"")</f>
        <v/>
      </c>
      <c r="J319" s="5" t="str">
        <f>IF(kokpit!J319&lt;&gt;"",kokpit!J319,"")</f>
        <v/>
      </c>
      <c r="K319" s="24" t="str">
        <f>IF(I319&lt;&gt;"",SUMIFS('JPK_KR-1'!AL:AL,'JPK_KR-1'!W:W,J319),"")</f>
        <v/>
      </c>
      <c r="L319" s="141" t="str">
        <f>IF(I319&lt;&gt;"",SUMIFS('JPK_KR-1'!AM:AM,'JPK_KR-1'!W:W,J319),"")</f>
        <v/>
      </c>
      <c r="M319" s="143" t="str">
        <f>IF(kokpit!M319&lt;&gt;"",kokpit!M319,"")</f>
        <v/>
      </c>
      <c r="N319" s="117" t="str">
        <f>IF(kokpit!N319&lt;&gt;"",kokpit!N319,"")</f>
        <v/>
      </c>
      <c r="O319" s="117" t="str">
        <f>IF(kokpit!O319&lt;&gt;"",kokpit!O319,"")</f>
        <v/>
      </c>
      <c r="P319" s="141" t="str">
        <f>IF(M319&lt;&gt;"",IF(O319="",SUMIFS('JPK_KR-1'!AL:AL,'JPK_KR-1'!W:W,N319),SUMIFS('JPK_KR-1'!BF:BF,'JPK_KR-1'!BE:BE,N319,'JPK_KR-1'!BG:BG,O319)),"")</f>
        <v/>
      </c>
      <c r="Q319" s="144" t="str">
        <f>IF(M319&lt;&gt;"",IF(O319="",SUMIFS('JPK_KR-1'!AM:AM,'JPK_KR-1'!W:W,N319),SUMIFS('JPK_KR-1'!BI:BI,'JPK_KR-1'!BH:BH,N319,'JPK_KR-1'!BJ:BJ,O319)),"")</f>
        <v/>
      </c>
      <c r="R319" s="117" t="str">
        <f>IF(kokpit!R319&lt;&gt;"",kokpit!R319,"")</f>
        <v/>
      </c>
      <c r="S319" s="117" t="str">
        <f>IF(kokpit!S319&lt;&gt;"",kokpit!S319,"")</f>
        <v/>
      </c>
      <c r="T319" s="117" t="str">
        <f>IF(kokpit!T319&lt;&gt;"",kokpit!T319,"")</f>
        <v/>
      </c>
      <c r="U319" s="141" t="str">
        <f>IF(R319&lt;&gt;"",SUMIFS('JPK_KR-1'!AL:AL,'JPK_KR-1'!W:W,S319),"")</f>
        <v/>
      </c>
      <c r="V319" s="144" t="str">
        <f>IF(R319&lt;&gt;"",SUMIFS('JPK_KR-1'!AM:AM,'JPK_KR-1'!W:W,S319),"")</f>
        <v/>
      </c>
    </row>
    <row r="320" spans="1:22" x14ac:dyDescent="0.3">
      <c r="A320" s="5" t="str">
        <f>IF(kokpit!A320&lt;&gt;"",kokpit!A320,"")</f>
        <v/>
      </c>
      <c r="B320" s="5" t="str">
        <f>IF(kokpit!B320&lt;&gt;"",kokpit!B320,"")</f>
        <v/>
      </c>
      <c r="C320" s="24" t="str">
        <f>IF(A320&lt;&gt;"",SUMIFS('JPK_KR-1'!AL:AL,'JPK_KR-1'!W:W,B320),"")</f>
        <v/>
      </c>
      <c r="D320" s="126" t="str">
        <f>IF(A320&lt;&gt;"",SUMIFS('JPK_KR-1'!AM:AM,'JPK_KR-1'!W:W,B320),"")</f>
        <v/>
      </c>
      <c r="E320" s="5" t="str">
        <f>IF(kokpit!E320&lt;&gt;"",kokpit!E320,"")</f>
        <v/>
      </c>
      <c r="F320" s="127" t="str">
        <f>IF(kokpit!F320&lt;&gt;"",kokpit!F320,"")</f>
        <v/>
      </c>
      <c r="G320" s="24" t="str">
        <f>IF(E320&lt;&gt;"",SUMIFS('JPK_KR-1'!AL:AL,'JPK_KR-1'!W:W,F320),"")</f>
        <v/>
      </c>
      <c r="H320" s="126" t="str">
        <f>IF(E320&lt;&gt;"",SUMIFS('JPK_KR-1'!AM:AM,'JPK_KR-1'!W:W,F320),"")</f>
        <v/>
      </c>
      <c r="I320" s="5" t="str">
        <f>IF(kokpit!I320&lt;&gt;"",kokpit!I320,"")</f>
        <v/>
      </c>
      <c r="J320" s="5" t="str">
        <f>IF(kokpit!J320&lt;&gt;"",kokpit!J320,"")</f>
        <v/>
      </c>
      <c r="K320" s="24" t="str">
        <f>IF(I320&lt;&gt;"",SUMIFS('JPK_KR-1'!AL:AL,'JPK_KR-1'!W:W,J320),"")</f>
        <v/>
      </c>
      <c r="L320" s="141" t="str">
        <f>IF(I320&lt;&gt;"",SUMIFS('JPK_KR-1'!AM:AM,'JPK_KR-1'!W:W,J320),"")</f>
        <v/>
      </c>
      <c r="M320" s="143" t="str">
        <f>IF(kokpit!M320&lt;&gt;"",kokpit!M320,"")</f>
        <v/>
      </c>
      <c r="N320" s="117" t="str">
        <f>IF(kokpit!N320&lt;&gt;"",kokpit!N320,"")</f>
        <v/>
      </c>
      <c r="O320" s="117" t="str">
        <f>IF(kokpit!O320&lt;&gt;"",kokpit!O320,"")</f>
        <v/>
      </c>
      <c r="P320" s="141" t="str">
        <f>IF(M320&lt;&gt;"",IF(O320="",SUMIFS('JPK_KR-1'!AL:AL,'JPK_KR-1'!W:W,N320),SUMIFS('JPK_KR-1'!BF:BF,'JPK_KR-1'!BE:BE,N320,'JPK_KR-1'!BG:BG,O320)),"")</f>
        <v/>
      </c>
      <c r="Q320" s="144" t="str">
        <f>IF(M320&lt;&gt;"",IF(O320="",SUMIFS('JPK_KR-1'!AM:AM,'JPK_KR-1'!W:W,N320),SUMIFS('JPK_KR-1'!BI:BI,'JPK_KR-1'!BH:BH,N320,'JPK_KR-1'!BJ:BJ,O320)),"")</f>
        <v/>
      </c>
      <c r="R320" s="117" t="str">
        <f>IF(kokpit!R320&lt;&gt;"",kokpit!R320,"")</f>
        <v/>
      </c>
      <c r="S320" s="117" t="str">
        <f>IF(kokpit!S320&lt;&gt;"",kokpit!S320,"")</f>
        <v/>
      </c>
      <c r="T320" s="117" t="str">
        <f>IF(kokpit!T320&lt;&gt;"",kokpit!T320,"")</f>
        <v/>
      </c>
      <c r="U320" s="141" t="str">
        <f>IF(R320&lt;&gt;"",SUMIFS('JPK_KR-1'!AL:AL,'JPK_KR-1'!W:W,S320),"")</f>
        <v/>
      </c>
      <c r="V320" s="144" t="str">
        <f>IF(R320&lt;&gt;"",SUMIFS('JPK_KR-1'!AM:AM,'JPK_KR-1'!W:W,S320),"")</f>
        <v/>
      </c>
    </row>
    <row r="321" spans="1:22" x14ac:dyDescent="0.3">
      <c r="A321" s="5" t="str">
        <f>IF(kokpit!A321&lt;&gt;"",kokpit!A321,"")</f>
        <v/>
      </c>
      <c r="B321" s="5" t="str">
        <f>IF(kokpit!B321&lt;&gt;"",kokpit!B321,"")</f>
        <v/>
      </c>
      <c r="C321" s="24" t="str">
        <f>IF(A321&lt;&gt;"",SUMIFS('JPK_KR-1'!AL:AL,'JPK_KR-1'!W:W,B321),"")</f>
        <v/>
      </c>
      <c r="D321" s="126" t="str">
        <f>IF(A321&lt;&gt;"",SUMIFS('JPK_KR-1'!AM:AM,'JPK_KR-1'!W:W,B321),"")</f>
        <v/>
      </c>
      <c r="E321" s="5" t="str">
        <f>IF(kokpit!E321&lt;&gt;"",kokpit!E321,"")</f>
        <v/>
      </c>
      <c r="F321" s="127" t="str">
        <f>IF(kokpit!F321&lt;&gt;"",kokpit!F321,"")</f>
        <v/>
      </c>
      <c r="G321" s="24" t="str">
        <f>IF(E321&lt;&gt;"",SUMIFS('JPK_KR-1'!AL:AL,'JPK_KR-1'!W:W,F321),"")</f>
        <v/>
      </c>
      <c r="H321" s="126" t="str">
        <f>IF(E321&lt;&gt;"",SUMIFS('JPK_KR-1'!AM:AM,'JPK_KR-1'!W:W,F321),"")</f>
        <v/>
      </c>
      <c r="I321" s="5" t="str">
        <f>IF(kokpit!I321&lt;&gt;"",kokpit!I321,"")</f>
        <v/>
      </c>
      <c r="J321" s="5" t="str">
        <f>IF(kokpit!J321&lt;&gt;"",kokpit!J321,"")</f>
        <v/>
      </c>
      <c r="K321" s="24" t="str">
        <f>IF(I321&lt;&gt;"",SUMIFS('JPK_KR-1'!AL:AL,'JPK_KR-1'!W:W,J321),"")</f>
        <v/>
      </c>
      <c r="L321" s="141" t="str">
        <f>IF(I321&lt;&gt;"",SUMIFS('JPK_KR-1'!AM:AM,'JPK_KR-1'!W:W,J321),"")</f>
        <v/>
      </c>
      <c r="M321" s="143" t="str">
        <f>IF(kokpit!M321&lt;&gt;"",kokpit!M321,"")</f>
        <v/>
      </c>
      <c r="N321" s="117" t="str">
        <f>IF(kokpit!N321&lt;&gt;"",kokpit!N321,"")</f>
        <v/>
      </c>
      <c r="O321" s="117" t="str">
        <f>IF(kokpit!O321&lt;&gt;"",kokpit!O321,"")</f>
        <v/>
      </c>
      <c r="P321" s="141" t="str">
        <f>IF(M321&lt;&gt;"",IF(O321="",SUMIFS('JPK_KR-1'!AL:AL,'JPK_KR-1'!W:W,N321),SUMIFS('JPK_KR-1'!BF:BF,'JPK_KR-1'!BE:BE,N321,'JPK_KR-1'!BG:BG,O321)),"")</f>
        <v/>
      </c>
      <c r="Q321" s="144" t="str">
        <f>IF(M321&lt;&gt;"",IF(O321="",SUMIFS('JPK_KR-1'!AM:AM,'JPK_KR-1'!W:W,N321),SUMIFS('JPK_KR-1'!BI:BI,'JPK_KR-1'!BH:BH,N321,'JPK_KR-1'!BJ:BJ,O321)),"")</f>
        <v/>
      </c>
      <c r="R321" s="117" t="str">
        <f>IF(kokpit!R321&lt;&gt;"",kokpit!R321,"")</f>
        <v/>
      </c>
      <c r="S321" s="117" t="str">
        <f>IF(kokpit!S321&lt;&gt;"",kokpit!S321,"")</f>
        <v/>
      </c>
      <c r="T321" s="117" t="str">
        <f>IF(kokpit!T321&lt;&gt;"",kokpit!T321,"")</f>
        <v/>
      </c>
      <c r="U321" s="141" t="str">
        <f>IF(R321&lt;&gt;"",SUMIFS('JPK_KR-1'!AL:AL,'JPK_KR-1'!W:W,S321),"")</f>
        <v/>
      </c>
      <c r="V321" s="144" t="str">
        <f>IF(R321&lt;&gt;"",SUMIFS('JPK_KR-1'!AM:AM,'JPK_KR-1'!W:W,S321),"")</f>
        <v/>
      </c>
    </row>
    <row r="322" spans="1:22" x14ac:dyDescent="0.3">
      <c r="A322" s="5" t="str">
        <f>IF(kokpit!A322&lt;&gt;"",kokpit!A322,"")</f>
        <v/>
      </c>
      <c r="B322" s="5" t="str">
        <f>IF(kokpit!B322&lt;&gt;"",kokpit!B322,"")</f>
        <v/>
      </c>
      <c r="C322" s="24" t="str">
        <f>IF(A322&lt;&gt;"",SUMIFS('JPK_KR-1'!AL:AL,'JPK_KR-1'!W:W,B322),"")</f>
        <v/>
      </c>
      <c r="D322" s="126" t="str">
        <f>IF(A322&lt;&gt;"",SUMIFS('JPK_KR-1'!AM:AM,'JPK_KR-1'!W:W,B322),"")</f>
        <v/>
      </c>
      <c r="E322" s="5" t="str">
        <f>IF(kokpit!E322&lt;&gt;"",kokpit!E322,"")</f>
        <v/>
      </c>
      <c r="F322" s="127" t="str">
        <f>IF(kokpit!F322&lt;&gt;"",kokpit!F322,"")</f>
        <v/>
      </c>
      <c r="G322" s="24" t="str">
        <f>IF(E322&lt;&gt;"",SUMIFS('JPK_KR-1'!AL:AL,'JPK_KR-1'!W:W,F322),"")</f>
        <v/>
      </c>
      <c r="H322" s="126" t="str">
        <f>IF(E322&lt;&gt;"",SUMIFS('JPK_KR-1'!AM:AM,'JPK_KR-1'!W:W,F322),"")</f>
        <v/>
      </c>
      <c r="I322" s="5" t="str">
        <f>IF(kokpit!I322&lt;&gt;"",kokpit!I322,"")</f>
        <v/>
      </c>
      <c r="J322" s="5" t="str">
        <f>IF(kokpit!J322&lt;&gt;"",kokpit!J322,"")</f>
        <v/>
      </c>
      <c r="K322" s="24" t="str">
        <f>IF(I322&lt;&gt;"",SUMIFS('JPK_KR-1'!AL:AL,'JPK_KR-1'!W:W,J322),"")</f>
        <v/>
      </c>
      <c r="L322" s="141" t="str">
        <f>IF(I322&lt;&gt;"",SUMIFS('JPK_KR-1'!AM:AM,'JPK_KR-1'!W:W,J322),"")</f>
        <v/>
      </c>
      <c r="M322" s="143" t="str">
        <f>IF(kokpit!M322&lt;&gt;"",kokpit!M322,"")</f>
        <v/>
      </c>
      <c r="N322" s="117" t="str">
        <f>IF(kokpit!N322&lt;&gt;"",kokpit!N322,"")</f>
        <v/>
      </c>
      <c r="O322" s="117" t="str">
        <f>IF(kokpit!O322&lt;&gt;"",kokpit!O322,"")</f>
        <v/>
      </c>
      <c r="P322" s="141" t="str">
        <f>IF(M322&lt;&gt;"",IF(O322="",SUMIFS('JPK_KR-1'!AL:AL,'JPK_KR-1'!W:W,N322),SUMIFS('JPK_KR-1'!BF:BF,'JPK_KR-1'!BE:BE,N322,'JPK_KR-1'!BG:BG,O322)),"")</f>
        <v/>
      </c>
      <c r="Q322" s="144" t="str">
        <f>IF(M322&lt;&gt;"",IF(O322="",SUMIFS('JPK_KR-1'!AM:AM,'JPK_KR-1'!W:W,N322),SUMIFS('JPK_KR-1'!BI:BI,'JPK_KR-1'!BH:BH,N322,'JPK_KR-1'!BJ:BJ,O322)),"")</f>
        <v/>
      </c>
      <c r="R322" s="117" t="str">
        <f>IF(kokpit!R322&lt;&gt;"",kokpit!R322,"")</f>
        <v/>
      </c>
      <c r="S322" s="117" t="str">
        <f>IF(kokpit!S322&lt;&gt;"",kokpit!S322,"")</f>
        <v/>
      </c>
      <c r="T322" s="117" t="str">
        <f>IF(kokpit!T322&lt;&gt;"",kokpit!T322,"")</f>
        <v/>
      </c>
      <c r="U322" s="141" t="str">
        <f>IF(R322&lt;&gt;"",SUMIFS('JPK_KR-1'!AL:AL,'JPK_KR-1'!W:W,S322),"")</f>
        <v/>
      </c>
      <c r="V322" s="144" t="str">
        <f>IF(R322&lt;&gt;"",SUMIFS('JPK_KR-1'!AM:AM,'JPK_KR-1'!W:W,S322),"")</f>
        <v/>
      </c>
    </row>
    <row r="323" spans="1:22" x14ac:dyDescent="0.3">
      <c r="A323" s="5" t="str">
        <f>IF(kokpit!A323&lt;&gt;"",kokpit!A323,"")</f>
        <v/>
      </c>
      <c r="B323" s="5" t="str">
        <f>IF(kokpit!B323&lt;&gt;"",kokpit!B323,"")</f>
        <v/>
      </c>
      <c r="C323" s="24" t="str">
        <f>IF(A323&lt;&gt;"",SUMIFS('JPK_KR-1'!AL:AL,'JPK_KR-1'!W:W,B323),"")</f>
        <v/>
      </c>
      <c r="D323" s="126" t="str">
        <f>IF(A323&lt;&gt;"",SUMIFS('JPK_KR-1'!AM:AM,'JPK_KR-1'!W:W,B323),"")</f>
        <v/>
      </c>
      <c r="E323" s="5" t="str">
        <f>IF(kokpit!E323&lt;&gt;"",kokpit!E323,"")</f>
        <v/>
      </c>
      <c r="F323" s="127" t="str">
        <f>IF(kokpit!F323&lt;&gt;"",kokpit!F323,"")</f>
        <v/>
      </c>
      <c r="G323" s="24" t="str">
        <f>IF(E323&lt;&gt;"",SUMIFS('JPK_KR-1'!AL:AL,'JPK_KR-1'!W:W,F323),"")</f>
        <v/>
      </c>
      <c r="H323" s="126" t="str">
        <f>IF(E323&lt;&gt;"",SUMIFS('JPK_KR-1'!AM:AM,'JPK_KR-1'!W:W,F323),"")</f>
        <v/>
      </c>
      <c r="I323" s="5" t="str">
        <f>IF(kokpit!I323&lt;&gt;"",kokpit!I323,"")</f>
        <v/>
      </c>
      <c r="J323" s="5" t="str">
        <f>IF(kokpit!J323&lt;&gt;"",kokpit!J323,"")</f>
        <v/>
      </c>
      <c r="K323" s="24" t="str">
        <f>IF(I323&lt;&gt;"",SUMIFS('JPK_KR-1'!AL:AL,'JPK_KR-1'!W:W,J323),"")</f>
        <v/>
      </c>
      <c r="L323" s="141" t="str">
        <f>IF(I323&lt;&gt;"",SUMIFS('JPK_KR-1'!AM:AM,'JPK_KR-1'!W:W,J323),"")</f>
        <v/>
      </c>
      <c r="M323" s="143" t="str">
        <f>IF(kokpit!M323&lt;&gt;"",kokpit!M323,"")</f>
        <v/>
      </c>
      <c r="N323" s="117" t="str">
        <f>IF(kokpit!N323&lt;&gt;"",kokpit!N323,"")</f>
        <v/>
      </c>
      <c r="O323" s="117" t="str">
        <f>IF(kokpit!O323&lt;&gt;"",kokpit!O323,"")</f>
        <v/>
      </c>
      <c r="P323" s="141" t="str">
        <f>IF(M323&lt;&gt;"",IF(O323="",SUMIFS('JPK_KR-1'!AL:AL,'JPK_KR-1'!W:W,N323),SUMIFS('JPK_KR-1'!BF:BF,'JPK_KR-1'!BE:BE,N323,'JPK_KR-1'!BG:BG,O323)),"")</f>
        <v/>
      </c>
      <c r="Q323" s="144" t="str">
        <f>IF(M323&lt;&gt;"",IF(O323="",SUMIFS('JPK_KR-1'!AM:AM,'JPK_KR-1'!W:W,N323),SUMIFS('JPK_KR-1'!BI:BI,'JPK_KR-1'!BH:BH,N323,'JPK_KR-1'!BJ:BJ,O323)),"")</f>
        <v/>
      </c>
      <c r="R323" s="117" t="str">
        <f>IF(kokpit!R323&lt;&gt;"",kokpit!R323,"")</f>
        <v/>
      </c>
      <c r="S323" s="117" t="str">
        <f>IF(kokpit!S323&lt;&gt;"",kokpit!S323,"")</f>
        <v/>
      </c>
      <c r="T323" s="117" t="str">
        <f>IF(kokpit!T323&lt;&gt;"",kokpit!T323,"")</f>
        <v/>
      </c>
      <c r="U323" s="141" t="str">
        <f>IF(R323&lt;&gt;"",SUMIFS('JPK_KR-1'!AL:AL,'JPK_KR-1'!W:W,S323),"")</f>
        <v/>
      </c>
      <c r="V323" s="144" t="str">
        <f>IF(R323&lt;&gt;"",SUMIFS('JPK_KR-1'!AM:AM,'JPK_KR-1'!W:W,S323),"")</f>
        <v/>
      </c>
    </row>
    <row r="324" spans="1:22" x14ac:dyDescent="0.3">
      <c r="A324" s="5" t="str">
        <f>IF(kokpit!A324&lt;&gt;"",kokpit!A324,"")</f>
        <v/>
      </c>
      <c r="B324" s="5" t="str">
        <f>IF(kokpit!B324&lt;&gt;"",kokpit!B324,"")</f>
        <v/>
      </c>
      <c r="C324" s="24" t="str">
        <f>IF(A324&lt;&gt;"",SUMIFS('JPK_KR-1'!AL:AL,'JPK_KR-1'!W:W,B324),"")</f>
        <v/>
      </c>
      <c r="D324" s="126" t="str">
        <f>IF(A324&lt;&gt;"",SUMIFS('JPK_KR-1'!AM:AM,'JPK_KR-1'!W:W,B324),"")</f>
        <v/>
      </c>
      <c r="E324" s="5" t="str">
        <f>IF(kokpit!E324&lt;&gt;"",kokpit!E324,"")</f>
        <v/>
      </c>
      <c r="F324" s="127" t="str">
        <f>IF(kokpit!F324&lt;&gt;"",kokpit!F324,"")</f>
        <v/>
      </c>
      <c r="G324" s="24" t="str">
        <f>IF(E324&lt;&gt;"",SUMIFS('JPK_KR-1'!AL:AL,'JPK_KR-1'!W:W,F324),"")</f>
        <v/>
      </c>
      <c r="H324" s="126" t="str">
        <f>IF(E324&lt;&gt;"",SUMIFS('JPK_KR-1'!AM:AM,'JPK_KR-1'!W:W,F324),"")</f>
        <v/>
      </c>
      <c r="I324" s="5" t="str">
        <f>IF(kokpit!I324&lt;&gt;"",kokpit!I324,"")</f>
        <v/>
      </c>
      <c r="J324" s="5" t="str">
        <f>IF(kokpit!J324&lt;&gt;"",kokpit!J324,"")</f>
        <v/>
      </c>
      <c r="K324" s="24" t="str">
        <f>IF(I324&lt;&gt;"",SUMIFS('JPK_KR-1'!AL:AL,'JPK_KR-1'!W:W,J324),"")</f>
        <v/>
      </c>
      <c r="L324" s="141" t="str">
        <f>IF(I324&lt;&gt;"",SUMIFS('JPK_KR-1'!AM:AM,'JPK_KR-1'!W:W,J324),"")</f>
        <v/>
      </c>
      <c r="M324" s="143" t="str">
        <f>IF(kokpit!M324&lt;&gt;"",kokpit!M324,"")</f>
        <v/>
      </c>
      <c r="N324" s="117" t="str">
        <f>IF(kokpit!N324&lt;&gt;"",kokpit!N324,"")</f>
        <v/>
      </c>
      <c r="O324" s="117" t="str">
        <f>IF(kokpit!O324&lt;&gt;"",kokpit!O324,"")</f>
        <v/>
      </c>
      <c r="P324" s="141" t="str">
        <f>IF(M324&lt;&gt;"",IF(O324="",SUMIFS('JPK_KR-1'!AL:AL,'JPK_KR-1'!W:W,N324),SUMIFS('JPK_KR-1'!BF:BF,'JPK_KR-1'!BE:BE,N324,'JPK_KR-1'!BG:BG,O324)),"")</f>
        <v/>
      </c>
      <c r="Q324" s="144" t="str">
        <f>IF(M324&lt;&gt;"",IF(O324="",SUMIFS('JPK_KR-1'!AM:AM,'JPK_KR-1'!W:W,N324),SUMIFS('JPK_KR-1'!BI:BI,'JPK_KR-1'!BH:BH,N324,'JPK_KR-1'!BJ:BJ,O324)),"")</f>
        <v/>
      </c>
      <c r="R324" s="117" t="str">
        <f>IF(kokpit!R324&lt;&gt;"",kokpit!R324,"")</f>
        <v/>
      </c>
      <c r="S324" s="117" t="str">
        <f>IF(kokpit!S324&lt;&gt;"",kokpit!S324,"")</f>
        <v/>
      </c>
      <c r="T324" s="117" t="str">
        <f>IF(kokpit!T324&lt;&gt;"",kokpit!T324,"")</f>
        <v/>
      </c>
      <c r="U324" s="141" t="str">
        <f>IF(R324&lt;&gt;"",SUMIFS('JPK_KR-1'!AL:AL,'JPK_KR-1'!W:W,S324),"")</f>
        <v/>
      </c>
      <c r="V324" s="144" t="str">
        <f>IF(R324&lt;&gt;"",SUMIFS('JPK_KR-1'!AM:AM,'JPK_KR-1'!W:W,S324),"")</f>
        <v/>
      </c>
    </row>
    <row r="325" spans="1:22" x14ac:dyDescent="0.3">
      <c r="A325" s="5" t="str">
        <f>IF(kokpit!A325&lt;&gt;"",kokpit!A325,"")</f>
        <v/>
      </c>
      <c r="B325" s="5" t="str">
        <f>IF(kokpit!B325&lt;&gt;"",kokpit!B325,"")</f>
        <v/>
      </c>
      <c r="C325" s="24" t="str">
        <f>IF(A325&lt;&gt;"",SUMIFS('JPK_KR-1'!AL:AL,'JPK_KR-1'!W:W,B325),"")</f>
        <v/>
      </c>
      <c r="D325" s="126" t="str">
        <f>IF(A325&lt;&gt;"",SUMIFS('JPK_KR-1'!AM:AM,'JPK_KR-1'!W:W,B325),"")</f>
        <v/>
      </c>
      <c r="E325" s="5" t="str">
        <f>IF(kokpit!E325&lt;&gt;"",kokpit!E325,"")</f>
        <v/>
      </c>
      <c r="F325" s="127" t="str">
        <f>IF(kokpit!F325&lt;&gt;"",kokpit!F325,"")</f>
        <v/>
      </c>
      <c r="G325" s="24" t="str">
        <f>IF(E325&lt;&gt;"",SUMIFS('JPK_KR-1'!AL:AL,'JPK_KR-1'!W:W,F325),"")</f>
        <v/>
      </c>
      <c r="H325" s="126" t="str">
        <f>IF(E325&lt;&gt;"",SUMIFS('JPK_KR-1'!AM:AM,'JPK_KR-1'!W:W,F325),"")</f>
        <v/>
      </c>
      <c r="I325" s="5" t="str">
        <f>IF(kokpit!I325&lt;&gt;"",kokpit!I325,"")</f>
        <v/>
      </c>
      <c r="J325" s="5" t="str">
        <f>IF(kokpit!J325&lt;&gt;"",kokpit!J325,"")</f>
        <v/>
      </c>
      <c r="K325" s="24" t="str">
        <f>IF(I325&lt;&gt;"",SUMIFS('JPK_KR-1'!AL:AL,'JPK_KR-1'!W:W,J325),"")</f>
        <v/>
      </c>
      <c r="L325" s="141" t="str">
        <f>IF(I325&lt;&gt;"",SUMIFS('JPK_KR-1'!AM:AM,'JPK_KR-1'!W:W,J325),"")</f>
        <v/>
      </c>
      <c r="M325" s="143" t="str">
        <f>IF(kokpit!M325&lt;&gt;"",kokpit!M325,"")</f>
        <v/>
      </c>
      <c r="N325" s="117" t="str">
        <f>IF(kokpit!N325&lt;&gt;"",kokpit!N325,"")</f>
        <v/>
      </c>
      <c r="O325" s="117" t="str">
        <f>IF(kokpit!O325&lt;&gt;"",kokpit!O325,"")</f>
        <v/>
      </c>
      <c r="P325" s="141" t="str">
        <f>IF(M325&lt;&gt;"",IF(O325="",SUMIFS('JPK_KR-1'!AL:AL,'JPK_KR-1'!W:W,N325),SUMIFS('JPK_KR-1'!BF:BF,'JPK_KR-1'!BE:BE,N325,'JPK_KR-1'!BG:BG,O325)),"")</f>
        <v/>
      </c>
      <c r="Q325" s="144" t="str">
        <f>IF(M325&lt;&gt;"",IF(O325="",SUMIFS('JPK_KR-1'!AM:AM,'JPK_KR-1'!W:W,N325),SUMIFS('JPK_KR-1'!BI:BI,'JPK_KR-1'!BH:BH,N325,'JPK_KR-1'!BJ:BJ,O325)),"")</f>
        <v/>
      </c>
      <c r="R325" s="117" t="str">
        <f>IF(kokpit!R325&lt;&gt;"",kokpit!R325,"")</f>
        <v/>
      </c>
      <c r="S325" s="117" t="str">
        <f>IF(kokpit!S325&lt;&gt;"",kokpit!S325,"")</f>
        <v/>
      </c>
      <c r="T325" s="117" t="str">
        <f>IF(kokpit!T325&lt;&gt;"",kokpit!T325,"")</f>
        <v/>
      </c>
      <c r="U325" s="141" t="str">
        <f>IF(R325&lt;&gt;"",SUMIFS('JPK_KR-1'!AL:AL,'JPK_KR-1'!W:W,S325),"")</f>
        <v/>
      </c>
      <c r="V325" s="144" t="str">
        <f>IF(R325&lt;&gt;"",SUMIFS('JPK_KR-1'!AM:AM,'JPK_KR-1'!W:W,S325),"")</f>
        <v/>
      </c>
    </row>
    <row r="326" spans="1:22" x14ac:dyDescent="0.3">
      <c r="A326" s="5" t="str">
        <f>IF(kokpit!A326&lt;&gt;"",kokpit!A326,"")</f>
        <v/>
      </c>
      <c r="B326" s="5" t="str">
        <f>IF(kokpit!B326&lt;&gt;"",kokpit!B326,"")</f>
        <v/>
      </c>
      <c r="C326" s="24" t="str">
        <f>IF(A326&lt;&gt;"",SUMIFS('JPK_KR-1'!AL:AL,'JPK_KR-1'!W:W,B326),"")</f>
        <v/>
      </c>
      <c r="D326" s="126" t="str">
        <f>IF(A326&lt;&gt;"",SUMIFS('JPK_KR-1'!AM:AM,'JPK_KR-1'!W:W,B326),"")</f>
        <v/>
      </c>
      <c r="E326" s="5" t="str">
        <f>IF(kokpit!E326&lt;&gt;"",kokpit!E326,"")</f>
        <v/>
      </c>
      <c r="F326" s="127" t="str">
        <f>IF(kokpit!F326&lt;&gt;"",kokpit!F326,"")</f>
        <v/>
      </c>
      <c r="G326" s="24" t="str">
        <f>IF(E326&lt;&gt;"",SUMIFS('JPK_KR-1'!AL:AL,'JPK_KR-1'!W:W,F326),"")</f>
        <v/>
      </c>
      <c r="H326" s="126" t="str">
        <f>IF(E326&lt;&gt;"",SUMIFS('JPK_KR-1'!AM:AM,'JPK_KR-1'!W:W,F326),"")</f>
        <v/>
      </c>
      <c r="I326" s="5" t="str">
        <f>IF(kokpit!I326&lt;&gt;"",kokpit!I326,"")</f>
        <v/>
      </c>
      <c r="J326" s="5" t="str">
        <f>IF(kokpit!J326&lt;&gt;"",kokpit!J326,"")</f>
        <v/>
      </c>
      <c r="K326" s="24" t="str">
        <f>IF(I326&lt;&gt;"",SUMIFS('JPK_KR-1'!AL:AL,'JPK_KR-1'!W:W,J326),"")</f>
        <v/>
      </c>
      <c r="L326" s="141" t="str">
        <f>IF(I326&lt;&gt;"",SUMIFS('JPK_KR-1'!AM:AM,'JPK_KR-1'!W:W,J326),"")</f>
        <v/>
      </c>
      <c r="M326" s="143" t="str">
        <f>IF(kokpit!M326&lt;&gt;"",kokpit!M326,"")</f>
        <v/>
      </c>
      <c r="N326" s="117" t="str">
        <f>IF(kokpit!N326&lt;&gt;"",kokpit!N326,"")</f>
        <v/>
      </c>
      <c r="O326" s="117" t="str">
        <f>IF(kokpit!O326&lt;&gt;"",kokpit!O326,"")</f>
        <v/>
      </c>
      <c r="P326" s="141" t="str">
        <f>IF(M326&lt;&gt;"",IF(O326="",SUMIFS('JPK_KR-1'!AL:AL,'JPK_KR-1'!W:W,N326),SUMIFS('JPK_KR-1'!BF:BF,'JPK_KR-1'!BE:BE,N326,'JPK_KR-1'!BG:BG,O326)),"")</f>
        <v/>
      </c>
      <c r="Q326" s="144" t="str">
        <f>IF(M326&lt;&gt;"",IF(O326="",SUMIFS('JPK_KR-1'!AM:AM,'JPK_KR-1'!W:W,N326),SUMIFS('JPK_KR-1'!BI:BI,'JPK_KR-1'!BH:BH,N326,'JPK_KR-1'!BJ:BJ,O326)),"")</f>
        <v/>
      </c>
      <c r="R326" s="117" t="str">
        <f>IF(kokpit!R326&lt;&gt;"",kokpit!R326,"")</f>
        <v/>
      </c>
      <c r="S326" s="117" t="str">
        <f>IF(kokpit!S326&lt;&gt;"",kokpit!S326,"")</f>
        <v/>
      </c>
      <c r="T326" s="117" t="str">
        <f>IF(kokpit!T326&lt;&gt;"",kokpit!T326,"")</f>
        <v/>
      </c>
      <c r="U326" s="141" t="str">
        <f>IF(R326&lt;&gt;"",SUMIFS('JPK_KR-1'!AL:AL,'JPK_KR-1'!W:W,S326),"")</f>
        <v/>
      </c>
      <c r="V326" s="144" t="str">
        <f>IF(R326&lt;&gt;"",SUMIFS('JPK_KR-1'!AM:AM,'JPK_KR-1'!W:W,S326),"")</f>
        <v/>
      </c>
    </row>
    <row r="327" spans="1:22" x14ac:dyDescent="0.3">
      <c r="A327" s="5" t="str">
        <f>IF(kokpit!A327&lt;&gt;"",kokpit!A327,"")</f>
        <v/>
      </c>
      <c r="B327" s="5" t="str">
        <f>IF(kokpit!B327&lt;&gt;"",kokpit!B327,"")</f>
        <v/>
      </c>
      <c r="C327" s="24" t="str">
        <f>IF(A327&lt;&gt;"",SUMIFS('JPK_KR-1'!AL:AL,'JPK_KR-1'!W:W,B327),"")</f>
        <v/>
      </c>
      <c r="D327" s="126" t="str">
        <f>IF(A327&lt;&gt;"",SUMIFS('JPK_KR-1'!AM:AM,'JPK_KR-1'!W:W,B327),"")</f>
        <v/>
      </c>
      <c r="E327" s="5" t="str">
        <f>IF(kokpit!E327&lt;&gt;"",kokpit!E327,"")</f>
        <v/>
      </c>
      <c r="F327" s="127" t="str">
        <f>IF(kokpit!F327&lt;&gt;"",kokpit!F327,"")</f>
        <v/>
      </c>
      <c r="G327" s="24" t="str">
        <f>IF(E327&lt;&gt;"",SUMIFS('JPK_KR-1'!AL:AL,'JPK_KR-1'!W:W,F327),"")</f>
        <v/>
      </c>
      <c r="H327" s="126" t="str">
        <f>IF(E327&lt;&gt;"",SUMIFS('JPK_KR-1'!AM:AM,'JPK_KR-1'!W:W,F327),"")</f>
        <v/>
      </c>
      <c r="I327" s="5" t="str">
        <f>IF(kokpit!I327&lt;&gt;"",kokpit!I327,"")</f>
        <v/>
      </c>
      <c r="J327" s="5" t="str">
        <f>IF(kokpit!J327&lt;&gt;"",kokpit!J327,"")</f>
        <v/>
      </c>
      <c r="K327" s="24" t="str">
        <f>IF(I327&lt;&gt;"",SUMIFS('JPK_KR-1'!AL:AL,'JPK_KR-1'!W:W,J327),"")</f>
        <v/>
      </c>
      <c r="L327" s="141" t="str">
        <f>IF(I327&lt;&gt;"",SUMIFS('JPK_KR-1'!AM:AM,'JPK_KR-1'!W:W,J327),"")</f>
        <v/>
      </c>
      <c r="M327" s="143" t="str">
        <f>IF(kokpit!M327&lt;&gt;"",kokpit!M327,"")</f>
        <v/>
      </c>
      <c r="N327" s="117" t="str">
        <f>IF(kokpit!N327&lt;&gt;"",kokpit!N327,"")</f>
        <v/>
      </c>
      <c r="O327" s="117" t="str">
        <f>IF(kokpit!O327&lt;&gt;"",kokpit!O327,"")</f>
        <v/>
      </c>
      <c r="P327" s="141" t="str">
        <f>IF(M327&lt;&gt;"",IF(O327="",SUMIFS('JPK_KR-1'!AL:AL,'JPK_KR-1'!W:W,N327),SUMIFS('JPK_KR-1'!BF:BF,'JPK_KR-1'!BE:BE,N327,'JPK_KR-1'!BG:BG,O327)),"")</f>
        <v/>
      </c>
      <c r="Q327" s="144" t="str">
        <f>IF(M327&lt;&gt;"",IF(O327="",SUMIFS('JPK_KR-1'!AM:AM,'JPK_KR-1'!W:W,N327),SUMIFS('JPK_KR-1'!BI:BI,'JPK_KR-1'!BH:BH,N327,'JPK_KR-1'!BJ:BJ,O327)),"")</f>
        <v/>
      </c>
      <c r="R327" s="117" t="str">
        <f>IF(kokpit!R327&lt;&gt;"",kokpit!R327,"")</f>
        <v/>
      </c>
      <c r="S327" s="117" t="str">
        <f>IF(kokpit!S327&lt;&gt;"",kokpit!S327,"")</f>
        <v/>
      </c>
      <c r="T327" s="117" t="str">
        <f>IF(kokpit!T327&lt;&gt;"",kokpit!T327,"")</f>
        <v/>
      </c>
      <c r="U327" s="141" t="str">
        <f>IF(R327&lt;&gt;"",SUMIFS('JPK_KR-1'!AL:AL,'JPK_KR-1'!W:W,S327),"")</f>
        <v/>
      </c>
      <c r="V327" s="144" t="str">
        <f>IF(R327&lt;&gt;"",SUMIFS('JPK_KR-1'!AM:AM,'JPK_KR-1'!W:W,S327),"")</f>
        <v/>
      </c>
    </row>
    <row r="328" spans="1:22" x14ac:dyDescent="0.3">
      <c r="A328" s="5" t="str">
        <f>IF(kokpit!A328&lt;&gt;"",kokpit!A328,"")</f>
        <v/>
      </c>
      <c r="B328" s="5" t="str">
        <f>IF(kokpit!B328&lt;&gt;"",kokpit!B328,"")</f>
        <v/>
      </c>
      <c r="C328" s="24" t="str">
        <f>IF(A328&lt;&gt;"",SUMIFS('JPK_KR-1'!AL:AL,'JPK_KR-1'!W:W,B328),"")</f>
        <v/>
      </c>
      <c r="D328" s="126" t="str">
        <f>IF(A328&lt;&gt;"",SUMIFS('JPK_KR-1'!AM:AM,'JPK_KR-1'!W:W,B328),"")</f>
        <v/>
      </c>
      <c r="E328" s="5" t="str">
        <f>IF(kokpit!E328&lt;&gt;"",kokpit!E328,"")</f>
        <v/>
      </c>
      <c r="F328" s="127" t="str">
        <f>IF(kokpit!F328&lt;&gt;"",kokpit!F328,"")</f>
        <v/>
      </c>
      <c r="G328" s="24" t="str">
        <f>IF(E328&lt;&gt;"",SUMIFS('JPK_KR-1'!AL:AL,'JPK_KR-1'!W:W,F328),"")</f>
        <v/>
      </c>
      <c r="H328" s="126" t="str">
        <f>IF(E328&lt;&gt;"",SUMIFS('JPK_KR-1'!AM:AM,'JPK_KR-1'!W:W,F328),"")</f>
        <v/>
      </c>
      <c r="I328" s="5" t="str">
        <f>IF(kokpit!I328&lt;&gt;"",kokpit!I328,"")</f>
        <v/>
      </c>
      <c r="J328" s="5" t="str">
        <f>IF(kokpit!J328&lt;&gt;"",kokpit!J328,"")</f>
        <v/>
      </c>
      <c r="K328" s="24" t="str">
        <f>IF(I328&lt;&gt;"",SUMIFS('JPK_KR-1'!AL:AL,'JPK_KR-1'!W:W,J328),"")</f>
        <v/>
      </c>
      <c r="L328" s="141" t="str">
        <f>IF(I328&lt;&gt;"",SUMIFS('JPK_KR-1'!AM:AM,'JPK_KR-1'!W:W,J328),"")</f>
        <v/>
      </c>
      <c r="M328" s="143" t="str">
        <f>IF(kokpit!M328&lt;&gt;"",kokpit!M328,"")</f>
        <v/>
      </c>
      <c r="N328" s="117" t="str">
        <f>IF(kokpit!N328&lt;&gt;"",kokpit!N328,"")</f>
        <v/>
      </c>
      <c r="O328" s="117" t="str">
        <f>IF(kokpit!O328&lt;&gt;"",kokpit!O328,"")</f>
        <v/>
      </c>
      <c r="P328" s="141" t="str">
        <f>IF(M328&lt;&gt;"",IF(O328="",SUMIFS('JPK_KR-1'!AL:AL,'JPK_KR-1'!W:W,N328),SUMIFS('JPK_KR-1'!BF:BF,'JPK_KR-1'!BE:BE,N328,'JPK_KR-1'!BG:BG,O328)),"")</f>
        <v/>
      </c>
      <c r="Q328" s="144" t="str">
        <f>IF(M328&lt;&gt;"",IF(O328="",SUMIFS('JPK_KR-1'!AM:AM,'JPK_KR-1'!W:W,N328),SUMIFS('JPK_KR-1'!BI:BI,'JPK_KR-1'!BH:BH,N328,'JPK_KR-1'!BJ:BJ,O328)),"")</f>
        <v/>
      </c>
      <c r="R328" s="117" t="str">
        <f>IF(kokpit!R328&lt;&gt;"",kokpit!R328,"")</f>
        <v/>
      </c>
      <c r="S328" s="117" t="str">
        <f>IF(kokpit!S328&lt;&gt;"",kokpit!S328,"")</f>
        <v/>
      </c>
      <c r="T328" s="117" t="str">
        <f>IF(kokpit!T328&lt;&gt;"",kokpit!T328,"")</f>
        <v/>
      </c>
      <c r="U328" s="141" t="str">
        <f>IF(R328&lt;&gt;"",SUMIFS('JPK_KR-1'!AL:AL,'JPK_KR-1'!W:W,S328),"")</f>
        <v/>
      </c>
      <c r="V328" s="144" t="str">
        <f>IF(R328&lt;&gt;"",SUMIFS('JPK_KR-1'!AM:AM,'JPK_KR-1'!W:W,S328),"")</f>
        <v/>
      </c>
    </row>
    <row r="329" spans="1:22" x14ac:dyDescent="0.3">
      <c r="A329" s="5" t="str">
        <f>IF(kokpit!A329&lt;&gt;"",kokpit!A329,"")</f>
        <v/>
      </c>
      <c r="B329" s="5" t="str">
        <f>IF(kokpit!B329&lt;&gt;"",kokpit!B329,"")</f>
        <v/>
      </c>
      <c r="C329" s="24" t="str">
        <f>IF(A329&lt;&gt;"",SUMIFS('JPK_KR-1'!AL:AL,'JPK_KR-1'!W:W,B329),"")</f>
        <v/>
      </c>
      <c r="D329" s="126" t="str">
        <f>IF(A329&lt;&gt;"",SUMIFS('JPK_KR-1'!AM:AM,'JPK_KR-1'!W:W,B329),"")</f>
        <v/>
      </c>
      <c r="E329" s="5" t="str">
        <f>IF(kokpit!E329&lt;&gt;"",kokpit!E329,"")</f>
        <v/>
      </c>
      <c r="F329" s="127" t="str">
        <f>IF(kokpit!F329&lt;&gt;"",kokpit!F329,"")</f>
        <v/>
      </c>
      <c r="G329" s="24" t="str">
        <f>IF(E329&lt;&gt;"",SUMIFS('JPK_KR-1'!AL:AL,'JPK_KR-1'!W:W,F329),"")</f>
        <v/>
      </c>
      <c r="H329" s="126" t="str">
        <f>IF(E329&lt;&gt;"",SUMIFS('JPK_KR-1'!AM:AM,'JPK_KR-1'!W:W,F329),"")</f>
        <v/>
      </c>
      <c r="I329" s="5" t="str">
        <f>IF(kokpit!I329&lt;&gt;"",kokpit!I329,"")</f>
        <v/>
      </c>
      <c r="J329" s="5" t="str">
        <f>IF(kokpit!J329&lt;&gt;"",kokpit!J329,"")</f>
        <v/>
      </c>
      <c r="K329" s="24" t="str">
        <f>IF(I329&lt;&gt;"",SUMIFS('JPK_KR-1'!AL:AL,'JPK_KR-1'!W:W,J329),"")</f>
        <v/>
      </c>
      <c r="L329" s="141" t="str">
        <f>IF(I329&lt;&gt;"",SUMIFS('JPK_KR-1'!AM:AM,'JPK_KR-1'!W:W,J329),"")</f>
        <v/>
      </c>
      <c r="M329" s="143" t="str">
        <f>IF(kokpit!M329&lt;&gt;"",kokpit!M329,"")</f>
        <v/>
      </c>
      <c r="N329" s="117" t="str">
        <f>IF(kokpit!N329&lt;&gt;"",kokpit!N329,"")</f>
        <v/>
      </c>
      <c r="O329" s="117" t="str">
        <f>IF(kokpit!O329&lt;&gt;"",kokpit!O329,"")</f>
        <v/>
      </c>
      <c r="P329" s="141" t="str">
        <f>IF(M329&lt;&gt;"",IF(O329="",SUMIFS('JPK_KR-1'!AL:AL,'JPK_KR-1'!W:W,N329),SUMIFS('JPK_KR-1'!BF:BF,'JPK_KR-1'!BE:BE,N329,'JPK_KR-1'!BG:BG,O329)),"")</f>
        <v/>
      </c>
      <c r="Q329" s="144" t="str">
        <f>IF(M329&lt;&gt;"",IF(O329="",SUMIFS('JPK_KR-1'!AM:AM,'JPK_KR-1'!W:W,N329),SUMIFS('JPK_KR-1'!BI:BI,'JPK_KR-1'!BH:BH,N329,'JPK_KR-1'!BJ:BJ,O329)),"")</f>
        <v/>
      </c>
      <c r="R329" s="117" t="str">
        <f>IF(kokpit!R329&lt;&gt;"",kokpit!R329,"")</f>
        <v/>
      </c>
      <c r="S329" s="117" t="str">
        <f>IF(kokpit!S329&lt;&gt;"",kokpit!S329,"")</f>
        <v/>
      </c>
      <c r="T329" s="117" t="str">
        <f>IF(kokpit!T329&lt;&gt;"",kokpit!T329,"")</f>
        <v/>
      </c>
      <c r="U329" s="141" t="str">
        <f>IF(R329&lt;&gt;"",SUMIFS('JPK_KR-1'!AL:AL,'JPK_KR-1'!W:W,S329),"")</f>
        <v/>
      </c>
      <c r="V329" s="144" t="str">
        <f>IF(R329&lt;&gt;"",SUMIFS('JPK_KR-1'!AM:AM,'JPK_KR-1'!W:W,S329),"")</f>
        <v/>
      </c>
    </row>
    <row r="330" spans="1:22" x14ac:dyDescent="0.3">
      <c r="A330" s="5" t="str">
        <f>IF(kokpit!A330&lt;&gt;"",kokpit!A330,"")</f>
        <v/>
      </c>
      <c r="B330" s="5" t="str">
        <f>IF(kokpit!B330&lt;&gt;"",kokpit!B330,"")</f>
        <v/>
      </c>
      <c r="C330" s="24" t="str">
        <f>IF(A330&lt;&gt;"",SUMIFS('JPK_KR-1'!AL:AL,'JPK_KR-1'!W:W,B330),"")</f>
        <v/>
      </c>
      <c r="D330" s="126" t="str">
        <f>IF(A330&lt;&gt;"",SUMIFS('JPK_KR-1'!AM:AM,'JPK_KR-1'!W:W,B330),"")</f>
        <v/>
      </c>
      <c r="E330" s="5" t="str">
        <f>IF(kokpit!E330&lt;&gt;"",kokpit!E330,"")</f>
        <v/>
      </c>
      <c r="F330" s="127" t="str">
        <f>IF(kokpit!F330&lt;&gt;"",kokpit!F330,"")</f>
        <v/>
      </c>
      <c r="G330" s="24" t="str">
        <f>IF(E330&lt;&gt;"",SUMIFS('JPK_KR-1'!AL:AL,'JPK_KR-1'!W:W,F330),"")</f>
        <v/>
      </c>
      <c r="H330" s="126" t="str">
        <f>IF(E330&lt;&gt;"",SUMIFS('JPK_KR-1'!AM:AM,'JPK_KR-1'!W:W,F330),"")</f>
        <v/>
      </c>
      <c r="I330" s="5" t="str">
        <f>IF(kokpit!I330&lt;&gt;"",kokpit!I330,"")</f>
        <v/>
      </c>
      <c r="J330" s="5" t="str">
        <f>IF(kokpit!J330&lt;&gt;"",kokpit!J330,"")</f>
        <v/>
      </c>
      <c r="K330" s="24" t="str">
        <f>IF(I330&lt;&gt;"",SUMIFS('JPK_KR-1'!AL:AL,'JPK_KR-1'!W:W,J330),"")</f>
        <v/>
      </c>
      <c r="L330" s="141" t="str">
        <f>IF(I330&lt;&gt;"",SUMIFS('JPK_KR-1'!AM:AM,'JPK_KR-1'!W:W,J330),"")</f>
        <v/>
      </c>
      <c r="M330" s="143" t="str">
        <f>IF(kokpit!M330&lt;&gt;"",kokpit!M330,"")</f>
        <v/>
      </c>
      <c r="N330" s="117" t="str">
        <f>IF(kokpit!N330&lt;&gt;"",kokpit!N330,"")</f>
        <v/>
      </c>
      <c r="O330" s="117" t="str">
        <f>IF(kokpit!O330&lt;&gt;"",kokpit!O330,"")</f>
        <v/>
      </c>
      <c r="P330" s="141" t="str">
        <f>IF(M330&lt;&gt;"",IF(O330="",SUMIFS('JPK_KR-1'!AL:AL,'JPK_KR-1'!W:W,N330),SUMIFS('JPK_KR-1'!BF:BF,'JPK_KR-1'!BE:BE,N330,'JPK_KR-1'!BG:BG,O330)),"")</f>
        <v/>
      </c>
      <c r="Q330" s="144" t="str">
        <f>IF(M330&lt;&gt;"",IF(O330="",SUMIFS('JPK_KR-1'!AM:AM,'JPK_KR-1'!W:W,N330),SUMIFS('JPK_KR-1'!BI:BI,'JPK_KR-1'!BH:BH,N330,'JPK_KR-1'!BJ:BJ,O330)),"")</f>
        <v/>
      </c>
      <c r="R330" s="117" t="str">
        <f>IF(kokpit!R330&lt;&gt;"",kokpit!R330,"")</f>
        <v/>
      </c>
      <c r="S330" s="117" t="str">
        <f>IF(kokpit!S330&lt;&gt;"",kokpit!S330,"")</f>
        <v/>
      </c>
      <c r="T330" s="117" t="str">
        <f>IF(kokpit!T330&lt;&gt;"",kokpit!T330,"")</f>
        <v/>
      </c>
      <c r="U330" s="141" t="str">
        <f>IF(R330&lt;&gt;"",SUMIFS('JPK_KR-1'!AL:AL,'JPK_KR-1'!W:W,S330),"")</f>
        <v/>
      </c>
      <c r="V330" s="144" t="str">
        <f>IF(R330&lt;&gt;"",SUMIFS('JPK_KR-1'!AM:AM,'JPK_KR-1'!W:W,S330),"")</f>
        <v/>
      </c>
    </row>
    <row r="331" spans="1:22" x14ac:dyDescent="0.3">
      <c r="A331" s="5" t="str">
        <f>IF(kokpit!A331&lt;&gt;"",kokpit!A331,"")</f>
        <v/>
      </c>
      <c r="B331" s="5" t="str">
        <f>IF(kokpit!B331&lt;&gt;"",kokpit!B331,"")</f>
        <v/>
      </c>
      <c r="C331" s="24" t="str">
        <f>IF(A331&lt;&gt;"",SUMIFS('JPK_KR-1'!AL:AL,'JPK_KR-1'!W:W,B331),"")</f>
        <v/>
      </c>
      <c r="D331" s="126" t="str">
        <f>IF(A331&lt;&gt;"",SUMIFS('JPK_KR-1'!AM:AM,'JPK_KR-1'!W:W,B331),"")</f>
        <v/>
      </c>
      <c r="E331" s="5" t="str">
        <f>IF(kokpit!E331&lt;&gt;"",kokpit!E331,"")</f>
        <v/>
      </c>
      <c r="F331" s="127" t="str">
        <f>IF(kokpit!F331&lt;&gt;"",kokpit!F331,"")</f>
        <v/>
      </c>
      <c r="G331" s="24" t="str">
        <f>IF(E331&lt;&gt;"",SUMIFS('JPK_KR-1'!AL:AL,'JPK_KR-1'!W:W,F331),"")</f>
        <v/>
      </c>
      <c r="H331" s="126" t="str">
        <f>IF(E331&lt;&gt;"",SUMIFS('JPK_KR-1'!AM:AM,'JPK_KR-1'!W:W,F331),"")</f>
        <v/>
      </c>
      <c r="I331" s="5" t="str">
        <f>IF(kokpit!I331&lt;&gt;"",kokpit!I331,"")</f>
        <v/>
      </c>
      <c r="J331" s="5" t="str">
        <f>IF(kokpit!J331&lt;&gt;"",kokpit!J331,"")</f>
        <v/>
      </c>
      <c r="K331" s="24" t="str">
        <f>IF(I331&lt;&gt;"",SUMIFS('JPK_KR-1'!AL:AL,'JPK_KR-1'!W:W,J331),"")</f>
        <v/>
      </c>
      <c r="L331" s="141" t="str">
        <f>IF(I331&lt;&gt;"",SUMIFS('JPK_KR-1'!AM:AM,'JPK_KR-1'!W:W,J331),"")</f>
        <v/>
      </c>
      <c r="M331" s="143" t="str">
        <f>IF(kokpit!M331&lt;&gt;"",kokpit!M331,"")</f>
        <v/>
      </c>
      <c r="N331" s="117" t="str">
        <f>IF(kokpit!N331&lt;&gt;"",kokpit!N331,"")</f>
        <v/>
      </c>
      <c r="O331" s="117" t="str">
        <f>IF(kokpit!O331&lt;&gt;"",kokpit!O331,"")</f>
        <v/>
      </c>
      <c r="P331" s="141" t="str">
        <f>IF(M331&lt;&gt;"",IF(O331="",SUMIFS('JPK_KR-1'!AL:AL,'JPK_KR-1'!W:W,N331),SUMIFS('JPK_KR-1'!BF:BF,'JPK_KR-1'!BE:BE,N331,'JPK_KR-1'!BG:BG,O331)),"")</f>
        <v/>
      </c>
      <c r="Q331" s="144" t="str">
        <f>IF(M331&lt;&gt;"",IF(O331="",SUMIFS('JPK_KR-1'!AM:AM,'JPK_KR-1'!W:W,N331),SUMIFS('JPK_KR-1'!BI:BI,'JPK_KR-1'!BH:BH,N331,'JPK_KR-1'!BJ:BJ,O331)),"")</f>
        <v/>
      </c>
      <c r="R331" s="117" t="str">
        <f>IF(kokpit!R331&lt;&gt;"",kokpit!R331,"")</f>
        <v/>
      </c>
      <c r="S331" s="117" t="str">
        <f>IF(kokpit!S331&lt;&gt;"",kokpit!S331,"")</f>
        <v/>
      </c>
      <c r="T331" s="117" t="str">
        <f>IF(kokpit!T331&lt;&gt;"",kokpit!T331,"")</f>
        <v/>
      </c>
      <c r="U331" s="141" t="str">
        <f>IF(R331&lt;&gt;"",SUMIFS('JPK_KR-1'!AL:AL,'JPK_KR-1'!W:W,S331),"")</f>
        <v/>
      </c>
      <c r="V331" s="144" t="str">
        <f>IF(R331&lt;&gt;"",SUMIFS('JPK_KR-1'!AM:AM,'JPK_KR-1'!W:W,S331),"")</f>
        <v/>
      </c>
    </row>
    <row r="332" spans="1:22" x14ac:dyDescent="0.3">
      <c r="A332" s="5" t="str">
        <f>IF(kokpit!A332&lt;&gt;"",kokpit!A332,"")</f>
        <v/>
      </c>
      <c r="B332" s="5" t="str">
        <f>IF(kokpit!B332&lt;&gt;"",kokpit!B332,"")</f>
        <v/>
      </c>
      <c r="C332" s="24" t="str">
        <f>IF(A332&lt;&gt;"",SUMIFS('JPK_KR-1'!AL:AL,'JPK_KR-1'!W:W,B332),"")</f>
        <v/>
      </c>
      <c r="D332" s="126" t="str">
        <f>IF(A332&lt;&gt;"",SUMIFS('JPK_KR-1'!AM:AM,'JPK_KR-1'!W:W,B332),"")</f>
        <v/>
      </c>
      <c r="E332" s="5" t="str">
        <f>IF(kokpit!E332&lt;&gt;"",kokpit!E332,"")</f>
        <v/>
      </c>
      <c r="F332" s="127" t="str">
        <f>IF(kokpit!F332&lt;&gt;"",kokpit!F332,"")</f>
        <v/>
      </c>
      <c r="G332" s="24" t="str">
        <f>IF(E332&lt;&gt;"",SUMIFS('JPK_KR-1'!AL:AL,'JPK_KR-1'!W:W,F332),"")</f>
        <v/>
      </c>
      <c r="H332" s="126" t="str">
        <f>IF(E332&lt;&gt;"",SUMIFS('JPK_KR-1'!AM:AM,'JPK_KR-1'!W:W,F332),"")</f>
        <v/>
      </c>
      <c r="I332" s="5" t="str">
        <f>IF(kokpit!I332&lt;&gt;"",kokpit!I332,"")</f>
        <v/>
      </c>
      <c r="J332" s="5" t="str">
        <f>IF(kokpit!J332&lt;&gt;"",kokpit!J332,"")</f>
        <v/>
      </c>
      <c r="K332" s="24" t="str">
        <f>IF(I332&lt;&gt;"",SUMIFS('JPK_KR-1'!AL:AL,'JPK_KR-1'!W:W,J332),"")</f>
        <v/>
      </c>
      <c r="L332" s="141" t="str">
        <f>IF(I332&lt;&gt;"",SUMIFS('JPK_KR-1'!AM:AM,'JPK_KR-1'!W:W,J332),"")</f>
        <v/>
      </c>
      <c r="M332" s="143" t="str">
        <f>IF(kokpit!M332&lt;&gt;"",kokpit!M332,"")</f>
        <v/>
      </c>
      <c r="N332" s="117" t="str">
        <f>IF(kokpit!N332&lt;&gt;"",kokpit!N332,"")</f>
        <v/>
      </c>
      <c r="O332" s="117" t="str">
        <f>IF(kokpit!O332&lt;&gt;"",kokpit!O332,"")</f>
        <v/>
      </c>
      <c r="P332" s="141" t="str">
        <f>IF(M332&lt;&gt;"",IF(O332="",SUMIFS('JPK_KR-1'!AL:AL,'JPK_KR-1'!W:W,N332),SUMIFS('JPK_KR-1'!BF:BF,'JPK_KR-1'!BE:BE,N332,'JPK_KR-1'!BG:BG,O332)),"")</f>
        <v/>
      </c>
      <c r="Q332" s="144" t="str">
        <f>IF(M332&lt;&gt;"",IF(O332="",SUMIFS('JPK_KR-1'!AM:AM,'JPK_KR-1'!W:W,N332),SUMIFS('JPK_KR-1'!BI:BI,'JPK_KR-1'!BH:BH,N332,'JPK_KR-1'!BJ:BJ,O332)),"")</f>
        <v/>
      </c>
      <c r="R332" s="117" t="str">
        <f>IF(kokpit!R332&lt;&gt;"",kokpit!R332,"")</f>
        <v/>
      </c>
      <c r="S332" s="117" t="str">
        <f>IF(kokpit!S332&lt;&gt;"",kokpit!S332,"")</f>
        <v/>
      </c>
      <c r="T332" s="117" t="str">
        <f>IF(kokpit!T332&lt;&gt;"",kokpit!T332,"")</f>
        <v/>
      </c>
      <c r="U332" s="141" t="str">
        <f>IF(R332&lt;&gt;"",SUMIFS('JPK_KR-1'!AL:AL,'JPK_KR-1'!W:W,S332),"")</f>
        <v/>
      </c>
      <c r="V332" s="144" t="str">
        <f>IF(R332&lt;&gt;"",SUMIFS('JPK_KR-1'!AM:AM,'JPK_KR-1'!W:W,S332),"")</f>
        <v/>
      </c>
    </row>
    <row r="333" spans="1:22" x14ac:dyDescent="0.3">
      <c r="A333" s="5" t="str">
        <f>IF(kokpit!A333&lt;&gt;"",kokpit!A333,"")</f>
        <v/>
      </c>
      <c r="B333" s="5" t="str">
        <f>IF(kokpit!B333&lt;&gt;"",kokpit!B333,"")</f>
        <v/>
      </c>
      <c r="C333" s="24" t="str">
        <f>IF(A333&lt;&gt;"",SUMIFS('JPK_KR-1'!AL:AL,'JPK_KR-1'!W:W,B333),"")</f>
        <v/>
      </c>
      <c r="D333" s="126" t="str">
        <f>IF(A333&lt;&gt;"",SUMIFS('JPK_KR-1'!AM:AM,'JPK_KR-1'!W:W,B333),"")</f>
        <v/>
      </c>
      <c r="E333" s="5" t="str">
        <f>IF(kokpit!E333&lt;&gt;"",kokpit!E333,"")</f>
        <v/>
      </c>
      <c r="F333" s="127" t="str">
        <f>IF(kokpit!F333&lt;&gt;"",kokpit!F333,"")</f>
        <v/>
      </c>
      <c r="G333" s="24" t="str">
        <f>IF(E333&lt;&gt;"",SUMIFS('JPK_KR-1'!AL:AL,'JPK_KR-1'!W:W,F333),"")</f>
        <v/>
      </c>
      <c r="H333" s="126" t="str">
        <f>IF(E333&lt;&gt;"",SUMIFS('JPK_KR-1'!AM:AM,'JPK_KR-1'!W:W,F333),"")</f>
        <v/>
      </c>
      <c r="I333" s="5" t="str">
        <f>IF(kokpit!I333&lt;&gt;"",kokpit!I333,"")</f>
        <v/>
      </c>
      <c r="J333" s="5" t="str">
        <f>IF(kokpit!J333&lt;&gt;"",kokpit!J333,"")</f>
        <v/>
      </c>
      <c r="K333" s="24" t="str">
        <f>IF(I333&lt;&gt;"",SUMIFS('JPK_KR-1'!AL:AL,'JPK_KR-1'!W:W,J333),"")</f>
        <v/>
      </c>
      <c r="L333" s="141" t="str">
        <f>IF(I333&lt;&gt;"",SUMIFS('JPK_KR-1'!AM:AM,'JPK_KR-1'!W:W,J333),"")</f>
        <v/>
      </c>
      <c r="M333" s="143" t="str">
        <f>IF(kokpit!M333&lt;&gt;"",kokpit!M333,"")</f>
        <v/>
      </c>
      <c r="N333" s="117" t="str">
        <f>IF(kokpit!N333&lt;&gt;"",kokpit!N333,"")</f>
        <v/>
      </c>
      <c r="O333" s="117" t="str">
        <f>IF(kokpit!O333&lt;&gt;"",kokpit!O333,"")</f>
        <v/>
      </c>
      <c r="P333" s="141" t="str">
        <f>IF(M333&lt;&gt;"",IF(O333="",SUMIFS('JPK_KR-1'!AL:AL,'JPK_KR-1'!W:W,N333),SUMIFS('JPK_KR-1'!BF:BF,'JPK_KR-1'!BE:BE,N333,'JPK_KR-1'!BG:BG,O333)),"")</f>
        <v/>
      </c>
      <c r="Q333" s="144" t="str">
        <f>IF(M333&lt;&gt;"",IF(O333="",SUMIFS('JPK_KR-1'!AM:AM,'JPK_KR-1'!W:W,N333),SUMIFS('JPK_KR-1'!BI:BI,'JPK_KR-1'!BH:BH,N333,'JPK_KR-1'!BJ:BJ,O333)),"")</f>
        <v/>
      </c>
      <c r="R333" s="117" t="str">
        <f>IF(kokpit!R333&lt;&gt;"",kokpit!R333,"")</f>
        <v/>
      </c>
      <c r="S333" s="117" t="str">
        <f>IF(kokpit!S333&lt;&gt;"",kokpit!S333,"")</f>
        <v/>
      </c>
      <c r="T333" s="117" t="str">
        <f>IF(kokpit!T333&lt;&gt;"",kokpit!T333,"")</f>
        <v/>
      </c>
      <c r="U333" s="141" t="str">
        <f>IF(R333&lt;&gt;"",SUMIFS('JPK_KR-1'!AL:AL,'JPK_KR-1'!W:W,S333),"")</f>
        <v/>
      </c>
      <c r="V333" s="144" t="str">
        <f>IF(R333&lt;&gt;"",SUMIFS('JPK_KR-1'!AM:AM,'JPK_KR-1'!W:W,S333),"")</f>
        <v/>
      </c>
    </row>
    <row r="334" spans="1:22" x14ac:dyDescent="0.3">
      <c r="A334" s="5" t="str">
        <f>IF(kokpit!A334&lt;&gt;"",kokpit!A334,"")</f>
        <v/>
      </c>
      <c r="B334" s="5" t="str">
        <f>IF(kokpit!B334&lt;&gt;"",kokpit!B334,"")</f>
        <v/>
      </c>
      <c r="C334" s="24" t="str">
        <f>IF(A334&lt;&gt;"",SUMIFS('JPK_KR-1'!AL:AL,'JPK_KR-1'!W:W,B334),"")</f>
        <v/>
      </c>
      <c r="D334" s="126" t="str">
        <f>IF(A334&lt;&gt;"",SUMIFS('JPK_KR-1'!AM:AM,'JPK_KR-1'!W:W,B334),"")</f>
        <v/>
      </c>
      <c r="E334" s="5" t="str">
        <f>IF(kokpit!E334&lt;&gt;"",kokpit!E334,"")</f>
        <v/>
      </c>
      <c r="F334" s="127" t="str">
        <f>IF(kokpit!F334&lt;&gt;"",kokpit!F334,"")</f>
        <v/>
      </c>
      <c r="G334" s="24" t="str">
        <f>IF(E334&lt;&gt;"",SUMIFS('JPK_KR-1'!AL:AL,'JPK_KR-1'!W:W,F334),"")</f>
        <v/>
      </c>
      <c r="H334" s="126" t="str">
        <f>IF(E334&lt;&gt;"",SUMIFS('JPK_KR-1'!AM:AM,'JPK_KR-1'!W:W,F334),"")</f>
        <v/>
      </c>
      <c r="I334" s="5" t="str">
        <f>IF(kokpit!I334&lt;&gt;"",kokpit!I334,"")</f>
        <v/>
      </c>
      <c r="J334" s="5" t="str">
        <f>IF(kokpit!J334&lt;&gt;"",kokpit!J334,"")</f>
        <v/>
      </c>
      <c r="K334" s="24" t="str">
        <f>IF(I334&lt;&gt;"",SUMIFS('JPK_KR-1'!AL:AL,'JPK_KR-1'!W:W,J334),"")</f>
        <v/>
      </c>
      <c r="L334" s="141" t="str">
        <f>IF(I334&lt;&gt;"",SUMIFS('JPK_KR-1'!AM:AM,'JPK_KR-1'!W:W,J334),"")</f>
        <v/>
      </c>
      <c r="M334" s="143" t="str">
        <f>IF(kokpit!M334&lt;&gt;"",kokpit!M334,"")</f>
        <v/>
      </c>
      <c r="N334" s="117" t="str">
        <f>IF(kokpit!N334&lt;&gt;"",kokpit!N334,"")</f>
        <v/>
      </c>
      <c r="O334" s="117" t="str">
        <f>IF(kokpit!O334&lt;&gt;"",kokpit!O334,"")</f>
        <v/>
      </c>
      <c r="P334" s="141" t="str">
        <f>IF(M334&lt;&gt;"",IF(O334="",SUMIFS('JPK_KR-1'!AL:AL,'JPK_KR-1'!W:W,N334),SUMIFS('JPK_KR-1'!BF:BF,'JPK_KR-1'!BE:BE,N334,'JPK_KR-1'!BG:BG,O334)),"")</f>
        <v/>
      </c>
      <c r="Q334" s="144" t="str">
        <f>IF(M334&lt;&gt;"",IF(O334="",SUMIFS('JPK_KR-1'!AM:AM,'JPK_KR-1'!W:W,N334),SUMIFS('JPK_KR-1'!BI:BI,'JPK_KR-1'!BH:BH,N334,'JPK_KR-1'!BJ:BJ,O334)),"")</f>
        <v/>
      </c>
      <c r="R334" s="117" t="str">
        <f>IF(kokpit!R334&lt;&gt;"",kokpit!R334,"")</f>
        <v/>
      </c>
      <c r="S334" s="117" t="str">
        <f>IF(kokpit!S334&lt;&gt;"",kokpit!S334,"")</f>
        <v/>
      </c>
      <c r="T334" s="117" t="str">
        <f>IF(kokpit!T334&lt;&gt;"",kokpit!T334,"")</f>
        <v/>
      </c>
      <c r="U334" s="141" t="str">
        <f>IF(R334&lt;&gt;"",SUMIFS('JPK_KR-1'!AL:AL,'JPK_KR-1'!W:W,S334),"")</f>
        <v/>
      </c>
      <c r="V334" s="144" t="str">
        <f>IF(R334&lt;&gt;"",SUMIFS('JPK_KR-1'!AM:AM,'JPK_KR-1'!W:W,S334),"")</f>
        <v/>
      </c>
    </row>
    <row r="335" spans="1:22" x14ac:dyDescent="0.3">
      <c r="A335" s="5" t="str">
        <f>IF(kokpit!A335&lt;&gt;"",kokpit!A335,"")</f>
        <v/>
      </c>
      <c r="B335" s="5" t="str">
        <f>IF(kokpit!B335&lt;&gt;"",kokpit!B335,"")</f>
        <v/>
      </c>
      <c r="C335" s="24" t="str">
        <f>IF(A335&lt;&gt;"",SUMIFS('JPK_KR-1'!AL:AL,'JPK_KR-1'!W:W,B335),"")</f>
        <v/>
      </c>
      <c r="D335" s="126" t="str">
        <f>IF(A335&lt;&gt;"",SUMIFS('JPK_KR-1'!AM:AM,'JPK_KR-1'!W:W,B335),"")</f>
        <v/>
      </c>
      <c r="E335" s="5" t="str">
        <f>IF(kokpit!E335&lt;&gt;"",kokpit!E335,"")</f>
        <v/>
      </c>
      <c r="F335" s="127" t="str">
        <f>IF(kokpit!F335&lt;&gt;"",kokpit!F335,"")</f>
        <v/>
      </c>
      <c r="G335" s="24" t="str">
        <f>IF(E335&lt;&gt;"",SUMIFS('JPK_KR-1'!AL:AL,'JPK_KR-1'!W:W,F335),"")</f>
        <v/>
      </c>
      <c r="H335" s="126" t="str">
        <f>IF(E335&lt;&gt;"",SUMIFS('JPK_KR-1'!AM:AM,'JPK_KR-1'!W:W,F335),"")</f>
        <v/>
      </c>
      <c r="I335" s="5" t="str">
        <f>IF(kokpit!I335&lt;&gt;"",kokpit!I335,"")</f>
        <v/>
      </c>
      <c r="J335" s="5" t="str">
        <f>IF(kokpit!J335&lt;&gt;"",kokpit!J335,"")</f>
        <v/>
      </c>
      <c r="K335" s="24" t="str">
        <f>IF(I335&lt;&gt;"",SUMIFS('JPK_KR-1'!AL:AL,'JPK_KR-1'!W:W,J335),"")</f>
        <v/>
      </c>
      <c r="L335" s="141" t="str">
        <f>IF(I335&lt;&gt;"",SUMIFS('JPK_KR-1'!AM:AM,'JPK_KR-1'!W:W,J335),"")</f>
        <v/>
      </c>
      <c r="M335" s="143" t="str">
        <f>IF(kokpit!M335&lt;&gt;"",kokpit!M335,"")</f>
        <v/>
      </c>
      <c r="N335" s="117" t="str">
        <f>IF(kokpit!N335&lt;&gt;"",kokpit!N335,"")</f>
        <v/>
      </c>
      <c r="O335" s="117" t="str">
        <f>IF(kokpit!O335&lt;&gt;"",kokpit!O335,"")</f>
        <v/>
      </c>
      <c r="P335" s="141" t="str">
        <f>IF(M335&lt;&gt;"",IF(O335="",SUMIFS('JPK_KR-1'!AL:AL,'JPK_KR-1'!W:W,N335),SUMIFS('JPK_KR-1'!BF:BF,'JPK_KR-1'!BE:BE,N335,'JPK_KR-1'!BG:BG,O335)),"")</f>
        <v/>
      </c>
      <c r="Q335" s="144" t="str">
        <f>IF(M335&lt;&gt;"",IF(O335="",SUMIFS('JPK_KR-1'!AM:AM,'JPK_KR-1'!W:W,N335),SUMIFS('JPK_KR-1'!BI:BI,'JPK_KR-1'!BH:BH,N335,'JPK_KR-1'!BJ:BJ,O335)),"")</f>
        <v/>
      </c>
      <c r="R335" s="117" t="str">
        <f>IF(kokpit!R335&lt;&gt;"",kokpit!R335,"")</f>
        <v/>
      </c>
      <c r="S335" s="117" t="str">
        <f>IF(kokpit!S335&lt;&gt;"",kokpit!S335,"")</f>
        <v/>
      </c>
      <c r="T335" s="117" t="str">
        <f>IF(kokpit!T335&lt;&gt;"",kokpit!T335,"")</f>
        <v/>
      </c>
      <c r="U335" s="141" t="str">
        <f>IF(R335&lt;&gt;"",SUMIFS('JPK_KR-1'!AL:AL,'JPK_KR-1'!W:W,S335),"")</f>
        <v/>
      </c>
      <c r="V335" s="144" t="str">
        <f>IF(R335&lt;&gt;"",SUMIFS('JPK_KR-1'!AM:AM,'JPK_KR-1'!W:W,S335),"")</f>
        <v/>
      </c>
    </row>
    <row r="336" spans="1:22" x14ac:dyDescent="0.3">
      <c r="A336" s="5" t="str">
        <f>IF(kokpit!A336&lt;&gt;"",kokpit!A336,"")</f>
        <v/>
      </c>
      <c r="B336" s="5" t="str">
        <f>IF(kokpit!B336&lt;&gt;"",kokpit!B336,"")</f>
        <v/>
      </c>
      <c r="C336" s="24" t="str">
        <f>IF(A336&lt;&gt;"",SUMIFS('JPK_KR-1'!AL:AL,'JPK_KR-1'!W:W,B336),"")</f>
        <v/>
      </c>
      <c r="D336" s="126" t="str">
        <f>IF(A336&lt;&gt;"",SUMIFS('JPK_KR-1'!AM:AM,'JPK_KR-1'!W:W,B336),"")</f>
        <v/>
      </c>
      <c r="E336" s="5" t="str">
        <f>IF(kokpit!E336&lt;&gt;"",kokpit!E336,"")</f>
        <v/>
      </c>
      <c r="F336" s="127" t="str">
        <f>IF(kokpit!F336&lt;&gt;"",kokpit!F336,"")</f>
        <v/>
      </c>
      <c r="G336" s="24" t="str">
        <f>IF(E336&lt;&gt;"",SUMIFS('JPK_KR-1'!AL:AL,'JPK_KR-1'!W:W,F336),"")</f>
        <v/>
      </c>
      <c r="H336" s="126" t="str">
        <f>IF(E336&lt;&gt;"",SUMIFS('JPK_KR-1'!AM:AM,'JPK_KR-1'!W:W,F336),"")</f>
        <v/>
      </c>
      <c r="I336" s="5" t="str">
        <f>IF(kokpit!I336&lt;&gt;"",kokpit!I336,"")</f>
        <v/>
      </c>
      <c r="J336" s="5" t="str">
        <f>IF(kokpit!J336&lt;&gt;"",kokpit!J336,"")</f>
        <v/>
      </c>
      <c r="K336" s="24" t="str">
        <f>IF(I336&lt;&gt;"",SUMIFS('JPK_KR-1'!AL:AL,'JPK_KR-1'!W:W,J336),"")</f>
        <v/>
      </c>
      <c r="L336" s="141" t="str">
        <f>IF(I336&lt;&gt;"",SUMIFS('JPK_KR-1'!AM:AM,'JPK_KR-1'!W:W,J336),"")</f>
        <v/>
      </c>
      <c r="M336" s="143" t="str">
        <f>IF(kokpit!M336&lt;&gt;"",kokpit!M336,"")</f>
        <v/>
      </c>
      <c r="N336" s="117" t="str">
        <f>IF(kokpit!N336&lt;&gt;"",kokpit!N336,"")</f>
        <v/>
      </c>
      <c r="O336" s="117" t="str">
        <f>IF(kokpit!O336&lt;&gt;"",kokpit!O336,"")</f>
        <v/>
      </c>
      <c r="P336" s="141" t="str">
        <f>IF(M336&lt;&gt;"",IF(O336="",SUMIFS('JPK_KR-1'!AL:AL,'JPK_KR-1'!W:W,N336),SUMIFS('JPK_KR-1'!BF:BF,'JPK_KR-1'!BE:BE,N336,'JPK_KR-1'!BG:BG,O336)),"")</f>
        <v/>
      </c>
      <c r="Q336" s="144" t="str">
        <f>IF(M336&lt;&gt;"",IF(O336="",SUMIFS('JPK_KR-1'!AM:AM,'JPK_KR-1'!W:W,N336),SUMIFS('JPK_KR-1'!BI:BI,'JPK_KR-1'!BH:BH,N336,'JPK_KR-1'!BJ:BJ,O336)),"")</f>
        <v/>
      </c>
      <c r="R336" s="117" t="str">
        <f>IF(kokpit!R336&lt;&gt;"",kokpit!R336,"")</f>
        <v/>
      </c>
      <c r="S336" s="117" t="str">
        <f>IF(kokpit!S336&lt;&gt;"",kokpit!S336,"")</f>
        <v/>
      </c>
      <c r="T336" s="117" t="str">
        <f>IF(kokpit!T336&lt;&gt;"",kokpit!T336,"")</f>
        <v/>
      </c>
      <c r="U336" s="141" t="str">
        <f>IF(R336&lt;&gt;"",SUMIFS('JPK_KR-1'!AL:AL,'JPK_KR-1'!W:W,S336),"")</f>
        <v/>
      </c>
      <c r="V336" s="144" t="str">
        <f>IF(R336&lt;&gt;"",SUMIFS('JPK_KR-1'!AM:AM,'JPK_KR-1'!W:W,S336),"")</f>
        <v/>
      </c>
    </row>
    <row r="337" spans="1:22" x14ac:dyDescent="0.3">
      <c r="A337" s="5" t="str">
        <f>IF(kokpit!A337&lt;&gt;"",kokpit!A337,"")</f>
        <v/>
      </c>
      <c r="B337" s="5" t="str">
        <f>IF(kokpit!B337&lt;&gt;"",kokpit!B337,"")</f>
        <v/>
      </c>
      <c r="C337" s="24" t="str">
        <f>IF(A337&lt;&gt;"",SUMIFS('JPK_KR-1'!AL:AL,'JPK_KR-1'!W:W,B337),"")</f>
        <v/>
      </c>
      <c r="D337" s="126" t="str">
        <f>IF(A337&lt;&gt;"",SUMIFS('JPK_KR-1'!AM:AM,'JPK_KR-1'!W:W,B337),"")</f>
        <v/>
      </c>
      <c r="E337" s="5" t="str">
        <f>IF(kokpit!E337&lt;&gt;"",kokpit!E337,"")</f>
        <v/>
      </c>
      <c r="F337" s="127" t="str">
        <f>IF(kokpit!F337&lt;&gt;"",kokpit!F337,"")</f>
        <v/>
      </c>
      <c r="G337" s="24" t="str">
        <f>IF(E337&lt;&gt;"",SUMIFS('JPK_KR-1'!AL:AL,'JPK_KR-1'!W:W,F337),"")</f>
        <v/>
      </c>
      <c r="H337" s="126" t="str">
        <f>IF(E337&lt;&gt;"",SUMIFS('JPK_KR-1'!AM:AM,'JPK_KR-1'!W:W,F337),"")</f>
        <v/>
      </c>
      <c r="I337" s="5" t="str">
        <f>IF(kokpit!I337&lt;&gt;"",kokpit!I337,"")</f>
        <v/>
      </c>
      <c r="J337" s="5" t="str">
        <f>IF(kokpit!J337&lt;&gt;"",kokpit!J337,"")</f>
        <v/>
      </c>
      <c r="K337" s="24" t="str">
        <f>IF(I337&lt;&gt;"",SUMIFS('JPK_KR-1'!AL:AL,'JPK_KR-1'!W:W,J337),"")</f>
        <v/>
      </c>
      <c r="L337" s="141" t="str">
        <f>IF(I337&lt;&gt;"",SUMIFS('JPK_KR-1'!AM:AM,'JPK_KR-1'!W:W,J337),"")</f>
        <v/>
      </c>
      <c r="M337" s="143" t="str">
        <f>IF(kokpit!M337&lt;&gt;"",kokpit!M337,"")</f>
        <v/>
      </c>
      <c r="N337" s="117" t="str">
        <f>IF(kokpit!N337&lt;&gt;"",kokpit!N337,"")</f>
        <v/>
      </c>
      <c r="O337" s="117" t="str">
        <f>IF(kokpit!O337&lt;&gt;"",kokpit!O337,"")</f>
        <v/>
      </c>
      <c r="P337" s="141" t="str">
        <f>IF(M337&lt;&gt;"",IF(O337="",SUMIFS('JPK_KR-1'!AL:AL,'JPK_KR-1'!W:W,N337),SUMIFS('JPK_KR-1'!BF:BF,'JPK_KR-1'!BE:BE,N337,'JPK_KR-1'!BG:BG,O337)),"")</f>
        <v/>
      </c>
      <c r="Q337" s="144" t="str">
        <f>IF(M337&lt;&gt;"",IF(O337="",SUMIFS('JPK_KR-1'!AM:AM,'JPK_KR-1'!W:W,N337),SUMIFS('JPK_KR-1'!BI:BI,'JPK_KR-1'!BH:BH,N337,'JPK_KR-1'!BJ:BJ,O337)),"")</f>
        <v/>
      </c>
      <c r="R337" s="117" t="str">
        <f>IF(kokpit!R337&lt;&gt;"",kokpit!R337,"")</f>
        <v/>
      </c>
      <c r="S337" s="117" t="str">
        <f>IF(kokpit!S337&lt;&gt;"",kokpit!S337,"")</f>
        <v/>
      </c>
      <c r="T337" s="117" t="str">
        <f>IF(kokpit!T337&lt;&gt;"",kokpit!T337,"")</f>
        <v/>
      </c>
      <c r="U337" s="141" t="str">
        <f>IF(R337&lt;&gt;"",SUMIFS('JPK_KR-1'!AL:AL,'JPK_KR-1'!W:W,S337),"")</f>
        <v/>
      </c>
      <c r="V337" s="144" t="str">
        <f>IF(R337&lt;&gt;"",SUMIFS('JPK_KR-1'!AM:AM,'JPK_KR-1'!W:W,S337),"")</f>
        <v/>
      </c>
    </row>
    <row r="338" spans="1:22" x14ac:dyDescent="0.3">
      <c r="A338" s="5" t="str">
        <f>IF(kokpit!A338&lt;&gt;"",kokpit!A338,"")</f>
        <v/>
      </c>
      <c r="B338" s="5" t="str">
        <f>IF(kokpit!B338&lt;&gt;"",kokpit!B338,"")</f>
        <v/>
      </c>
      <c r="C338" s="24" t="str">
        <f>IF(A338&lt;&gt;"",SUMIFS('JPK_KR-1'!AL:AL,'JPK_KR-1'!W:W,B338),"")</f>
        <v/>
      </c>
      <c r="D338" s="126" t="str">
        <f>IF(A338&lt;&gt;"",SUMIFS('JPK_KR-1'!AM:AM,'JPK_KR-1'!W:W,B338),"")</f>
        <v/>
      </c>
      <c r="E338" s="5" t="str">
        <f>IF(kokpit!E338&lt;&gt;"",kokpit!E338,"")</f>
        <v/>
      </c>
      <c r="F338" s="127" t="str">
        <f>IF(kokpit!F338&lt;&gt;"",kokpit!F338,"")</f>
        <v/>
      </c>
      <c r="G338" s="24" t="str">
        <f>IF(E338&lt;&gt;"",SUMIFS('JPK_KR-1'!AL:AL,'JPK_KR-1'!W:W,F338),"")</f>
        <v/>
      </c>
      <c r="H338" s="126" t="str">
        <f>IF(E338&lt;&gt;"",SUMIFS('JPK_KR-1'!AM:AM,'JPK_KR-1'!W:W,F338),"")</f>
        <v/>
      </c>
      <c r="I338" s="5" t="str">
        <f>IF(kokpit!I338&lt;&gt;"",kokpit!I338,"")</f>
        <v/>
      </c>
      <c r="J338" s="5" t="str">
        <f>IF(kokpit!J338&lt;&gt;"",kokpit!J338,"")</f>
        <v/>
      </c>
      <c r="K338" s="24" t="str">
        <f>IF(I338&lt;&gt;"",SUMIFS('JPK_KR-1'!AL:AL,'JPK_KR-1'!W:W,J338),"")</f>
        <v/>
      </c>
      <c r="L338" s="141" t="str">
        <f>IF(I338&lt;&gt;"",SUMIFS('JPK_KR-1'!AM:AM,'JPK_KR-1'!W:W,J338),"")</f>
        <v/>
      </c>
      <c r="M338" s="143" t="str">
        <f>IF(kokpit!M338&lt;&gt;"",kokpit!M338,"")</f>
        <v/>
      </c>
      <c r="N338" s="117" t="str">
        <f>IF(kokpit!N338&lt;&gt;"",kokpit!N338,"")</f>
        <v/>
      </c>
      <c r="O338" s="117" t="str">
        <f>IF(kokpit!O338&lt;&gt;"",kokpit!O338,"")</f>
        <v/>
      </c>
      <c r="P338" s="141" t="str">
        <f>IF(M338&lt;&gt;"",IF(O338="",SUMIFS('JPK_KR-1'!AL:AL,'JPK_KR-1'!W:W,N338),SUMIFS('JPK_KR-1'!BF:BF,'JPK_KR-1'!BE:BE,N338,'JPK_KR-1'!BG:BG,O338)),"")</f>
        <v/>
      </c>
      <c r="Q338" s="144" t="str">
        <f>IF(M338&lt;&gt;"",IF(O338="",SUMIFS('JPK_KR-1'!AM:AM,'JPK_KR-1'!W:W,N338),SUMIFS('JPK_KR-1'!BI:BI,'JPK_KR-1'!BH:BH,N338,'JPK_KR-1'!BJ:BJ,O338)),"")</f>
        <v/>
      </c>
      <c r="R338" s="117" t="str">
        <f>IF(kokpit!R338&lt;&gt;"",kokpit!R338,"")</f>
        <v/>
      </c>
      <c r="S338" s="117" t="str">
        <f>IF(kokpit!S338&lt;&gt;"",kokpit!S338,"")</f>
        <v/>
      </c>
      <c r="T338" s="117" t="str">
        <f>IF(kokpit!T338&lt;&gt;"",kokpit!T338,"")</f>
        <v/>
      </c>
      <c r="U338" s="141" t="str">
        <f>IF(R338&lt;&gt;"",SUMIFS('JPK_KR-1'!AL:AL,'JPK_KR-1'!W:W,S338),"")</f>
        <v/>
      </c>
      <c r="V338" s="144" t="str">
        <f>IF(R338&lt;&gt;"",SUMIFS('JPK_KR-1'!AM:AM,'JPK_KR-1'!W:W,S338),"")</f>
        <v/>
      </c>
    </row>
    <row r="339" spans="1:22" x14ac:dyDescent="0.3">
      <c r="A339" s="5" t="str">
        <f>IF(kokpit!A339&lt;&gt;"",kokpit!A339,"")</f>
        <v/>
      </c>
      <c r="B339" s="5" t="str">
        <f>IF(kokpit!B339&lt;&gt;"",kokpit!B339,"")</f>
        <v/>
      </c>
      <c r="C339" s="24" t="str">
        <f>IF(A339&lt;&gt;"",SUMIFS('JPK_KR-1'!AL:AL,'JPK_KR-1'!W:W,B339),"")</f>
        <v/>
      </c>
      <c r="D339" s="126" t="str">
        <f>IF(A339&lt;&gt;"",SUMIFS('JPK_KR-1'!AM:AM,'JPK_KR-1'!W:W,B339),"")</f>
        <v/>
      </c>
      <c r="E339" s="5" t="str">
        <f>IF(kokpit!E339&lt;&gt;"",kokpit!E339,"")</f>
        <v/>
      </c>
      <c r="F339" s="127" t="str">
        <f>IF(kokpit!F339&lt;&gt;"",kokpit!F339,"")</f>
        <v/>
      </c>
      <c r="G339" s="24" t="str">
        <f>IF(E339&lt;&gt;"",SUMIFS('JPK_KR-1'!AL:AL,'JPK_KR-1'!W:W,F339),"")</f>
        <v/>
      </c>
      <c r="H339" s="126" t="str">
        <f>IF(E339&lt;&gt;"",SUMIFS('JPK_KR-1'!AM:AM,'JPK_KR-1'!W:W,F339),"")</f>
        <v/>
      </c>
      <c r="I339" s="5" t="str">
        <f>IF(kokpit!I339&lt;&gt;"",kokpit!I339,"")</f>
        <v/>
      </c>
      <c r="J339" s="5" t="str">
        <f>IF(kokpit!J339&lt;&gt;"",kokpit!J339,"")</f>
        <v/>
      </c>
      <c r="K339" s="24" t="str">
        <f>IF(I339&lt;&gt;"",SUMIFS('JPK_KR-1'!AL:AL,'JPK_KR-1'!W:W,J339),"")</f>
        <v/>
      </c>
      <c r="L339" s="141" t="str">
        <f>IF(I339&lt;&gt;"",SUMIFS('JPK_KR-1'!AM:AM,'JPK_KR-1'!W:W,J339),"")</f>
        <v/>
      </c>
      <c r="M339" s="143" t="str">
        <f>IF(kokpit!M339&lt;&gt;"",kokpit!M339,"")</f>
        <v/>
      </c>
      <c r="N339" s="117" t="str">
        <f>IF(kokpit!N339&lt;&gt;"",kokpit!N339,"")</f>
        <v/>
      </c>
      <c r="O339" s="117" t="str">
        <f>IF(kokpit!O339&lt;&gt;"",kokpit!O339,"")</f>
        <v/>
      </c>
      <c r="P339" s="141" t="str">
        <f>IF(M339&lt;&gt;"",IF(O339="",SUMIFS('JPK_KR-1'!AL:AL,'JPK_KR-1'!W:W,N339),SUMIFS('JPK_KR-1'!BF:BF,'JPK_KR-1'!BE:BE,N339,'JPK_KR-1'!BG:BG,O339)),"")</f>
        <v/>
      </c>
      <c r="Q339" s="144" t="str">
        <f>IF(M339&lt;&gt;"",IF(O339="",SUMIFS('JPK_KR-1'!AM:AM,'JPK_KR-1'!W:W,N339),SUMIFS('JPK_KR-1'!BI:BI,'JPK_KR-1'!BH:BH,N339,'JPK_KR-1'!BJ:BJ,O339)),"")</f>
        <v/>
      </c>
      <c r="R339" s="117" t="str">
        <f>IF(kokpit!R339&lt;&gt;"",kokpit!R339,"")</f>
        <v/>
      </c>
      <c r="S339" s="117" t="str">
        <f>IF(kokpit!S339&lt;&gt;"",kokpit!S339,"")</f>
        <v/>
      </c>
      <c r="T339" s="117" t="str">
        <f>IF(kokpit!T339&lt;&gt;"",kokpit!T339,"")</f>
        <v/>
      </c>
      <c r="U339" s="141" t="str">
        <f>IF(R339&lt;&gt;"",SUMIFS('JPK_KR-1'!AL:AL,'JPK_KR-1'!W:W,S339),"")</f>
        <v/>
      </c>
      <c r="V339" s="144" t="str">
        <f>IF(R339&lt;&gt;"",SUMIFS('JPK_KR-1'!AM:AM,'JPK_KR-1'!W:W,S339),"")</f>
        <v/>
      </c>
    </row>
    <row r="340" spans="1:22" x14ac:dyDescent="0.3">
      <c r="A340" s="5" t="str">
        <f>IF(kokpit!A340&lt;&gt;"",kokpit!A340,"")</f>
        <v/>
      </c>
      <c r="B340" s="5" t="str">
        <f>IF(kokpit!B340&lt;&gt;"",kokpit!B340,"")</f>
        <v/>
      </c>
      <c r="C340" s="24" t="str">
        <f>IF(A340&lt;&gt;"",SUMIFS('JPK_KR-1'!AL:AL,'JPK_KR-1'!W:W,B340),"")</f>
        <v/>
      </c>
      <c r="D340" s="126" t="str">
        <f>IF(A340&lt;&gt;"",SUMIFS('JPK_KR-1'!AM:AM,'JPK_KR-1'!W:W,B340),"")</f>
        <v/>
      </c>
      <c r="E340" s="5" t="str">
        <f>IF(kokpit!E340&lt;&gt;"",kokpit!E340,"")</f>
        <v/>
      </c>
      <c r="F340" s="127" t="str">
        <f>IF(kokpit!F340&lt;&gt;"",kokpit!F340,"")</f>
        <v/>
      </c>
      <c r="G340" s="24" t="str">
        <f>IF(E340&lt;&gt;"",SUMIFS('JPK_KR-1'!AL:AL,'JPK_KR-1'!W:W,F340),"")</f>
        <v/>
      </c>
      <c r="H340" s="126" t="str">
        <f>IF(E340&lt;&gt;"",SUMIFS('JPK_KR-1'!AM:AM,'JPK_KR-1'!W:W,F340),"")</f>
        <v/>
      </c>
      <c r="I340" s="5" t="str">
        <f>IF(kokpit!I340&lt;&gt;"",kokpit!I340,"")</f>
        <v/>
      </c>
      <c r="J340" s="5" t="str">
        <f>IF(kokpit!J340&lt;&gt;"",kokpit!J340,"")</f>
        <v/>
      </c>
      <c r="K340" s="24" t="str">
        <f>IF(I340&lt;&gt;"",SUMIFS('JPK_KR-1'!AL:AL,'JPK_KR-1'!W:W,J340),"")</f>
        <v/>
      </c>
      <c r="L340" s="141" t="str">
        <f>IF(I340&lt;&gt;"",SUMIFS('JPK_KR-1'!AM:AM,'JPK_KR-1'!W:W,J340),"")</f>
        <v/>
      </c>
      <c r="M340" s="143" t="str">
        <f>IF(kokpit!M340&lt;&gt;"",kokpit!M340,"")</f>
        <v/>
      </c>
      <c r="N340" s="117" t="str">
        <f>IF(kokpit!N340&lt;&gt;"",kokpit!N340,"")</f>
        <v/>
      </c>
      <c r="O340" s="117" t="str">
        <f>IF(kokpit!O340&lt;&gt;"",kokpit!O340,"")</f>
        <v/>
      </c>
      <c r="P340" s="141" t="str">
        <f>IF(M340&lt;&gt;"",IF(O340="",SUMIFS('JPK_KR-1'!AL:AL,'JPK_KR-1'!W:W,N340),SUMIFS('JPK_KR-1'!BF:BF,'JPK_KR-1'!BE:BE,N340,'JPK_KR-1'!BG:BG,O340)),"")</f>
        <v/>
      </c>
      <c r="Q340" s="144" t="str">
        <f>IF(M340&lt;&gt;"",IF(O340="",SUMIFS('JPK_KR-1'!AM:AM,'JPK_KR-1'!W:W,N340),SUMIFS('JPK_KR-1'!BI:BI,'JPK_KR-1'!BH:BH,N340,'JPK_KR-1'!BJ:BJ,O340)),"")</f>
        <v/>
      </c>
      <c r="R340" s="117" t="str">
        <f>IF(kokpit!R340&lt;&gt;"",kokpit!R340,"")</f>
        <v/>
      </c>
      <c r="S340" s="117" t="str">
        <f>IF(kokpit!S340&lt;&gt;"",kokpit!S340,"")</f>
        <v/>
      </c>
      <c r="T340" s="117" t="str">
        <f>IF(kokpit!T340&lt;&gt;"",kokpit!T340,"")</f>
        <v/>
      </c>
      <c r="U340" s="141" t="str">
        <f>IF(R340&lt;&gt;"",SUMIFS('JPK_KR-1'!AL:AL,'JPK_KR-1'!W:W,S340),"")</f>
        <v/>
      </c>
      <c r="V340" s="144" t="str">
        <f>IF(R340&lt;&gt;"",SUMIFS('JPK_KR-1'!AM:AM,'JPK_KR-1'!W:W,S340),"")</f>
        <v/>
      </c>
    </row>
    <row r="341" spans="1:22" x14ac:dyDescent="0.3">
      <c r="A341" s="5" t="str">
        <f>IF(kokpit!A341&lt;&gt;"",kokpit!A341,"")</f>
        <v/>
      </c>
      <c r="B341" s="5" t="str">
        <f>IF(kokpit!B341&lt;&gt;"",kokpit!B341,"")</f>
        <v/>
      </c>
      <c r="C341" s="24" t="str">
        <f>IF(A341&lt;&gt;"",SUMIFS('JPK_KR-1'!AL:AL,'JPK_KR-1'!W:W,B341),"")</f>
        <v/>
      </c>
      <c r="D341" s="126" t="str">
        <f>IF(A341&lt;&gt;"",SUMIFS('JPK_KR-1'!AM:AM,'JPK_KR-1'!W:W,B341),"")</f>
        <v/>
      </c>
      <c r="E341" s="5" t="str">
        <f>IF(kokpit!E341&lt;&gt;"",kokpit!E341,"")</f>
        <v/>
      </c>
      <c r="F341" s="127" t="str">
        <f>IF(kokpit!F341&lt;&gt;"",kokpit!F341,"")</f>
        <v/>
      </c>
      <c r="G341" s="24" t="str">
        <f>IF(E341&lt;&gt;"",SUMIFS('JPK_KR-1'!AL:AL,'JPK_KR-1'!W:W,F341),"")</f>
        <v/>
      </c>
      <c r="H341" s="126" t="str">
        <f>IF(E341&lt;&gt;"",SUMIFS('JPK_KR-1'!AM:AM,'JPK_KR-1'!W:W,F341),"")</f>
        <v/>
      </c>
      <c r="I341" s="5" t="str">
        <f>IF(kokpit!I341&lt;&gt;"",kokpit!I341,"")</f>
        <v/>
      </c>
      <c r="J341" s="5" t="str">
        <f>IF(kokpit!J341&lt;&gt;"",kokpit!J341,"")</f>
        <v/>
      </c>
      <c r="K341" s="24" t="str">
        <f>IF(I341&lt;&gt;"",SUMIFS('JPK_KR-1'!AL:AL,'JPK_KR-1'!W:W,J341),"")</f>
        <v/>
      </c>
      <c r="L341" s="141" t="str">
        <f>IF(I341&lt;&gt;"",SUMIFS('JPK_KR-1'!AM:AM,'JPK_KR-1'!W:W,J341),"")</f>
        <v/>
      </c>
      <c r="M341" s="143" t="str">
        <f>IF(kokpit!M341&lt;&gt;"",kokpit!M341,"")</f>
        <v/>
      </c>
      <c r="N341" s="117" t="str">
        <f>IF(kokpit!N341&lt;&gt;"",kokpit!N341,"")</f>
        <v/>
      </c>
      <c r="O341" s="117" t="str">
        <f>IF(kokpit!O341&lt;&gt;"",kokpit!O341,"")</f>
        <v/>
      </c>
      <c r="P341" s="141" t="str">
        <f>IF(M341&lt;&gt;"",IF(O341="",SUMIFS('JPK_KR-1'!AL:AL,'JPK_KR-1'!W:W,N341),SUMIFS('JPK_KR-1'!BF:BF,'JPK_KR-1'!BE:BE,N341,'JPK_KR-1'!BG:BG,O341)),"")</f>
        <v/>
      </c>
      <c r="Q341" s="144" t="str">
        <f>IF(M341&lt;&gt;"",IF(O341="",SUMIFS('JPK_KR-1'!AM:AM,'JPK_KR-1'!W:W,N341),SUMIFS('JPK_KR-1'!BI:BI,'JPK_KR-1'!BH:BH,N341,'JPK_KR-1'!BJ:BJ,O341)),"")</f>
        <v/>
      </c>
      <c r="R341" s="117" t="str">
        <f>IF(kokpit!R341&lt;&gt;"",kokpit!R341,"")</f>
        <v/>
      </c>
      <c r="S341" s="117" t="str">
        <f>IF(kokpit!S341&lt;&gt;"",kokpit!S341,"")</f>
        <v/>
      </c>
      <c r="T341" s="117" t="str">
        <f>IF(kokpit!T341&lt;&gt;"",kokpit!T341,"")</f>
        <v/>
      </c>
      <c r="U341" s="141" t="str">
        <f>IF(R341&lt;&gt;"",SUMIFS('JPK_KR-1'!AL:AL,'JPK_KR-1'!W:W,S341),"")</f>
        <v/>
      </c>
      <c r="V341" s="144" t="str">
        <f>IF(R341&lt;&gt;"",SUMIFS('JPK_KR-1'!AM:AM,'JPK_KR-1'!W:W,S341),"")</f>
        <v/>
      </c>
    </row>
    <row r="342" spans="1:22" x14ac:dyDescent="0.3">
      <c r="A342" s="5" t="str">
        <f>IF(kokpit!A342&lt;&gt;"",kokpit!A342,"")</f>
        <v/>
      </c>
      <c r="B342" s="5" t="str">
        <f>IF(kokpit!B342&lt;&gt;"",kokpit!B342,"")</f>
        <v/>
      </c>
      <c r="C342" s="24" t="str">
        <f>IF(A342&lt;&gt;"",SUMIFS('JPK_KR-1'!AL:AL,'JPK_KR-1'!W:W,B342),"")</f>
        <v/>
      </c>
      <c r="D342" s="126" t="str">
        <f>IF(A342&lt;&gt;"",SUMIFS('JPK_KR-1'!AM:AM,'JPK_KR-1'!W:W,B342),"")</f>
        <v/>
      </c>
      <c r="E342" s="5" t="str">
        <f>IF(kokpit!E342&lt;&gt;"",kokpit!E342,"")</f>
        <v/>
      </c>
      <c r="F342" s="127" t="str">
        <f>IF(kokpit!F342&lt;&gt;"",kokpit!F342,"")</f>
        <v/>
      </c>
      <c r="G342" s="24" t="str">
        <f>IF(E342&lt;&gt;"",SUMIFS('JPK_KR-1'!AL:AL,'JPK_KR-1'!W:W,F342),"")</f>
        <v/>
      </c>
      <c r="H342" s="126" t="str">
        <f>IF(E342&lt;&gt;"",SUMIFS('JPK_KR-1'!AM:AM,'JPK_KR-1'!W:W,F342),"")</f>
        <v/>
      </c>
      <c r="I342" s="5" t="str">
        <f>IF(kokpit!I342&lt;&gt;"",kokpit!I342,"")</f>
        <v/>
      </c>
      <c r="J342" s="5" t="str">
        <f>IF(kokpit!J342&lt;&gt;"",kokpit!J342,"")</f>
        <v/>
      </c>
      <c r="K342" s="24" t="str">
        <f>IF(I342&lt;&gt;"",SUMIFS('JPK_KR-1'!AL:AL,'JPK_KR-1'!W:W,J342),"")</f>
        <v/>
      </c>
      <c r="L342" s="141" t="str">
        <f>IF(I342&lt;&gt;"",SUMIFS('JPK_KR-1'!AM:AM,'JPK_KR-1'!W:W,J342),"")</f>
        <v/>
      </c>
      <c r="M342" s="143" t="str">
        <f>IF(kokpit!M342&lt;&gt;"",kokpit!M342,"")</f>
        <v/>
      </c>
      <c r="N342" s="117" t="str">
        <f>IF(kokpit!N342&lt;&gt;"",kokpit!N342,"")</f>
        <v/>
      </c>
      <c r="O342" s="117" t="str">
        <f>IF(kokpit!O342&lt;&gt;"",kokpit!O342,"")</f>
        <v/>
      </c>
      <c r="P342" s="141" t="str">
        <f>IF(M342&lt;&gt;"",IF(O342="",SUMIFS('JPK_KR-1'!AL:AL,'JPK_KR-1'!W:W,N342),SUMIFS('JPK_KR-1'!BF:BF,'JPK_KR-1'!BE:BE,N342,'JPK_KR-1'!BG:BG,O342)),"")</f>
        <v/>
      </c>
      <c r="Q342" s="144" t="str">
        <f>IF(M342&lt;&gt;"",IF(O342="",SUMIFS('JPK_KR-1'!AM:AM,'JPK_KR-1'!W:W,N342),SUMIFS('JPK_KR-1'!BI:BI,'JPK_KR-1'!BH:BH,N342,'JPK_KR-1'!BJ:BJ,O342)),"")</f>
        <v/>
      </c>
      <c r="R342" s="117" t="str">
        <f>IF(kokpit!R342&lt;&gt;"",kokpit!R342,"")</f>
        <v/>
      </c>
      <c r="S342" s="117" t="str">
        <f>IF(kokpit!S342&lt;&gt;"",kokpit!S342,"")</f>
        <v/>
      </c>
      <c r="T342" s="117" t="str">
        <f>IF(kokpit!T342&lt;&gt;"",kokpit!T342,"")</f>
        <v/>
      </c>
      <c r="U342" s="141" t="str">
        <f>IF(R342&lt;&gt;"",SUMIFS('JPK_KR-1'!AL:AL,'JPK_KR-1'!W:W,S342),"")</f>
        <v/>
      </c>
      <c r="V342" s="144" t="str">
        <f>IF(R342&lt;&gt;"",SUMIFS('JPK_KR-1'!AM:AM,'JPK_KR-1'!W:W,S342),"")</f>
        <v/>
      </c>
    </row>
    <row r="343" spans="1:22" x14ac:dyDescent="0.3">
      <c r="A343" s="5" t="str">
        <f>IF(kokpit!A343&lt;&gt;"",kokpit!A343,"")</f>
        <v/>
      </c>
      <c r="B343" s="5" t="str">
        <f>IF(kokpit!B343&lt;&gt;"",kokpit!B343,"")</f>
        <v/>
      </c>
      <c r="C343" s="24" t="str">
        <f>IF(A343&lt;&gt;"",SUMIFS('JPK_KR-1'!AL:AL,'JPK_KR-1'!W:W,B343),"")</f>
        <v/>
      </c>
      <c r="D343" s="126" t="str">
        <f>IF(A343&lt;&gt;"",SUMIFS('JPK_KR-1'!AM:AM,'JPK_KR-1'!W:W,B343),"")</f>
        <v/>
      </c>
      <c r="E343" s="5" t="str">
        <f>IF(kokpit!E343&lt;&gt;"",kokpit!E343,"")</f>
        <v/>
      </c>
      <c r="F343" s="127" t="str">
        <f>IF(kokpit!F343&lt;&gt;"",kokpit!F343,"")</f>
        <v/>
      </c>
      <c r="G343" s="24" t="str">
        <f>IF(E343&lt;&gt;"",SUMIFS('JPK_KR-1'!AL:AL,'JPK_KR-1'!W:W,F343),"")</f>
        <v/>
      </c>
      <c r="H343" s="126" t="str">
        <f>IF(E343&lt;&gt;"",SUMIFS('JPK_KR-1'!AM:AM,'JPK_KR-1'!W:W,F343),"")</f>
        <v/>
      </c>
      <c r="I343" s="5" t="str">
        <f>IF(kokpit!I343&lt;&gt;"",kokpit!I343,"")</f>
        <v/>
      </c>
      <c r="J343" s="5" t="str">
        <f>IF(kokpit!J343&lt;&gt;"",kokpit!J343,"")</f>
        <v/>
      </c>
      <c r="K343" s="24" t="str">
        <f>IF(I343&lt;&gt;"",SUMIFS('JPK_KR-1'!AL:AL,'JPK_KR-1'!W:W,J343),"")</f>
        <v/>
      </c>
      <c r="L343" s="141" t="str">
        <f>IF(I343&lt;&gt;"",SUMIFS('JPK_KR-1'!AM:AM,'JPK_KR-1'!W:W,J343),"")</f>
        <v/>
      </c>
      <c r="M343" s="143" t="str">
        <f>IF(kokpit!M343&lt;&gt;"",kokpit!M343,"")</f>
        <v/>
      </c>
      <c r="N343" s="117" t="str">
        <f>IF(kokpit!N343&lt;&gt;"",kokpit!N343,"")</f>
        <v/>
      </c>
      <c r="O343" s="117" t="str">
        <f>IF(kokpit!O343&lt;&gt;"",kokpit!O343,"")</f>
        <v/>
      </c>
      <c r="P343" s="141" t="str">
        <f>IF(M343&lt;&gt;"",IF(O343="",SUMIFS('JPK_KR-1'!AL:AL,'JPK_KR-1'!W:W,N343),SUMIFS('JPK_KR-1'!BF:BF,'JPK_KR-1'!BE:BE,N343,'JPK_KR-1'!BG:BG,O343)),"")</f>
        <v/>
      </c>
      <c r="Q343" s="144" t="str">
        <f>IF(M343&lt;&gt;"",IF(O343="",SUMIFS('JPK_KR-1'!AM:AM,'JPK_KR-1'!W:W,N343),SUMIFS('JPK_KR-1'!BI:BI,'JPK_KR-1'!BH:BH,N343,'JPK_KR-1'!BJ:BJ,O343)),"")</f>
        <v/>
      </c>
      <c r="R343" s="117" t="str">
        <f>IF(kokpit!R343&lt;&gt;"",kokpit!R343,"")</f>
        <v/>
      </c>
      <c r="S343" s="117" t="str">
        <f>IF(kokpit!S343&lt;&gt;"",kokpit!S343,"")</f>
        <v/>
      </c>
      <c r="T343" s="117" t="str">
        <f>IF(kokpit!T343&lt;&gt;"",kokpit!T343,"")</f>
        <v/>
      </c>
      <c r="U343" s="141" t="str">
        <f>IF(R343&lt;&gt;"",SUMIFS('JPK_KR-1'!AL:AL,'JPK_KR-1'!W:W,S343),"")</f>
        <v/>
      </c>
      <c r="V343" s="144" t="str">
        <f>IF(R343&lt;&gt;"",SUMIFS('JPK_KR-1'!AM:AM,'JPK_KR-1'!W:W,S343),"")</f>
        <v/>
      </c>
    </row>
    <row r="344" spans="1:22" x14ac:dyDescent="0.3">
      <c r="A344" s="5" t="str">
        <f>IF(kokpit!A344&lt;&gt;"",kokpit!A344,"")</f>
        <v/>
      </c>
      <c r="B344" s="5" t="str">
        <f>IF(kokpit!B344&lt;&gt;"",kokpit!B344,"")</f>
        <v/>
      </c>
      <c r="C344" s="24" t="str">
        <f>IF(A344&lt;&gt;"",SUMIFS('JPK_KR-1'!AL:AL,'JPK_KR-1'!W:W,B344),"")</f>
        <v/>
      </c>
      <c r="D344" s="126" t="str">
        <f>IF(A344&lt;&gt;"",SUMIFS('JPK_KR-1'!AM:AM,'JPK_KR-1'!W:W,B344),"")</f>
        <v/>
      </c>
      <c r="E344" s="5" t="str">
        <f>IF(kokpit!E344&lt;&gt;"",kokpit!E344,"")</f>
        <v/>
      </c>
      <c r="F344" s="127" t="str">
        <f>IF(kokpit!F344&lt;&gt;"",kokpit!F344,"")</f>
        <v/>
      </c>
      <c r="G344" s="24" t="str">
        <f>IF(E344&lt;&gt;"",SUMIFS('JPK_KR-1'!AL:AL,'JPK_KR-1'!W:W,F344),"")</f>
        <v/>
      </c>
      <c r="H344" s="126" t="str">
        <f>IF(E344&lt;&gt;"",SUMIFS('JPK_KR-1'!AM:AM,'JPK_KR-1'!W:W,F344),"")</f>
        <v/>
      </c>
      <c r="I344" s="5" t="str">
        <f>IF(kokpit!I344&lt;&gt;"",kokpit!I344,"")</f>
        <v/>
      </c>
      <c r="J344" s="5" t="str">
        <f>IF(kokpit!J344&lt;&gt;"",kokpit!J344,"")</f>
        <v/>
      </c>
      <c r="K344" s="24" t="str">
        <f>IF(I344&lt;&gt;"",SUMIFS('JPK_KR-1'!AL:AL,'JPK_KR-1'!W:W,J344),"")</f>
        <v/>
      </c>
      <c r="L344" s="141" t="str">
        <f>IF(I344&lt;&gt;"",SUMIFS('JPK_KR-1'!AM:AM,'JPK_KR-1'!W:W,J344),"")</f>
        <v/>
      </c>
      <c r="M344" s="143" t="str">
        <f>IF(kokpit!M344&lt;&gt;"",kokpit!M344,"")</f>
        <v/>
      </c>
      <c r="N344" s="117" t="str">
        <f>IF(kokpit!N344&lt;&gt;"",kokpit!N344,"")</f>
        <v/>
      </c>
      <c r="O344" s="117" t="str">
        <f>IF(kokpit!O344&lt;&gt;"",kokpit!O344,"")</f>
        <v/>
      </c>
      <c r="P344" s="141" t="str">
        <f>IF(M344&lt;&gt;"",IF(O344="",SUMIFS('JPK_KR-1'!AL:AL,'JPK_KR-1'!W:W,N344),SUMIFS('JPK_KR-1'!BF:BF,'JPK_KR-1'!BE:BE,N344,'JPK_KR-1'!BG:BG,O344)),"")</f>
        <v/>
      </c>
      <c r="Q344" s="144" t="str">
        <f>IF(M344&lt;&gt;"",IF(O344="",SUMIFS('JPK_KR-1'!AM:AM,'JPK_KR-1'!W:W,N344),SUMIFS('JPK_KR-1'!BI:BI,'JPK_KR-1'!BH:BH,N344,'JPK_KR-1'!BJ:BJ,O344)),"")</f>
        <v/>
      </c>
      <c r="R344" s="117" t="str">
        <f>IF(kokpit!R344&lt;&gt;"",kokpit!R344,"")</f>
        <v/>
      </c>
      <c r="S344" s="117" t="str">
        <f>IF(kokpit!S344&lt;&gt;"",kokpit!S344,"")</f>
        <v/>
      </c>
      <c r="T344" s="117" t="str">
        <f>IF(kokpit!T344&lt;&gt;"",kokpit!T344,"")</f>
        <v/>
      </c>
      <c r="U344" s="141" t="str">
        <f>IF(R344&lt;&gt;"",SUMIFS('JPK_KR-1'!AL:AL,'JPK_KR-1'!W:W,S344),"")</f>
        <v/>
      </c>
      <c r="V344" s="144" t="str">
        <f>IF(R344&lt;&gt;"",SUMIFS('JPK_KR-1'!AM:AM,'JPK_KR-1'!W:W,S344),"")</f>
        <v/>
      </c>
    </row>
    <row r="345" spans="1:22" x14ac:dyDescent="0.3">
      <c r="A345" s="5" t="str">
        <f>IF(kokpit!A345&lt;&gt;"",kokpit!A345,"")</f>
        <v/>
      </c>
      <c r="B345" s="5" t="str">
        <f>IF(kokpit!B345&lt;&gt;"",kokpit!B345,"")</f>
        <v/>
      </c>
      <c r="C345" s="24" t="str">
        <f>IF(A345&lt;&gt;"",SUMIFS('JPK_KR-1'!AL:AL,'JPK_KR-1'!W:W,B345),"")</f>
        <v/>
      </c>
      <c r="D345" s="126" t="str">
        <f>IF(A345&lt;&gt;"",SUMIFS('JPK_KR-1'!AM:AM,'JPK_KR-1'!W:W,B345),"")</f>
        <v/>
      </c>
      <c r="E345" s="5" t="str">
        <f>IF(kokpit!E345&lt;&gt;"",kokpit!E345,"")</f>
        <v/>
      </c>
      <c r="F345" s="127" t="str">
        <f>IF(kokpit!F345&lt;&gt;"",kokpit!F345,"")</f>
        <v/>
      </c>
      <c r="G345" s="24" t="str">
        <f>IF(E345&lt;&gt;"",SUMIFS('JPK_KR-1'!AL:AL,'JPK_KR-1'!W:W,F345),"")</f>
        <v/>
      </c>
      <c r="H345" s="126" t="str">
        <f>IF(E345&lt;&gt;"",SUMIFS('JPK_KR-1'!AM:AM,'JPK_KR-1'!W:W,F345),"")</f>
        <v/>
      </c>
      <c r="I345" s="5" t="str">
        <f>IF(kokpit!I345&lt;&gt;"",kokpit!I345,"")</f>
        <v/>
      </c>
      <c r="J345" s="5" t="str">
        <f>IF(kokpit!J345&lt;&gt;"",kokpit!J345,"")</f>
        <v/>
      </c>
      <c r="K345" s="24" t="str">
        <f>IF(I345&lt;&gt;"",SUMIFS('JPK_KR-1'!AL:AL,'JPK_KR-1'!W:W,J345),"")</f>
        <v/>
      </c>
      <c r="L345" s="141" t="str">
        <f>IF(I345&lt;&gt;"",SUMIFS('JPK_KR-1'!AM:AM,'JPK_KR-1'!W:W,J345),"")</f>
        <v/>
      </c>
      <c r="M345" s="143" t="str">
        <f>IF(kokpit!M345&lt;&gt;"",kokpit!M345,"")</f>
        <v/>
      </c>
      <c r="N345" s="117" t="str">
        <f>IF(kokpit!N345&lt;&gt;"",kokpit!N345,"")</f>
        <v/>
      </c>
      <c r="O345" s="117" t="str">
        <f>IF(kokpit!O345&lt;&gt;"",kokpit!O345,"")</f>
        <v/>
      </c>
      <c r="P345" s="141" t="str">
        <f>IF(M345&lt;&gt;"",IF(O345="",SUMIFS('JPK_KR-1'!AL:AL,'JPK_KR-1'!W:W,N345),SUMIFS('JPK_KR-1'!BF:BF,'JPK_KR-1'!BE:BE,N345,'JPK_KR-1'!BG:BG,O345)),"")</f>
        <v/>
      </c>
      <c r="Q345" s="144" t="str">
        <f>IF(M345&lt;&gt;"",IF(O345="",SUMIFS('JPK_KR-1'!AM:AM,'JPK_KR-1'!W:W,N345),SUMIFS('JPK_KR-1'!BI:BI,'JPK_KR-1'!BH:BH,N345,'JPK_KR-1'!BJ:BJ,O345)),"")</f>
        <v/>
      </c>
      <c r="R345" s="117" t="str">
        <f>IF(kokpit!R345&lt;&gt;"",kokpit!R345,"")</f>
        <v/>
      </c>
      <c r="S345" s="117" t="str">
        <f>IF(kokpit!S345&lt;&gt;"",kokpit!S345,"")</f>
        <v/>
      </c>
      <c r="T345" s="117" t="str">
        <f>IF(kokpit!T345&lt;&gt;"",kokpit!T345,"")</f>
        <v/>
      </c>
      <c r="U345" s="141" t="str">
        <f>IF(R345&lt;&gt;"",SUMIFS('JPK_KR-1'!AL:AL,'JPK_KR-1'!W:W,S345),"")</f>
        <v/>
      </c>
      <c r="V345" s="144" t="str">
        <f>IF(R345&lt;&gt;"",SUMIFS('JPK_KR-1'!AM:AM,'JPK_KR-1'!W:W,S345),"")</f>
        <v/>
      </c>
    </row>
    <row r="346" spans="1:22" x14ac:dyDescent="0.3">
      <c r="A346" s="5" t="str">
        <f>IF(kokpit!A346&lt;&gt;"",kokpit!A346,"")</f>
        <v/>
      </c>
      <c r="B346" s="5" t="str">
        <f>IF(kokpit!B346&lt;&gt;"",kokpit!B346,"")</f>
        <v/>
      </c>
      <c r="C346" s="24" t="str">
        <f>IF(A346&lt;&gt;"",SUMIFS('JPK_KR-1'!AL:AL,'JPK_KR-1'!W:W,B346),"")</f>
        <v/>
      </c>
      <c r="D346" s="126" t="str">
        <f>IF(A346&lt;&gt;"",SUMIFS('JPK_KR-1'!AM:AM,'JPK_KR-1'!W:W,B346),"")</f>
        <v/>
      </c>
      <c r="E346" s="5" t="str">
        <f>IF(kokpit!E346&lt;&gt;"",kokpit!E346,"")</f>
        <v/>
      </c>
      <c r="F346" s="127" t="str">
        <f>IF(kokpit!F346&lt;&gt;"",kokpit!F346,"")</f>
        <v/>
      </c>
      <c r="G346" s="24" t="str">
        <f>IF(E346&lt;&gt;"",SUMIFS('JPK_KR-1'!AL:AL,'JPK_KR-1'!W:W,F346),"")</f>
        <v/>
      </c>
      <c r="H346" s="126" t="str">
        <f>IF(E346&lt;&gt;"",SUMIFS('JPK_KR-1'!AM:AM,'JPK_KR-1'!W:W,F346),"")</f>
        <v/>
      </c>
      <c r="I346" s="5" t="str">
        <f>IF(kokpit!I346&lt;&gt;"",kokpit!I346,"")</f>
        <v/>
      </c>
      <c r="J346" s="5" t="str">
        <f>IF(kokpit!J346&lt;&gt;"",kokpit!J346,"")</f>
        <v/>
      </c>
      <c r="K346" s="24" t="str">
        <f>IF(I346&lt;&gt;"",SUMIFS('JPK_KR-1'!AL:AL,'JPK_KR-1'!W:W,J346),"")</f>
        <v/>
      </c>
      <c r="L346" s="141" t="str">
        <f>IF(I346&lt;&gt;"",SUMIFS('JPK_KR-1'!AM:AM,'JPK_KR-1'!W:W,J346),"")</f>
        <v/>
      </c>
      <c r="M346" s="143" t="str">
        <f>IF(kokpit!M346&lt;&gt;"",kokpit!M346,"")</f>
        <v/>
      </c>
      <c r="N346" s="117" t="str">
        <f>IF(kokpit!N346&lt;&gt;"",kokpit!N346,"")</f>
        <v/>
      </c>
      <c r="O346" s="117" t="str">
        <f>IF(kokpit!O346&lt;&gt;"",kokpit!O346,"")</f>
        <v/>
      </c>
      <c r="P346" s="141" t="str">
        <f>IF(M346&lt;&gt;"",IF(O346="",SUMIFS('JPK_KR-1'!AL:AL,'JPK_KR-1'!W:W,N346),SUMIFS('JPK_KR-1'!BF:BF,'JPK_KR-1'!BE:BE,N346,'JPK_KR-1'!BG:BG,O346)),"")</f>
        <v/>
      </c>
      <c r="Q346" s="144" t="str">
        <f>IF(M346&lt;&gt;"",IF(O346="",SUMIFS('JPK_KR-1'!AM:AM,'JPK_KR-1'!W:W,N346),SUMIFS('JPK_KR-1'!BI:BI,'JPK_KR-1'!BH:BH,N346,'JPK_KR-1'!BJ:BJ,O346)),"")</f>
        <v/>
      </c>
      <c r="R346" s="117" t="str">
        <f>IF(kokpit!R346&lt;&gt;"",kokpit!R346,"")</f>
        <v/>
      </c>
      <c r="S346" s="117" t="str">
        <f>IF(kokpit!S346&lt;&gt;"",kokpit!S346,"")</f>
        <v/>
      </c>
      <c r="T346" s="117" t="str">
        <f>IF(kokpit!T346&lt;&gt;"",kokpit!T346,"")</f>
        <v/>
      </c>
      <c r="U346" s="141" t="str">
        <f>IF(R346&lt;&gt;"",SUMIFS('JPK_KR-1'!AL:AL,'JPK_KR-1'!W:W,S346),"")</f>
        <v/>
      </c>
      <c r="V346" s="144" t="str">
        <f>IF(R346&lt;&gt;"",SUMIFS('JPK_KR-1'!AM:AM,'JPK_KR-1'!W:W,S346),"")</f>
        <v/>
      </c>
    </row>
    <row r="347" spans="1:22" x14ac:dyDescent="0.3">
      <c r="A347" s="5" t="str">
        <f>IF(kokpit!A347&lt;&gt;"",kokpit!A347,"")</f>
        <v/>
      </c>
      <c r="B347" s="5" t="str">
        <f>IF(kokpit!B347&lt;&gt;"",kokpit!B347,"")</f>
        <v/>
      </c>
      <c r="C347" s="24" t="str">
        <f>IF(A347&lt;&gt;"",SUMIFS('JPK_KR-1'!AL:AL,'JPK_KR-1'!W:W,B347),"")</f>
        <v/>
      </c>
      <c r="D347" s="126" t="str">
        <f>IF(A347&lt;&gt;"",SUMIFS('JPK_KR-1'!AM:AM,'JPK_KR-1'!W:W,B347),"")</f>
        <v/>
      </c>
      <c r="E347" s="5" t="str">
        <f>IF(kokpit!E347&lt;&gt;"",kokpit!E347,"")</f>
        <v/>
      </c>
      <c r="F347" s="127" t="str">
        <f>IF(kokpit!F347&lt;&gt;"",kokpit!F347,"")</f>
        <v/>
      </c>
      <c r="G347" s="24" t="str">
        <f>IF(E347&lt;&gt;"",SUMIFS('JPK_KR-1'!AL:AL,'JPK_KR-1'!W:W,F347),"")</f>
        <v/>
      </c>
      <c r="H347" s="126" t="str">
        <f>IF(E347&lt;&gt;"",SUMIFS('JPK_KR-1'!AM:AM,'JPK_KR-1'!W:W,F347),"")</f>
        <v/>
      </c>
      <c r="I347" s="5" t="str">
        <f>IF(kokpit!I347&lt;&gt;"",kokpit!I347,"")</f>
        <v/>
      </c>
      <c r="J347" s="5" t="str">
        <f>IF(kokpit!J347&lt;&gt;"",kokpit!J347,"")</f>
        <v/>
      </c>
      <c r="K347" s="24" t="str">
        <f>IF(I347&lt;&gt;"",SUMIFS('JPK_KR-1'!AL:AL,'JPK_KR-1'!W:W,J347),"")</f>
        <v/>
      </c>
      <c r="L347" s="141" t="str">
        <f>IF(I347&lt;&gt;"",SUMIFS('JPK_KR-1'!AM:AM,'JPK_KR-1'!W:W,J347),"")</f>
        <v/>
      </c>
      <c r="M347" s="143" t="str">
        <f>IF(kokpit!M347&lt;&gt;"",kokpit!M347,"")</f>
        <v/>
      </c>
      <c r="N347" s="117" t="str">
        <f>IF(kokpit!N347&lt;&gt;"",kokpit!N347,"")</f>
        <v/>
      </c>
      <c r="O347" s="117" t="str">
        <f>IF(kokpit!O347&lt;&gt;"",kokpit!O347,"")</f>
        <v/>
      </c>
      <c r="P347" s="141" t="str">
        <f>IF(M347&lt;&gt;"",IF(O347="",SUMIFS('JPK_KR-1'!AL:AL,'JPK_KR-1'!W:W,N347),SUMIFS('JPK_KR-1'!BF:BF,'JPK_KR-1'!BE:BE,N347,'JPK_KR-1'!BG:BG,O347)),"")</f>
        <v/>
      </c>
      <c r="Q347" s="144" t="str">
        <f>IF(M347&lt;&gt;"",IF(O347="",SUMIFS('JPK_KR-1'!AM:AM,'JPK_KR-1'!W:W,N347),SUMIFS('JPK_KR-1'!BI:BI,'JPK_KR-1'!BH:BH,N347,'JPK_KR-1'!BJ:BJ,O347)),"")</f>
        <v/>
      </c>
      <c r="R347" s="117" t="str">
        <f>IF(kokpit!R347&lt;&gt;"",kokpit!R347,"")</f>
        <v/>
      </c>
      <c r="S347" s="117" t="str">
        <f>IF(kokpit!S347&lt;&gt;"",kokpit!S347,"")</f>
        <v/>
      </c>
      <c r="T347" s="117" t="str">
        <f>IF(kokpit!T347&lt;&gt;"",kokpit!T347,"")</f>
        <v/>
      </c>
      <c r="U347" s="141" t="str">
        <f>IF(R347&lt;&gt;"",SUMIFS('JPK_KR-1'!AL:AL,'JPK_KR-1'!W:W,S347),"")</f>
        <v/>
      </c>
      <c r="V347" s="144" t="str">
        <f>IF(R347&lt;&gt;"",SUMIFS('JPK_KR-1'!AM:AM,'JPK_KR-1'!W:W,S347),"")</f>
        <v/>
      </c>
    </row>
    <row r="348" spans="1:22" x14ac:dyDescent="0.3">
      <c r="A348" s="5" t="str">
        <f>IF(kokpit!A348&lt;&gt;"",kokpit!A348,"")</f>
        <v/>
      </c>
      <c r="B348" s="5" t="str">
        <f>IF(kokpit!B348&lt;&gt;"",kokpit!B348,"")</f>
        <v/>
      </c>
      <c r="C348" s="24" t="str">
        <f>IF(A348&lt;&gt;"",SUMIFS('JPK_KR-1'!AL:AL,'JPK_KR-1'!W:W,B348),"")</f>
        <v/>
      </c>
      <c r="D348" s="126" t="str">
        <f>IF(A348&lt;&gt;"",SUMIFS('JPK_KR-1'!AM:AM,'JPK_KR-1'!W:W,B348),"")</f>
        <v/>
      </c>
      <c r="E348" s="5" t="str">
        <f>IF(kokpit!E348&lt;&gt;"",kokpit!E348,"")</f>
        <v/>
      </c>
      <c r="F348" s="127" t="str">
        <f>IF(kokpit!F348&lt;&gt;"",kokpit!F348,"")</f>
        <v/>
      </c>
      <c r="G348" s="24" t="str">
        <f>IF(E348&lt;&gt;"",SUMIFS('JPK_KR-1'!AL:AL,'JPK_KR-1'!W:W,F348),"")</f>
        <v/>
      </c>
      <c r="H348" s="126" t="str">
        <f>IF(E348&lt;&gt;"",SUMIFS('JPK_KR-1'!AM:AM,'JPK_KR-1'!W:W,F348),"")</f>
        <v/>
      </c>
      <c r="I348" s="5" t="str">
        <f>IF(kokpit!I348&lt;&gt;"",kokpit!I348,"")</f>
        <v/>
      </c>
      <c r="J348" s="5" t="str">
        <f>IF(kokpit!J348&lt;&gt;"",kokpit!J348,"")</f>
        <v/>
      </c>
      <c r="K348" s="24" t="str">
        <f>IF(I348&lt;&gt;"",SUMIFS('JPK_KR-1'!AL:AL,'JPK_KR-1'!W:W,J348),"")</f>
        <v/>
      </c>
      <c r="L348" s="141" t="str">
        <f>IF(I348&lt;&gt;"",SUMIFS('JPK_KR-1'!AM:AM,'JPK_KR-1'!W:W,J348),"")</f>
        <v/>
      </c>
      <c r="M348" s="143" t="str">
        <f>IF(kokpit!M348&lt;&gt;"",kokpit!M348,"")</f>
        <v/>
      </c>
      <c r="N348" s="117" t="str">
        <f>IF(kokpit!N348&lt;&gt;"",kokpit!N348,"")</f>
        <v/>
      </c>
      <c r="O348" s="117" t="str">
        <f>IF(kokpit!O348&lt;&gt;"",kokpit!O348,"")</f>
        <v/>
      </c>
      <c r="P348" s="141" t="str">
        <f>IF(M348&lt;&gt;"",IF(O348="",SUMIFS('JPK_KR-1'!AL:AL,'JPK_KR-1'!W:W,N348),SUMIFS('JPK_KR-1'!BF:BF,'JPK_KR-1'!BE:BE,N348,'JPK_KR-1'!BG:BG,O348)),"")</f>
        <v/>
      </c>
      <c r="Q348" s="144" t="str">
        <f>IF(M348&lt;&gt;"",IF(O348="",SUMIFS('JPK_KR-1'!AM:AM,'JPK_KR-1'!W:W,N348),SUMIFS('JPK_KR-1'!BI:BI,'JPK_KR-1'!BH:BH,N348,'JPK_KR-1'!BJ:BJ,O348)),"")</f>
        <v/>
      </c>
      <c r="R348" s="117" t="str">
        <f>IF(kokpit!R348&lt;&gt;"",kokpit!R348,"")</f>
        <v/>
      </c>
      <c r="S348" s="117" t="str">
        <f>IF(kokpit!S348&lt;&gt;"",kokpit!S348,"")</f>
        <v/>
      </c>
      <c r="T348" s="117" t="str">
        <f>IF(kokpit!T348&lt;&gt;"",kokpit!T348,"")</f>
        <v/>
      </c>
      <c r="U348" s="141" t="str">
        <f>IF(R348&lt;&gt;"",SUMIFS('JPK_KR-1'!AL:AL,'JPK_KR-1'!W:W,S348),"")</f>
        <v/>
      </c>
      <c r="V348" s="144" t="str">
        <f>IF(R348&lt;&gt;"",SUMIFS('JPK_KR-1'!AM:AM,'JPK_KR-1'!W:W,S348),"")</f>
        <v/>
      </c>
    </row>
    <row r="349" spans="1:22" x14ac:dyDescent="0.3">
      <c r="A349" s="5" t="str">
        <f>IF(kokpit!A349&lt;&gt;"",kokpit!A349,"")</f>
        <v/>
      </c>
      <c r="B349" s="5" t="str">
        <f>IF(kokpit!B349&lt;&gt;"",kokpit!B349,"")</f>
        <v/>
      </c>
      <c r="C349" s="24" t="str">
        <f>IF(A349&lt;&gt;"",SUMIFS('JPK_KR-1'!AL:AL,'JPK_KR-1'!W:W,B349),"")</f>
        <v/>
      </c>
      <c r="D349" s="126" t="str">
        <f>IF(A349&lt;&gt;"",SUMIFS('JPK_KR-1'!AM:AM,'JPK_KR-1'!W:W,B349),"")</f>
        <v/>
      </c>
      <c r="E349" s="5" t="str">
        <f>IF(kokpit!E349&lt;&gt;"",kokpit!E349,"")</f>
        <v/>
      </c>
      <c r="F349" s="127" t="str">
        <f>IF(kokpit!F349&lt;&gt;"",kokpit!F349,"")</f>
        <v/>
      </c>
      <c r="G349" s="24" t="str">
        <f>IF(E349&lt;&gt;"",SUMIFS('JPK_KR-1'!AL:AL,'JPK_KR-1'!W:W,F349),"")</f>
        <v/>
      </c>
      <c r="H349" s="126" t="str">
        <f>IF(E349&lt;&gt;"",SUMIFS('JPK_KR-1'!AM:AM,'JPK_KR-1'!W:W,F349),"")</f>
        <v/>
      </c>
      <c r="I349" s="5" t="str">
        <f>IF(kokpit!I349&lt;&gt;"",kokpit!I349,"")</f>
        <v/>
      </c>
      <c r="J349" s="5" t="str">
        <f>IF(kokpit!J349&lt;&gt;"",kokpit!J349,"")</f>
        <v/>
      </c>
      <c r="K349" s="24" t="str">
        <f>IF(I349&lt;&gt;"",SUMIFS('JPK_KR-1'!AL:AL,'JPK_KR-1'!W:W,J349),"")</f>
        <v/>
      </c>
      <c r="L349" s="141" t="str">
        <f>IF(I349&lt;&gt;"",SUMIFS('JPK_KR-1'!AM:AM,'JPK_KR-1'!W:W,J349),"")</f>
        <v/>
      </c>
      <c r="M349" s="143" t="str">
        <f>IF(kokpit!M349&lt;&gt;"",kokpit!M349,"")</f>
        <v/>
      </c>
      <c r="N349" s="117" t="str">
        <f>IF(kokpit!N349&lt;&gt;"",kokpit!N349,"")</f>
        <v/>
      </c>
      <c r="O349" s="117" t="str">
        <f>IF(kokpit!O349&lt;&gt;"",kokpit!O349,"")</f>
        <v/>
      </c>
      <c r="P349" s="141" t="str">
        <f>IF(M349&lt;&gt;"",IF(O349="",SUMIFS('JPK_KR-1'!AL:AL,'JPK_KR-1'!W:W,N349),SUMIFS('JPK_KR-1'!BF:BF,'JPK_KR-1'!BE:BE,N349,'JPK_KR-1'!BG:BG,O349)),"")</f>
        <v/>
      </c>
      <c r="Q349" s="144" t="str">
        <f>IF(M349&lt;&gt;"",IF(O349="",SUMIFS('JPK_KR-1'!AM:AM,'JPK_KR-1'!W:W,N349),SUMIFS('JPK_KR-1'!BI:BI,'JPK_KR-1'!BH:BH,N349,'JPK_KR-1'!BJ:BJ,O349)),"")</f>
        <v/>
      </c>
      <c r="R349" s="117" t="str">
        <f>IF(kokpit!R349&lt;&gt;"",kokpit!R349,"")</f>
        <v/>
      </c>
      <c r="S349" s="117" t="str">
        <f>IF(kokpit!S349&lt;&gt;"",kokpit!S349,"")</f>
        <v/>
      </c>
      <c r="T349" s="117" t="str">
        <f>IF(kokpit!T349&lt;&gt;"",kokpit!T349,"")</f>
        <v/>
      </c>
      <c r="U349" s="141" t="str">
        <f>IF(R349&lt;&gt;"",SUMIFS('JPK_KR-1'!AL:AL,'JPK_KR-1'!W:W,S349),"")</f>
        <v/>
      </c>
      <c r="V349" s="144" t="str">
        <f>IF(R349&lt;&gt;"",SUMIFS('JPK_KR-1'!AM:AM,'JPK_KR-1'!W:W,S349),"")</f>
        <v/>
      </c>
    </row>
    <row r="350" spans="1:22" x14ac:dyDescent="0.3">
      <c r="A350" s="5" t="str">
        <f>IF(kokpit!A350&lt;&gt;"",kokpit!A350,"")</f>
        <v/>
      </c>
      <c r="B350" s="5" t="str">
        <f>IF(kokpit!B350&lt;&gt;"",kokpit!B350,"")</f>
        <v/>
      </c>
      <c r="C350" s="24" t="str">
        <f>IF(A350&lt;&gt;"",SUMIFS('JPK_KR-1'!AL:AL,'JPK_KR-1'!W:W,B350),"")</f>
        <v/>
      </c>
      <c r="D350" s="126" t="str">
        <f>IF(A350&lt;&gt;"",SUMIFS('JPK_KR-1'!AM:AM,'JPK_KR-1'!W:W,B350),"")</f>
        <v/>
      </c>
      <c r="E350" s="5" t="str">
        <f>IF(kokpit!E350&lt;&gt;"",kokpit!E350,"")</f>
        <v/>
      </c>
      <c r="F350" s="127" t="str">
        <f>IF(kokpit!F350&lt;&gt;"",kokpit!F350,"")</f>
        <v/>
      </c>
      <c r="G350" s="24" t="str">
        <f>IF(E350&lt;&gt;"",SUMIFS('JPK_KR-1'!AL:AL,'JPK_KR-1'!W:W,F350),"")</f>
        <v/>
      </c>
      <c r="H350" s="126" t="str">
        <f>IF(E350&lt;&gt;"",SUMIFS('JPK_KR-1'!AM:AM,'JPK_KR-1'!W:W,F350),"")</f>
        <v/>
      </c>
      <c r="I350" s="5" t="str">
        <f>IF(kokpit!I350&lt;&gt;"",kokpit!I350,"")</f>
        <v/>
      </c>
      <c r="J350" s="5" t="str">
        <f>IF(kokpit!J350&lt;&gt;"",kokpit!J350,"")</f>
        <v/>
      </c>
      <c r="K350" s="24" t="str">
        <f>IF(I350&lt;&gt;"",SUMIFS('JPK_KR-1'!AL:AL,'JPK_KR-1'!W:W,J350),"")</f>
        <v/>
      </c>
      <c r="L350" s="141" t="str">
        <f>IF(I350&lt;&gt;"",SUMIFS('JPK_KR-1'!AM:AM,'JPK_KR-1'!W:W,J350),"")</f>
        <v/>
      </c>
      <c r="M350" s="143" t="str">
        <f>IF(kokpit!M350&lt;&gt;"",kokpit!M350,"")</f>
        <v/>
      </c>
      <c r="N350" s="117" t="str">
        <f>IF(kokpit!N350&lt;&gt;"",kokpit!N350,"")</f>
        <v/>
      </c>
      <c r="O350" s="117" t="str">
        <f>IF(kokpit!O350&lt;&gt;"",kokpit!O350,"")</f>
        <v/>
      </c>
      <c r="P350" s="141" t="str">
        <f>IF(M350&lt;&gt;"",IF(O350="",SUMIFS('JPK_KR-1'!AL:AL,'JPK_KR-1'!W:W,N350),SUMIFS('JPK_KR-1'!BF:BF,'JPK_KR-1'!BE:BE,N350,'JPK_KR-1'!BG:BG,O350)),"")</f>
        <v/>
      </c>
      <c r="Q350" s="144" t="str">
        <f>IF(M350&lt;&gt;"",IF(O350="",SUMIFS('JPK_KR-1'!AM:AM,'JPK_KR-1'!W:W,N350),SUMIFS('JPK_KR-1'!BI:BI,'JPK_KR-1'!BH:BH,N350,'JPK_KR-1'!BJ:BJ,O350)),"")</f>
        <v/>
      </c>
      <c r="R350" s="117" t="str">
        <f>IF(kokpit!R350&lt;&gt;"",kokpit!R350,"")</f>
        <v/>
      </c>
      <c r="S350" s="117" t="str">
        <f>IF(kokpit!S350&lt;&gt;"",kokpit!S350,"")</f>
        <v/>
      </c>
      <c r="T350" s="117" t="str">
        <f>IF(kokpit!T350&lt;&gt;"",kokpit!T350,"")</f>
        <v/>
      </c>
      <c r="U350" s="141" t="str">
        <f>IF(R350&lt;&gt;"",SUMIFS('JPK_KR-1'!AL:AL,'JPK_KR-1'!W:W,S350),"")</f>
        <v/>
      </c>
      <c r="V350" s="144" t="str">
        <f>IF(R350&lt;&gt;"",SUMIFS('JPK_KR-1'!AM:AM,'JPK_KR-1'!W:W,S350),"")</f>
        <v/>
      </c>
    </row>
    <row r="351" spans="1:22" x14ac:dyDescent="0.3">
      <c r="A351" s="5" t="str">
        <f>IF(kokpit!A351&lt;&gt;"",kokpit!A351,"")</f>
        <v/>
      </c>
      <c r="B351" s="5" t="str">
        <f>IF(kokpit!B351&lt;&gt;"",kokpit!B351,"")</f>
        <v/>
      </c>
      <c r="C351" s="24" t="str">
        <f>IF(A351&lt;&gt;"",SUMIFS('JPK_KR-1'!AL:AL,'JPK_KR-1'!W:W,B351),"")</f>
        <v/>
      </c>
      <c r="D351" s="126" t="str">
        <f>IF(A351&lt;&gt;"",SUMIFS('JPK_KR-1'!AM:AM,'JPK_KR-1'!W:W,B351),"")</f>
        <v/>
      </c>
      <c r="E351" s="5" t="str">
        <f>IF(kokpit!E351&lt;&gt;"",kokpit!E351,"")</f>
        <v/>
      </c>
      <c r="F351" s="127" t="str">
        <f>IF(kokpit!F351&lt;&gt;"",kokpit!F351,"")</f>
        <v/>
      </c>
      <c r="G351" s="24" t="str">
        <f>IF(E351&lt;&gt;"",SUMIFS('JPK_KR-1'!AL:AL,'JPK_KR-1'!W:W,F351),"")</f>
        <v/>
      </c>
      <c r="H351" s="126" t="str">
        <f>IF(E351&lt;&gt;"",SUMIFS('JPK_KR-1'!AM:AM,'JPK_KR-1'!W:W,F351),"")</f>
        <v/>
      </c>
      <c r="I351" s="5" t="str">
        <f>IF(kokpit!I351&lt;&gt;"",kokpit!I351,"")</f>
        <v/>
      </c>
      <c r="J351" s="5" t="str">
        <f>IF(kokpit!J351&lt;&gt;"",kokpit!J351,"")</f>
        <v/>
      </c>
      <c r="K351" s="24" t="str">
        <f>IF(I351&lt;&gt;"",SUMIFS('JPK_KR-1'!AL:AL,'JPK_KR-1'!W:W,J351),"")</f>
        <v/>
      </c>
      <c r="L351" s="141" t="str">
        <f>IF(I351&lt;&gt;"",SUMIFS('JPK_KR-1'!AM:AM,'JPK_KR-1'!W:W,J351),"")</f>
        <v/>
      </c>
      <c r="M351" s="143" t="str">
        <f>IF(kokpit!M351&lt;&gt;"",kokpit!M351,"")</f>
        <v/>
      </c>
      <c r="N351" s="117" t="str">
        <f>IF(kokpit!N351&lt;&gt;"",kokpit!N351,"")</f>
        <v/>
      </c>
      <c r="O351" s="117" t="str">
        <f>IF(kokpit!O351&lt;&gt;"",kokpit!O351,"")</f>
        <v/>
      </c>
      <c r="P351" s="141" t="str">
        <f>IF(M351&lt;&gt;"",IF(O351="",SUMIFS('JPK_KR-1'!AL:AL,'JPK_KR-1'!W:W,N351),SUMIFS('JPK_KR-1'!BF:BF,'JPK_KR-1'!BE:BE,N351,'JPK_KR-1'!BG:BG,O351)),"")</f>
        <v/>
      </c>
      <c r="Q351" s="144" t="str">
        <f>IF(M351&lt;&gt;"",IF(O351="",SUMIFS('JPK_KR-1'!AM:AM,'JPK_KR-1'!W:W,N351),SUMIFS('JPK_KR-1'!BI:BI,'JPK_KR-1'!BH:BH,N351,'JPK_KR-1'!BJ:BJ,O351)),"")</f>
        <v/>
      </c>
      <c r="R351" s="117" t="str">
        <f>IF(kokpit!R351&lt;&gt;"",kokpit!R351,"")</f>
        <v/>
      </c>
      <c r="S351" s="117" t="str">
        <f>IF(kokpit!S351&lt;&gt;"",kokpit!S351,"")</f>
        <v/>
      </c>
      <c r="T351" s="117" t="str">
        <f>IF(kokpit!T351&lt;&gt;"",kokpit!T351,"")</f>
        <v/>
      </c>
      <c r="U351" s="141" t="str">
        <f>IF(R351&lt;&gt;"",SUMIFS('JPK_KR-1'!AL:AL,'JPK_KR-1'!W:W,S351),"")</f>
        <v/>
      </c>
      <c r="V351" s="144" t="str">
        <f>IF(R351&lt;&gt;"",SUMIFS('JPK_KR-1'!AM:AM,'JPK_KR-1'!W:W,S351),"")</f>
        <v/>
      </c>
    </row>
    <row r="352" spans="1:22" x14ac:dyDescent="0.3">
      <c r="A352" s="5" t="str">
        <f>IF(kokpit!A352&lt;&gt;"",kokpit!A352,"")</f>
        <v/>
      </c>
      <c r="B352" s="5" t="str">
        <f>IF(kokpit!B352&lt;&gt;"",kokpit!B352,"")</f>
        <v/>
      </c>
      <c r="C352" s="24" t="str">
        <f>IF(A352&lt;&gt;"",SUMIFS('JPK_KR-1'!AL:AL,'JPK_KR-1'!W:W,B352),"")</f>
        <v/>
      </c>
      <c r="D352" s="126" t="str">
        <f>IF(A352&lt;&gt;"",SUMIFS('JPK_KR-1'!AM:AM,'JPK_KR-1'!W:W,B352),"")</f>
        <v/>
      </c>
      <c r="E352" s="5" t="str">
        <f>IF(kokpit!E352&lt;&gt;"",kokpit!E352,"")</f>
        <v/>
      </c>
      <c r="F352" s="127" t="str">
        <f>IF(kokpit!F352&lt;&gt;"",kokpit!F352,"")</f>
        <v/>
      </c>
      <c r="G352" s="24" t="str">
        <f>IF(E352&lt;&gt;"",SUMIFS('JPK_KR-1'!AL:AL,'JPK_KR-1'!W:W,F352),"")</f>
        <v/>
      </c>
      <c r="H352" s="126" t="str">
        <f>IF(E352&lt;&gt;"",SUMIFS('JPK_KR-1'!AM:AM,'JPK_KR-1'!W:W,F352),"")</f>
        <v/>
      </c>
      <c r="I352" s="5" t="str">
        <f>IF(kokpit!I352&lt;&gt;"",kokpit!I352,"")</f>
        <v/>
      </c>
      <c r="J352" s="5" t="str">
        <f>IF(kokpit!J352&lt;&gt;"",kokpit!J352,"")</f>
        <v/>
      </c>
      <c r="K352" s="24" t="str">
        <f>IF(I352&lt;&gt;"",SUMIFS('JPK_KR-1'!AL:AL,'JPK_KR-1'!W:W,J352),"")</f>
        <v/>
      </c>
      <c r="L352" s="141" t="str">
        <f>IF(I352&lt;&gt;"",SUMIFS('JPK_KR-1'!AM:AM,'JPK_KR-1'!W:W,J352),"")</f>
        <v/>
      </c>
      <c r="M352" s="143" t="str">
        <f>IF(kokpit!M352&lt;&gt;"",kokpit!M352,"")</f>
        <v/>
      </c>
      <c r="N352" s="117" t="str">
        <f>IF(kokpit!N352&lt;&gt;"",kokpit!N352,"")</f>
        <v/>
      </c>
      <c r="O352" s="117" t="str">
        <f>IF(kokpit!O352&lt;&gt;"",kokpit!O352,"")</f>
        <v/>
      </c>
      <c r="P352" s="141" t="str">
        <f>IF(M352&lt;&gt;"",IF(O352="",SUMIFS('JPK_KR-1'!AL:AL,'JPK_KR-1'!W:W,N352),SUMIFS('JPK_KR-1'!BF:BF,'JPK_KR-1'!BE:BE,N352,'JPK_KR-1'!BG:BG,O352)),"")</f>
        <v/>
      </c>
      <c r="Q352" s="144" t="str">
        <f>IF(M352&lt;&gt;"",IF(O352="",SUMIFS('JPK_KR-1'!AM:AM,'JPK_KR-1'!W:W,N352),SUMIFS('JPK_KR-1'!BI:BI,'JPK_KR-1'!BH:BH,N352,'JPK_KR-1'!BJ:BJ,O352)),"")</f>
        <v/>
      </c>
      <c r="R352" s="117" t="str">
        <f>IF(kokpit!R352&lt;&gt;"",kokpit!R352,"")</f>
        <v/>
      </c>
      <c r="S352" s="117" t="str">
        <f>IF(kokpit!S352&lt;&gt;"",kokpit!S352,"")</f>
        <v/>
      </c>
      <c r="T352" s="117" t="str">
        <f>IF(kokpit!T352&lt;&gt;"",kokpit!T352,"")</f>
        <v/>
      </c>
      <c r="U352" s="141" t="str">
        <f>IF(R352&lt;&gt;"",SUMIFS('JPK_KR-1'!AL:AL,'JPK_KR-1'!W:W,S352),"")</f>
        <v/>
      </c>
      <c r="V352" s="144" t="str">
        <f>IF(R352&lt;&gt;"",SUMIFS('JPK_KR-1'!AM:AM,'JPK_KR-1'!W:W,S352),"")</f>
        <v/>
      </c>
    </row>
    <row r="353" spans="1:22" x14ac:dyDescent="0.3">
      <c r="A353" s="5" t="str">
        <f>IF(kokpit!A353&lt;&gt;"",kokpit!A353,"")</f>
        <v/>
      </c>
      <c r="B353" s="5" t="str">
        <f>IF(kokpit!B353&lt;&gt;"",kokpit!B353,"")</f>
        <v/>
      </c>
      <c r="C353" s="24" t="str">
        <f>IF(A353&lt;&gt;"",SUMIFS('JPK_KR-1'!AL:AL,'JPK_KR-1'!W:W,B353),"")</f>
        <v/>
      </c>
      <c r="D353" s="126" t="str">
        <f>IF(A353&lt;&gt;"",SUMIFS('JPK_KR-1'!AM:AM,'JPK_KR-1'!W:W,B353),"")</f>
        <v/>
      </c>
      <c r="E353" s="5" t="str">
        <f>IF(kokpit!E353&lt;&gt;"",kokpit!E353,"")</f>
        <v/>
      </c>
      <c r="F353" s="127" t="str">
        <f>IF(kokpit!F353&lt;&gt;"",kokpit!F353,"")</f>
        <v/>
      </c>
      <c r="G353" s="24" t="str">
        <f>IF(E353&lt;&gt;"",SUMIFS('JPK_KR-1'!AL:AL,'JPK_KR-1'!W:W,F353),"")</f>
        <v/>
      </c>
      <c r="H353" s="126" t="str">
        <f>IF(E353&lt;&gt;"",SUMIFS('JPK_KR-1'!AM:AM,'JPK_KR-1'!W:W,F353),"")</f>
        <v/>
      </c>
      <c r="I353" s="5" t="str">
        <f>IF(kokpit!I353&lt;&gt;"",kokpit!I353,"")</f>
        <v/>
      </c>
      <c r="J353" s="5" t="str">
        <f>IF(kokpit!J353&lt;&gt;"",kokpit!J353,"")</f>
        <v/>
      </c>
      <c r="K353" s="24" t="str">
        <f>IF(I353&lt;&gt;"",SUMIFS('JPK_KR-1'!AL:AL,'JPK_KR-1'!W:W,J353),"")</f>
        <v/>
      </c>
      <c r="L353" s="141" t="str">
        <f>IF(I353&lt;&gt;"",SUMIFS('JPK_KR-1'!AM:AM,'JPK_KR-1'!W:W,J353),"")</f>
        <v/>
      </c>
      <c r="M353" s="143" t="str">
        <f>IF(kokpit!M353&lt;&gt;"",kokpit!M353,"")</f>
        <v/>
      </c>
      <c r="N353" s="117" t="str">
        <f>IF(kokpit!N353&lt;&gt;"",kokpit!N353,"")</f>
        <v/>
      </c>
      <c r="O353" s="117" t="str">
        <f>IF(kokpit!O353&lt;&gt;"",kokpit!O353,"")</f>
        <v/>
      </c>
      <c r="P353" s="141" t="str">
        <f>IF(M353&lt;&gt;"",IF(O353="",SUMIFS('JPK_KR-1'!AL:AL,'JPK_KR-1'!W:W,N353),SUMIFS('JPK_KR-1'!BF:BF,'JPK_KR-1'!BE:BE,N353,'JPK_KR-1'!BG:BG,O353)),"")</f>
        <v/>
      </c>
      <c r="Q353" s="144" t="str">
        <f>IF(M353&lt;&gt;"",IF(O353="",SUMIFS('JPK_KR-1'!AM:AM,'JPK_KR-1'!W:W,N353),SUMIFS('JPK_KR-1'!BI:BI,'JPK_KR-1'!BH:BH,N353,'JPK_KR-1'!BJ:BJ,O353)),"")</f>
        <v/>
      </c>
      <c r="R353" s="117" t="str">
        <f>IF(kokpit!R353&lt;&gt;"",kokpit!R353,"")</f>
        <v/>
      </c>
      <c r="S353" s="117" t="str">
        <f>IF(kokpit!S353&lt;&gt;"",kokpit!S353,"")</f>
        <v/>
      </c>
      <c r="T353" s="117" t="str">
        <f>IF(kokpit!T353&lt;&gt;"",kokpit!T353,"")</f>
        <v/>
      </c>
      <c r="U353" s="141" t="str">
        <f>IF(R353&lt;&gt;"",SUMIFS('JPK_KR-1'!AL:AL,'JPK_KR-1'!W:W,S353),"")</f>
        <v/>
      </c>
      <c r="V353" s="144" t="str">
        <f>IF(R353&lt;&gt;"",SUMIFS('JPK_KR-1'!AM:AM,'JPK_KR-1'!W:W,S353),"")</f>
        <v/>
      </c>
    </row>
    <row r="354" spans="1:22" x14ac:dyDescent="0.3">
      <c r="A354" s="5" t="str">
        <f>IF(kokpit!A354&lt;&gt;"",kokpit!A354,"")</f>
        <v/>
      </c>
      <c r="B354" s="5" t="str">
        <f>IF(kokpit!B354&lt;&gt;"",kokpit!B354,"")</f>
        <v/>
      </c>
      <c r="C354" s="24" t="str">
        <f>IF(A354&lt;&gt;"",SUMIFS('JPK_KR-1'!AL:AL,'JPK_KR-1'!W:W,B354),"")</f>
        <v/>
      </c>
      <c r="D354" s="126" t="str">
        <f>IF(A354&lt;&gt;"",SUMIFS('JPK_KR-1'!AM:AM,'JPK_KR-1'!W:W,B354),"")</f>
        <v/>
      </c>
      <c r="E354" s="5" t="str">
        <f>IF(kokpit!E354&lt;&gt;"",kokpit!E354,"")</f>
        <v/>
      </c>
      <c r="F354" s="127" t="str">
        <f>IF(kokpit!F354&lt;&gt;"",kokpit!F354,"")</f>
        <v/>
      </c>
      <c r="G354" s="24" t="str">
        <f>IF(E354&lt;&gt;"",SUMIFS('JPK_KR-1'!AL:AL,'JPK_KR-1'!W:W,F354),"")</f>
        <v/>
      </c>
      <c r="H354" s="126" t="str">
        <f>IF(E354&lt;&gt;"",SUMIFS('JPK_KR-1'!AM:AM,'JPK_KR-1'!W:W,F354),"")</f>
        <v/>
      </c>
      <c r="I354" s="5" t="str">
        <f>IF(kokpit!I354&lt;&gt;"",kokpit!I354,"")</f>
        <v/>
      </c>
      <c r="J354" s="5" t="str">
        <f>IF(kokpit!J354&lt;&gt;"",kokpit!J354,"")</f>
        <v/>
      </c>
      <c r="K354" s="24" t="str">
        <f>IF(I354&lt;&gt;"",SUMIFS('JPK_KR-1'!AL:AL,'JPK_KR-1'!W:W,J354),"")</f>
        <v/>
      </c>
      <c r="L354" s="141" t="str">
        <f>IF(I354&lt;&gt;"",SUMIFS('JPK_KR-1'!AM:AM,'JPK_KR-1'!W:W,J354),"")</f>
        <v/>
      </c>
      <c r="M354" s="143" t="str">
        <f>IF(kokpit!M354&lt;&gt;"",kokpit!M354,"")</f>
        <v/>
      </c>
      <c r="N354" s="117" t="str">
        <f>IF(kokpit!N354&lt;&gt;"",kokpit!N354,"")</f>
        <v/>
      </c>
      <c r="O354" s="117" t="str">
        <f>IF(kokpit!O354&lt;&gt;"",kokpit!O354,"")</f>
        <v/>
      </c>
      <c r="P354" s="141" t="str">
        <f>IF(M354&lt;&gt;"",IF(O354="",SUMIFS('JPK_KR-1'!AL:AL,'JPK_KR-1'!W:W,N354),SUMIFS('JPK_KR-1'!BF:BF,'JPK_KR-1'!BE:BE,N354,'JPK_KR-1'!BG:BG,O354)),"")</f>
        <v/>
      </c>
      <c r="Q354" s="144" t="str">
        <f>IF(M354&lt;&gt;"",IF(O354="",SUMIFS('JPK_KR-1'!AM:AM,'JPK_KR-1'!W:W,N354),SUMIFS('JPK_KR-1'!BI:BI,'JPK_KR-1'!BH:BH,N354,'JPK_KR-1'!BJ:BJ,O354)),"")</f>
        <v/>
      </c>
      <c r="R354" s="117" t="str">
        <f>IF(kokpit!R354&lt;&gt;"",kokpit!R354,"")</f>
        <v/>
      </c>
      <c r="S354" s="117" t="str">
        <f>IF(kokpit!S354&lt;&gt;"",kokpit!S354,"")</f>
        <v/>
      </c>
      <c r="T354" s="117" t="str">
        <f>IF(kokpit!T354&lt;&gt;"",kokpit!T354,"")</f>
        <v/>
      </c>
      <c r="U354" s="141" t="str">
        <f>IF(R354&lt;&gt;"",SUMIFS('JPK_KR-1'!AL:AL,'JPK_KR-1'!W:W,S354),"")</f>
        <v/>
      </c>
      <c r="V354" s="144" t="str">
        <f>IF(R354&lt;&gt;"",SUMIFS('JPK_KR-1'!AM:AM,'JPK_KR-1'!W:W,S354),"")</f>
        <v/>
      </c>
    </row>
    <row r="355" spans="1:22" x14ac:dyDescent="0.3">
      <c r="A355" s="5" t="str">
        <f>IF(kokpit!A355&lt;&gt;"",kokpit!A355,"")</f>
        <v/>
      </c>
      <c r="B355" s="5" t="str">
        <f>IF(kokpit!B355&lt;&gt;"",kokpit!B355,"")</f>
        <v/>
      </c>
      <c r="C355" s="24" t="str">
        <f>IF(A355&lt;&gt;"",SUMIFS('JPK_KR-1'!AL:AL,'JPK_KR-1'!W:W,B355),"")</f>
        <v/>
      </c>
      <c r="D355" s="126" t="str">
        <f>IF(A355&lt;&gt;"",SUMIFS('JPK_KR-1'!AM:AM,'JPK_KR-1'!W:W,B355),"")</f>
        <v/>
      </c>
      <c r="E355" s="5" t="str">
        <f>IF(kokpit!E355&lt;&gt;"",kokpit!E355,"")</f>
        <v/>
      </c>
      <c r="F355" s="127" t="str">
        <f>IF(kokpit!F355&lt;&gt;"",kokpit!F355,"")</f>
        <v/>
      </c>
      <c r="G355" s="24" t="str">
        <f>IF(E355&lt;&gt;"",SUMIFS('JPK_KR-1'!AL:AL,'JPK_KR-1'!W:W,F355),"")</f>
        <v/>
      </c>
      <c r="H355" s="126" t="str">
        <f>IF(E355&lt;&gt;"",SUMIFS('JPK_KR-1'!AM:AM,'JPK_KR-1'!W:W,F355),"")</f>
        <v/>
      </c>
      <c r="I355" s="5" t="str">
        <f>IF(kokpit!I355&lt;&gt;"",kokpit!I355,"")</f>
        <v/>
      </c>
      <c r="J355" s="5" t="str">
        <f>IF(kokpit!J355&lt;&gt;"",kokpit!J355,"")</f>
        <v/>
      </c>
      <c r="K355" s="24" t="str">
        <f>IF(I355&lt;&gt;"",SUMIFS('JPK_KR-1'!AL:AL,'JPK_KR-1'!W:W,J355),"")</f>
        <v/>
      </c>
      <c r="L355" s="141" t="str">
        <f>IF(I355&lt;&gt;"",SUMIFS('JPK_KR-1'!AM:AM,'JPK_KR-1'!W:W,J355),"")</f>
        <v/>
      </c>
      <c r="M355" s="143" t="str">
        <f>IF(kokpit!M355&lt;&gt;"",kokpit!M355,"")</f>
        <v/>
      </c>
      <c r="N355" s="117" t="str">
        <f>IF(kokpit!N355&lt;&gt;"",kokpit!N355,"")</f>
        <v/>
      </c>
      <c r="O355" s="117" t="str">
        <f>IF(kokpit!O355&lt;&gt;"",kokpit!O355,"")</f>
        <v/>
      </c>
      <c r="P355" s="141" t="str">
        <f>IF(M355&lt;&gt;"",IF(O355="",SUMIFS('JPK_KR-1'!AL:AL,'JPK_KR-1'!W:W,N355),SUMIFS('JPK_KR-1'!BF:BF,'JPK_KR-1'!BE:BE,N355,'JPK_KR-1'!BG:BG,O355)),"")</f>
        <v/>
      </c>
      <c r="Q355" s="144" t="str">
        <f>IF(M355&lt;&gt;"",IF(O355="",SUMIFS('JPK_KR-1'!AM:AM,'JPK_KR-1'!W:W,N355),SUMIFS('JPK_KR-1'!BI:BI,'JPK_KR-1'!BH:BH,N355,'JPK_KR-1'!BJ:BJ,O355)),"")</f>
        <v/>
      </c>
      <c r="R355" s="117" t="str">
        <f>IF(kokpit!R355&lt;&gt;"",kokpit!R355,"")</f>
        <v/>
      </c>
      <c r="S355" s="117" t="str">
        <f>IF(kokpit!S355&lt;&gt;"",kokpit!S355,"")</f>
        <v/>
      </c>
      <c r="T355" s="117" t="str">
        <f>IF(kokpit!T355&lt;&gt;"",kokpit!T355,"")</f>
        <v/>
      </c>
      <c r="U355" s="141" t="str">
        <f>IF(R355&lt;&gt;"",SUMIFS('JPK_KR-1'!AL:AL,'JPK_KR-1'!W:W,S355),"")</f>
        <v/>
      </c>
      <c r="V355" s="144" t="str">
        <f>IF(R355&lt;&gt;"",SUMIFS('JPK_KR-1'!AM:AM,'JPK_KR-1'!W:W,S355),"")</f>
        <v/>
      </c>
    </row>
    <row r="356" spans="1:22" x14ac:dyDescent="0.3">
      <c r="A356" s="5" t="str">
        <f>IF(kokpit!A356&lt;&gt;"",kokpit!A356,"")</f>
        <v/>
      </c>
      <c r="B356" s="5" t="str">
        <f>IF(kokpit!B356&lt;&gt;"",kokpit!B356,"")</f>
        <v/>
      </c>
      <c r="C356" s="24" t="str">
        <f>IF(A356&lt;&gt;"",SUMIFS('JPK_KR-1'!AL:AL,'JPK_KR-1'!W:W,B356),"")</f>
        <v/>
      </c>
      <c r="D356" s="126" t="str">
        <f>IF(A356&lt;&gt;"",SUMIFS('JPK_KR-1'!AM:AM,'JPK_KR-1'!W:W,B356),"")</f>
        <v/>
      </c>
      <c r="E356" s="5" t="str">
        <f>IF(kokpit!E356&lt;&gt;"",kokpit!E356,"")</f>
        <v/>
      </c>
      <c r="F356" s="127" t="str">
        <f>IF(kokpit!F356&lt;&gt;"",kokpit!F356,"")</f>
        <v/>
      </c>
      <c r="G356" s="24" t="str">
        <f>IF(E356&lt;&gt;"",SUMIFS('JPK_KR-1'!AL:AL,'JPK_KR-1'!W:W,F356),"")</f>
        <v/>
      </c>
      <c r="H356" s="126" t="str">
        <f>IF(E356&lt;&gt;"",SUMIFS('JPK_KR-1'!AM:AM,'JPK_KR-1'!W:W,F356),"")</f>
        <v/>
      </c>
      <c r="I356" s="5" t="str">
        <f>IF(kokpit!I356&lt;&gt;"",kokpit!I356,"")</f>
        <v/>
      </c>
      <c r="J356" s="5" t="str">
        <f>IF(kokpit!J356&lt;&gt;"",kokpit!J356,"")</f>
        <v/>
      </c>
      <c r="K356" s="24" t="str">
        <f>IF(I356&lt;&gt;"",SUMIFS('JPK_KR-1'!AL:AL,'JPK_KR-1'!W:W,J356),"")</f>
        <v/>
      </c>
      <c r="L356" s="141" t="str">
        <f>IF(I356&lt;&gt;"",SUMIFS('JPK_KR-1'!AM:AM,'JPK_KR-1'!W:W,J356),"")</f>
        <v/>
      </c>
      <c r="M356" s="143" t="str">
        <f>IF(kokpit!M356&lt;&gt;"",kokpit!M356,"")</f>
        <v/>
      </c>
      <c r="N356" s="117" t="str">
        <f>IF(kokpit!N356&lt;&gt;"",kokpit!N356,"")</f>
        <v/>
      </c>
      <c r="O356" s="117" t="str">
        <f>IF(kokpit!O356&lt;&gt;"",kokpit!O356,"")</f>
        <v/>
      </c>
      <c r="P356" s="141" t="str">
        <f>IF(M356&lt;&gt;"",IF(O356="",SUMIFS('JPK_KR-1'!AL:AL,'JPK_KR-1'!W:W,N356),SUMIFS('JPK_KR-1'!BF:BF,'JPK_KR-1'!BE:BE,N356,'JPK_KR-1'!BG:BG,O356)),"")</f>
        <v/>
      </c>
      <c r="Q356" s="144" t="str">
        <f>IF(M356&lt;&gt;"",IF(O356="",SUMIFS('JPK_KR-1'!AM:AM,'JPK_KR-1'!W:W,N356),SUMIFS('JPK_KR-1'!BI:BI,'JPK_KR-1'!BH:BH,N356,'JPK_KR-1'!BJ:BJ,O356)),"")</f>
        <v/>
      </c>
      <c r="R356" s="117" t="str">
        <f>IF(kokpit!R356&lt;&gt;"",kokpit!R356,"")</f>
        <v/>
      </c>
      <c r="S356" s="117" t="str">
        <f>IF(kokpit!S356&lt;&gt;"",kokpit!S356,"")</f>
        <v/>
      </c>
      <c r="T356" s="117" t="str">
        <f>IF(kokpit!T356&lt;&gt;"",kokpit!T356,"")</f>
        <v/>
      </c>
      <c r="U356" s="141" t="str">
        <f>IF(R356&lt;&gt;"",SUMIFS('JPK_KR-1'!AL:AL,'JPK_KR-1'!W:W,S356),"")</f>
        <v/>
      </c>
      <c r="V356" s="144" t="str">
        <f>IF(R356&lt;&gt;"",SUMIFS('JPK_KR-1'!AM:AM,'JPK_KR-1'!W:W,S356),"")</f>
        <v/>
      </c>
    </row>
    <row r="357" spans="1:22" x14ac:dyDescent="0.3">
      <c r="A357" s="5" t="str">
        <f>IF(kokpit!A357&lt;&gt;"",kokpit!A357,"")</f>
        <v/>
      </c>
      <c r="B357" s="5" t="str">
        <f>IF(kokpit!B357&lt;&gt;"",kokpit!B357,"")</f>
        <v/>
      </c>
      <c r="C357" s="24" t="str">
        <f>IF(A357&lt;&gt;"",SUMIFS('JPK_KR-1'!AL:AL,'JPK_KR-1'!W:W,B357),"")</f>
        <v/>
      </c>
      <c r="D357" s="126" t="str">
        <f>IF(A357&lt;&gt;"",SUMIFS('JPK_KR-1'!AM:AM,'JPK_KR-1'!W:W,B357),"")</f>
        <v/>
      </c>
      <c r="E357" s="5" t="str">
        <f>IF(kokpit!E357&lt;&gt;"",kokpit!E357,"")</f>
        <v/>
      </c>
      <c r="F357" s="127" t="str">
        <f>IF(kokpit!F357&lt;&gt;"",kokpit!F357,"")</f>
        <v/>
      </c>
      <c r="G357" s="24" t="str">
        <f>IF(E357&lt;&gt;"",SUMIFS('JPK_KR-1'!AL:AL,'JPK_KR-1'!W:W,F357),"")</f>
        <v/>
      </c>
      <c r="H357" s="126" t="str">
        <f>IF(E357&lt;&gt;"",SUMIFS('JPK_KR-1'!AM:AM,'JPK_KR-1'!W:W,F357),"")</f>
        <v/>
      </c>
      <c r="I357" s="5" t="str">
        <f>IF(kokpit!I357&lt;&gt;"",kokpit!I357,"")</f>
        <v/>
      </c>
      <c r="J357" s="5" t="str">
        <f>IF(kokpit!J357&lt;&gt;"",kokpit!J357,"")</f>
        <v/>
      </c>
      <c r="K357" s="24" t="str">
        <f>IF(I357&lt;&gt;"",SUMIFS('JPK_KR-1'!AL:AL,'JPK_KR-1'!W:W,J357),"")</f>
        <v/>
      </c>
      <c r="L357" s="141" t="str">
        <f>IF(I357&lt;&gt;"",SUMIFS('JPK_KR-1'!AM:AM,'JPK_KR-1'!W:W,J357),"")</f>
        <v/>
      </c>
      <c r="M357" s="143" t="str">
        <f>IF(kokpit!M357&lt;&gt;"",kokpit!M357,"")</f>
        <v/>
      </c>
      <c r="N357" s="117" t="str">
        <f>IF(kokpit!N357&lt;&gt;"",kokpit!N357,"")</f>
        <v/>
      </c>
      <c r="O357" s="117" t="str">
        <f>IF(kokpit!O357&lt;&gt;"",kokpit!O357,"")</f>
        <v/>
      </c>
      <c r="P357" s="141" t="str">
        <f>IF(M357&lt;&gt;"",IF(O357="",SUMIFS('JPK_KR-1'!AL:AL,'JPK_KR-1'!W:W,N357),SUMIFS('JPK_KR-1'!BF:BF,'JPK_KR-1'!BE:BE,N357,'JPK_KR-1'!BG:BG,O357)),"")</f>
        <v/>
      </c>
      <c r="Q357" s="144" t="str">
        <f>IF(M357&lt;&gt;"",IF(O357="",SUMIFS('JPK_KR-1'!AM:AM,'JPK_KR-1'!W:W,N357),SUMIFS('JPK_KR-1'!BI:BI,'JPK_KR-1'!BH:BH,N357,'JPK_KR-1'!BJ:BJ,O357)),"")</f>
        <v/>
      </c>
      <c r="R357" s="117" t="str">
        <f>IF(kokpit!R357&lt;&gt;"",kokpit!R357,"")</f>
        <v/>
      </c>
      <c r="S357" s="117" t="str">
        <f>IF(kokpit!S357&lt;&gt;"",kokpit!S357,"")</f>
        <v/>
      </c>
      <c r="T357" s="117" t="str">
        <f>IF(kokpit!T357&lt;&gt;"",kokpit!T357,"")</f>
        <v/>
      </c>
      <c r="U357" s="141" t="str">
        <f>IF(R357&lt;&gt;"",SUMIFS('JPK_KR-1'!AL:AL,'JPK_KR-1'!W:W,S357),"")</f>
        <v/>
      </c>
      <c r="V357" s="144" t="str">
        <f>IF(R357&lt;&gt;"",SUMIFS('JPK_KR-1'!AM:AM,'JPK_KR-1'!W:W,S357),"")</f>
        <v/>
      </c>
    </row>
    <row r="358" spans="1:22" x14ac:dyDescent="0.3">
      <c r="A358" s="5" t="str">
        <f>IF(kokpit!A358&lt;&gt;"",kokpit!A358,"")</f>
        <v/>
      </c>
      <c r="B358" s="5" t="str">
        <f>IF(kokpit!B358&lt;&gt;"",kokpit!B358,"")</f>
        <v/>
      </c>
      <c r="C358" s="24" t="str">
        <f>IF(A358&lt;&gt;"",SUMIFS('JPK_KR-1'!AL:AL,'JPK_KR-1'!W:W,B358),"")</f>
        <v/>
      </c>
      <c r="D358" s="126" t="str">
        <f>IF(A358&lt;&gt;"",SUMIFS('JPK_KR-1'!AM:AM,'JPK_KR-1'!W:W,B358),"")</f>
        <v/>
      </c>
      <c r="E358" s="5" t="str">
        <f>IF(kokpit!E358&lt;&gt;"",kokpit!E358,"")</f>
        <v/>
      </c>
      <c r="F358" s="127" t="str">
        <f>IF(kokpit!F358&lt;&gt;"",kokpit!F358,"")</f>
        <v/>
      </c>
      <c r="G358" s="24" t="str">
        <f>IF(E358&lt;&gt;"",SUMIFS('JPK_KR-1'!AL:AL,'JPK_KR-1'!W:W,F358),"")</f>
        <v/>
      </c>
      <c r="H358" s="126" t="str">
        <f>IF(E358&lt;&gt;"",SUMIFS('JPK_KR-1'!AM:AM,'JPK_KR-1'!W:W,F358),"")</f>
        <v/>
      </c>
      <c r="I358" s="5" t="str">
        <f>IF(kokpit!I358&lt;&gt;"",kokpit!I358,"")</f>
        <v/>
      </c>
      <c r="J358" s="5" t="str">
        <f>IF(kokpit!J358&lt;&gt;"",kokpit!J358,"")</f>
        <v/>
      </c>
      <c r="K358" s="24" t="str">
        <f>IF(I358&lt;&gt;"",SUMIFS('JPK_KR-1'!AL:AL,'JPK_KR-1'!W:W,J358),"")</f>
        <v/>
      </c>
      <c r="L358" s="141" t="str">
        <f>IF(I358&lt;&gt;"",SUMIFS('JPK_KR-1'!AM:AM,'JPK_KR-1'!W:W,J358),"")</f>
        <v/>
      </c>
      <c r="M358" s="143" t="str">
        <f>IF(kokpit!M358&lt;&gt;"",kokpit!M358,"")</f>
        <v/>
      </c>
      <c r="N358" s="117" t="str">
        <f>IF(kokpit!N358&lt;&gt;"",kokpit!N358,"")</f>
        <v/>
      </c>
      <c r="O358" s="117" t="str">
        <f>IF(kokpit!O358&lt;&gt;"",kokpit!O358,"")</f>
        <v/>
      </c>
      <c r="P358" s="141" t="str">
        <f>IF(M358&lt;&gt;"",IF(O358="",SUMIFS('JPK_KR-1'!AL:AL,'JPK_KR-1'!W:W,N358),SUMIFS('JPK_KR-1'!BF:BF,'JPK_KR-1'!BE:BE,N358,'JPK_KR-1'!BG:BG,O358)),"")</f>
        <v/>
      </c>
      <c r="Q358" s="144" t="str">
        <f>IF(M358&lt;&gt;"",IF(O358="",SUMIFS('JPK_KR-1'!AM:AM,'JPK_KR-1'!W:W,N358),SUMIFS('JPK_KR-1'!BI:BI,'JPK_KR-1'!BH:BH,N358,'JPK_KR-1'!BJ:BJ,O358)),"")</f>
        <v/>
      </c>
      <c r="R358" s="117" t="str">
        <f>IF(kokpit!R358&lt;&gt;"",kokpit!R358,"")</f>
        <v/>
      </c>
      <c r="S358" s="117" t="str">
        <f>IF(kokpit!S358&lt;&gt;"",kokpit!S358,"")</f>
        <v/>
      </c>
      <c r="T358" s="117" t="str">
        <f>IF(kokpit!T358&lt;&gt;"",kokpit!T358,"")</f>
        <v/>
      </c>
      <c r="U358" s="141" t="str">
        <f>IF(R358&lt;&gt;"",SUMIFS('JPK_KR-1'!AL:AL,'JPK_KR-1'!W:W,S358),"")</f>
        <v/>
      </c>
      <c r="V358" s="144" t="str">
        <f>IF(R358&lt;&gt;"",SUMIFS('JPK_KR-1'!AM:AM,'JPK_KR-1'!W:W,S358),"")</f>
        <v/>
      </c>
    </row>
    <row r="359" spans="1:22" x14ac:dyDescent="0.3">
      <c r="A359" s="5" t="str">
        <f>IF(kokpit!A359&lt;&gt;"",kokpit!A359,"")</f>
        <v/>
      </c>
      <c r="B359" s="5" t="str">
        <f>IF(kokpit!B359&lt;&gt;"",kokpit!B359,"")</f>
        <v/>
      </c>
      <c r="C359" s="24" t="str">
        <f>IF(A359&lt;&gt;"",SUMIFS('JPK_KR-1'!AL:AL,'JPK_KR-1'!W:W,B359),"")</f>
        <v/>
      </c>
      <c r="D359" s="126" t="str">
        <f>IF(A359&lt;&gt;"",SUMIFS('JPK_KR-1'!AM:AM,'JPK_KR-1'!W:W,B359),"")</f>
        <v/>
      </c>
      <c r="E359" s="5" t="str">
        <f>IF(kokpit!E359&lt;&gt;"",kokpit!E359,"")</f>
        <v/>
      </c>
      <c r="F359" s="127" t="str">
        <f>IF(kokpit!F359&lt;&gt;"",kokpit!F359,"")</f>
        <v/>
      </c>
      <c r="G359" s="24" t="str">
        <f>IF(E359&lt;&gt;"",SUMIFS('JPK_KR-1'!AL:AL,'JPK_KR-1'!W:W,F359),"")</f>
        <v/>
      </c>
      <c r="H359" s="126" t="str">
        <f>IF(E359&lt;&gt;"",SUMIFS('JPK_KR-1'!AM:AM,'JPK_KR-1'!W:W,F359),"")</f>
        <v/>
      </c>
      <c r="I359" s="5" t="str">
        <f>IF(kokpit!I359&lt;&gt;"",kokpit!I359,"")</f>
        <v/>
      </c>
      <c r="J359" s="5" t="str">
        <f>IF(kokpit!J359&lt;&gt;"",kokpit!J359,"")</f>
        <v/>
      </c>
      <c r="K359" s="24" t="str">
        <f>IF(I359&lt;&gt;"",SUMIFS('JPK_KR-1'!AL:AL,'JPK_KR-1'!W:W,J359),"")</f>
        <v/>
      </c>
      <c r="L359" s="141" t="str">
        <f>IF(I359&lt;&gt;"",SUMIFS('JPK_KR-1'!AM:AM,'JPK_KR-1'!W:W,J359),"")</f>
        <v/>
      </c>
      <c r="M359" s="143" t="str">
        <f>IF(kokpit!M359&lt;&gt;"",kokpit!M359,"")</f>
        <v/>
      </c>
      <c r="N359" s="117" t="str">
        <f>IF(kokpit!N359&lt;&gt;"",kokpit!N359,"")</f>
        <v/>
      </c>
      <c r="O359" s="117" t="str">
        <f>IF(kokpit!O359&lt;&gt;"",kokpit!O359,"")</f>
        <v/>
      </c>
      <c r="P359" s="141" t="str">
        <f>IF(M359&lt;&gt;"",IF(O359="",SUMIFS('JPK_KR-1'!AL:AL,'JPK_KR-1'!W:W,N359),SUMIFS('JPK_KR-1'!BF:BF,'JPK_KR-1'!BE:BE,N359,'JPK_KR-1'!BG:BG,O359)),"")</f>
        <v/>
      </c>
      <c r="Q359" s="144" t="str">
        <f>IF(M359&lt;&gt;"",IF(O359="",SUMIFS('JPK_KR-1'!AM:AM,'JPK_KR-1'!W:W,N359),SUMIFS('JPK_KR-1'!BI:BI,'JPK_KR-1'!BH:BH,N359,'JPK_KR-1'!BJ:BJ,O359)),"")</f>
        <v/>
      </c>
      <c r="R359" s="117" t="str">
        <f>IF(kokpit!R359&lt;&gt;"",kokpit!R359,"")</f>
        <v/>
      </c>
      <c r="S359" s="117" t="str">
        <f>IF(kokpit!S359&lt;&gt;"",kokpit!S359,"")</f>
        <v/>
      </c>
      <c r="T359" s="117" t="str">
        <f>IF(kokpit!T359&lt;&gt;"",kokpit!T359,"")</f>
        <v/>
      </c>
      <c r="U359" s="141" t="str">
        <f>IF(R359&lt;&gt;"",SUMIFS('JPK_KR-1'!AL:AL,'JPK_KR-1'!W:W,S359),"")</f>
        <v/>
      </c>
      <c r="V359" s="144" t="str">
        <f>IF(R359&lt;&gt;"",SUMIFS('JPK_KR-1'!AM:AM,'JPK_KR-1'!W:W,S359),"")</f>
        <v/>
      </c>
    </row>
    <row r="360" spans="1:22" x14ac:dyDescent="0.3">
      <c r="A360" s="5" t="str">
        <f>IF(kokpit!A360&lt;&gt;"",kokpit!A360,"")</f>
        <v/>
      </c>
      <c r="B360" s="5" t="str">
        <f>IF(kokpit!B360&lt;&gt;"",kokpit!B360,"")</f>
        <v/>
      </c>
      <c r="C360" s="24" t="str">
        <f>IF(A360&lt;&gt;"",SUMIFS('JPK_KR-1'!AL:AL,'JPK_KR-1'!W:W,B360),"")</f>
        <v/>
      </c>
      <c r="D360" s="126" t="str">
        <f>IF(A360&lt;&gt;"",SUMIFS('JPK_KR-1'!AM:AM,'JPK_KR-1'!W:W,B360),"")</f>
        <v/>
      </c>
      <c r="E360" s="5" t="str">
        <f>IF(kokpit!E360&lt;&gt;"",kokpit!E360,"")</f>
        <v/>
      </c>
      <c r="F360" s="127" t="str">
        <f>IF(kokpit!F360&lt;&gt;"",kokpit!F360,"")</f>
        <v/>
      </c>
      <c r="G360" s="24" t="str">
        <f>IF(E360&lt;&gt;"",SUMIFS('JPK_KR-1'!AL:AL,'JPK_KR-1'!W:W,F360),"")</f>
        <v/>
      </c>
      <c r="H360" s="126" t="str">
        <f>IF(E360&lt;&gt;"",SUMIFS('JPK_KR-1'!AM:AM,'JPK_KR-1'!W:W,F360),"")</f>
        <v/>
      </c>
      <c r="I360" s="5" t="str">
        <f>IF(kokpit!I360&lt;&gt;"",kokpit!I360,"")</f>
        <v/>
      </c>
      <c r="J360" s="5" t="str">
        <f>IF(kokpit!J360&lt;&gt;"",kokpit!J360,"")</f>
        <v/>
      </c>
      <c r="K360" s="24" t="str">
        <f>IF(I360&lt;&gt;"",SUMIFS('JPK_KR-1'!AL:AL,'JPK_KR-1'!W:W,J360),"")</f>
        <v/>
      </c>
      <c r="L360" s="141" t="str">
        <f>IF(I360&lt;&gt;"",SUMIFS('JPK_KR-1'!AM:AM,'JPK_KR-1'!W:W,J360),"")</f>
        <v/>
      </c>
      <c r="M360" s="143" t="str">
        <f>IF(kokpit!M360&lt;&gt;"",kokpit!M360,"")</f>
        <v/>
      </c>
      <c r="N360" s="117" t="str">
        <f>IF(kokpit!N360&lt;&gt;"",kokpit!N360,"")</f>
        <v/>
      </c>
      <c r="O360" s="117" t="str">
        <f>IF(kokpit!O360&lt;&gt;"",kokpit!O360,"")</f>
        <v/>
      </c>
      <c r="P360" s="141" t="str">
        <f>IF(M360&lt;&gt;"",IF(O360="",SUMIFS('JPK_KR-1'!AL:AL,'JPK_KR-1'!W:W,N360),SUMIFS('JPK_KR-1'!BF:BF,'JPK_KR-1'!BE:BE,N360,'JPK_KR-1'!BG:BG,O360)),"")</f>
        <v/>
      </c>
      <c r="Q360" s="144" t="str">
        <f>IF(M360&lt;&gt;"",IF(O360="",SUMIFS('JPK_KR-1'!AM:AM,'JPK_KR-1'!W:W,N360),SUMIFS('JPK_KR-1'!BI:BI,'JPK_KR-1'!BH:BH,N360,'JPK_KR-1'!BJ:BJ,O360)),"")</f>
        <v/>
      </c>
      <c r="R360" s="117" t="str">
        <f>IF(kokpit!R360&lt;&gt;"",kokpit!R360,"")</f>
        <v/>
      </c>
      <c r="S360" s="117" t="str">
        <f>IF(kokpit!S360&lt;&gt;"",kokpit!S360,"")</f>
        <v/>
      </c>
      <c r="T360" s="117" t="str">
        <f>IF(kokpit!T360&lt;&gt;"",kokpit!T360,"")</f>
        <v/>
      </c>
      <c r="U360" s="141" t="str">
        <f>IF(R360&lt;&gt;"",SUMIFS('JPK_KR-1'!AL:AL,'JPK_KR-1'!W:W,S360),"")</f>
        <v/>
      </c>
      <c r="V360" s="144" t="str">
        <f>IF(R360&lt;&gt;"",SUMIFS('JPK_KR-1'!AM:AM,'JPK_KR-1'!W:W,S360),"")</f>
        <v/>
      </c>
    </row>
    <row r="361" spans="1:22" x14ac:dyDescent="0.3">
      <c r="A361" s="5" t="str">
        <f>IF(kokpit!A361&lt;&gt;"",kokpit!A361,"")</f>
        <v/>
      </c>
      <c r="B361" s="5" t="str">
        <f>IF(kokpit!B361&lt;&gt;"",kokpit!B361,"")</f>
        <v/>
      </c>
      <c r="C361" s="24" t="str">
        <f>IF(A361&lt;&gt;"",SUMIFS('JPK_KR-1'!AL:AL,'JPK_KR-1'!W:W,B361),"")</f>
        <v/>
      </c>
      <c r="D361" s="126" t="str">
        <f>IF(A361&lt;&gt;"",SUMIFS('JPK_KR-1'!AM:AM,'JPK_KR-1'!W:W,B361),"")</f>
        <v/>
      </c>
      <c r="E361" s="5" t="str">
        <f>IF(kokpit!E361&lt;&gt;"",kokpit!E361,"")</f>
        <v/>
      </c>
      <c r="F361" s="127" t="str">
        <f>IF(kokpit!F361&lt;&gt;"",kokpit!F361,"")</f>
        <v/>
      </c>
      <c r="G361" s="24" t="str">
        <f>IF(E361&lt;&gt;"",SUMIFS('JPK_KR-1'!AL:AL,'JPK_KR-1'!W:W,F361),"")</f>
        <v/>
      </c>
      <c r="H361" s="126" t="str">
        <f>IF(E361&lt;&gt;"",SUMIFS('JPK_KR-1'!AM:AM,'JPK_KR-1'!W:W,F361),"")</f>
        <v/>
      </c>
      <c r="I361" s="5" t="str">
        <f>IF(kokpit!I361&lt;&gt;"",kokpit!I361,"")</f>
        <v/>
      </c>
      <c r="J361" s="5" t="str">
        <f>IF(kokpit!J361&lt;&gt;"",kokpit!J361,"")</f>
        <v/>
      </c>
      <c r="K361" s="24" t="str">
        <f>IF(I361&lt;&gt;"",SUMIFS('JPK_KR-1'!AL:AL,'JPK_KR-1'!W:W,J361),"")</f>
        <v/>
      </c>
      <c r="L361" s="141" t="str">
        <f>IF(I361&lt;&gt;"",SUMIFS('JPK_KR-1'!AM:AM,'JPK_KR-1'!W:W,J361),"")</f>
        <v/>
      </c>
      <c r="M361" s="143" t="str">
        <f>IF(kokpit!M361&lt;&gt;"",kokpit!M361,"")</f>
        <v/>
      </c>
      <c r="N361" s="117" t="str">
        <f>IF(kokpit!N361&lt;&gt;"",kokpit!N361,"")</f>
        <v/>
      </c>
      <c r="O361" s="117" t="str">
        <f>IF(kokpit!O361&lt;&gt;"",kokpit!O361,"")</f>
        <v/>
      </c>
      <c r="P361" s="141" t="str">
        <f>IF(M361&lt;&gt;"",IF(O361="",SUMIFS('JPK_KR-1'!AL:AL,'JPK_KR-1'!W:W,N361),SUMIFS('JPK_KR-1'!BF:BF,'JPK_KR-1'!BE:BE,N361,'JPK_KR-1'!BG:BG,O361)),"")</f>
        <v/>
      </c>
      <c r="Q361" s="144" t="str">
        <f>IF(M361&lt;&gt;"",IF(O361="",SUMIFS('JPK_KR-1'!AM:AM,'JPK_KR-1'!W:W,N361),SUMIFS('JPK_KR-1'!BI:BI,'JPK_KR-1'!BH:BH,N361,'JPK_KR-1'!BJ:BJ,O361)),"")</f>
        <v/>
      </c>
      <c r="R361" s="117" t="str">
        <f>IF(kokpit!R361&lt;&gt;"",kokpit!R361,"")</f>
        <v/>
      </c>
      <c r="S361" s="117" t="str">
        <f>IF(kokpit!S361&lt;&gt;"",kokpit!S361,"")</f>
        <v/>
      </c>
      <c r="T361" s="117" t="str">
        <f>IF(kokpit!T361&lt;&gt;"",kokpit!T361,"")</f>
        <v/>
      </c>
      <c r="U361" s="141" t="str">
        <f>IF(R361&lt;&gt;"",SUMIFS('JPK_KR-1'!AL:AL,'JPK_KR-1'!W:W,S361),"")</f>
        <v/>
      </c>
      <c r="V361" s="144" t="str">
        <f>IF(R361&lt;&gt;"",SUMIFS('JPK_KR-1'!AM:AM,'JPK_KR-1'!W:W,S361),"")</f>
        <v/>
      </c>
    </row>
    <row r="362" spans="1:22" x14ac:dyDescent="0.3">
      <c r="A362" s="5" t="str">
        <f>IF(kokpit!A362&lt;&gt;"",kokpit!A362,"")</f>
        <v/>
      </c>
      <c r="B362" s="5" t="str">
        <f>IF(kokpit!B362&lt;&gt;"",kokpit!B362,"")</f>
        <v/>
      </c>
      <c r="C362" s="24" t="str">
        <f>IF(A362&lt;&gt;"",SUMIFS('JPK_KR-1'!AL:AL,'JPK_KR-1'!W:W,B362),"")</f>
        <v/>
      </c>
      <c r="D362" s="126" t="str">
        <f>IF(A362&lt;&gt;"",SUMIFS('JPK_KR-1'!AM:AM,'JPK_KR-1'!W:W,B362),"")</f>
        <v/>
      </c>
      <c r="E362" s="5" t="str">
        <f>IF(kokpit!E362&lt;&gt;"",kokpit!E362,"")</f>
        <v/>
      </c>
      <c r="F362" s="127" t="str">
        <f>IF(kokpit!F362&lt;&gt;"",kokpit!F362,"")</f>
        <v/>
      </c>
      <c r="G362" s="24" t="str">
        <f>IF(E362&lt;&gt;"",SUMIFS('JPK_KR-1'!AL:AL,'JPK_KR-1'!W:W,F362),"")</f>
        <v/>
      </c>
      <c r="H362" s="126" t="str">
        <f>IF(E362&lt;&gt;"",SUMIFS('JPK_KR-1'!AM:AM,'JPK_KR-1'!W:W,F362),"")</f>
        <v/>
      </c>
      <c r="I362" s="5" t="str">
        <f>IF(kokpit!I362&lt;&gt;"",kokpit!I362,"")</f>
        <v/>
      </c>
      <c r="J362" s="5" t="str">
        <f>IF(kokpit!J362&lt;&gt;"",kokpit!J362,"")</f>
        <v/>
      </c>
      <c r="K362" s="24" t="str">
        <f>IF(I362&lt;&gt;"",SUMIFS('JPK_KR-1'!AL:AL,'JPK_KR-1'!W:W,J362),"")</f>
        <v/>
      </c>
      <c r="L362" s="141" t="str">
        <f>IF(I362&lt;&gt;"",SUMIFS('JPK_KR-1'!AM:AM,'JPK_KR-1'!W:W,J362),"")</f>
        <v/>
      </c>
      <c r="M362" s="143" t="str">
        <f>IF(kokpit!M362&lt;&gt;"",kokpit!M362,"")</f>
        <v/>
      </c>
      <c r="N362" s="117" t="str">
        <f>IF(kokpit!N362&lt;&gt;"",kokpit!N362,"")</f>
        <v/>
      </c>
      <c r="O362" s="117" t="str">
        <f>IF(kokpit!O362&lt;&gt;"",kokpit!O362,"")</f>
        <v/>
      </c>
      <c r="P362" s="141" t="str">
        <f>IF(M362&lt;&gt;"",IF(O362="",SUMIFS('JPK_KR-1'!AL:AL,'JPK_KR-1'!W:W,N362),SUMIFS('JPK_KR-1'!BF:BF,'JPK_KR-1'!BE:BE,N362,'JPK_KR-1'!BG:BG,O362)),"")</f>
        <v/>
      </c>
      <c r="Q362" s="144" t="str">
        <f>IF(M362&lt;&gt;"",IF(O362="",SUMIFS('JPK_KR-1'!AM:AM,'JPK_KR-1'!W:W,N362),SUMIFS('JPK_KR-1'!BI:BI,'JPK_KR-1'!BH:BH,N362,'JPK_KR-1'!BJ:BJ,O362)),"")</f>
        <v/>
      </c>
      <c r="R362" s="117" t="str">
        <f>IF(kokpit!R362&lt;&gt;"",kokpit!R362,"")</f>
        <v/>
      </c>
      <c r="S362" s="117" t="str">
        <f>IF(kokpit!S362&lt;&gt;"",kokpit!S362,"")</f>
        <v/>
      </c>
      <c r="T362" s="117" t="str">
        <f>IF(kokpit!T362&lt;&gt;"",kokpit!T362,"")</f>
        <v/>
      </c>
      <c r="U362" s="141" t="str">
        <f>IF(R362&lt;&gt;"",SUMIFS('JPK_KR-1'!AL:AL,'JPK_KR-1'!W:W,S362),"")</f>
        <v/>
      </c>
      <c r="V362" s="144" t="str">
        <f>IF(R362&lt;&gt;"",SUMIFS('JPK_KR-1'!AM:AM,'JPK_KR-1'!W:W,S362),"")</f>
        <v/>
      </c>
    </row>
    <row r="363" spans="1:22" x14ac:dyDescent="0.3">
      <c r="A363" s="5" t="str">
        <f>IF(kokpit!A363&lt;&gt;"",kokpit!A363,"")</f>
        <v/>
      </c>
      <c r="B363" s="5" t="str">
        <f>IF(kokpit!B363&lt;&gt;"",kokpit!B363,"")</f>
        <v/>
      </c>
      <c r="C363" s="24" t="str">
        <f>IF(A363&lt;&gt;"",SUMIFS('JPK_KR-1'!AL:AL,'JPK_KR-1'!W:W,B363),"")</f>
        <v/>
      </c>
      <c r="D363" s="126" t="str">
        <f>IF(A363&lt;&gt;"",SUMIFS('JPK_KR-1'!AM:AM,'JPK_KR-1'!W:W,B363),"")</f>
        <v/>
      </c>
      <c r="E363" s="5" t="str">
        <f>IF(kokpit!E363&lt;&gt;"",kokpit!E363,"")</f>
        <v/>
      </c>
      <c r="F363" s="127" t="str">
        <f>IF(kokpit!F363&lt;&gt;"",kokpit!F363,"")</f>
        <v/>
      </c>
      <c r="G363" s="24" t="str">
        <f>IF(E363&lt;&gt;"",SUMIFS('JPK_KR-1'!AL:AL,'JPK_KR-1'!W:W,F363),"")</f>
        <v/>
      </c>
      <c r="H363" s="126" t="str">
        <f>IF(E363&lt;&gt;"",SUMIFS('JPK_KR-1'!AM:AM,'JPK_KR-1'!W:W,F363),"")</f>
        <v/>
      </c>
      <c r="I363" s="5" t="str">
        <f>IF(kokpit!I363&lt;&gt;"",kokpit!I363,"")</f>
        <v/>
      </c>
      <c r="J363" s="5" t="str">
        <f>IF(kokpit!J363&lt;&gt;"",kokpit!J363,"")</f>
        <v/>
      </c>
      <c r="K363" s="24" t="str">
        <f>IF(I363&lt;&gt;"",SUMIFS('JPK_KR-1'!AL:AL,'JPK_KR-1'!W:W,J363),"")</f>
        <v/>
      </c>
      <c r="L363" s="141" t="str">
        <f>IF(I363&lt;&gt;"",SUMIFS('JPK_KR-1'!AM:AM,'JPK_KR-1'!W:W,J363),"")</f>
        <v/>
      </c>
      <c r="M363" s="143" t="str">
        <f>IF(kokpit!M363&lt;&gt;"",kokpit!M363,"")</f>
        <v/>
      </c>
      <c r="N363" s="117" t="str">
        <f>IF(kokpit!N363&lt;&gt;"",kokpit!N363,"")</f>
        <v/>
      </c>
      <c r="O363" s="117" t="str">
        <f>IF(kokpit!O363&lt;&gt;"",kokpit!O363,"")</f>
        <v/>
      </c>
      <c r="P363" s="141" t="str">
        <f>IF(M363&lt;&gt;"",IF(O363="",SUMIFS('JPK_KR-1'!AL:AL,'JPK_KR-1'!W:W,N363),SUMIFS('JPK_KR-1'!BF:BF,'JPK_KR-1'!BE:BE,N363,'JPK_KR-1'!BG:BG,O363)),"")</f>
        <v/>
      </c>
      <c r="Q363" s="144" t="str">
        <f>IF(M363&lt;&gt;"",IF(O363="",SUMIFS('JPK_KR-1'!AM:AM,'JPK_KR-1'!W:W,N363),SUMIFS('JPK_KR-1'!BI:BI,'JPK_KR-1'!BH:BH,N363,'JPK_KR-1'!BJ:BJ,O363)),"")</f>
        <v/>
      </c>
      <c r="R363" s="117" t="str">
        <f>IF(kokpit!R363&lt;&gt;"",kokpit!R363,"")</f>
        <v/>
      </c>
      <c r="S363" s="117" t="str">
        <f>IF(kokpit!S363&lt;&gt;"",kokpit!S363,"")</f>
        <v/>
      </c>
      <c r="T363" s="117" t="str">
        <f>IF(kokpit!T363&lt;&gt;"",kokpit!T363,"")</f>
        <v/>
      </c>
      <c r="U363" s="141" t="str">
        <f>IF(R363&lt;&gt;"",SUMIFS('JPK_KR-1'!AL:AL,'JPK_KR-1'!W:W,S363),"")</f>
        <v/>
      </c>
      <c r="V363" s="144" t="str">
        <f>IF(R363&lt;&gt;"",SUMIFS('JPK_KR-1'!AM:AM,'JPK_KR-1'!W:W,S363),"")</f>
        <v/>
      </c>
    </row>
    <row r="364" spans="1:22" x14ac:dyDescent="0.3">
      <c r="A364" s="5" t="str">
        <f>IF(kokpit!A364&lt;&gt;"",kokpit!A364,"")</f>
        <v/>
      </c>
      <c r="B364" s="5" t="str">
        <f>IF(kokpit!B364&lt;&gt;"",kokpit!B364,"")</f>
        <v/>
      </c>
      <c r="C364" s="24" t="str">
        <f>IF(A364&lt;&gt;"",SUMIFS('JPK_KR-1'!AL:AL,'JPK_KR-1'!W:W,B364),"")</f>
        <v/>
      </c>
      <c r="D364" s="126" t="str">
        <f>IF(A364&lt;&gt;"",SUMIFS('JPK_KR-1'!AM:AM,'JPK_KR-1'!W:W,B364),"")</f>
        <v/>
      </c>
      <c r="E364" s="5" t="str">
        <f>IF(kokpit!E364&lt;&gt;"",kokpit!E364,"")</f>
        <v/>
      </c>
      <c r="F364" s="127" t="str">
        <f>IF(kokpit!F364&lt;&gt;"",kokpit!F364,"")</f>
        <v/>
      </c>
      <c r="G364" s="24" t="str">
        <f>IF(E364&lt;&gt;"",SUMIFS('JPK_KR-1'!AL:AL,'JPK_KR-1'!W:W,F364),"")</f>
        <v/>
      </c>
      <c r="H364" s="126" t="str">
        <f>IF(E364&lt;&gt;"",SUMIFS('JPK_KR-1'!AM:AM,'JPK_KR-1'!W:W,F364),"")</f>
        <v/>
      </c>
      <c r="I364" s="5" t="str">
        <f>IF(kokpit!I364&lt;&gt;"",kokpit!I364,"")</f>
        <v/>
      </c>
      <c r="J364" s="5" t="str">
        <f>IF(kokpit!J364&lt;&gt;"",kokpit!J364,"")</f>
        <v/>
      </c>
      <c r="K364" s="24" t="str">
        <f>IF(I364&lt;&gt;"",SUMIFS('JPK_KR-1'!AL:AL,'JPK_KR-1'!W:W,J364),"")</f>
        <v/>
      </c>
      <c r="L364" s="141" t="str">
        <f>IF(I364&lt;&gt;"",SUMIFS('JPK_KR-1'!AM:AM,'JPK_KR-1'!W:W,J364),"")</f>
        <v/>
      </c>
      <c r="M364" s="143" t="str">
        <f>IF(kokpit!M364&lt;&gt;"",kokpit!M364,"")</f>
        <v/>
      </c>
      <c r="N364" s="117" t="str">
        <f>IF(kokpit!N364&lt;&gt;"",kokpit!N364,"")</f>
        <v/>
      </c>
      <c r="O364" s="117" t="str">
        <f>IF(kokpit!O364&lt;&gt;"",kokpit!O364,"")</f>
        <v/>
      </c>
      <c r="P364" s="141" t="str">
        <f>IF(M364&lt;&gt;"",IF(O364="",SUMIFS('JPK_KR-1'!AL:AL,'JPK_KR-1'!W:W,N364),SUMIFS('JPK_KR-1'!BF:BF,'JPK_KR-1'!BE:BE,N364,'JPK_KR-1'!BG:BG,O364)),"")</f>
        <v/>
      </c>
      <c r="Q364" s="144" t="str">
        <f>IF(M364&lt;&gt;"",IF(O364="",SUMIFS('JPK_KR-1'!AM:AM,'JPK_KR-1'!W:W,N364),SUMIFS('JPK_KR-1'!BI:BI,'JPK_KR-1'!BH:BH,N364,'JPK_KR-1'!BJ:BJ,O364)),"")</f>
        <v/>
      </c>
      <c r="R364" s="117" t="str">
        <f>IF(kokpit!R364&lt;&gt;"",kokpit!R364,"")</f>
        <v/>
      </c>
      <c r="S364" s="117" t="str">
        <f>IF(kokpit!S364&lt;&gt;"",kokpit!S364,"")</f>
        <v/>
      </c>
      <c r="T364" s="117" t="str">
        <f>IF(kokpit!T364&lt;&gt;"",kokpit!T364,"")</f>
        <v/>
      </c>
      <c r="U364" s="141" t="str">
        <f>IF(R364&lt;&gt;"",SUMIFS('JPK_KR-1'!AL:AL,'JPK_KR-1'!W:W,S364),"")</f>
        <v/>
      </c>
      <c r="V364" s="144" t="str">
        <f>IF(R364&lt;&gt;"",SUMIFS('JPK_KR-1'!AM:AM,'JPK_KR-1'!W:W,S364),"")</f>
        <v/>
      </c>
    </row>
    <row r="365" spans="1:22" x14ac:dyDescent="0.3">
      <c r="A365" s="5" t="str">
        <f>IF(kokpit!A365&lt;&gt;"",kokpit!A365,"")</f>
        <v/>
      </c>
      <c r="B365" s="5" t="str">
        <f>IF(kokpit!B365&lt;&gt;"",kokpit!B365,"")</f>
        <v/>
      </c>
      <c r="C365" s="24" t="str">
        <f>IF(A365&lt;&gt;"",SUMIFS('JPK_KR-1'!AL:AL,'JPK_KR-1'!W:W,B365),"")</f>
        <v/>
      </c>
      <c r="D365" s="126" t="str">
        <f>IF(A365&lt;&gt;"",SUMIFS('JPK_KR-1'!AM:AM,'JPK_KR-1'!W:W,B365),"")</f>
        <v/>
      </c>
      <c r="E365" s="5" t="str">
        <f>IF(kokpit!E365&lt;&gt;"",kokpit!E365,"")</f>
        <v/>
      </c>
      <c r="F365" s="127" t="str">
        <f>IF(kokpit!F365&lt;&gt;"",kokpit!F365,"")</f>
        <v/>
      </c>
      <c r="G365" s="24" t="str">
        <f>IF(E365&lt;&gt;"",SUMIFS('JPK_KR-1'!AL:AL,'JPK_KR-1'!W:W,F365),"")</f>
        <v/>
      </c>
      <c r="H365" s="126" t="str">
        <f>IF(E365&lt;&gt;"",SUMIFS('JPK_KR-1'!AM:AM,'JPK_KR-1'!W:W,F365),"")</f>
        <v/>
      </c>
      <c r="I365" s="5" t="str">
        <f>IF(kokpit!I365&lt;&gt;"",kokpit!I365,"")</f>
        <v/>
      </c>
      <c r="J365" s="5" t="str">
        <f>IF(kokpit!J365&lt;&gt;"",kokpit!J365,"")</f>
        <v/>
      </c>
      <c r="K365" s="24" t="str">
        <f>IF(I365&lt;&gt;"",SUMIFS('JPK_KR-1'!AL:AL,'JPK_KR-1'!W:W,J365),"")</f>
        <v/>
      </c>
      <c r="L365" s="141" t="str">
        <f>IF(I365&lt;&gt;"",SUMIFS('JPK_KR-1'!AM:AM,'JPK_KR-1'!W:W,J365),"")</f>
        <v/>
      </c>
      <c r="M365" s="143" t="str">
        <f>IF(kokpit!M365&lt;&gt;"",kokpit!M365,"")</f>
        <v/>
      </c>
      <c r="N365" s="117" t="str">
        <f>IF(kokpit!N365&lt;&gt;"",kokpit!N365,"")</f>
        <v/>
      </c>
      <c r="O365" s="117" t="str">
        <f>IF(kokpit!O365&lt;&gt;"",kokpit!O365,"")</f>
        <v/>
      </c>
      <c r="P365" s="141" t="str">
        <f>IF(M365&lt;&gt;"",IF(O365="",SUMIFS('JPK_KR-1'!AL:AL,'JPK_KR-1'!W:W,N365),SUMIFS('JPK_KR-1'!BF:BF,'JPK_KR-1'!BE:BE,N365,'JPK_KR-1'!BG:BG,O365)),"")</f>
        <v/>
      </c>
      <c r="Q365" s="144" t="str">
        <f>IF(M365&lt;&gt;"",IF(O365="",SUMIFS('JPK_KR-1'!AM:AM,'JPK_KR-1'!W:W,N365),SUMIFS('JPK_KR-1'!BI:BI,'JPK_KR-1'!BH:BH,N365,'JPK_KR-1'!BJ:BJ,O365)),"")</f>
        <v/>
      </c>
      <c r="R365" s="117" t="str">
        <f>IF(kokpit!R365&lt;&gt;"",kokpit!R365,"")</f>
        <v/>
      </c>
      <c r="S365" s="117" t="str">
        <f>IF(kokpit!S365&lt;&gt;"",kokpit!S365,"")</f>
        <v/>
      </c>
      <c r="T365" s="117" t="str">
        <f>IF(kokpit!T365&lt;&gt;"",kokpit!T365,"")</f>
        <v/>
      </c>
      <c r="U365" s="141" t="str">
        <f>IF(R365&lt;&gt;"",SUMIFS('JPK_KR-1'!AL:AL,'JPK_KR-1'!W:W,S365),"")</f>
        <v/>
      </c>
      <c r="V365" s="144" t="str">
        <f>IF(R365&lt;&gt;"",SUMIFS('JPK_KR-1'!AM:AM,'JPK_KR-1'!W:W,S365),"")</f>
        <v/>
      </c>
    </row>
    <row r="366" spans="1:22" x14ac:dyDescent="0.3">
      <c r="A366" s="5" t="str">
        <f>IF(kokpit!A366&lt;&gt;"",kokpit!A366,"")</f>
        <v/>
      </c>
      <c r="B366" s="5" t="str">
        <f>IF(kokpit!B366&lt;&gt;"",kokpit!B366,"")</f>
        <v/>
      </c>
      <c r="C366" s="24" t="str">
        <f>IF(A366&lt;&gt;"",SUMIFS('JPK_KR-1'!AL:AL,'JPK_KR-1'!W:W,B366),"")</f>
        <v/>
      </c>
      <c r="D366" s="126" t="str">
        <f>IF(A366&lt;&gt;"",SUMIFS('JPK_KR-1'!AM:AM,'JPK_KR-1'!W:W,B366),"")</f>
        <v/>
      </c>
      <c r="E366" s="5" t="str">
        <f>IF(kokpit!E366&lt;&gt;"",kokpit!E366,"")</f>
        <v/>
      </c>
      <c r="F366" s="127" t="str">
        <f>IF(kokpit!F366&lt;&gt;"",kokpit!F366,"")</f>
        <v/>
      </c>
      <c r="G366" s="24" t="str">
        <f>IF(E366&lt;&gt;"",SUMIFS('JPK_KR-1'!AL:AL,'JPK_KR-1'!W:W,F366),"")</f>
        <v/>
      </c>
      <c r="H366" s="126" t="str">
        <f>IF(E366&lt;&gt;"",SUMIFS('JPK_KR-1'!AM:AM,'JPK_KR-1'!W:W,F366),"")</f>
        <v/>
      </c>
      <c r="I366" s="5" t="str">
        <f>IF(kokpit!I366&lt;&gt;"",kokpit!I366,"")</f>
        <v/>
      </c>
      <c r="J366" s="5" t="str">
        <f>IF(kokpit!J366&lt;&gt;"",kokpit!J366,"")</f>
        <v/>
      </c>
      <c r="K366" s="24" t="str">
        <f>IF(I366&lt;&gt;"",SUMIFS('JPK_KR-1'!AL:AL,'JPK_KR-1'!W:W,J366),"")</f>
        <v/>
      </c>
      <c r="L366" s="141" t="str">
        <f>IF(I366&lt;&gt;"",SUMIFS('JPK_KR-1'!AM:AM,'JPK_KR-1'!W:W,J366),"")</f>
        <v/>
      </c>
      <c r="M366" s="143" t="str">
        <f>IF(kokpit!M366&lt;&gt;"",kokpit!M366,"")</f>
        <v/>
      </c>
      <c r="N366" s="117" t="str">
        <f>IF(kokpit!N366&lt;&gt;"",kokpit!N366,"")</f>
        <v/>
      </c>
      <c r="O366" s="117" t="str">
        <f>IF(kokpit!O366&lt;&gt;"",kokpit!O366,"")</f>
        <v/>
      </c>
      <c r="P366" s="141" t="str">
        <f>IF(M366&lt;&gt;"",IF(O366="",SUMIFS('JPK_KR-1'!AL:AL,'JPK_KR-1'!W:W,N366),SUMIFS('JPK_KR-1'!BF:BF,'JPK_KR-1'!BE:BE,N366,'JPK_KR-1'!BG:BG,O366)),"")</f>
        <v/>
      </c>
      <c r="Q366" s="144" t="str">
        <f>IF(M366&lt;&gt;"",IF(O366="",SUMIFS('JPK_KR-1'!AM:AM,'JPK_KR-1'!W:W,N366),SUMIFS('JPK_KR-1'!BI:BI,'JPK_KR-1'!BH:BH,N366,'JPK_KR-1'!BJ:BJ,O366)),"")</f>
        <v/>
      </c>
      <c r="R366" s="117" t="str">
        <f>IF(kokpit!R366&lt;&gt;"",kokpit!R366,"")</f>
        <v/>
      </c>
      <c r="S366" s="117" t="str">
        <f>IF(kokpit!S366&lt;&gt;"",kokpit!S366,"")</f>
        <v/>
      </c>
      <c r="T366" s="117" t="str">
        <f>IF(kokpit!T366&lt;&gt;"",kokpit!T366,"")</f>
        <v/>
      </c>
      <c r="U366" s="141" t="str">
        <f>IF(R366&lt;&gt;"",SUMIFS('JPK_KR-1'!AL:AL,'JPK_KR-1'!W:W,S366),"")</f>
        <v/>
      </c>
      <c r="V366" s="144" t="str">
        <f>IF(R366&lt;&gt;"",SUMIFS('JPK_KR-1'!AM:AM,'JPK_KR-1'!W:W,S366),"")</f>
        <v/>
      </c>
    </row>
    <row r="367" spans="1:22" x14ac:dyDescent="0.3">
      <c r="A367" s="5" t="str">
        <f>IF(kokpit!A367&lt;&gt;"",kokpit!A367,"")</f>
        <v/>
      </c>
      <c r="B367" s="5" t="str">
        <f>IF(kokpit!B367&lt;&gt;"",kokpit!B367,"")</f>
        <v/>
      </c>
      <c r="C367" s="24" t="str">
        <f>IF(A367&lt;&gt;"",SUMIFS('JPK_KR-1'!AL:AL,'JPK_KR-1'!W:W,B367),"")</f>
        <v/>
      </c>
      <c r="D367" s="126" t="str">
        <f>IF(A367&lt;&gt;"",SUMIFS('JPK_KR-1'!AM:AM,'JPK_KR-1'!W:W,B367),"")</f>
        <v/>
      </c>
      <c r="E367" s="5" t="str">
        <f>IF(kokpit!E367&lt;&gt;"",kokpit!E367,"")</f>
        <v/>
      </c>
      <c r="F367" s="127" t="str">
        <f>IF(kokpit!F367&lt;&gt;"",kokpit!F367,"")</f>
        <v/>
      </c>
      <c r="G367" s="24" t="str">
        <f>IF(E367&lt;&gt;"",SUMIFS('JPK_KR-1'!AL:AL,'JPK_KR-1'!W:W,F367),"")</f>
        <v/>
      </c>
      <c r="H367" s="126" t="str">
        <f>IF(E367&lt;&gt;"",SUMIFS('JPK_KR-1'!AM:AM,'JPK_KR-1'!W:W,F367),"")</f>
        <v/>
      </c>
      <c r="I367" s="5" t="str">
        <f>IF(kokpit!I367&lt;&gt;"",kokpit!I367,"")</f>
        <v/>
      </c>
      <c r="J367" s="5" t="str">
        <f>IF(kokpit!J367&lt;&gt;"",kokpit!J367,"")</f>
        <v/>
      </c>
      <c r="K367" s="24" t="str">
        <f>IF(I367&lt;&gt;"",SUMIFS('JPK_KR-1'!AL:AL,'JPK_KR-1'!W:W,J367),"")</f>
        <v/>
      </c>
      <c r="L367" s="141" t="str">
        <f>IF(I367&lt;&gt;"",SUMIFS('JPK_KR-1'!AM:AM,'JPK_KR-1'!W:W,J367),"")</f>
        <v/>
      </c>
      <c r="M367" s="143" t="str">
        <f>IF(kokpit!M367&lt;&gt;"",kokpit!M367,"")</f>
        <v/>
      </c>
      <c r="N367" s="117" t="str">
        <f>IF(kokpit!N367&lt;&gt;"",kokpit!N367,"")</f>
        <v/>
      </c>
      <c r="O367" s="117" t="str">
        <f>IF(kokpit!O367&lt;&gt;"",kokpit!O367,"")</f>
        <v/>
      </c>
      <c r="P367" s="141" t="str">
        <f>IF(M367&lt;&gt;"",IF(O367="",SUMIFS('JPK_KR-1'!AL:AL,'JPK_KR-1'!W:W,N367),SUMIFS('JPK_KR-1'!BF:BF,'JPK_KR-1'!BE:BE,N367,'JPK_KR-1'!BG:BG,O367)),"")</f>
        <v/>
      </c>
      <c r="Q367" s="144" t="str">
        <f>IF(M367&lt;&gt;"",IF(O367="",SUMIFS('JPK_KR-1'!AM:AM,'JPK_KR-1'!W:W,N367),SUMIFS('JPK_KR-1'!BI:BI,'JPK_KR-1'!BH:BH,N367,'JPK_KR-1'!BJ:BJ,O367)),"")</f>
        <v/>
      </c>
      <c r="R367" s="117" t="str">
        <f>IF(kokpit!R367&lt;&gt;"",kokpit!R367,"")</f>
        <v/>
      </c>
      <c r="S367" s="117" t="str">
        <f>IF(kokpit!S367&lt;&gt;"",kokpit!S367,"")</f>
        <v/>
      </c>
      <c r="T367" s="117" t="str">
        <f>IF(kokpit!T367&lt;&gt;"",kokpit!T367,"")</f>
        <v/>
      </c>
      <c r="U367" s="141" t="str">
        <f>IF(R367&lt;&gt;"",SUMIFS('JPK_KR-1'!AL:AL,'JPK_KR-1'!W:W,S367),"")</f>
        <v/>
      </c>
      <c r="V367" s="144" t="str">
        <f>IF(R367&lt;&gt;"",SUMIFS('JPK_KR-1'!AM:AM,'JPK_KR-1'!W:W,S367),"")</f>
        <v/>
      </c>
    </row>
    <row r="368" spans="1:22" x14ac:dyDescent="0.3">
      <c r="A368" s="5" t="str">
        <f>IF(kokpit!A368&lt;&gt;"",kokpit!A368,"")</f>
        <v/>
      </c>
      <c r="B368" s="5" t="str">
        <f>IF(kokpit!B368&lt;&gt;"",kokpit!B368,"")</f>
        <v/>
      </c>
      <c r="C368" s="24" t="str">
        <f>IF(A368&lt;&gt;"",SUMIFS('JPK_KR-1'!AL:AL,'JPK_KR-1'!W:W,B368),"")</f>
        <v/>
      </c>
      <c r="D368" s="126" t="str">
        <f>IF(A368&lt;&gt;"",SUMIFS('JPK_KR-1'!AM:AM,'JPK_KR-1'!W:W,B368),"")</f>
        <v/>
      </c>
      <c r="E368" s="5" t="str">
        <f>IF(kokpit!E368&lt;&gt;"",kokpit!E368,"")</f>
        <v/>
      </c>
      <c r="F368" s="127" t="str">
        <f>IF(kokpit!F368&lt;&gt;"",kokpit!F368,"")</f>
        <v/>
      </c>
      <c r="G368" s="24" t="str">
        <f>IF(E368&lt;&gt;"",SUMIFS('JPK_KR-1'!AL:AL,'JPK_KR-1'!W:W,F368),"")</f>
        <v/>
      </c>
      <c r="H368" s="126" t="str">
        <f>IF(E368&lt;&gt;"",SUMIFS('JPK_KR-1'!AM:AM,'JPK_KR-1'!W:W,F368),"")</f>
        <v/>
      </c>
      <c r="I368" s="5" t="str">
        <f>IF(kokpit!I368&lt;&gt;"",kokpit!I368,"")</f>
        <v/>
      </c>
      <c r="J368" s="5" t="str">
        <f>IF(kokpit!J368&lt;&gt;"",kokpit!J368,"")</f>
        <v/>
      </c>
      <c r="K368" s="24" t="str">
        <f>IF(I368&lt;&gt;"",SUMIFS('JPK_KR-1'!AL:AL,'JPK_KR-1'!W:W,J368),"")</f>
        <v/>
      </c>
      <c r="L368" s="141" t="str">
        <f>IF(I368&lt;&gt;"",SUMIFS('JPK_KR-1'!AM:AM,'JPK_KR-1'!W:W,J368),"")</f>
        <v/>
      </c>
      <c r="M368" s="143" t="str">
        <f>IF(kokpit!M368&lt;&gt;"",kokpit!M368,"")</f>
        <v/>
      </c>
      <c r="N368" s="117" t="str">
        <f>IF(kokpit!N368&lt;&gt;"",kokpit!N368,"")</f>
        <v/>
      </c>
      <c r="O368" s="117" t="str">
        <f>IF(kokpit!O368&lt;&gt;"",kokpit!O368,"")</f>
        <v/>
      </c>
      <c r="P368" s="141" t="str">
        <f>IF(M368&lt;&gt;"",IF(O368="",SUMIFS('JPK_KR-1'!AL:AL,'JPK_KR-1'!W:W,N368),SUMIFS('JPK_KR-1'!BF:BF,'JPK_KR-1'!BE:BE,N368,'JPK_KR-1'!BG:BG,O368)),"")</f>
        <v/>
      </c>
      <c r="Q368" s="144" t="str">
        <f>IF(M368&lt;&gt;"",IF(O368="",SUMIFS('JPK_KR-1'!AM:AM,'JPK_KR-1'!W:W,N368),SUMIFS('JPK_KR-1'!BI:BI,'JPK_KR-1'!BH:BH,N368,'JPK_KR-1'!BJ:BJ,O368)),"")</f>
        <v/>
      </c>
      <c r="R368" s="117" t="str">
        <f>IF(kokpit!R368&lt;&gt;"",kokpit!R368,"")</f>
        <v/>
      </c>
      <c r="S368" s="117" t="str">
        <f>IF(kokpit!S368&lt;&gt;"",kokpit!S368,"")</f>
        <v/>
      </c>
      <c r="T368" s="117" t="str">
        <f>IF(kokpit!T368&lt;&gt;"",kokpit!T368,"")</f>
        <v/>
      </c>
      <c r="U368" s="141" t="str">
        <f>IF(R368&lt;&gt;"",SUMIFS('JPK_KR-1'!AL:AL,'JPK_KR-1'!W:W,S368),"")</f>
        <v/>
      </c>
      <c r="V368" s="144" t="str">
        <f>IF(R368&lt;&gt;"",SUMIFS('JPK_KR-1'!AM:AM,'JPK_KR-1'!W:W,S368),"")</f>
        <v/>
      </c>
    </row>
    <row r="369" spans="1:22" x14ac:dyDescent="0.3">
      <c r="A369" s="5" t="str">
        <f>IF(kokpit!A369&lt;&gt;"",kokpit!A369,"")</f>
        <v/>
      </c>
      <c r="B369" s="5" t="str">
        <f>IF(kokpit!B369&lt;&gt;"",kokpit!B369,"")</f>
        <v/>
      </c>
      <c r="C369" s="24" t="str">
        <f>IF(A369&lt;&gt;"",SUMIFS('JPK_KR-1'!AL:AL,'JPK_KR-1'!W:W,B369),"")</f>
        <v/>
      </c>
      <c r="D369" s="126" t="str">
        <f>IF(A369&lt;&gt;"",SUMIFS('JPK_KR-1'!AM:AM,'JPK_KR-1'!W:W,B369),"")</f>
        <v/>
      </c>
      <c r="E369" s="5" t="str">
        <f>IF(kokpit!E369&lt;&gt;"",kokpit!E369,"")</f>
        <v/>
      </c>
      <c r="F369" s="127" t="str">
        <f>IF(kokpit!F369&lt;&gt;"",kokpit!F369,"")</f>
        <v/>
      </c>
      <c r="G369" s="24" t="str">
        <f>IF(E369&lt;&gt;"",SUMIFS('JPK_KR-1'!AL:AL,'JPK_KR-1'!W:W,F369),"")</f>
        <v/>
      </c>
      <c r="H369" s="126" t="str">
        <f>IF(E369&lt;&gt;"",SUMIFS('JPK_KR-1'!AM:AM,'JPK_KR-1'!W:W,F369),"")</f>
        <v/>
      </c>
      <c r="I369" s="5" t="str">
        <f>IF(kokpit!I369&lt;&gt;"",kokpit!I369,"")</f>
        <v/>
      </c>
      <c r="J369" s="5" t="str">
        <f>IF(kokpit!J369&lt;&gt;"",kokpit!J369,"")</f>
        <v/>
      </c>
      <c r="K369" s="24" t="str">
        <f>IF(I369&lt;&gt;"",SUMIFS('JPK_KR-1'!AL:AL,'JPK_KR-1'!W:W,J369),"")</f>
        <v/>
      </c>
      <c r="L369" s="141" t="str">
        <f>IF(I369&lt;&gt;"",SUMIFS('JPK_KR-1'!AM:AM,'JPK_KR-1'!W:W,J369),"")</f>
        <v/>
      </c>
      <c r="M369" s="143" t="str">
        <f>IF(kokpit!M369&lt;&gt;"",kokpit!M369,"")</f>
        <v/>
      </c>
      <c r="N369" s="117" t="str">
        <f>IF(kokpit!N369&lt;&gt;"",kokpit!N369,"")</f>
        <v/>
      </c>
      <c r="O369" s="117" t="str">
        <f>IF(kokpit!O369&lt;&gt;"",kokpit!O369,"")</f>
        <v/>
      </c>
      <c r="P369" s="141" t="str">
        <f>IF(M369&lt;&gt;"",IF(O369="",SUMIFS('JPK_KR-1'!AL:AL,'JPK_KR-1'!W:W,N369),SUMIFS('JPK_KR-1'!BF:BF,'JPK_KR-1'!BE:BE,N369,'JPK_KR-1'!BG:BG,O369)),"")</f>
        <v/>
      </c>
      <c r="Q369" s="144" t="str">
        <f>IF(M369&lt;&gt;"",IF(O369="",SUMIFS('JPK_KR-1'!AM:AM,'JPK_KR-1'!W:W,N369),SUMIFS('JPK_KR-1'!BI:BI,'JPK_KR-1'!BH:BH,N369,'JPK_KR-1'!BJ:BJ,O369)),"")</f>
        <v/>
      </c>
      <c r="R369" s="117" t="str">
        <f>IF(kokpit!R369&lt;&gt;"",kokpit!R369,"")</f>
        <v/>
      </c>
      <c r="S369" s="117" t="str">
        <f>IF(kokpit!S369&lt;&gt;"",kokpit!S369,"")</f>
        <v/>
      </c>
      <c r="T369" s="117" t="str">
        <f>IF(kokpit!T369&lt;&gt;"",kokpit!T369,"")</f>
        <v/>
      </c>
      <c r="U369" s="141" t="str">
        <f>IF(R369&lt;&gt;"",SUMIFS('JPK_KR-1'!AL:AL,'JPK_KR-1'!W:W,S369),"")</f>
        <v/>
      </c>
      <c r="V369" s="144" t="str">
        <f>IF(R369&lt;&gt;"",SUMIFS('JPK_KR-1'!AM:AM,'JPK_KR-1'!W:W,S369),"")</f>
        <v/>
      </c>
    </row>
    <row r="370" spans="1:22" x14ac:dyDescent="0.3">
      <c r="A370" s="5" t="str">
        <f>IF(kokpit!A370&lt;&gt;"",kokpit!A370,"")</f>
        <v/>
      </c>
      <c r="B370" s="5" t="str">
        <f>IF(kokpit!B370&lt;&gt;"",kokpit!B370,"")</f>
        <v/>
      </c>
      <c r="C370" s="24" t="str">
        <f>IF(A370&lt;&gt;"",SUMIFS('JPK_KR-1'!AL:AL,'JPK_KR-1'!W:W,B370),"")</f>
        <v/>
      </c>
      <c r="D370" s="126" t="str">
        <f>IF(A370&lt;&gt;"",SUMIFS('JPK_KR-1'!AM:AM,'JPK_KR-1'!W:W,B370),"")</f>
        <v/>
      </c>
      <c r="E370" s="5" t="str">
        <f>IF(kokpit!E370&lt;&gt;"",kokpit!E370,"")</f>
        <v/>
      </c>
      <c r="F370" s="127" t="str">
        <f>IF(kokpit!F370&lt;&gt;"",kokpit!F370,"")</f>
        <v/>
      </c>
      <c r="G370" s="24" t="str">
        <f>IF(E370&lt;&gt;"",SUMIFS('JPK_KR-1'!AL:AL,'JPK_KR-1'!W:W,F370),"")</f>
        <v/>
      </c>
      <c r="H370" s="126" t="str">
        <f>IF(E370&lt;&gt;"",SUMIFS('JPK_KR-1'!AM:AM,'JPK_KR-1'!W:W,F370),"")</f>
        <v/>
      </c>
      <c r="I370" s="5" t="str">
        <f>IF(kokpit!I370&lt;&gt;"",kokpit!I370,"")</f>
        <v/>
      </c>
      <c r="J370" s="5" t="str">
        <f>IF(kokpit!J370&lt;&gt;"",kokpit!J370,"")</f>
        <v/>
      </c>
      <c r="K370" s="24" t="str">
        <f>IF(I370&lt;&gt;"",SUMIFS('JPK_KR-1'!AL:AL,'JPK_KR-1'!W:W,J370),"")</f>
        <v/>
      </c>
      <c r="L370" s="141" t="str">
        <f>IF(I370&lt;&gt;"",SUMIFS('JPK_KR-1'!AM:AM,'JPK_KR-1'!W:W,J370),"")</f>
        <v/>
      </c>
      <c r="M370" s="143" t="str">
        <f>IF(kokpit!M370&lt;&gt;"",kokpit!M370,"")</f>
        <v/>
      </c>
      <c r="N370" s="117" t="str">
        <f>IF(kokpit!N370&lt;&gt;"",kokpit!N370,"")</f>
        <v/>
      </c>
      <c r="O370" s="117" t="str">
        <f>IF(kokpit!O370&lt;&gt;"",kokpit!O370,"")</f>
        <v/>
      </c>
      <c r="P370" s="141" t="str">
        <f>IF(M370&lt;&gt;"",IF(O370="",SUMIFS('JPK_KR-1'!AL:AL,'JPK_KR-1'!W:W,N370),SUMIFS('JPK_KR-1'!BF:BF,'JPK_KR-1'!BE:BE,N370,'JPK_KR-1'!BG:BG,O370)),"")</f>
        <v/>
      </c>
      <c r="Q370" s="144" t="str">
        <f>IF(M370&lt;&gt;"",IF(O370="",SUMIFS('JPK_KR-1'!AM:AM,'JPK_KR-1'!W:W,N370),SUMIFS('JPK_KR-1'!BI:BI,'JPK_KR-1'!BH:BH,N370,'JPK_KR-1'!BJ:BJ,O370)),"")</f>
        <v/>
      </c>
      <c r="R370" s="117" t="str">
        <f>IF(kokpit!R370&lt;&gt;"",kokpit!R370,"")</f>
        <v/>
      </c>
      <c r="S370" s="117" t="str">
        <f>IF(kokpit!S370&lt;&gt;"",kokpit!S370,"")</f>
        <v/>
      </c>
      <c r="T370" s="117" t="str">
        <f>IF(kokpit!T370&lt;&gt;"",kokpit!T370,"")</f>
        <v/>
      </c>
      <c r="U370" s="141" t="str">
        <f>IF(R370&lt;&gt;"",SUMIFS('JPK_KR-1'!AL:AL,'JPK_KR-1'!W:W,S370),"")</f>
        <v/>
      </c>
      <c r="V370" s="144" t="str">
        <f>IF(R370&lt;&gt;"",SUMIFS('JPK_KR-1'!AM:AM,'JPK_KR-1'!W:W,S370),"")</f>
        <v/>
      </c>
    </row>
    <row r="371" spans="1:22" x14ac:dyDescent="0.3">
      <c r="A371" s="5" t="str">
        <f>IF(kokpit!A371&lt;&gt;"",kokpit!A371,"")</f>
        <v/>
      </c>
      <c r="B371" s="5" t="str">
        <f>IF(kokpit!B371&lt;&gt;"",kokpit!B371,"")</f>
        <v/>
      </c>
      <c r="C371" s="24" t="str">
        <f>IF(A371&lt;&gt;"",SUMIFS('JPK_KR-1'!AL:AL,'JPK_KR-1'!W:W,B371),"")</f>
        <v/>
      </c>
      <c r="D371" s="126" t="str">
        <f>IF(A371&lt;&gt;"",SUMIFS('JPK_KR-1'!AM:AM,'JPK_KR-1'!W:W,B371),"")</f>
        <v/>
      </c>
      <c r="E371" s="5" t="str">
        <f>IF(kokpit!E371&lt;&gt;"",kokpit!E371,"")</f>
        <v/>
      </c>
      <c r="F371" s="127" t="str">
        <f>IF(kokpit!F371&lt;&gt;"",kokpit!F371,"")</f>
        <v/>
      </c>
      <c r="G371" s="24" t="str">
        <f>IF(E371&lt;&gt;"",SUMIFS('JPK_KR-1'!AL:AL,'JPK_KR-1'!W:W,F371),"")</f>
        <v/>
      </c>
      <c r="H371" s="126" t="str">
        <f>IF(E371&lt;&gt;"",SUMIFS('JPK_KR-1'!AM:AM,'JPK_KR-1'!W:W,F371),"")</f>
        <v/>
      </c>
      <c r="I371" s="5" t="str">
        <f>IF(kokpit!I371&lt;&gt;"",kokpit!I371,"")</f>
        <v/>
      </c>
      <c r="J371" s="5" t="str">
        <f>IF(kokpit!J371&lt;&gt;"",kokpit!J371,"")</f>
        <v/>
      </c>
      <c r="K371" s="24" t="str">
        <f>IF(I371&lt;&gt;"",SUMIFS('JPK_KR-1'!AL:AL,'JPK_KR-1'!W:W,J371),"")</f>
        <v/>
      </c>
      <c r="L371" s="141" t="str">
        <f>IF(I371&lt;&gt;"",SUMIFS('JPK_KR-1'!AM:AM,'JPK_KR-1'!W:W,J371),"")</f>
        <v/>
      </c>
      <c r="M371" s="143" t="str">
        <f>IF(kokpit!M371&lt;&gt;"",kokpit!M371,"")</f>
        <v/>
      </c>
      <c r="N371" s="117" t="str">
        <f>IF(kokpit!N371&lt;&gt;"",kokpit!N371,"")</f>
        <v/>
      </c>
      <c r="O371" s="117" t="str">
        <f>IF(kokpit!O371&lt;&gt;"",kokpit!O371,"")</f>
        <v/>
      </c>
      <c r="P371" s="141" t="str">
        <f>IF(M371&lt;&gt;"",IF(O371="",SUMIFS('JPK_KR-1'!AL:AL,'JPK_KR-1'!W:W,N371),SUMIFS('JPK_KR-1'!BF:BF,'JPK_KR-1'!BE:BE,N371,'JPK_KR-1'!BG:BG,O371)),"")</f>
        <v/>
      </c>
      <c r="Q371" s="144" t="str">
        <f>IF(M371&lt;&gt;"",IF(O371="",SUMIFS('JPK_KR-1'!AM:AM,'JPK_KR-1'!W:W,N371),SUMIFS('JPK_KR-1'!BI:BI,'JPK_KR-1'!BH:BH,N371,'JPK_KR-1'!BJ:BJ,O371)),"")</f>
        <v/>
      </c>
      <c r="R371" s="117" t="str">
        <f>IF(kokpit!R371&lt;&gt;"",kokpit!R371,"")</f>
        <v/>
      </c>
      <c r="S371" s="117" t="str">
        <f>IF(kokpit!S371&lt;&gt;"",kokpit!S371,"")</f>
        <v/>
      </c>
      <c r="T371" s="117" t="str">
        <f>IF(kokpit!T371&lt;&gt;"",kokpit!T371,"")</f>
        <v/>
      </c>
      <c r="U371" s="141" t="str">
        <f>IF(R371&lt;&gt;"",SUMIFS('JPK_KR-1'!AL:AL,'JPK_KR-1'!W:W,S371),"")</f>
        <v/>
      </c>
      <c r="V371" s="144" t="str">
        <f>IF(R371&lt;&gt;"",SUMIFS('JPK_KR-1'!AM:AM,'JPK_KR-1'!W:W,S371),"")</f>
        <v/>
      </c>
    </row>
    <row r="372" spans="1:22" x14ac:dyDescent="0.3">
      <c r="A372" s="5" t="str">
        <f>IF(kokpit!A372&lt;&gt;"",kokpit!A372,"")</f>
        <v/>
      </c>
      <c r="B372" s="5" t="str">
        <f>IF(kokpit!B372&lt;&gt;"",kokpit!B372,"")</f>
        <v/>
      </c>
      <c r="C372" s="24" t="str">
        <f>IF(A372&lt;&gt;"",SUMIFS('JPK_KR-1'!AL:AL,'JPK_KR-1'!W:W,B372),"")</f>
        <v/>
      </c>
      <c r="D372" s="126" t="str">
        <f>IF(A372&lt;&gt;"",SUMIFS('JPK_KR-1'!AM:AM,'JPK_KR-1'!W:W,B372),"")</f>
        <v/>
      </c>
      <c r="E372" s="5" t="str">
        <f>IF(kokpit!E372&lt;&gt;"",kokpit!E372,"")</f>
        <v/>
      </c>
      <c r="F372" s="127" t="str">
        <f>IF(kokpit!F372&lt;&gt;"",kokpit!F372,"")</f>
        <v/>
      </c>
      <c r="G372" s="24" t="str">
        <f>IF(E372&lt;&gt;"",SUMIFS('JPK_KR-1'!AL:AL,'JPK_KR-1'!W:W,F372),"")</f>
        <v/>
      </c>
      <c r="H372" s="126" t="str">
        <f>IF(E372&lt;&gt;"",SUMIFS('JPK_KR-1'!AM:AM,'JPK_KR-1'!W:W,F372),"")</f>
        <v/>
      </c>
      <c r="I372" s="5" t="str">
        <f>IF(kokpit!I372&lt;&gt;"",kokpit!I372,"")</f>
        <v/>
      </c>
      <c r="J372" s="5" t="str">
        <f>IF(kokpit!J372&lt;&gt;"",kokpit!J372,"")</f>
        <v/>
      </c>
      <c r="K372" s="24" t="str">
        <f>IF(I372&lt;&gt;"",SUMIFS('JPK_KR-1'!AL:AL,'JPK_KR-1'!W:W,J372),"")</f>
        <v/>
      </c>
      <c r="L372" s="141" t="str">
        <f>IF(I372&lt;&gt;"",SUMIFS('JPK_KR-1'!AM:AM,'JPK_KR-1'!W:W,J372),"")</f>
        <v/>
      </c>
      <c r="M372" s="143" t="str">
        <f>IF(kokpit!M372&lt;&gt;"",kokpit!M372,"")</f>
        <v/>
      </c>
      <c r="N372" s="117" t="str">
        <f>IF(kokpit!N372&lt;&gt;"",kokpit!N372,"")</f>
        <v/>
      </c>
      <c r="O372" s="117" t="str">
        <f>IF(kokpit!O372&lt;&gt;"",kokpit!O372,"")</f>
        <v/>
      </c>
      <c r="P372" s="141" t="str">
        <f>IF(M372&lt;&gt;"",IF(O372="",SUMIFS('JPK_KR-1'!AL:AL,'JPK_KR-1'!W:W,N372),SUMIFS('JPK_KR-1'!BF:BF,'JPK_KR-1'!BE:BE,N372,'JPK_KR-1'!BG:BG,O372)),"")</f>
        <v/>
      </c>
      <c r="Q372" s="144" t="str">
        <f>IF(M372&lt;&gt;"",IF(O372="",SUMIFS('JPK_KR-1'!AM:AM,'JPK_KR-1'!W:W,N372),SUMIFS('JPK_KR-1'!BI:BI,'JPK_KR-1'!BH:BH,N372,'JPK_KR-1'!BJ:BJ,O372)),"")</f>
        <v/>
      </c>
      <c r="R372" s="117" t="str">
        <f>IF(kokpit!R372&lt;&gt;"",kokpit!R372,"")</f>
        <v/>
      </c>
      <c r="S372" s="117" t="str">
        <f>IF(kokpit!S372&lt;&gt;"",kokpit!S372,"")</f>
        <v/>
      </c>
      <c r="T372" s="117" t="str">
        <f>IF(kokpit!T372&lt;&gt;"",kokpit!T372,"")</f>
        <v/>
      </c>
      <c r="U372" s="141" t="str">
        <f>IF(R372&lt;&gt;"",SUMIFS('JPK_KR-1'!AL:AL,'JPK_KR-1'!W:W,S372),"")</f>
        <v/>
      </c>
      <c r="V372" s="144" t="str">
        <f>IF(R372&lt;&gt;"",SUMIFS('JPK_KR-1'!AM:AM,'JPK_KR-1'!W:W,S372),"")</f>
        <v/>
      </c>
    </row>
    <row r="373" spans="1:22" x14ac:dyDescent="0.3">
      <c r="A373" s="5" t="str">
        <f>IF(kokpit!A373&lt;&gt;"",kokpit!A373,"")</f>
        <v/>
      </c>
      <c r="B373" s="5" t="str">
        <f>IF(kokpit!B373&lt;&gt;"",kokpit!B373,"")</f>
        <v/>
      </c>
      <c r="C373" s="24" t="str">
        <f>IF(A373&lt;&gt;"",SUMIFS('JPK_KR-1'!AL:AL,'JPK_KR-1'!W:W,B373),"")</f>
        <v/>
      </c>
      <c r="D373" s="126" t="str">
        <f>IF(A373&lt;&gt;"",SUMIFS('JPK_KR-1'!AM:AM,'JPK_KR-1'!W:W,B373),"")</f>
        <v/>
      </c>
      <c r="E373" s="5" t="str">
        <f>IF(kokpit!E373&lt;&gt;"",kokpit!E373,"")</f>
        <v/>
      </c>
      <c r="F373" s="127" t="str">
        <f>IF(kokpit!F373&lt;&gt;"",kokpit!F373,"")</f>
        <v/>
      </c>
      <c r="G373" s="24" t="str">
        <f>IF(E373&lt;&gt;"",SUMIFS('JPK_KR-1'!AL:AL,'JPK_KR-1'!W:W,F373),"")</f>
        <v/>
      </c>
      <c r="H373" s="126" t="str">
        <f>IF(E373&lt;&gt;"",SUMIFS('JPK_KR-1'!AM:AM,'JPK_KR-1'!W:W,F373),"")</f>
        <v/>
      </c>
      <c r="I373" s="5" t="str">
        <f>IF(kokpit!I373&lt;&gt;"",kokpit!I373,"")</f>
        <v/>
      </c>
      <c r="J373" s="5" t="str">
        <f>IF(kokpit!J373&lt;&gt;"",kokpit!J373,"")</f>
        <v/>
      </c>
      <c r="K373" s="24" t="str">
        <f>IF(I373&lt;&gt;"",SUMIFS('JPK_KR-1'!AL:AL,'JPK_KR-1'!W:W,J373),"")</f>
        <v/>
      </c>
      <c r="L373" s="141" t="str">
        <f>IF(I373&lt;&gt;"",SUMIFS('JPK_KR-1'!AM:AM,'JPK_KR-1'!W:W,J373),"")</f>
        <v/>
      </c>
      <c r="M373" s="143" t="str">
        <f>IF(kokpit!M373&lt;&gt;"",kokpit!M373,"")</f>
        <v/>
      </c>
      <c r="N373" s="117" t="str">
        <f>IF(kokpit!N373&lt;&gt;"",kokpit!N373,"")</f>
        <v/>
      </c>
      <c r="O373" s="117" t="str">
        <f>IF(kokpit!O373&lt;&gt;"",kokpit!O373,"")</f>
        <v/>
      </c>
      <c r="P373" s="141" t="str">
        <f>IF(M373&lt;&gt;"",IF(O373="",SUMIFS('JPK_KR-1'!AL:AL,'JPK_KR-1'!W:W,N373),SUMIFS('JPK_KR-1'!BF:BF,'JPK_KR-1'!BE:BE,N373,'JPK_KR-1'!BG:BG,O373)),"")</f>
        <v/>
      </c>
      <c r="Q373" s="144" t="str">
        <f>IF(M373&lt;&gt;"",IF(O373="",SUMIFS('JPK_KR-1'!AM:AM,'JPK_KR-1'!W:W,N373),SUMIFS('JPK_KR-1'!BI:BI,'JPK_KR-1'!BH:BH,N373,'JPK_KR-1'!BJ:BJ,O373)),"")</f>
        <v/>
      </c>
      <c r="R373" s="117" t="str">
        <f>IF(kokpit!R373&lt;&gt;"",kokpit!R373,"")</f>
        <v/>
      </c>
      <c r="S373" s="117" t="str">
        <f>IF(kokpit!S373&lt;&gt;"",kokpit!S373,"")</f>
        <v/>
      </c>
      <c r="T373" s="117" t="str">
        <f>IF(kokpit!T373&lt;&gt;"",kokpit!T373,"")</f>
        <v/>
      </c>
      <c r="U373" s="141" t="str">
        <f>IF(R373&lt;&gt;"",SUMIFS('JPK_KR-1'!AL:AL,'JPK_KR-1'!W:W,S373),"")</f>
        <v/>
      </c>
      <c r="V373" s="144" t="str">
        <f>IF(R373&lt;&gt;"",SUMIFS('JPK_KR-1'!AM:AM,'JPK_KR-1'!W:W,S373),"")</f>
        <v/>
      </c>
    </row>
    <row r="374" spans="1:22" x14ac:dyDescent="0.3">
      <c r="A374" s="5" t="str">
        <f>IF(kokpit!A374&lt;&gt;"",kokpit!A374,"")</f>
        <v/>
      </c>
      <c r="B374" s="5" t="str">
        <f>IF(kokpit!B374&lt;&gt;"",kokpit!B374,"")</f>
        <v/>
      </c>
      <c r="C374" s="24" t="str">
        <f>IF(A374&lt;&gt;"",SUMIFS('JPK_KR-1'!AL:AL,'JPK_KR-1'!W:W,B374),"")</f>
        <v/>
      </c>
      <c r="D374" s="126" t="str">
        <f>IF(A374&lt;&gt;"",SUMIFS('JPK_KR-1'!AM:AM,'JPK_KR-1'!W:W,B374),"")</f>
        <v/>
      </c>
      <c r="E374" s="5" t="str">
        <f>IF(kokpit!E374&lt;&gt;"",kokpit!E374,"")</f>
        <v/>
      </c>
      <c r="F374" s="127" t="str">
        <f>IF(kokpit!F374&lt;&gt;"",kokpit!F374,"")</f>
        <v/>
      </c>
      <c r="G374" s="24" t="str">
        <f>IF(E374&lt;&gt;"",SUMIFS('JPK_KR-1'!AL:AL,'JPK_KR-1'!W:W,F374),"")</f>
        <v/>
      </c>
      <c r="H374" s="126" t="str">
        <f>IF(E374&lt;&gt;"",SUMIFS('JPK_KR-1'!AM:AM,'JPK_KR-1'!W:W,F374),"")</f>
        <v/>
      </c>
      <c r="I374" s="5" t="str">
        <f>IF(kokpit!I374&lt;&gt;"",kokpit!I374,"")</f>
        <v/>
      </c>
      <c r="J374" s="5" t="str">
        <f>IF(kokpit!J374&lt;&gt;"",kokpit!J374,"")</f>
        <v/>
      </c>
      <c r="K374" s="24" t="str">
        <f>IF(I374&lt;&gt;"",SUMIFS('JPK_KR-1'!AL:AL,'JPK_KR-1'!W:W,J374),"")</f>
        <v/>
      </c>
      <c r="L374" s="141" t="str">
        <f>IF(I374&lt;&gt;"",SUMIFS('JPK_KR-1'!AM:AM,'JPK_KR-1'!W:W,J374),"")</f>
        <v/>
      </c>
      <c r="M374" s="143" t="str">
        <f>IF(kokpit!M374&lt;&gt;"",kokpit!M374,"")</f>
        <v/>
      </c>
      <c r="N374" s="117" t="str">
        <f>IF(kokpit!N374&lt;&gt;"",kokpit!N374,"")</f>
        <v/>
      </c>
      <c r="O374" s="117" t="str">
        <f>IF(kokpit!O374&lt;&gt;"",kokpit!O374,"")</f>
        <v/>
      </c>
      <c r="P374" s="141" t="str">
        <f>IF(M374&lt;&gt;"",IF(O374="",SUMIFS('JPK_KR-1'!AL:AL,'JPK_KR-1'!W:W,N374),SUMIFS('JPK_KR-1'!BF:BF,'JPK_KR-1'!BE:BE,N374,'JPK_KR-1'!BG:BG,O374)),"")</f>
        <v/>
      </c>
      <c r="Q374" s="144" t="str">
        <f>IF(M374&lt;&gt;"",IF(O374="",SUMIFS('JPK_KR-1'!AM:AM,'JPK_KR-1'!W:W,N374),SUMIFS('JPK_KR-1'!BI:BI,'JPK_KR-1'!BH:BH,N374,'JPK_KR-1'!BJ:BJ,O374)),"")</f>
        <v/>
      </c>
      <c r="R374" s="117" t="str">
        <f>IF(kokpit!R374&lt;&gt;"",kokpit!R374,"")</f>
        <v/>
      </c>
      <c r="S374" s="117" t="str">
        <f>IF(kokpit!S374&lt;&gt;"",kokpit!S374,"")</f>
        <v/>
      </c>
      <c r="T374" s="117" t="str">
        <f>IF(kokpit!T374&lt;&gt;"",kokpit!T374,"")</f>
        <v/>
      </c>
      <c r="U374" s="141" t="str">
        <f>IF(R374&lt;&gt;"",SUMIFS('JPK_KR-1'!AL:AL,'JPK_KR-1'!W:W,S374),"")</f>
        <v/>
      </c>
      <c r="V374" s="144" t="str">
        <f>IF(R374&lt;&gt;"",SUMIFS('JPK_KR-1'!AM:AM,'JPK_KR-1'!W:W,S374),"")</f>
        <v/>
      </c>
    </row>
    <row r="375" spans="1:22" x14ac:dyDescent="0.3">
      <c r="A375" s="5" t="str">
        <f>IF(kokpit!A375&lt;&gt;"",kokpit!A375,"")</f>
        <v/>
      </c>
      <c r="B375" s="5" t="str">
        <f>IF(kokpit!B375&lt;&gt;"",kokpit!B375,"")</f>
        <v/>
      </c>
      <c r="C375" s="24" t="str">
        <f>IF(A375&lt;&gt;"",SUMIFS('JPK_KR-1'!AL:AL,'JPK_KR-1'!W:W,B375),"")</f>
        <v/>
      </c>
      <c r="D375" s="126" t="str">
        <f>IF(A375&lt;&gt;"",SUMIFS('JPK_KR-1'!AM:AM,'JPK_KR-1'!W:W,B375),"")</f>
        <v/>
      </c>
      <c r="E375" s="5" t="str">
        <f>IF(kokpit!E375&lt;&gt;"",kokpit!E375,"")</f>
        <v/>
      </c>
      <c r="F375" s="127" t="str">
        <f>IF(kokpit!F375&lt;&gt;"",kokpit!F375,"")</f>
        <v/>
      </c>
      <c r="G375" s="24" t="str">
        <f>IF(E375&lt;&gt;"",SUMIFS('JPK_KR-1'!AL:AL,'JPK_KR-1'!W:W,F375),"")</f>
        <v/>
      </c>
      <c r="H375" s="126" t="str">
        <f>IF(E375&lt;&gt;"",SUMIFS('JPK_KR-1'!AM:AM,'JPK_KR-1'!W:W,F375),"")</f>
        <v/>
      </c>
      <c r="I375" s="5" t="str">
        <f>IF(kokpit!I375&lt;&gt;"",kokpit!I375,"")</f>
        <v/>
      </c>
      <c r="J375" s="5" t="str">
        <f>IF(kokpit!J375&lt;&gt;"",kokpit!J375,"")</f>
        <v/>
      </c>
      <c r="K375" s="24" t="str">
        <f>IF(I375&lt;&gt;"",SUMIFS('JPK_KR-1'!AL:AL,'JPK_KR-1'!W:W,J375),"")</f>
        <v/>
      </c>
      <c r="L375" s="141" t="str">
        <f>IF(I375&lt;&gt;"",SUMIFS('JPK_KR-1'!AM:AM,'JPK_KR-1'!W:W,J375),"")</f>
        <v/>
      </c>
      <c r="M375" s="143" t="str">
        <f>IF(kokpit!M375&lt;&gt;"",kokpit!M375,"")</f>
        <v/>
      </c>
      <c r="N375" s="117" t="str">
        <f>IF(kokpit!N375&lt;&gt;"",kokpit!N375,"")</f>
        <v/>
      </c>
      <c r="O375" s="117" t="str">
        <f>IF(kokpit!O375&lt;&gt;"",kokpit!O375,"")</f>
        <v/>
      </c>
      <c r="P375" s="141" t="str">
        <f>IF(M375&lt;&gt;"",IF(O375="",SUMIFS('JPK_KR-1'!AL:AL,'JPK_KR-1'!W:W,N375),SUMIFS('JPK_KR-1'!BF:BF,'JPK_KR-1'!BE:BE,N375,'JPK_KR-1'!BG:BG,O375)),"")</f>
        <v/>
      </c>
      <c r="Q375" s="144" t="str">
        <f>IF(M375&lt;&gt;"",IF(O375="",SUMIFS('JPK_KR-1'!AM:AM,'JPK_KR-1'!W:W,N375),SUMIFS('JPK_KR-1'!BI:BI,'JPK_KR-1'!BH:BH,N375,'JPK_KR-1'!BJ:BJ,O375)),"")</f>
        <v/>
      </c>
      <c r="R375" s="117" t="str">
        <f>IF(kokpit!R375&lt;&gt;"",kokpit!R375,"")</f>
        <v/>
      </c>
      <c r="S375" s="117" t="str">
        <f>IF(kokpit!S375&lt;&gt;"",kokpit!S375,"")</f>
        <v/>
      </c>
      <c r="T375" s="117" t="str">
        <f>IF(kokpit!T375&lt;&gt;"",kokpit!T375,"")</f>
        <v/>
      </c>
      <c r="U375" s="141" t="str">
        <f>IF(R375&lt;&gt;"",SUMIFS('JPK_KR-1'!AL:AL,'JPK_KR-1'!W:W,S375),"")</f>
        <v/>
      </c>
      <c r="V375" s="144" t="str">
        <f>IF(R375&lt;&gt;"",SUMIFS('JPK_KR-1'!AM:AM,'JPK_KR-1'!W:W,S375),"")</f>
        <v/>
      </c>
    </row>
    <row r="376" spans="1:22" x14ac:dyDescent="0.3">
      <c r="A376" s="5" t="str">
        <f>IF(kokpit!A376&lt;&gt;"",kokpit!A376,"")</f>
        <v/>
      </c>
      <c r="B376" s="5" t="str">
        <f>IF(kokpit!B376&lt;&gt;"",kokpit!B376,"")</f>
        <v/>
      </c>
      <c r="C376" s="24" t="str">
        <f>IF(A376&lt;&gt;"",SUMIFS('JPK_KR-1'!AL:AL,'JPK_KR-1'!W:W,B376),"")</f>
        <v/>
      </c>
      <c r="D376" s="126" t="str">
        <f>IF(A376&lt;&gt;"",SUMIFS('JPK_KR-1'!AM:AM,'JPK_KR-1'!W:W,B376),"")</f>
        <v/>
      </c>
      <c r="E376" s="5" t="str">
        <f>IF(kokpit!E376&lt;&gt;"",kokpit!E376,"")</f>
        <v/>
      </c>
      <c r="F376" s="127" t="str">
        <f>IF(kokpit!F376&lt;&gt;"",kokpit!F376,"")</f>
        <v/>
      </c>
      <c r="G376" s="24" t="str">
        <f>IF(E376&lt;&gt;"",SUMIFS('JPK_KR-1'!AL:AL,'JPK_KR-1'!W:W,F376),"")</f>
        <v/>
      </c>
      <c r="H376" s="126" t="str">
        <f>IF(E376&lt;&gt;"",SUMIFS('JPK_KR-1'!AM:AM,'JPK_KR-1'!W:W,F376),"")</f>
        <v/>
      </c>
      <c r="I376" s="5" t="str">
        <f>IF(kokpit!I376&lt;&gt;"",kokpit!I376,"")</f>
        <v/>
      </c>
      <c r="J376" s="5" t="str">
        <f>IF(kokpit!J376&lt;&gt;"",kokpit!J376,"")</f>
        <v/>
      </c>
      <c r="K376" s="24" t="str">
        <f>IF(I376&lt;&gt;"",SUMIFS('JPK_KR-1'!AL:AL,'JPK_KR-1'!W:W,J376),"")</f>
        <v/>
      </c>
      <c r="L376" s="141" t="str">
        <f>IF(I376&lt;&gt;"",SUMIFS('JPK_KR-1'!AM:AM,'JPK_KR-1'!W:W,J376),"")</f>
        <v/>
      </c>
      <c r="M376" s="143" t="str">
        <f>IF(kokpit!M376&lt;&gt;"",kokpit!M376,"")</f>
        <v/>
      </c>
      <c r="N376" s="117" t="str">
        <f>IF(kokpit!N376&lt;&gt;"",kokpit!N376,"")</f>
        <v/>
      </c>
      <c r="O376" s="117" t="str">
        <f>IF(kokpit!O376&lt;&gt;"",kokpit!O376,"")</f>
        <v/>
      </c>
      <c r="P376" s="141" t="str">
        <f>IF(M376&lt;&gt;"",IF(O376="",SUMIFS('JPK_KR-1'!AL:AL,'JPK_KR-1'!W:W,N376),SUMIFS('JPK_KR-1'!BF:BF,'JPK_KR-1'!BE:BE,N376,'JPK_KR-1'!BG:BG,O376)),"")</f>
        <v/>
      </c>
      <c r="Q376" s="144" t="str">
        <f>IF(M376&lt;&gt;"",IF(O376="",SUMIFS('JPK_KR-1'!AM:AM,'JPK_KR-1'!W:W,N376),SUMIFS('JPK_KR-1'!BI:BI,'JPK_KR-1'!BH:BH,N376,'JPK_KR-1'!BJ:BJ,O376)),"")</f>
        <v/>
      </c>
      <c r="R376" s="117" t="str">
        <f>IF(kokpit!R376&lt;&gt;"",kokpit!R376,"")</f>
        <v/>
      </c>
      <c r="S376" s="117" t="str">
        <f>IF(kokpit!S376&lt;&gt;"",kokpit!S376,"")</f>
        <v/>
      </c>
      <c r="T376" s="117" t="str">
        <f>IF(kokpit!T376&lt;&gt;"",kokpit!T376,"")</f>
        <v/>
      </c>
      <c r="U376" s="141" t="str">
        <f>IF(R376&lt;&gt;"",SUMIFS('JPK_KR-1'!AL:AL,'JPK_KR-1'!W:W,S376),"")</f>
        <v/>
      </c>
      <c r="V376" s="144" t="str">
        <f>IF(R376&lt;&gt;"",SUMIFS('JPK_KR-1'!AM:AM,'JPK_KR-1'!W:W,S376),"")</f>
        <v/>
      </c>
    </row>
    <row r="377" spans="1:22" x14ac:dyDescent="0.3">
      <c r="A377" s="5" t="str">
        <f>IF(kokpit!A377&lt;&gt;"",kokpit!A377,"")</f>
        <v/>
      </c>
      <c r="B377" s="5" t="str">
        <f>IF(kokpit!B377&lt;&gt;"",kokpit!B377,"")</f>
        <v/>
      </c>
      <c r="C377" s="24" t="str">
        <f>IF(A377&lt;&gt;"",SUMIFS('JPK_KR-1'!AL:AL,'JPK_KR-1'!W:W,B377),"")</f>
        <v/>
      </c>
      <c r="D377" s="126" t="str">
        <f>IF(A377&lt;&gt;"",SUMIFS('JPK_KR-1'!AM:AM,'JPK_KR-1'!W:W,B377),"")</f>
        <v/>
      </c>
      <c r="E377" s="5" t="str">
        <f>IF(kokpit!E377&lt;&gt;"",kokpit!E377,"")</f>
        <v/>
      </c>
      <c r="F377" s="127" t="str">
        <f>IF(kokpit!F377&lt;&gt;"",kokpit!F377,"")</f>
        <v/>
      </c>
      <c r="G377" s="24" t="str">
        <f>IF(E377&lt;&gt;"",SUMIFS('JPK_KR-1'!AL:AL,'JPK_KR-1'!W:W,F377),"")</f>
        <v/>
      </c>
      <c r="H377" s="126" t="str">
        <f>IF(E377&lt;&gt;"",SUMIFS('JPK_KR-1'!AM:AM,'JPK_KR-1'!W:W,F377),"")</f>
        <v/>
      </c>
      <c r="I377" s="5" t="str">
        <f>IF(kokpit!I377&lt;&gt;"",kokpit!I377,"")</f>
        <v/>
      </c>
      <c r="J377" s="5" t="str">
        <f>IF(kokpit!J377&lt;&gt;"",kokpit!J377,"")</f>
        <v/>
      </c>
      <c r="K377" s="24" t="str">
        <f>IF(I377&lt;&gt;"",SUMIFS('JPK_KR-1'!AL:AL,'JPK_KR-1'!W:W,J377),"")</f>
        <v/>
      </c>
      <c r="L377" s="141" t="str">
        <f>IF(I377&lt;&gt;"",SUMIFS('JPK_KR-1'!AM:AM,'JPK_KR-1'!W:W,J377),"")</f>
        <v/>
      </c>
      <c r="M377" s="143" t="str">
        <f>IF(kokpit!M377&lt;&gt;"",kokpit!M377,"")</f>
        <v/>
      </c>
      <c r="N377" s="117" t="str">
        <f>IF(kokpit!N377&lt;&gt;"",kokpit!N377,"")</f>
        <v/>
      </c>
      <c r="O377" s="117" t="str">
        <f>IF(kokpit!O377&lt;&gt;"",kokpit!O377,"")</f>
        <v/>
      </c>
      <c r="P377" s="141" t="str">
        <f>IF(M377&lt;&gt;"",IF(O377="",SUMIFS('JPK_KR-1'!AL:AL,'JPK_KR-1'!W:W,N377),SUMIFS('JPK_KR-1'!BF:BF,'JPK_KR-1'!BE:BE,N377,'JPK_KR-1'!BG:BG,O377)),"")</f>
        <v/>
      </c>
      <c r="Q377" s="144" t="str">
        <f>IF(M377&lt;&gt;"",IF(O377="",SUMIFS('JPK_KR-1'!AM:AM,'JPK_KR-1'!W:W,N377),SUMIFS('JPK_KR-1'!BI:BI,'JPK_KR-1'!BH:BH,N377,'JPK_KR-1'!BJ:BJ,O377)),"")</f>
        <v/>
      </c>
      <c r="R377" s="117" t="str">
        <f>IF(kokpit!R377&lt;&gt;"",kokpit!R377,"")</f>
        <v/>
      </c>
      <c r="S377" s="117" t="str">
        <f>IF(kokpit!S377&lt;&gt;"",kokpit!S377,"")</f>
        <v/>
      </c>
      <c r="T377" s="117" t="str">
        <f>IF(kokpit!T377&lt;&gt;"",kokpit!T377,"")</f>
        <v/>
      </c>
      <c r="U377" s="141" t="str">
        <f>IF(R377&lt;&gt;"",SUMIFS('JPK_KR-1'!AL:AL,'JPK_KR-1'!W:W,S377),"")</f>
        <v/>
      </c>
      <c r="V377" s="144" t="str">
        <f>IF(R377&lt;&gt;"",SUMIFS('JPK_KR-1'!AM:AM,'JPK_KR-1'!W:W,S377),"")</f>
        <v/>
      </c>
    </row>
    <row r="378" spans="1:22" x14ac:dyDescent="0.3">
      <c r="A378" s="5" t="str">
        <f>IF(kokpit!A378&lt;&gt;"",kokpit!A378,"")</f>
        <v/>
      </c>
      <c r="B378" s="5" t="str">
        <f>IF(kokpit!B378&lt;&gt;"",kokpit!B378,"")</f>
        <v/>
      </c>
      <c r="C378" s="24" t="str">
        <f>IF(A378&lt;&gt;"",SUMIFS('JPK_KR-1'!AL:AL,'JPK_KR-1'!W:W,B378),"")</f>
        <v/>
      </c>
      <c r="D378" s="126" t="str">
        <f>IF(A378&lt;&gt;"",SUMIFS('JPK_KR-1'!AM:AM,'JPK_KR-1'!W:W,B378),"")</f>
        <v/>
      </c>
      <c r="E378" s="5" t="str">
        <f>IF(kokpit!E378&lt;&gt;"",kokpit!E378,"")</f>
        <v/>
      </c>
      <c r="F378" s="127" t="str">
        <f>IF(kokpit!F378&lt;&gt;"",kokpit!F378,"")</f>
        <v/>
      </c>
      <c r="G378" s="24" t="str">
        <f>IF(E378&lt;&gt;"",SUMIFS('JPK_KR-1'!AL:AL,'JPK_KR-1'!W:W,F378),"")</f>
        <v/>
      </c>
      <c r="H378" s="126" t="str">
        <f>IF(E378&lt;&gt;"",SUMIFS('JPK_KR-1'!AM:AM,'JPK_KR-1'!W:W,F378),"")</f>
        <v/>
      </c>
      <c r="I378" s="5" t="str">
        <f>IF(kokpit!I378&lt;&gt;"",kokpit!I378,"")</f>
        <v/>
      </c>
      <c r="J378" s="5" t="str">
        <f>IF(kokpit!J378&lt;&gt;"",kokpit!J378,"")</f>
        <v/>
      </c>
      <c r="K378" s="24" t="str">
        <f>IF(I378&lt;&gt;"",SUMIFS('JPK_KR-1'!AL:AL,'JPK_KR-1'!W:W,J378),"")</f>
        <v/>
      </c>
      <c r="L378" s="141" t="str">
        <f>IF(I378&lt;&gt;"",SUMIFS('JPK_KR-1'!AM:AM,'JPK_KR-1'!W:W,J378),"")</f>
        <v/>
      </c>
      <c r="M378" s="143" t="str">
        <f>IF(kokpit!M378&lt;&gt;"",kokpit!M378,"")</f>
        <v/>
      </c>
      <c r="N378" s="117" t="str">
        <f>IF(kokpit!N378&lt;&gt;"",kokpit!N378,"")</f>
        <v/>
      </c>
      <c r="O378" s="117" t="str">
        <f>IF(kokpit!O378&lt;&gt;"",kokpit!O378,"")</f>
        <v/>
      </c>
      <c r="P378" s="141" t="str">
        <f>IF(M378&lt;&gt;"",IF(O378="",SUMIFS('JPK_KR-1'!AL:AL,'JPK_KR-1'!W:W,N378),SUMIFS('JPK_KR-1'!BF:BF,'JPK_KR-1'!BE:BE,N378,'JPK_KR-1'!BG:BG,O378)),"")</f>
        <v/>
      </c>
      <c r="Q378" s="144" t="str">
        <f>IF(M378&lt;&gt;"",IF(O378="",SUMIFS('JPK_KR-1'!AM:AM,'JPK_KR-1'!W:W,N378),SUMIFS('JPK_KR-1'!BI:BI,'JPK_KR-1'!BH:BH,N378,'JPK_KR-1'!BJ:BJ,O378)),"")</f>
        <v/>
      </c>
      <c r="R378" s="117" t="str">
        <f>IF(kokpit!R378&lt;&gt;"",kokpit!R378,"")</f>
        <v/>
      </c>
      <c r="S378" s="117" t="str">
        <f>IF(kokpit!S378&lt;&gt;"",kokpit!S378,"")</f>
        <v/>
      </c>
      <c r="T378" s="117" t="str">
        <f>IF(kokpit!T378&lt;&gt;"",kokpit!T378,"")</f>
        <v/>
      </c>
      <c r="U378" s="141" t="str">
        <f>IF(R378&lt;&gt;"",SUMIFS('JPK_KR-1'!AL:AL,'JPK_KR-1'!W:W,S378),"")</f>
        <v/>
      </c>
      <c r="V378" s="144" t="str">
        <f>IF(R378&lt;&gt;"",SUMIFS('JPK_KR-1'!AM:AM,'JPK_KR-1'!W:W,S378),"")</f>
        <v/>
      </c>
    </row>
    <row r="379" spans="1:22" x14ac:dyDescent="0.3">
      <c r="A379" s="5" t="str">
        <f>IF(kokpit!A379&lt;&gt;"",kokpit!A379,"")</f>
        <v/>
      </c>
      <c r="B379" s="5" t="str">
        <f>IF(kokpit!B379&lt;&gt;"",kokpit!B379,"")</f>
        <v/>
      </c>
      <c r="C379" s="24" t="str">
        <f>IF(A379&lt;&gt;"",SUMIFS('JPK_KR-1'!AL:AL,'JPK_KR-1'!W:W,B379),"")</f>
        <v/>
      </c>
      <c r="D379" s="126" t="str">
        <f>IF(A379&lt;&gt;"",SUMIFS('JPK_KR-1'!AM:AM,'JPK_KR-1'!W:W,B379),"")</f>
        <v/>
      </c>
      <c r="E379" s="5" t="str">
        <f>IF(kokpit!E379&lt;&gt;"",kokpit!E379,"")</f>
        <v/>
      </c>
      <c r="F379" s="127" t="str">
        <f>IF(kokpit!F379&lt;&gt;"",kokpit!F379,"")</f>
        <v/>
      </c>
      <c r="G379" s="24" t="str">
        <f>IF(E379&lt;&gt;"",SUMIFS('JPK_KR-1'!AL:AL,'JPK_KR-1'!W:W,F379),"")</f>
        <v/>
      </c>
      <c r="H379" s="126" t="str">
        <f>IF(E379&lt;&gt;"",SUMIFS('JPK_KR-1'!AM:AM,'JPK_KR-1'!W:W,F379),"")</f>
        <v/>
      </c>
      <c r="I379" s="5" t="str">
        <f>IF(kokpit!I379&lt;&gt;"",kokpit!I379,"")</f>
        <v/>
      </c>
      <c r="J379" s="5" t="str">
        <f>IF(kokpit!J379&lt;&gt;"",kokpit!J379,"")</f>
        <v/>
      </c>
      <c r="K379" s="24" t="str">
        <f>IF(I379&lt;&gt;"",SUMIFS('JPK_KR-1'!AL:AL,'JPK_KR-1'!W:W,J379),"")</f>
        <v/>
      </c>
      <c r="L379" s="141" t="str">
        <f>IF(I379&lt;&gt;"",SUMIFS('JPK_KR-1'!AM:AM,'JPK_KR-1'!W:W,J379),"")</f>
        <v/>
      </c>
      <c r="M379" s="143" t="str">
        <f>IF(kokpit!M379&lt;&gt;"",kokpit!M379,"")</f>
        <v/>
      </c>
      <c r="N379" s="117" t="str">
        <f>IF(kokpit!N379&lt;&gt;"",kokpit!N379,"")</f>
        <v/>
      </c>
      <c r="O379" s="117" t="str">
        <f>IF(kokpit!O379&lt;&gt;"",kokpit!O379,"")</f>
        <v/>
      </c>
      <c r="P379" s="141" t="str">
        <f>IF(M379&lt;&gt;"",IF(O379="",SUMIFS('JPK_KR-1'!AL:AL,'JPK_KR-1'!W:W,N379),SUMIFS('JPK_KR-1'!BF:BF,'JPK_KR-1'!BE:BE,N379,'JPK_KR-1'!BG:BG,O379)),"")</f>
        <v/>
      </c>
      <c r="Q379" s="144" t="str">
        <f>IF(M379&lt;&gt;"",IF(O379="",SUMIFS('JPK_KR-1'!AM:AM,'JPK_KR-1'!W:W,N379),SUMIFS('JPK_KR-1'!BI:BI,'JPK_KR-1'!BH:BH,N379,'JPK_KR-1'!BJ:BJ,O379)),"")</f>
        <v/>
      </c>
      <c r="R379" s="117" t="str">
        <f>IF(kokpit!R379&lt;&gt;"",kokpit!R379,"")</f>
        <v/>
      </c>
      <c r="S379" s="117" t="str">
        <f>IF(kokpit!S379&lt;&gt;"",kokpit!S379,"")</f>
        <v/>
      </c>
      <c r="T379" s="117" t="str">
        <f>IF(kokpit!T379&lt;&gt;"",kokpit!T379,"")</f>
        <v/>
      </c>
      <c r="U379" s="141" t="str">
        <f>IF(R379&lt;&gt;"",SUMIFS('JPK_KR-1'!AL:AL,'JPK_KR-1'!W:W,S379),"")</f>
        <v/>
      </c>
      <c r="V379" s="144" t="str">
        <f>IF(R379&lt;&gt;"",SUMIFS('JPK_KR-1'!AM:AM,'JPK_KR-1'!W:W,S379),"")</f>
        <v/>
      </c>
    </row>
    <row r="380" spans="1:22" x14ac:dyDescent="0.3">
      <c r="A380" s="5" t="str">
        <f>IF(kokpit!A380&lt;&gt;"",kokpit!A380,"")</f>
        <v/>
      </c>
      <c r="B380" s="5" t="str">
        <f>IF(kokpit!B380&lt;&gt;"",kokpit!B380,"")</f>
        <v/>
      </c>
      <c r="C380" s="24" t="str">
        <f>IF(A380&lt;&gt;"",SUMIFS('JPK_KR-1'!AL:AL,'JPK_KR-1'!W:W,B380),"")</f>
        <v/>
      </c>
      <c r="D380" s="126" t="str">
        <f>IF(A380&lt;&gt;"",SUMIFS('JPK_KR-1'!AM:AM,'JPK_KR-1'!W:W,B380),"")</f>
        <v/>
      </c>
      <c r="E380" s="5" t="str">
        <f>IF(kokpit!E380&lt;&gt;"",kokpit!E380,"")</f>
        <v/>
      </c>
      <c r="F380" s="127" t="str">
        <f>IF(kokpit!F380&lt;&gt;"",kokpit!F380,"")</f>
        <v/>
      </c>
      <c r="G380" s="24" t="str">
        <f>IF(E380&lt;&gt;"",SUMIFS('JPK_KR-1'!AL:AL,'JPK_KR-1'!W:W,F380),"")</f>
        <v/>
      </c>
      <c r="H380" s="126" t="str">
        <f>IF(E380&lt;&gt;"",SUMIFS('JPK_KR-1'!AM:AM,'JPK_KR-1'!W:W,F380),"")</f>
        <v/>
      </c>
      <c r="I380" s="5" t="str">
        <f>IF(kokpit!I380&lt;&gt;"",kokpit!I380,"")</f>
        <v/>
      </c>
      <c r="J380" s="5" t="str">
        <f>IF(kokpit!J380&lt;&gt;"",kokpit!J380,"")</f>
        <v/>
      </c>
      <c r="K380" s="24" t="str">
        <f>IF(I380&lt;&gt;"",SUMIFS('JPK_KR-1'!AL:AL,'JPK_KR-1'!W:W,J380),"")</f>
        <v/>
      </c>
      <c r="L380" s="141" t="str">
        <f>IF(I380&lt;&gt;"",SUMIFS('JPK_KR-1'!AM:AM,'JPK_KR-1'!W:W,J380),"")</f>
        <v/>
      </c>
      <c r="M380" s="143" t="str">
        <f>IF(kokpit!M380&lt;&gt;"",kokpit!M380,"")</f>
        <v/>
      </c>
      <c r="N380" s="117" t="str">
        <f>IF(kokpit!N380&lt;&gt;"",kokpit!N380,"")</f>
        <v/>
      </c>
      <c r="O380" s="117" t="str">
        <f>IF(kokpit!O380&lt;&gt;"",kokpit!O380,"")</f>
        <v/>
      </c>
      <c r="P380" s="141" t="str">
        <f>IF(M380&lt;&gt;"",IF(O380="",SUMIFS('JPK_KR-1'!AL:AL,'JPK_KR-1'!W:W,N380),SUMIFS('JPK_KR-1'!BF:BF,'JPK_KR-1'!BE:BE,N380,'JPK_KR-1'!BG:BG,O380)),"")</f>
        <v/>
      </c>
      <c r="Q380" s="144" t="str">
        <f>IF(M380&lt;&gt;"",IF(O380="",SUMIFS('JPK_KR-1'!AM:AM,'JPK_KR-1'!W:W,N380),SUMIFS('JPK_KR-1'!BI:BI,'JPK_KR-1'!BH:BH,N380,'JPK_KR-1'!BJ:BJ,O380)),"")</f>
        <v/>
      </c>
      <c r="R380" s="117" t="str">
        <f>IF(kokpit!R380&lt;&gt;"",kokpit!R380,"")</f>
        <v/>
      </c>
      <c r="S380" s="117" t="str">
        <f>IF(kokpit!S380&lt;&gt;"",kokpit!S380,"")</f>
        <v/>
      </c>
      <c r="T380" s="117" t="str">
        <f>IF(kokpit!T380&lt;&gt;"",kokpit!T380,"")</f>
        <v/>
      </c>
      <c r="U380" s="141" t="str">
        <f>IF(R380&lt;&gt;"",SUMIFS('JPK_KR-1'!AL:AL,'JPK_KR-1'!W:W,S380),"")</f>
        <v/>
      </c>
      <c r="V380" s="144" t="str">
        <f>IF(R380&lt;&gt;"",SUMIFS('JPK_KR-1'!AM:AM,'JPK_KR-1'!W:W,S380),"")</f>
        <v/>
      </c>
    </row>
    <row r="381" spans="1:22" x14ac:dyDescent="0.3">
      <c r="A381" s="5" t="str">
        <f>IF(kokpit!A381&lt;&gt;"",kokpit!A381,"")</f>
        <v/>
      </c>
      <c r="B381" s="5" t="str">
        <f>IF(kokpit!B381&lt;&gt;"",kokpit!B381,"")</f>
        <v/>
      </c>
      <c r="C381" s="24" t="str">
        <f>IF(A381&lt;&gt;"",SUMIFS('JPK_KR-1'!AL:AL,'JPK_KR-1'!W:W,B381),"")</f>
        <v/>
      </c>
      <c r="D381" s="126" t="str">
        <f>IF(A381&lt;&gt;"",SUMIFS('JPK_KR-1'!AM:AM,'JPK_KR-1'!W:W,B381),"")</f>
        <v/>
      </c>
      <c r="E381" s="5" t="str">
        <f>IF(kokpit!E381&lt;&gt;"",kokpit!E381,"")</f>
        <v/>
      </c>
      <c r="F381" s="127" t="str">
        <f>IF(kokpit!F381&lt;&gt;"",kokpit!F381,"")</f>
        <v/>
      </c>
      <c r="G381" s="24" t="str">
        <f>IF(E381&lt;&gt;"",SUMIFS('JPK_KR-1'!AL:AL,'JPK_KR-1'!W:W,F381),"")</f>
        <v/>
      </c>
      <c r="H381" s="126" t="str">
        <f>IF(E381&lt;&gt;"",SUMIFS('JPK_KR-1'!AM:AM,'JPK_KR-1'!W:W,F381),"")</f>
        <v/>
      </c>
      <c r="I381" s="5" t="str">
        <f>IF(kokpit!I381&lt;&gt;"",kokpit!I381,"")</f>
        <v/>
      </c>
      <c r="J381" s="5" t="str">
        <f>IF(kokpit!J381&lt;&gt;"",kokpit!J381,"")</f>
        <v/>
      </c>
      <c r="K381" s="24" t="str">
        <f>IF(I381&lt;&gt;"",SUMIFS('JPK_KR-1'!AL:AL,'JPK_KR-1'!W:W,J381),"")</f>
        <v/>
      </c>
      <c r="L381" s="141" t="str">
        <f>IF(I381&lt;&gt;"",SUMIFS('JPK_KR-1'!AM:AM,'JPK_KR-1'!W:W,J381),"")</f>
        <v/>
      </c>
      <c r="M381" s="143" t="str">
        <f>IF(kokpit!M381&lt;&gt;"",kokpit!M381,"")</f>
        <v/>
      </c>
      <c r="N381" s="117" t="str">
        <f>IF(kokpit!N381&lt;&gt;"",kokpit!N381,"")</f>
        <v/>
      </c>
      <c r="O381" s="117" t="str">
        <f>IF(kokpit!O381&lt;&gt;"",kokpit!O381,"")</f>
        <v/>
      </c>
      <c r="P381" s="141" t="str">
        <f>IF(M381&lt;&gt;"",IF(O381="",SUMIFS('JPK_KR-1'!AL:AL,'JPK_KR-1'!W:W,N381),SUMIFS('JPK_KR-1'!BF:BF,'JPK_KR-1'!BE:BE,N381,'JPK_KR-1'!BG:BG,O381)),"")</f>
        <v/>
      </c>
      <c r="Q381" s="144" t="str">
        <f>IF(M381&lt;&gt;"",IF(O381="",SUMIFS('JPK_KR-1'!AM:AM,'JPK_KR-1'!W:W,N381),SUMIFS('JPK_KR-1'!BI:BI,'JPK_KR-1'!BH:BH,N381,'JPK_KR-1'!BJ:BJ,O381)),"")</f>
        <v/>
      </c>
      <c r="R381" s="117" t="str">
        <f>IF(kokpit!R381&lt;&gt;"",kokpit!R381,"")</f>
        <v/>
      </c>
      <c r="S381" s="117" t="str">
        <f>IF(kokpit!S381&lt;&gt;"",kokpit!S381,"")</f>
        <v/>
      </c>
      <c r="T381" s="117" t="str">
        <f>IF(kokpit!T381&lt;&gt;"",kokpit!T381,"")</f>
        <v/>
      </c>
      <c r="U381" s="141" t="str">
        <f>IF(R381&lt;&gt;"",SUMIFS('JPK_KR-1'!AL:AL,'JPK_KR-1'!W:W,S381),"")</f>
        <v/>
      </c>
      <c r="V381" s="144" t="str">
        <f>IF(R381&lt;&gt;"",SUMIFS('JPK_KR-1'!AM:AM,'JPK_KR-1'!W:W,S381),"")</f>
        <v/>
      </c>
    </row>
    <row r="382" spans="1:22" x14ac:dyDescent="0.3">
      <c r="A382" s="5" t="str">
        <f>IF(kokpit!A382&lt;&gt;"",kokpit!A382,"")</f>
        <v/>
      </c>
      <c r="B382" s="5" t="str">
        <f>IF(kokpit!B382&lt;&gt;"",kokpit!B382,"")</f>
        <v/>
      </c>
      <c r="C382" s="24" t="str">
        <f>IF(A382&lt;&gt;"",SUMIFS('JPK_KR-1'!AL:AL,'JPK_KR-1'!W:W,B382),"")</f>
        <v/>
      </c>
      <c r="D382" s="126" t="str">
        <f>IF(A382&lt;&gt;"",SUMIFS('JPK_KR-1'!AM:AM,'JPK_KR-1'!W:W,B382),"")</f>
        <v/>
      </c>
      <c r="E382" s="5" t="str">
        <f>IF(kokpit!E382&lt;&gt;"",kokpit!E382,"")</f>
        <v/>
      </c>
      <c r="F382" s="127" t="str">
        <f>IF(kokpit!F382&lt;&gt;"",kokpit!F382,"")</f>
        <v/>
      </c>
      <c r="G382" s="24" t="str">
        <f>IF(E382&lt;&gt;"",SUMIFS('JPK_KR-1'!AL:AL,'JPK_KR-1'!W:W,F382),"")</f>
        <v/>
      </c>
      <c r="H382" s="126" t="str">
        <f>IF(E382&lt;&gt;"",SUMIFS('JPK_KR-1'!AM:AM,'JPK_KR-1'!W:W,F382),"")</f>
        <v/>
      </c>
      <c r="I382" s="5" t="str">
        <f>IF(kokpit!I382&lt;&gt;"",kokpit!I382,"")</f>
        <v/>
      </c>
      <c r="J382" s="5" t="str">
        <f>IF(kokpit!J382&lt;&gt;"",kokpit!J382,"")</f>
        <v/>
      </c>
      <c r="K382" s="24" t="str">
        <f>IF(I382&lt;&gt;"",SUMIFS('JPK_KR-1'!AL:AL,'JPK_KR-1'!W:W,J382),"")</f>
        <v/>
      </c>
      <c r="L382" s="141" t="str">
        <f>IF(I382&lt;&gt;"",SUMIFS('JPK_KR-1'!AM:AM,'JPK_KR-1'!W:W,J382),"")</f>
        <v/>
      </c>
      <c r="M382" s="143" t="str">
        <f>IF(kokpit!M382&lt;&gt;"",kokpit!M382,"")</f>
        <v/>
      </c>
      <c r="N382" s="117" t="str">
        <f>IF(kokpit!N382&lt;&gt;"",kokpit!N382,"")</f>
        <v/>
      </c>
      <c r="O382" s="117" t="str">
        <f>IF(kokpit!O382&lt;&gt;"",kokpit!O382,"")</f>
        <v/>
      </c>
      <c r="P382" s="141" t="str">
        <f>IF(M382&lt;&gt;"",IF(O382="",SUMIFS('JPK_KR-1'!AL:AL,'JPK_KR-1'!W:W,N382),SUMIFS('JPK_KR-1'!BF:BF,'JPK_KR-1'!BE:BE,N382,'JPK_KR-1'!BG:BG,O382)),"")</f>
        <v/>
      </c>
      <c r="Q382" s="144" t="str">
        <f>IF(M382&lt;&gt;"",IF(O382="",SUMIFS('JPK_KR-1'!AM:AM,'JPK_KR-1'!W:W,N382),SUMIFS('JPK_KR-1'!BI:BI,'JPK_KR-1'!BH:BH,N382,'JPK_KR-1'!BJ:BJ,O382)),"")</f>
        <v/>
      </c>
      <c r="R382" s="117" t="str">
        <f>IF(kokpit!R382&lt;&gt;"",kokpit!R382,"")</f>
        <v/>
      </c>
      <c r="S382" s="117" t="str">
        <f>IF(kokpit!S382&lt;&gt;"",kokpit!S382,"")</f>
        <v/>
      </c>
      <c r="T382" s="117" t="str">
        <f>IF(kokpit!T382&lt;&gt;"",kokpit!T382,"")</f>
        <v/>
      </c>
      <c r="U382" s="141" t="str">
        <f>IF(R382&lt;&gt;"",SUMIFS('JPK_KR-1'!AL:AL,'JPK_KR-1'!W:W,S382),"")</f>
        <v/>
      </c>
      <c r="V382" s="144" t="str">
        <f>IF(R382&lt;&gt;"",SUMIFS('JPK_KR-1'!AM:AM,'JPK_KR-1'!W:W,S382),"")</f>
        <v/>
      </c>
    </row>
    <row r="383" spans="1:22" x14ac:dyDescent="0.3">
      <c r="A383" s="5" t="str">
        <f>IF(kokpit!A383&lt;&gt;"",kokpit!A383,"")</f>
        <v/>
      </c>
      <c r="B383" s="5" t="str">
        <f>IF(kokpit!B383&lt;&gt;"",kokpit!B383,"")</f>
        <v/>
      </c>
      <c r="C383" s="24" t="str">
        <f>IF(A383&lt;&gt;"",SUMIFS('JPK_KR-1'!AL:AL,'JPK_KR-1'!W:W,B383),"")</f>
        <v/>
      </c>
      <c r="D383" s="126" t="str">
        <f>IF(A383&lt;&gt;"",SUMIFS('JPK_KR-1'!AM:AM,'JPK_KR-1'!W:W,B383),"")</f>
        <v/>
      </c>
      <c r="E383" s="5" t="str">
        <f>IF(kokpit!E383&lt;&gt;"",kokpit!E383,"")</f>
        <v/>
      </c>
      <c r="F383" s="127" t="str">
        <f>IF(kokpit!F383&lt;&gt;"",kokpit!F383,"")</f>
        <v/>
      </c>
      <c r="G383" s="24" t="str">
        <f>IF(E383&lt;&gt;"",SUMIFS('JPK_KR-1'!AL:AL,'JPK_KR-1'!W:W,F383),"")</f>
        <v/>
      </c>
      <c r="H383" s="126" t="str">
        <f>IF(E383&lt;&gt;"",SUMIFS('JPK_KR-1'!AM:AM,'JPK_KR-1'!W:W,F383),"")</f>
        <v/>
      </c>
      <c r="I383" s="5" t="str">
        <f>IF(kokpit!I383&lt;&gt;"",kokpit!I383,"")</f>
        <v/>
      </c>
      <c r="J383" s="5" t="str">
        <f>IF(kokpit!J383&lt;&gt;"",kokpit!J383,"")</f>
        <v/>
      </c>
      <c r="K383" s="24" t="str">
        <f>IF(I383&lt;&gt;"",SUMIFS('JPK_KR-1'!AL:AL,'JPK_KR-1'!W:W,J383),"")</f>
        <v/>
      </c>
      <c r="L383" s="141" t="str">
        <f>IF(I383&lt;&gt;"",SUMIFS('JPK_KR-1'!AM:AM,'JPK_KR-1'!W:W,J383),"")</f>
        <v/>
      </c>
      <c r="M383" s="143" t="str">
        <f>IF(kokpit!M383&lt;&gt;"",kokpit!M383,"")</f>
        <v/>
      </c>
      <c r="N383" s="117" t="str">
        <f>IF(kokpit!N383&lt;&gt;"",kokpit!N383,"")</f>
        <v/>
      </c>
      <c r="O383" s="117" t="str">
        <f>IF(kokpit!O383&lt;&gt;"",kokpit!O383,"")</f>
        <v/>
      </c>
      <c r="P383" s="141" t="str">
        <f>IF(M383&lt;&gt;"",IF(O383="",SUMIFS('JPK_KR-1'!AL:AL,'JPK_KR-1'!W:W,N383),SUMIFS('JPK_KR-1'!BF:BF,'JPK_KR-1'!BE:BE,N383,'JPK_KR-1'!BG:BG,O383)),"")</f>
        <v/>
      </c>
      <c r="Q383" s="144" t="str">
        <f>IF(M383&lt;&gt;"",IF(O383="",SUMIFS('JPK_KR-1'!AM:AM,'JPK_KR-1'!W:W,N383),SUMIFS('JPK_KR-1'!BI:BI,'JPK_KR-1'!BH:BH,N383,'JPK_KR-1'!BJ:BJ,O383)),"")</f>
        <v/>
      </c>
      <c r="R383" s="117" t="str">
        <f>IF(kokpit!R383&lt;&gt;"",kokpit!R383,"")</f>
        <v/>
      </c>
      <c r="S383" s="117" t="str">
        <f>IF(kokpit!S383&lt;&gt;"",kokpit!S383,"")</f>
        <v/>
      </c>
      <c r="T383" s="117" t="str">
        <f>IF(kokpit!T383&lt;&gt;"",kokpit!T383,"")</f>
        <v/>
      </c>
      <c r="U383" s="141" t="str">
        <f>IF(R383&lt;&gt;"",SUMIFS('JPK_KR-1'!AL:AL,'JPK_KR-1'!W:W,S383),"")</f>
        <v/>
      </c>
      <c r="V383" s="144" t="str">
        <f>IF(R383&lt;&gt;"",SUMIFS('JPK_KR-1'!AM:AM,'JPK_KR-1'!W:W,S383),"")</f>
        <v/>
      </c>
    </row>
    <row r="384" spans="1:22" x14ac:dyDescent="0.3">
      <c r="A384" s="5" t="str">
        <f>IF(kokpit!A384&lt;&gt;"",kokpit!A384,"")</f>
        <v/>
      </c>
      <c r="B384" s="5" t="str">
        <f>IF(kokpit!B384&lt;&gt;"",kokpit!B384,"")</f>
        <v/>
      </c>
      <c r="C384" s="24" t="str">
        <f>IF(A384&lt;&gt;"",SUMIFS('JPK_KR-1'!AL:AL,'JPK_KR-1'!W:W,B384),"")</f>
        <v/>
      </c>
      <c r="D384" s="126" t="str">
        <f>IF(A384&lt;&gt;"",SUMIFS('JPK_KR-1'!AM:AM,'JPK_KR-1'!W:W,B384),"")</f>
        <v/>
      </c>
      <c r="E384" s="5" t="str">
        <f>IF(kokpit!E384&lt;&gt;"",kokpit!E384,"")</f>
        <v/>
      </c>
      <c r="F384" s="127" t="str">
        <f>IF(kokpit!F384&lt;&gt;"",kokpit!F384,"")</f>
        <v/>
      </c>
      <c r="G384" s="24" t="str">
        <f>IF(E384&lt;&gt;"",SUMIFS('JPK_KR-1'!AL:AL,'JPK_KR-1'!W:W,F384),"")</f>
        <v/>
      </c>
      <c r="H384" s="126" t="str">
        <f>IF(E384&lt;&gt;"",SUMIFS('JPK_KR-1'!AM:AM,'JPK_KR-1'!W:W,F384),"")</f>
        <v/>
      </c>
      <c r="I384" s="5" t="str">
        <f>IF(kokpit!I384&lt;&gt;"",kokpit!I384,"")</f>
        <v/>
      </c>
      <c r="J384" s="5" t="str">
        <f>IF(kokpit!J384&lt;&gt;"",kokpit!J384,"")</f>
        <v/>
      </c>
      <c r="K384" s="24" t="str">
        <f>IF(I384&lt;&gt;"",SUMIFS('JPK_KR-1'!AL:AL,'JPK_KR-1'!W:W,J384),"")</f>
        <v/>
      </c>
      <c r="L384" s="141" t="str">
        <f>IF(I384&lt;&gt;"",SUMIFS('JPK_KR-1'!AM:AM,'JPK_KR-1'!W:W,J384),"")</f>
        <v/>
      </c>
      <c r="M384" s="143" t="str">
        <f>IF(kokpit!M384&lt;&gt;"",kokpit!M384,"")</f>
        <v/>
      </c>
      <c r="N384" s="117" t="str">
        <f>IF(kokpit!N384&lt;&gt;"",kokpit!N384,"")</f>
        <v/>
      </c>
      <c r="O384" s="117" t="str">
        <f>IF(kokpit!O384&lt;&gt;"",kokpit!O384,"")</f>
        <v/>
      </c>
      <c r="P384" s="141" t="str">
        <f>IF(M384&lt;&gt;"",IF(O384="",SUMIFS('JPK_KR-1'!AL:AL,'JPK_KR-1'!W:W,N384),SUMIFS('JPK_KR-1'!BF:BF,'JPK_KR-1'!BE:BE,N384,'JPK_KR-1'!BG:BG,O384)),"")</f>
        <v/>
      </c>
      <c r="Q384" s="144" t="str">
        <f>IF(M384&lt;&gt;"",IF(O384="",SUMIFS('JPK_KR-1'!AM:AM,'JPK_KR-1'!W:W,N384),SUMIFS('JPK_KR-1'!BI:BI,'JPK_KR-1'!BH:BH,N384,'JPK_KR-1'!BJ:BJ,O384)),"")</f>
        <v/>
      </c>
      <c r="R384" s="117" t="str">
        <f>IF(kokpit!R384&lt;&gt;"",kokpit!R384,"")</f>
        <v/>
      </c>
      <c r="S384" s="117" t="str">
        <f>IF(kokpit!S384&lt;&gt;"",kokpit!S384,"")</f>
        <v/>
      </c>
      <c r="T384" s="117" t="str">
        <f>IF(kokpit!T384&lt;&gt;"",kokpit!T384,"")</f>
        <v/>
      </c>
      <c r="U384" s="141" t="str">
        <f>IF(R384&lt;&gt;"",SUMIFS('JPK_KR-1'!AL:AL,'JPK_KR-1'!W:W,S384),"")</f>
        <v/>
      </c>
      <c r="V384" s="144" t="str">
        <f>IF(R384&lt;&gt;"",SUMIFS('JPK_KR-1'!AM:AM,'JPK_KR-1'!W:W,S384),"")</f>
        <v/>
      </c>
    </row>
    <row r="385" spans="1:22" x14ac:dyDescent="0.3">
      <c r="A385" s="5" t="str">
        <f>IF(kokpit!A385&lt;&gt;"",kokpit!A385,"")</f>
        <v/>
      </c>
      <c r="B385" s="5" t="str">
        <f>IF(kokpit!B385&lt;&gt;"",kokpit!B385,"")</f>
        <v/>
      </c>
      <c r="C385" s="24" t="str">
        <f>IF(A385&lt;&gt;"",SUMIFS('JPK_KR-1'!AL:AL,'JPK_KR-1'!W:W,B385),"")</f>
        <v/>
      </c>
      <c r="D385" s="126" t="str">
        <f>IF(A385&lt;&gt;"",SUMIFS('JPK_KR-1'!AM:AM,'JPK_KR-1'!W:W,B385),"")</f>
        <v/>
      </c>
      <c r="E385" s="5" t="str">
        <f>IF(kokpit!E385&lt;&gt;"",kokpit!E385,"")</f>
        <v/>
      </c>
      <c r="F385" s="127" t="str">
        <f>IF(kokpit!F385&lt;&gt;"",kokpit!F385,"")</f>
        <v/>
      </c>
      <c r="G385" s="24" t="str">
        <f>IF(E385&lt;&gt;"",SUMIFS('JPK_KR-1'!AL:AL,'JPK_KR-1'!W:W,F385),"")</f>
        <v/>
      </c>
      <c r="H385" s="126" t="str">
        <f>IF(E385&lt;&gt;"",SUMIFS('JPK_KR-1'!AM:AM,'JPK_KR-1'!W:W,F385),"")</f>
        <v/>
      </c>
      <c r="I385" s="5" t="str">
        <f>IF(kokpit!I385&lt;&gt;"",kokpit!I385,"")</f>
        <v/>
      </c>
      <c r="J385" s="5" t="str">
        <f>IF(kokpit!J385&lt;&gt;"",kokpit!J385,"")</f>
        <v/>
      </c>
      <c r="K385" s="24" t="str">
        <f>IF(I385&lt;&gt;"",SUMIFS('JPK_KR-1'!AL:AL,'JPK_KR-1'!W:W,J385),"")</f>
        <v/>
      </c>
      <c r="L385" s="141" t="str">
        <f>IF(I385&lt;&gt;"",SUMIFS('JPK_KR-1'!AM:AM,'JPK_KR-1'!W:W,J385),"")</f>
        <v/>
      </c>
      <c r="M385" s="143" t="str">
        <f>IF(kokpit!M385&lt;&gt;"",kokpit!M385,"")</f>
        <v/>
      </c>
      <c r="N385" s="117" t="str">
        <f>IF(kokpit!N385&lt;&gt;"",kokpit!N385,"")</f>
        <v/>
      </c>
      <c r="O385" s="117" t="str">
        <f>IF(kokpit!O385&lt;&gt;"",kokpit!O385,"")</f>
        <v/>
      </c>
      <c r="P385" s="141" t="str">
        <f>IF(M385&lt;&gt;"",IF(O385="",SUMIFS('JPK_KR-1'!AL:AL,'JPK_KR-1'!W:W,N385),SUMIFS('JPK_KR-1'!BF:BF,'JPK_KR-1'!BE:BE,N385,'JPK_KR-1'!BG:BG,O385)),"")</f>
        <v/>
      </c>
      <c r="Q385" s="144" t="str">
        <f>IF(M385&lt;&gt;"",IF(O385="",SUMIFS('JPK_KR-1'!AM:AM,'JPK_KR-1'!W:W,N385),SUMIFS('JPK_KR-1'!BI:BI,'JPK_KR-1'!BH:BH,N385,'JPK_KR-1'!BJ:BJ,O385)),"")</f>
        <v/>
      </c>
      <c r="R385" s="117" t="str">
        <f>IF(kokpit!R385&lt;&gt;"",kokpit!R385,"")</f>
        <v/>
      </c>
      <c r="S385" s="117" t="str">
        <f>IF(kokpit!S385&lt;&gt;"",kokpit!S385,"")</f>
        <v/>
      </c>
      <c r="T385" s="117" t="str">
        <f>IF(kokpit!T385&lt;&gt;"",kokpit!T385,"")</f>
        <v/>
      </c>
      <c r="U385" s="141" t="str">
        <f>IF(R385&lt;&gt;"",SUMIFS('JPK_KR-1'!AL:AL,'JPK_KR-1'!W:W,S385),"")</f>
        <v/>
      </c>
      <c r="V385" s="144" t="str">
        <f>IF(R385&lt;&gt;"",SUMIFS('JPK_KR-1'!AM:AM,'JPK_KR-1'!W:W,S385),"")</f>
        <v/>
      </c>
    </row>
    <row r="386" spans="1:22" x14ac:dyDescent="0.3">
      <c r="A386" s="5" t="str">
        <f>IF(kokpit!A386&lt;&gt;"",kokpit!A386,"")</f>
        <v/>
      </c>
      <c r="B386" s="5" t="str">
        <f>IF(kokpit!B386&lt;&gt;"",kokpit!B386,"")</f>
        <v/>
      </c>
      <c r="C386" s="24" t="str">
        <f>IF(A386&lt;&gt;"",SUMIFS('JPK_KR-1'!AL:AL,'JPK_KR-1'!W:W,B386),"")</f>
        <v/>
      </c>
      <c r="D386" s="126" t="str">
        <f>IF(A386&lt;&gt;"",SUMIFS('JPK_KR-1'!AM:AM,'JPK_KR-1'!W:W,B386),"")</f>
        <v/>
      </c>
      <c r="E386" s="5" t="str">
        <f>IF(kokpit!E386&lt;&gt;"",kokpit!E386,"")</f>
        <v/>
      </c>
      <c r="F386" s="127" t="str">
        <f>IF(kokpit!F386&lt;&gt;"",kokpit!F386,"")</f>
        <v/>
      </c>
      <c r="G386" s="24" t="str">
        <f>IF(E386&lt;&gt;"",SUMIFS('JPK_KR-1'!AL:AL,'JPK_KR-1'!W:W,F386),"")</f>
        <v/>
      </c>
      <c r="H386" s="126" t="str">
        <f>IF(E386&lt;&gt;"",SUMIFS('JPK_KR-1'!AM:AM,'JPK_KR-1'!W:W,F386),"")</f>
        <v/>
      </c>
      <c r="I386" s="5" t="str">
        <f>IF(kokpit!I386&lt;&gt;"",kokpit!I386,"")</f>
        <v/>
      </c>
      <c r="J386" s="5" t="str">
        <f>IF(kokpit!J386&lt;&gt;"",kokpit!J386,"")</f>
        <v/>
      </c>
      <c r="K386" s="24" t="str">
        <f>IF(I386&lt;&gt;"",SUMIFS('JPK_KR-1'!AL:AL,'JPK_KR-1'!W:W,J386),"")</f>
        <v/>
      </c>
      <c r="L386" s="141" t="str">
        <f>IF(I386&lt;&gt;"",SUMIFS('JPK_KR-1'!AM:AM,'JPK_KR-1'!W:W,J386),"")</f>
        <v/>
      </c>
      <c r="M386" s="143" t="str">
        <f>IF(kokpit!M386&lt;&gt;"",kokpit!M386,"")</f>
        <v/>
      </c>
      <c r="N386" s="117" t="str">
        <f>IF(kokpit!N386&lt;&gt;"",kokpit!N386,"")</f>
        <v/>
      </c>
      <c r="O386" s="117" t="str">
        <f>IF(kokpit!O386&lt;&gt;"",kokpit!O386,"")</f>
        <v/>
      </c>
      <c r="P386" s="141" t="str">
        <f>IF(M386&lt;&gt;"",IF(O386="",SUMIFS('JPK_KR-1'!AL:AL,'JPK_KR-1'!W:W,N386),SUMIFS('JPK_KR-1'!BF:BF,'JPK_KR-1'!BE:BE,N386,'JPK_KR-1'!BG:BG,O386)),"")</f>
        <v/>
      </c>
      <c r="Q386" s="144" t="str">
        <f>IF(M386&lt;&gt;"",IF(O386="",SUMIFS('JPK_KR-1'!AM:AM,'JPK_KR-1'!W:W,N386),SUMIFS('JPK_KR-1'!BI:BI,'JPK_KR-1'!BH:BH,N386,'JPK_KR-1'!BJ:BJ,O386)),"")</f>
        <v/>
      </c>
      <c r="R386" s="117" t="str">
        <f>IF(kokpit!R386&lt;&gt;"",kokpit!R386,"")</f>
        <v/>
      </c>
      <c r="S386" s="117" t="str">
        <f>IF(kokpit!S386&lt;&gt;"",kokpit!S386,"")</f>
        <v/>
      </c>
      <c r="T386" s="117" t="str">
        <f>IF(kokpit!T386&lt;&gt;"",kokpit!T386,"")</f>
        <v/>
      </c>
      <c r="U386" s="141" t="str">
        <f>IF(R386&lt;&gt;"",SUMIFS('JPK_KR-1'!AL:AL,'JPK_KR-1'!W:W,S386),"")</f>
        <v/>
      </c>
      <c r="V386" s="144" t="str">
        <f>IF(R386&lt;&gt;"",SUMIFS('JPK_KR-1'!AM:AM,'JPK_KR-1'!W:W,S386),"")</f>
        <v/>
      </c>
    </row>
    <row r="387" spans="1:22" x14ac:dyDescent="0.3">
      <c r="A387" s="5" t="str">
        <f>IF(kokpit!A387&lt;&gt;"",kokpit!A387,"")</f>
        <v/>
      </c>
      <c r="B387" s="5" t="str">
        <f>IF(kokpit!B387&lt;&gt;"",kokpit!B387,"")</f>
        <v/>
      </c>
      <c r="C387" s="24" t="str">
        <f>IF(A387&lt;&gt;"",SUMIFS('JPK_KR-1'!AL:AL,'JPK_KR-1'!W:W,B387),"")</f>
        <v/>
      </c>
      <c r="D387" s="126" t="str">
        <f>IF(A387&lt;&gt;"",SUMIFS('JPK_KR-1'!AM:AM,'JPK_KR-1'!W:W,B387),"")</f>
        <v/>
      </c>
      <c r="E387" s="5" t="str">
        <f>IF(kokpit!E387&lt;&gt;"",kokpit!E387,"")</f>
        <v/>
      </c>
      <c r="F387" s="127" t="str">
        <f>IF(kokpit!F387&lt;&gt;"",kokpit!F387,"")</f>
        <v/>
      </c>
      <c r="G387" s="24" t="str">
        <f>IF(E387&lt;&gt;"",SUMIFS('JPK_KR-1'!AL:AL,'JPK_KR-1'!W:W,F387),"")</f>
        <v/>
      </c>
      <c r="H387" s="126" t="str">
        <f>IF(E387&lt;&gt;"",SUMIFS('JPK_KR-1'!AM:AM,'JPK_KR-1'!W:W,F387),"")</f>
        <v/>
      </c>
      <c r="I387" s="5" t="str">
        <f>IF(kokpit!I387&lt;&gt;"",kokpit!I387,"")</f>
        <v/>
      </c>
      <c r="J387" s="5" t="str">
        <f>IF(kokpit!J387&lt;&gt;"",kokpit!J387,"")</f>
        <v/>
      </c>
      <c r="K387" s="24" t="str">
        <f>IF(I387&lt;&gt;"",SUMIFS('JPK_KR-1'!AL:AL,'JPK_KR-1'!W:W,J387),"")</f>
        <v/>
      </c>
      <c r="L387" s="141" t="str">
        <f>IF(I387&lt;&gt;"",SUMIFS('JPK_KR-1'!AM:AM,'JPK_KR-1'!W:W,J387),"")</f>
        <v/>
      </c>
      <c r="M387" s="143" t="str">
        <f>IF(kokpit!M387&lt;&gt;"",kokpit!M387,"")</f>
        <v/>
      </c>
      <c r="N387" s="117" t="str">
        <f>IF(kokpit!N387&lt;&gt;"",kokpit!N387,"")</f>
        <v/>
      </c>
      <c r="O387" s="117" t="str">
        <f>IF(kokpit!O387&lt;&gt;"",kokpit!O387,"")</f>
        <v/>
      </c>
      <c r="P387" s="141" t="str">
        <f>IF(M387&lt;&gt;"",IF(O387="",SUMIFS('JPK_KR-1'!AL:AL,'JPK_KR-1'!W:W,N387),SUMIFS('JPK_KR-1'!BF:BF,'JPK_KR-1'!BE:BE,N387,'JPK_KR-1'!BG:BG,O387)),"")</f>
        <v/>
      </c>
      <c r="Q387" s="144" t="str">
        <f>IF(M387&lt;&gt;"",IF(O387="",SUMIFS('JPK_KR-1'!AM:AM,'JPK_KR-1'!W:W,N387),SUMIFS('JPK_KR-1'!BI:BI,'JPK_KR-1'!BH:BH,N387,'JPK_KR-1'!BJ:BJ,O387)),"")</f>
        <v/>
      </c>
      <c r="R387" s="117" t="str">
        <f>IF(kokpit!R387&lt;&gt;"",kokpit!R387,"")</f>
        <v/>
      </c>
      <c r="S387" s="117" t="str">
        <f>IF(kokpit!S387&lt;&gt;"",kokpit!S387,"")</f>
        <v/>
      </c>
      <c r="T387" s="117" t="str">
        <f>IF(kokpit!T387&lt;&gt;"",kokpit!T387,"")</f>
        <v/>
      </c>
      <c r="U387" s="141" t="str">
        <f>IF(R387&lt;&gt;"",SUMIFS('JPK_KR-1'!AL:AL,'JPK_KR-1'!W:W,S387),"")</f>
        <v/>
      </c>
      <c r="V387" s="144" t="str">
        <f>IF(R387&lt;&gt;"",SUMIFS('JPK_KR-1'!AM:AM,'JPK_KR-1'!W:W,S387),"")</f>
        <v/>
      </c>
    </row>
    <row r="388" spans="1:22" x14ac:dyDescent="0.3">
      <c r="A388" s="5" t="str">
        <f>IF(kokpit!A388&lt;&gt;"",kokpit!A388,"")</f>
        <v/>
      </c>
      <c r="B388" s="5" t="str">
        <f>IF(kokpit!B388&lt;&gt;"",kokpit!B388,"")</f>
        <v/>
      </c>
      <c r="C388" s="24" t="str">
        <f>IF(A388&lt;&gt;"",SUMIFS('JPK_KR-1'!AL:AL,'JPK_KR-1'!W:W,B388),"")</f>
        <v/>
      </c>
      <c r="D388" s="126" t="str">
        <f>IF(A388&lt;&gt;"",SUMIFS('JPK_KR-1'!AM:AM,'JPK_KR-1'!W:W,B388),"")</f>
        <v/>
      </c>
      <c r="E388" s="5" t="str">
        <f>IF(kokpit!E388&lt;&gt;"",kokpit!E388,"")</f>
        <v/>
      </c>
      <c r="F388" s="127" t="str">
        <f>IF(kokpit!F388&lt;&gt;"",kokpit!F388,"")</f>
        <v/>
      </c>
      <c r="G388" s="24" t="str">
        <f>IF(E388&lt;&gt;"",SUMIFS('JPK_KR-1'!AL:AL,'JPK_KR-1'!W:W,F388),"")</f>
        <v/>
      </c>
      <c r="H388" s="126" t="str">
        <f>IF(E388&lt;&gt;"",SUMIFS('JPK_KR-1'!AM:AM,'JPK_KR-1'!W:W,F388),"")</f>
        <v/>
      </c>
      <c r="I388" s="5" t="str">
        <f>IF(kokpit!I388&lt;&gt;"",kokpit!I388,"")</f>
        <v/>
      </c>
      <c r="J388" s="5" t="str">
        <f>IF(kokpit!J388&lt;&gt;"",kokpit!J388,"")</f>
        <v/>
      </c>
      <c r="K388" s="24" t="str">
        <f>IF(I388&lt;&gt;"",SUMIFS('JPK_KR-1'!AL:AL,'JPK_KR-1'!W:W,J388),"")</f>
        <v/>
      </c>
      <c r="L388" s="141" t="str">
        <f>IF(I388&lt;&gt;"",SUMIFS('JPK_KR-1'!AM:AM,'JPK_KR-1'!W:W,J388),"")</f>
        <v/>
      </c>
      <c r="M388" s="143" t="str">
        <f>IF(kokpit!M388&lt;&gt;"",kokpit!M388,"")</f>
        <v/>
      </c>
      <c r="N388" s="117" t="str">
        <f>IF(kokpit!N388&lt;&gt;"",kokpit!N388,"")</f>
        <v/>
      </c>
      <c r="O388" s="117" t="str">
        <f>IF(kokpit!O388&lt;&gt;"",kokpit!O388,"")</f>
        <v/>
      </c>
      <c r="P388" s="141" t="str">
        <f>IF(M388&lt;&gt;"",IF(O388="",SUMIFS('JPK_KR-1'!AL:AL,'JPK_KR-1'!W:W,N388),SUMIFS('JPK_KR-1'!BF:BF,'JPK_KR-1'!BE:BE,N388,'JPK_KR-1'!BG:BG,O388)),"")</f>
        <v/>
      </c>
      <c r="Q388" s="144" t="str">
        <f>IF(M388&lt;&gt;"",IF(O388="",SUMIFS('JPK_KR-1'!AM:AM,'JPK_KR-1'!W:W,N388),SUMIFS('JPK_KR-1'!BI:BI,'JPK_KR-1'!BH:BH,N388,'JPK_KR-1'!BJ:BJ,O388)),"")</f>
        <v/>
      </c>
      <c r="R388" s="117" t="str">
        <f>IF(kokpit!R388&lt;&gt;"",kokpit!R388,"")</f>
        <v/>
      </c>
      <c r="S388" s="117" t="str">
        <f>IF(kokpit!S388&lt;&gt;"",kokpit!S388,"")</f>
        <v/>
      </c>
      <c r="T388" s="117" t="str">
        <f>IF(kokpit!T388&lt;&gt;"",kokpit!T388,"")</f>
        <v/>
      </c>
      <c r="U388" s="141" t="str">
        <f>IF(R388&lt;&gt;"",SUMIFS('JPK_KR-1'!AL:AL,'JPK_KR-1'!W:W,S388),"")</f>
        <v/>
      </c>
      <c r="V388" s="144" t="str">
        <f>IF(R388&lt;&gt;"",SUMIFS('JPK_KR-1'!AM:AM,'JPK_KR-1'!W:W,S388),"")</f>
        <v/>
      </c>
    </row>
    <row r="389" spans="1:22" x14ac:dyDescent="0.3">
      <c r="A389" s="5" t="str">
        <f>IF(kokpit!A389&lt;&gt;"",kokpit!A389,"")</f>
        <v/>
      </c>
      <c r="B389" s="5" t="str">
        <f>IF(kokpit!B389&lt;&gt;"",kokpit!B389,"")</f>
        <v/>
      </c>
      <c r="C389" s="24" t="str">
        <f>IF(A389&lt;&gt;"",SUMIFS('JPK_KR-1'!AL:AL,'JPK_KR-1'!W:W,B389),"")</f>
        <v/>
      </c>
      <c r="D389" s="126" t="str">
        <f>IF(A389&lt;&gt;"",SUMIFS('JPK_KR-1'!AM:AM,'JPK_KR-1'!W:W,B389),"")</f>
        <v/>
      </c>
      <c r="E389" s="5" t="str">
        <f>IF(kokpit!E389&lt;&gt;"",kokpit!E389,"")</f>
        <v/>
      </c>
      <c r="F389" s="127" t="str">
        <f>IF(kokpit!F389&lt;&gt;"",kokpit!F389,"")</f>
        <v/>
      </c>
      <c r="G389" s="24" t="str">
        <f>IF(E389&lt;&gt;"",SUMIFS('JPK_KR-1'!AL:AL,'JPK_KR-1'!W:W,F389),"")</f>
        <v/>
      </c>
      <c r="H389" s="126" t="str">
        <f>IF(E389&lt;&gt;"",SUMIFS('JPK_KR-1'!AM:AM,'JPK_KR-1'!W:W,F389),"")</f>
        <v/>
      </c>
      <c r="I389" s="5" t="str">
        <f>IF(kokpit!I389&lt;&gt;"",kokpit!I389,"")</f>
        <v/>
      </c>
      <c r="J389" s="5" t="str">
        <f>IF(kokpit!J389&lt;&gt;"",kokpit!J389,"")</f>
        <v/>
      </c>
      <c r="K389" s="24" t="str">
        <f>IF(I389&lt;&gt;"",SUMIFS('JPK_KR-1'!AL:AL,'JPK_KR-1'!W:W,J389),"")</f>
        <v/>
      </c>
      <c r="L389" s="141" t="str">
        <f>IF(I389&lt;&gt;"",SUMIFS('JPK_KR-1'!AM:AM,'JPK_KR-1'!W:W,J389),"")</f>
        <v/>
      </c>
      <c r="M389" s="143" t="str">
        <f>IF(kokpit!M389&lt;&gt;"",kokpit!M389,"")</f>
        <v/>
      </c>
      <c r="N389" s="117" t="str">
        <f>IF(kokpit!N389&lt;&gt;"",kokpit!N389,"")</f>
        <v/>
      </c>
      <c r="O389" s="117" t="str">
        <f>IF(kokpit!O389&lt;&gt;"",kokpit!O389,"")</f>
        <v/>
      </c>
      <c r="P389" s="141" t="str">
        <f>IF(M389&lt;&gt;"",IF(O389="",SUMIFS('JPK_KR-1'!AL:AL,'JPK_KR-1'!W:W,N389),SUMIFS('JPK_KR-1'!BF:BF,'JPK_KR-1'!BE:BE,N389,'JPK_KR-1'!BG:BG,O389)),"")</f>
        <v/>
      </c>
      <c r="Q389" s="144" t="str">
        <f>IF(M389&lt;&gt;"",IF(O389="",SUMIFS('JPK_KR-1'!AM:AM,'JPK_KR-1'!W:W,N389),SUMIFS('JPK_KR-1'!BI:BI,'JPK_KR-1'!BH:BH,N389,'JPK_KR-1'!BJ:BJ,O389)),"")</f>
        <v/>
      </c>
      <c r="R389" s="117" t="str">
        <f>IF(kokpit!R389&lt;&gt;"",kokpit!R389,"")</f>
        <v/>
      </c>
      <c r="S389" s="117" t="str">
        <f>IF(kokpit!S389&lt;&gt;"",kokpit!S389,"")</f>
        <v/>
      </c>
      <c r="T389" s="117" t="str">
        <f>IF(kokpit!T389&lt;&gt;"",kokpit!T389,"")</f>
        <v/>
      </c>
      <c r="U389" s="141" t="str">
        <f>IF(R389&lt;&gt;"",SUMIFS('JPK_KR-1'!AL:AL,'JPK_KR-1'!W:W,S389),"")</f>
        <v/>
      </c>
      <c r="V389" s="144" t="str">
        <f>IF(R389&lt;&gt;"",SUMIFS('JPK_KR-1'!AM:AM,'JPK_KR-1'!W:W,S389),"")</f>
        <v/>
      </c>
    </row>
    <row r="390" spans="1:22" x14ac:dyDescent="0.3">
      <c r="A390" s="5" t="str">
        <f>IF(kokpit!A390&lt;&gt;"",kokpit!A390,"")</f>
        <v/>
      </c>
      <c r="B390" s="5" t="str">
        <f>IF(kokpit!B390&lt;&gt;"",kokpit!B390,"")</f>
        <v/>
      </c>
      <c r="C390" s="24" t="str">
        <f>IF(A390&lt;&gt;"",SUMIFS('JPK_KR-1'!AL:AL,'JPK_KR-1'!W:W,B390),"")</f>
        <v/>
      </c>
      <c r="D390" s="126" t="str">
        <f>IF(A390&lt;&gt;"",SUMIFS('JPK_KR-1'!AM:AM,'JPK_KR-1'!W:W,B390),"")</f>
        <v/>
      </c>
      <c r="E390" s="5" t="str">
        <f>IF(kokpit!E390&lt;&gt;"",kokpit!E390,"")</f>
        <v/>
      </c>
      <c r="F390" s="127" t="str">
        <f>IF(kokpit!F390&lt;&gt;"",kokpit!F390,"")</f>
        <v/>
      </c>
      <c r="G390" s="24" t="str">
        <f>IF(E390&lt;&gt;"",SUMIFS('JPK_KR-1'!AL:AL,'JPK_KR-1'!W:W,F390),"")</f>
        <v/>
      </c>
      <c r="H390" s="126" t="str">
        <f>IF(E390&lt;&gt;"",SUMIFS('JPK_KR-1'!AM:AM,'JPK_KR-1'!W:W,F390),"")</f>
        <v/>
      </c>
      <c r="I390" s="5" t="str">
        <f>IF(kokpit!I390&lt;&gt;"",kokpit!I390,"")</f>
        <v/>
      </c>
      <c r="J390" s="5" t="str">
        <f>IF(kokpit!J390&lt;&gt;"",kokpit!J390,"")</f>
        <v/>
      </c>
      <c r="K390" s="24" t="str">
        <f>IF(I390&lt;&gt;"",SUMIFS('JPK_KR-1'!AL:AL,'JPK_KR-1'!W:W,J390),"")</f>
        <v/>
      </c>
      <c r="L390" s="141" t="str">
        <f>IF(I390&lt;&gt;"",SUMIFS('JPK_KR-1'!AM:AM,'JPK_KR-1'!W:W,J390),"")</f>
        <v/>
      </c>
      <c r="M390" s="143" t="str">
        <f>IF(kokpit!M390&lt;&gt;"",kokpit!M390,"")</f>
        <v/>
      </c>
      <c r="N390" s="117" t="str">
        <f>IF(kokpit!N390&lt;&gt;"",kokpit!N390,"")</f>
        <v/>
      </c>
      <c r="O390" s="117" t="str">
        <f>IF(kokpit!O390&lt;&gt;"",kokpit!O390,"")</f>
        <v/>
      </c>
      <c r="P390" s="141" t="str">
        <f>IF(M390&lt;&gt;"",IF(O390="",SUMIFS('JPK_KR-1'!AL:AL,'JPK_KR-1'!W:W,N390),SUMIFS('JPK_KR-1'!BF:BF,'JPK_KR-1'!BE:BE,N390,'JPK_KR-1'!BG:BG,O390)),"")</f>
        <v/>
      </c>
      <c r="Q390" s="144" t="str">
        <f>IF(M390&lt;&gt;"",IF(O390="",SUMIFS('JPK_KR-1'!AM:AM,'JPK_KR-1'!W:W,N390),SUMIFS('JPK_KR-1'!BI:BI,'JPK_KR-1'!BH:BH,N390,'JPK_KR-1'!BJ:BJ,O390)),"")</f>
        <v/>
      </c>
      <c r="R390" s="117" t="str">
        <f>IF(kokpit!R390&lt;&gt;"",kokpit!R390,"")</f>
        <v/>
      </c>
      <c r="S390" s="117" t="str">
        <f>IF(kokpit!S390&lt;&gt;"",kokpit!S390,"")</f>
        <v/>
      </c>
      <c r="T390" s="117" t="str">
        <f>IF(kokpit!T390&lt;&gt;"",kokpit!T390,"")</f>
        <v/>
      </c>
      <c r="U390" s="141" t="str">
        <f>IF(R390&lt;&gt;"",SUMIFS('JPK_KR-1'!AL:AL,'JPK_KR-1'!W:W,S390),"")</f>
        <v/>
      </c>
      <c r="V390" s="144" t="str">
        <f>IF(R390&lt;&gt;"",SUMIFS('JPK_KR-1'!AM:AM,'JPK_KR-1'!W:W,S390),"")</f>
        <v/>
      </c>
    </row>
    <row r="391" spans="1:22" x14ac:dyDescent="0.3">
      <c r="A391" s="5" t="str">
        <f>IF(kokpit!A391&lt;&gt;"",kokpit!A391,"")</f>
        <v/>
      </c>
      <c r="B391" s="5" t="str">
        <f>IF(kokpit!B391&lt;&gt;"",kokpit!B391,"")</f>
        <v/>
      </c>
      <c r="C391" s="24" t="str">
        <f>IF(A391&lt;&gt;"",SUMIFS('JPK_KR-1'!AL:AL,'JPK_KR-1'!W:W,B391),"")</f>
        <v/>
      </c>
      <c r="D391" s="126" t="str">
        <f>IF(A391&lt;&gt;"",SUMIFS('JPK_KR-1'!AM:AM,'JPK_KR-1'!W:W,B391),"")</f>
        <v/>
      </c>
      <c r="E391" s="5" t="str">
        <f>IF(kokpit!E391&lt;&gt;"",kokpit!E391,"")</f>
        <v/>
      </c>
      <c r="F391" s="127" t="str">
        <f>IF(kokpit!F391&lt;&gt;"",kokpit!F391,"")</f>
        <v/>
      </c>
      <c r="G391" s="24" t="str">
        <f>IF(E391&lt;&gt;"",SUMIFS('JPK_KR-1'!AL:AL,'JPK_KR-1'!W:W,F391),"")</f>
        <v/>
      </c>
      <c r="H391" s="126" t="str">
        <f>IF(E391&lt;&gt;"",SUMIFS('JPK_KR-1'!AM:AM,'JPK_KR-1'!W:W,F391),"")</f>
        <v/>
      </c>
      <c r="I391" s="5" t="str">
        <f>IF(kokpit!I391&lt;&gt;"",kokpit!I391,"")</f>
        <v/>
      </c>
      <c r="J391" s="5" t="str">
        <f>IF(kokpit!J391&lt;&gt;"",kokpit!J391,"")</f>
        <v/>
      </c>
      <c r="K391" s="24" t="str">
        <f>IF(I391&lt;&gt;"",SUMIFS('JPK_KR-1'!AL:AL,'JPK_KR-1'!W:W,J391),"")</f>
        <v/>
      </c>
      <c r="L391" s="141" t="str">
        <f>IF(I391&lt;&gt;"",SUMIFS('JPK_KR-1'!AM:AM,'JPK_KR-1'!W:W,J391),"")</f>
        <v/>
      </c>
      <c r="M391" s="143" t="str">
        <f>IF(kokpit!M391&lt;&gt;"",kokpit!M391,"")</f>
        <v/>
      </c>
      <c r="N391" s="117" t="str">
        <f>IF(kokpit!N391&lt;&gt;"",kokpit!N391,"")</f>
        <v/>
      </c>
      <c r="O391" s="117" t="str">
        <f>IF(kokpit!O391&lt;&gt;"",kokpit!O391,"")</f>
        <v/>
      </c>
      <c r="P391" s="141" t="str">
        <f>IF(M391&lt;&gt;"",IF(O391="",SUMIFS('JPK_KR-1'!AL:AL,'JPK_KR-1'!W:W,N391),SUMIFS('JPK_KR-1'!BF:BF,'JPK_KR-1'!BE:BE,N391,'JPK_KR-1'!BG:BG,O391)),"")</f>
        <v/>
      </c>
      <c r="Q391" s="144" t="str">
        <f>IF(M391&lt;&gt;"",IF(O391="",SUMIFS('JPK_KR-1'!AM:AM,'JPK_KR-1'!W:W,N391),SUMIFS('JPK_KR-1'!BI:BI,'JPK_KR-1'!BH:BH,N391,'JPK_KR-1'!BJ:BJ,O391)),"")</f>
        <v/>
      </c>
      <c r="R391" s="117" t="str">
        <f>IF(kokpit!R391&lt;&gt;"",kokpit!R391,"")</f>
        <v/>
      </c>
      <c r="S391" s="117" t="str">
        <f>IF(kokpit!S391&lt;&gt;"",kokpit!S391,"")</f>
        <v/>
      </c>
      <c r="T391" s="117" t="str">
        <f>IF(kokpit!T391&lt;&gt;"",kokpit!T391,"")</f>
        <v/>
      </c>
      <c r="U391" s="141" t="str">
        <f>IF(R391&lt;&gt;"",SUMIFS('JPK_KR-1'!AL:AL,'JPK_KR-1'!W:W,S391),"")</f>
        <v/>
      </c>
      <c r="V391" s="144" t="str">
        <f>IF(R391&lt;&gt;"",SUMIFS('JPK_KR-1'!AM:AM,'JPK_KR-1'!W:W,S391),"")</f>
        <v/>
      </c>
    </row>
    <row r="392" spans="1:22" x14ac:dyDescent="0.3">
      <c r="A392" s="5" t="str">
        <f>IF(kokpit!A392&lt;&gt;"",kokpit!A392,"")</f>
        <v/>
      </c>
      <c r="B392" s="5" t="str">
        <f>IF(kokpit!B392&lt;&gt;"",kokpit!B392,"")</f>
        <v/>
      </c>
      <c r="C392" s="24" t="str">
        <f>IF(A392&lt;&gt;"",SUMIFS('JPK_KR-1'!AL:AL,'JPK_KR-1'!W:W,B392),"")</f>
        <v/>
      </c>
      <c r="D392" s="126" t="str">
        <f>IF(A392&lt;&gt;"",SUMIFS('JPK_KR-1'!AM:AM,'JPK_KR-1'!W:W,B392),"")</f>
        <v/>
      </c>
      <c r="E392" s="5" t="str">
        <f>IF(kokpit!E392&lt;&gt;"",kokpit!E392,"")</f>
        <v/>
      </c>
      <c r="F392" s="127" t="str">
        <f>IF(kokpit!F392&lt;&gt;"",kokpit!F392,"")</f>
        <v/>
      </c>
      <c r="G392" s="24" t="str">
        <f>IF(E392&lt;&gt;"",SUMIFS('JPK_KR-1'!AL:AL,'JPK_KR-1'!W:W,F392),"")</f>
        <v/>
      </c>
      <c r="H392" s="126" t="str">
        <f>IF(E392&lt;&gt;"",SUMIFS('JPK_KR-1'!AM:AM,'JPK_KR-1'!W:W,F392),"")</f>
        <v/>
      </c>
      <c r="I392" s="5" t="str">
        <f>IF(kokpit!I392&lt;&gt;"",kokpit!I392,"")</f>
        <v/>
      </c>
      <c r="J392" s="5" t="str">
        <f>IF(kokpit!J392&lt;&gt;"",kokpit!J392,"")</f>
        <v/>
      </c>
      <c r="K392" s="24" t="str">
        <f>IF(I392&lt;&gt;"",SUMIFS('JPK_KR-1'!AL:AL,'JPK_KR-1'!W:W,J392),"")</f>
        <v/>
      </c>
      <c r="L392" s="141" t="str">
        <f>IF(I392&lt;&gt;"",SUMIFS('JPK_KR-1'!AM:AM,'JPK_KR-1'!W:W,J392),"")</f>
        <v/>
      </c>
      <c r="M392" s="143" t="str">
        <f>IF(kokpit!M392&lt;&gt;"",kokpit!M392,"")</f>
        <v/>
      </c>
      <c r="N392" s="117" t="str">
        <f>IF(kokpit!N392&lt;&gt;"",kokpit!N392,"")</f>
        <v/>
      </c>
      <c r="O392" s="117" t="str">
        <f>IF(kokpit!O392&lt;&gt;"",kokpit!O392,"")</f>
        <v/>
      </c>
      <c r="P392" s="141" t="str">
        <f>IF(M392&lt;&gt;"",IF(O392="",SUMIFS('JPK_KR-1'!AL:AL,'JPK_KR-1'!W:W,N392),SUMIFS('JPK_KR-1'!BF:BF,'JPK_KR-1'!BE:BE,N392,'JPK_KR-1'!BG:BG,O392)),"")</f>
        <v/>
      </c>
      <c r="Q392" s="144" t="str">
        <f>IF(M392&lt;&gt;"",IF(O392="",SUMIFS('JPK_KR-1'!AM:AM,'JPK_KR-1'!W:W,N392),SUMIFS('JPK_KR-1'!BI:BI,'JPK_KR-1'!BH:BH,N392,'JPK_KR-1'!BJ:BJ,O392)),"")</f>
        <v/>
      </c>
      <c r="R392" s="117" t="str">
        <f>IF(kokpit!R392&lt;&gt;"",kokpit!R392,"")</f>
        <v/>
      </c>
      <c r="S392" s="117" t="str">
        <f>IF(kokpit!S392&lt;&gt;"",kokpit!S392,"")</f>
        <v/>
      </c>
      <c r="T392" s="117" t="str">
        <f>IF(kokpit!T392&lt;&gt;"",kokpit!T392,"")</f>
        <v/>
      </c>
      <c r="U392" s="141" t="str">
        <f>IF(R392&lt;&gt;"",SUMIFS('JPK_KR-1'!AL:AL,'JPK_KR-1'!W:W,S392),"")</f>
        <v/>
      </c>
      <c r="V392" s="144" t="str">
        <f>IF(R392&lt;&gt;"",SUMIFS('JPK_KR-1'!AM:AM,'JPK_KR-1'!W:W,S392),"")</f>
        <v/>
      </c>
    </row>
    <row r="393" spans="1:22" x14ac:dyDescent="0.3">
      <c r="A393" s="5" t="str">
        <f>IF(kokpit!A393&lt;&gt;"",kokpit!A393,"")</f>
        <v/>
      </c>
      <c r="B393" s="5" t="str">
        <f>IF(kokpit!B393&lt;&gt;"",kokpit!B393,"")</f>
        <v/>
      </c>
      <c r="C393" s="24" t="str">
        <f>IF(A393&lt;&gt;"",SUMIFS('JPK_KR-1'!AL:AL,'JPK_KR-1'!W:W,B393),"")</f>
        <v/>
      </c>
      <c r="D393" s="126" t="str">
        <f>IF(A393&lt;&gt;"",SUMIFS('JPK_KR-1'!AM:AM,'JPK_KR-1'!W:W,B393),"")</f>
        <v/>
      </c>
      <c r="E393" s="5" t="str">
        <f>IF(kokpit!E393&lt;&gt;"",kokpit!E393,"")</f>
        <v/>
      </c>
      <c r="F393" s="127" t="str">
        <f>IF(kokpit!F393&lt;&gt;"",kokpit!F393,"")</f>
        <v/>
      </c>
      <c r="G393" s="24" t="str">
        <f>IF(E393&lt;&gt;"",SUMIFS('JPK_KR-1'!AL:AL,'JPK_KR-1'!W:W,F393),"")</f>
        <v/>
      </c>
      <c r="H393" s="126" t="str">
        <f>IF(E393&lt;&gt;"",SUMIFS('JPK_KR-1'!AM:AM,'JPK_KR-1'!W:W,F393),"")</f>
        <v/>
      </c>
      <c r="I393" s="5" t="str">
        <f>IF(kokpit!I393&lt;&gt;"",kokpit!I393,"")</f>
        <v/>
      </c>
      <c r="J393" s="5" t="str">
        <f>IF(kokpit!J393&lt;&gt;"",kokpit!J393,"")</f>
        <v/>
      </c>
      <c r="K393" s="24" t="str">
        <f>IF(I393&lt;&gt;"",SUMIFS('JPK_KR-1'!AL:AL,'JPK_KR-1'!W:W,J393),"")</f>
        <v/>
      </c>
      <c r="L393" s="141" t="str">
        <f>IF(I393&lt;&gt;"",SUMIFS('JPK_KR-1'!AM:AM,'JPK_KR-1'!W:W,J393),"")</f>
        <v/>
      </c>
      <c r="M393" s="143" t="str">
        <f>IF(kokpit!M393&lt;&gt;"",kokpit!M393,"")</f>
        <v/>
      </c>
      <c r="N393" s="117" t="str">
        <f>IF(kokpit!N393&lt;&gt;"",kokpit!N393,"")</f>
        <v/>
      </c>
      <c r="O393" s="117" t="str">
        <f>IF(kokpit!O393&lt;&gt;"",kokpit!O393,"")</f>
        <v/>
      </c>
      <c r="P393" s="141" t="str">
        <f>IF(M393&lt;&gt;"",IF(O393="",SUMIFS('JPK_KR-1'!AL:AL,'JPK_KR-1'!W:W,N393),SUMIFS('JPK_KR-1'!BF:BF,'JPK_KR-1'!BE:BE,N393,'JPK_KR-1'!BG:BG,O393)),"")</f>
        <v/>
      </c>
      <c r="Q393" s="144" t="str">
        <f>IF(M393&lt;&gt;"",IF(O393="",SUMIFS('JPK_KR-1'!AM:AM,'JPK_KR-1'!W:W,N393),SUMIFS('JPK_KR-1'!BI:BI,'JPK_KR-1'!BH:BH,N393,'JPK_KR-1'!BJ:BJ,O393)),"")</f>
        <v/>
      </c>
      <c r="R393" s="117" t="str">
        <f>IF(kokpit!R393&lt;&gt;"",kokpit!R393,"")</f>
        <v/>
      </c>
      <c r="S393" s="117" t="str">
        <f>IF(kokpit!S393&lt;&gt;"",kokpit!S393,"")</f>
        <v/>
      </c>
      <c r="T393" s="117" t="str">
        <f>IF(kokpit!T393&lt;&gt;"",kokpit!T393,"")</f>
        <v/>
      </c>
      <c r="U393" s="141" t="str">
        <f>IF(R393&lt;&gt;"",SUMIFS('JPK_KR-1'!AL:AL,'JPK_KR-1'!W:W,S393),"")</f>
        <v/>
      </c>
      <c r="V393" s="144" t="str">
        <f>IF(R393&lt;&gt;"",SUMIFS('JPK_KR-1'!AM:AM,'JPK_KR-1'!W:W,S393),"")</f>
        <v/>
      </c>
    </row>
    <row r="394" spans="1:22" x14ac:dyDescent="0.3">
      <c r="A394" s="5" t="str">
        <f>IF(kokpit!A394&lt;&gt;"",kokpit!A394,"")</f>
        <v/>
      </c>
      <c r="B394" s="5" t="str">
        <f>IF(kokpit!B394&lt;&gt;"",kokpit!B394,"")</f>
        <v/>
      </c>
      <c r="C394" s="24" t="str">
        <f>IF(A394&lt;&gt;"",SUMIFS('JPK_KR-1'!AL:AL,'JPK_KR-1'!W:W,B394),"")</f>
        <v/>
      </c>
      <c r="D394" s="126" t="str">
        <f>IF(A394&lt;&gt;"",SUMIFS('JPK_KR-1'!AM:AM,'JPK_KR-1'!W:W,B394),"")</f>
        <v/>
      </c>
      <c r="E394" s="5" t="str">
        <f>IF(kokpit!E394&lt;&gt;"",kokpit!E394,"")</f>
        <v/>
      </c>
      <c r="F394" s="127" t="str">
        <f>IF(kokpit!F394&lt;&gt;"",kokpit!F394,"")</f>
        <v/>
      </c>
      <c r="G394" s="24" t="str">
        <f>IF(E394&lt;&gt;"",SUMIFS('JPK_KR-1'!AL:AL,'JPK_KR-1'!W:W,F394),"")</f>
        <v/>
      </c>
      <c r="H394" s="126" t="str">
        <f>IF(E394&lt;&gt;"",SUMIFS('JPK_KR-1'!AM:AM,'JPK_KR-1'!W:W,F394),"")</f>
        <v/>
      </c>
      <c r="I394" s="5" t="str">
        <f>IF(kokpit!I394&lt;&gt;"",kokpit!I394,"")</f>
        <v/>
      </c>
      <c r="J394" s="5" t="str">
        <f>IF(kokpit!J394&lt;&gt;"",kokpit!J394,"")</f>
        <v/>
      </c>
      <c r="K394" s="24" t="str">
        <f>IF(I394&lt;&gt;"",SUMIFS('JPK_KR-1'!AL:AL,'JPK_KR-1'!W:W,J394),"")</f>
        <v/>
      </c>
      <c r="L394" s="141" t="str">
        <f>IF(I394&lt;&gt;"",SUMIFS('JPK_KR-1'!AM:AM,'JPK_KR-1'!W:W,J394),"")</f>
        <v/>
      </c>
      <c r="M394" s="143" t="str">
        <f>IF(kokpit!M394&lt;&gt;"",kokpit!M394,"")</f>
        <v/>
      </c>
      <c r="N394" s="117" t="str">
        <f>IF(kokpit!N394&lt;&gt;"",kokpit!N394,"")</f>
        <v/>
      </c>
      <c r="O394" s="117" t="str">
        <f>IF(kokpit!O394&lt;&gt;"",kokpit!O394,"")</f>
        <v/>
      </c>
      <c r="P394" s="141" t="str">
        <f>IF(M394&lt;&gt;"",IF(O394="",SUMIFS('JPK_KR-1'!AL:AL,'JPK_KR-1'!W:W,N394),SUMIFS('JPK_KR-1'!BF:BF,'JPK_KR-1'!BE:BE,N394,'JPK_KR-1'!BG:BG,O394)),"")</f>
        <v/>
      </c>
      <c r="Q394" s="144" t="str">
        <f>IF(M394&lt;&gt;"",IF(O394="",SUMIFS('JPK_KR-1'!AM:AM,'JPK_KR-1'!W:W,N394),SUMIFS('JPK_KR-1'!BI:BI,'JPK_KR-1'!BH:BH,N394,'JPK_KR-1'!BJ:BJ,O394)),"")</f>
        <v/>
      </c>
      <c r="R394" s="117" t="str">
        <f>IF(kokpit!R394&lt;&gt;"",kokpit!R394,"")</f>
        <v/>
      </c>
      <c r="S394" s="117" t="str">
        <f>IF(kokpit!S394&lt;&gt;"",kokpit!S394,"")</f>
        <v/>
      </c>
      <c r="T394" s="117" t="str">
        <f>IF(kokpit!T394&lt;&gt;"",kokpit!T394,"")</f>
        <v/>
      </c>
      <c r="U394" s="141" t="str">
        <f>IF(R394&lt;&gt;"",SUMIFS('JPK_KR-1'!AL:AL,'JPK_KR-1'!W:W,S394),"")</f>
        <v/>
      </c>
      <c r="V394" s="144" t="str">
        <f>IF(R394&lt;&gt;"",SUMIFS('JPK_KR-1'!AM:AM,'JPK_KR-1'!W:W,S394),"")</f>
        <v/>
      </c>
    </row>
    <row r="395" spans="1:22" x14ac:dyDescent="0.3">
      <c r="A395" s="5" t="str">
        <f>IF(kokpit!A395&lt;&gt;"",kokpit!A395,"")</f>
        <v/>
      </c>
      <c r="B395" s="5" t="str">
        <f>IF(kokpit!B395&lt;&gt;"",kokpit!B395,"")</f>
        <v/>
      </c>
      <c r="C395" s="24" t="str">
        <f>IF(A395&lt;&gt;"",SUMIFS('JPK_KR-1'!AL:AL,'JPK_KR-1'!W:W,B395),"")</f>
        <v/>
      </c>
      <c r="D395" s="126" t="str">
        <f>IF(A395&lt;&gt;"",SUMIFS('JPK_KR-1'!AM:AM,'JPK_KR-1'!W:W,B395),"")</f>
        <v/>
      </c>
      <c r="E395" s="5" t="str">
        <f>IF(kokpit!E395&lt;&gt;"",kokpit!E395,"")</f>
        <v/>
      </c>
      <c r="F395" s="127" t="str">
        <f>IF(kokpit!F395&lt;&gt;"",kokpit!F395,"")</f>
        <v/>
      </c>
      <c r="G395" s="24" t="str">
        <f>IF(E395&lt;&gt;"",SUMIFS('JPK_KR-1'!AL:AL,'JPK_KR-1'!W:W,F395),"")</f>
        <v/>
      </c>
      <c r="H395" s="126" t="str">
        <f>IF(E395&lt;&gt;"",SUMIFS('JPK_KR-1'!AM:AM,'JPK_KR-1'!W:W,F395),"")</f>
        <v/>
      </c>
      <c r="I395" s="5" t="str">
        <f>IF(kokpit!I395&lt;&gt;"",kokpit!I395,"")</f>
        <v/>
      </c>
      <c r="J395" s="5" t="str">
        <f>IF(kokpit!J395&lt;&gt;"",kokpit!J395,"")</f>
        <v/>
      </c>
      <c r="K395" s="24" t="str">
        <f>IF(I395&lt;&gt;"",SUMIFS('JPK_KR-1'!AL:AL,'JPK_KR-1'!W:W,J395),"")</f>
        <v/>
      </c>
      <c r="L395" s="141" t="str">
        <f>IF(I395&lt;&gt;"",SUMIFS('JPK_KR-1'!AM:AM,'JPK_KR-1'!W:W,J395),"")</f>
        <v/>
      </c>
      <c r="M395" s="143" t="str">
        <f>IF(kokpit!M395&lt;&gt;"",kokpit!M395,"")</f>
        <v/>
      </c>
      <c r="N395" s="117" t="str">
        <f>IF(kokpit!N395&lt;&gt;"",kokpit!N395,"")</f>
        <v/>
      </c>
      <c r="O395" s="117" t="str">
        <f>IF(kokpit!O395&lt;&gt;"",kokpit!O395,"")</f>
        <v/>
      </c>
      <c r="P395" s="141" t="str">
        <f>IF(M395&lt;&gt;"",IF(O395="",SUMIFS('JPK_KR-1'!AL:AL,'JPK_KR-1'!W:W,N395),SUMIFS('JPK_KR-1'!BF:BF,'JPK_KR-1'!BE:BE,N395,'JPK_KR-1'!BG:BG,O395)),"")</f>
        <v/>
      </c>
      <c r="Q395" s="144" t="str">
        <f>IF(M395&lt;&gt;"",IF(O395="",SUMIFS('JPK_KR-1'!AM:AM,'JPK_KR-1'!W:W,N395),SUMIFS('JPK_KR-1'!BI:BI,'JPK_KR-1'!BH:BH,N395,'JPK_KR-1'!BJ:BJ,O395)),"")</f>
        <v/>
      </c>
      <c r="R395" s="117" t="str">
        <f>IF(kokpit!R395&lt;&gt;"",kokpit!R395,"")</f>
        <v/>
      </c>
      <c r="S395" s="117" t="str">
        <f>IF(kokpit!S395&lt;&gt;"",kokpit!S395,"")</f>
        <v/>
      </c>
      <c r="T395" s="117" t="str">
        <f>IF(kokpit!T395&lt;&gt;"",kokpit!T395,"")</f>
        <v/>
      </c>
      <c r="U395" s="141" t="str">
        <f>IF(R395&lt;&gt;"",SUMIFS('JPK_KR-1'!AL:AL,'JPK_KR-1'!W:W,S395),"")</f>
        <v/>
      </c>
      <c r="V395" s="144" t="str">
        <f>IF(R395&lt;&gt;"",SUMIFS('JPK_KR-1'!AM:AM,'JPK_KR-1'!W:W,S395),"")</f>
        <v/>
      </c>
    </row>
    <row r="396" spans="1:22" x14ac:dyDescent="0.3">
      <c r="A396" s="5" t="str">
        <f>IF(kokpit!A396&lt;&gt;"",kokpit!A396,"")</f>
        <v/>
      </c>
      <c r="B396" s="5" t="str">
        <f>IF(kokpit!B396&lt;&gt;"",kokpit!B396,"")</f>
        <v/>
      </c>
      <c r="C396" s="24" t="str">
        <f>IF(A396&lt;&gt;"",SUMIFS('JPK_KR-1'!AL:AL,'JPK_KR-1'!W:W,B396),"")</f>
        <v/>
      </c>
      <c r="D396" s="126" t="str">
        <f>IF(A396&lt;&gt;"",SUMIFS('JPK_KR-1'!AM:AM,'JPK_KR-1'!W:W,B396),"")</f>
        <v/>
      </c>
      <c r="E396" s="5" t="str">
        <f>IF(kokpit!E396&lt;&gt;"",kokpit!E396,"")</f>
        <v/>
      </c>
      <c r="F396" s="127" t="str">
        <f>IF(kokpit!F396&lt;&gt;"",kokpit!F396,"")</f>
        <v/>
      </c>
      <c r="G396" s="24" t="str">
        <f>IF(E396&lt;&gt;"",SUMIFS('JPK_KR-1'!AL:AL,'JPK_KR-1'!W:W,F396),"")</f>
        <v/>
      </c>
      <c r="H396" s="126" t="str">
        <f>IF(E396&lt;&gt;"",SUMIFS('JPK_KR-1'!AM:AM,'JPK_KR-1'!W:W,F396),"")</f>
        <v/>
      </c>
      <c r="I396" s="5" t="str">
        <f>IF(kokpit!I396&lt;&gt;"",kokpit!I396,"")</f>
        <v/>
      </c>
      <c r="J396" s="5" t="str">
        <f>IF(kokpit!J396&lt;&gt;"",kokpit!J396,"")</f>
        <v/>
      </c>
      <c r="K396" s="24" t="str">
        <f>IF(I396&lt;&gt;"",SUMIFS('JPK_KR-1'!AL:AL,'JPK_KR-1'!W:W,J396),"")</f>
        <v/>
      </c>
      <c r="L396" s="141" t="str">
        <f>IF(I396&lt;&gt;"",SUMIFS('JPK_KR-1'!AM:AM,'JPK_KR-1'!W:W,J396),"")</f>
        <v/>
      </c>
      <c r="M396" s="143" t="str">
        <f>IF(kokpit!M396&lt;&gt;"",kokpit!M396,"")</f>
        <v/>
      </c>
      <c r="N396" s="117" t="str">
        <f>IF(kokpit!N396&lt;&gt;"",kokpit!N396,"")</f>
        <v/>
      </c>
      <c r="O396" s="117" t="str">
        <f>IF(kokpit!O396&lt;&gt;"",kokpit!O396,"")</f>
        <v/>
      </c>
      <c r="P396" s="141" t="str">
        <f>IF(M396&lt;&gt;"",IF(O396="",SUMIFS('JPK_KR-1'!AL:AL,'JPK_KR-1'!W:W,N396),SUMIFS('JPK_KR-1'!BF:BF,'JPK_KR-1'!BE:BE,N396,'JPK_KR-1'!BG:BG,O396)),"")</f>
        <v/>
      </c>
      <c r="Q396" s="144" t="str">
        <f>IF(M396&lt;&gt;"",IF(O396="",SUMIFS('JPK_KR-1'!AM:AM,'JPK_KR-1'!W:W,N396),SUMIFS('JPK_KR-1'!BI:BI,'JPK_KR-1'!BH:BH,N396,'JPK_KR-1'!BJ:BJ,O396)),"")</f>
        <v/>
      </c>
      <c r="R396" s="117" t="str">
        <f>IF(kokpit!R396&lt;&gt;"",kokpit!R396,"")</f>
        <v/>
      </c>
      <c r="S396" s="117" t="str">
        <f>IF(kokpit!S396&lt;&gt;"",kokpit!S396,"")</f>
        <v/>
      </c>
      <c r="T396" s="117" t="str">
        <f>IF(kokpit!T396&lt;&gt;"",kokpit!T396,"")</f>
        <v/>
      </c>
      <c r="U396" s="141" t="str">
        <f>IF(R396&lt;&gt;"",SUMIFS('JPK_KR-1'!AL:AL,'JPK_KR-1'!W:W,S396),"")</f>
        <v/>
      </c>
      <c r="V396" s="144" t="str">
        <f>IF(R396&lt;&gt;"",SUMIFS('JPK_KR-1'!AM:AM,'JPK_KR-1'!W:W,S396),"")</f>
        <v/>
      </c>
    </row>
    <row r="397" spans="1:22" x14ac:dyDescent="0.3">
      <c r="A397" s="5" t="str">
        <f>IF(kokpit!A397&lt;&gt;"",kokpit!A397,"")</f>
        <v/>
      </c>
      <c r="B397" s="5" t="str">
        <f>IF(kokpit!B397&lt;&gt;"",kokpit!B397,"")</f>
        <v/>
      </c>
      <c r="C397" s="24" t="str">
        <f>IF(A397&lt;&gt;"",SUMIFS('JPK_KR-1'!AL:AL,'JPK_KR-1'!W:W,B397),"")</f>
        <v/>
      </c>
      <c r="D397" s="126" t="str">
        <f>IF(A397&lt;&gt;"",SUMIFS('JPK_KR-1'!AM:AM,'JPK_KR-1'!W:W,B397),"")</f>
        <v/>
      </c>
      <c r="E397" s="5" t="str">
        <f>IF(kokpit!E397&lt;&gt;"",kokpit!E397,"")</f>
        <v/>
      </c>
      <c r="F397" s="127" t="str">
        <f>IF(kokpit!F397&lt;&gt;"",kokpit!F397,"")</f>
        <v/>
      </c>
      <c r="G397" s="24" t="str">
        <f>IF(E397&lt;&gt;"",SUMIFS('JPK_KR-1'!AL:AL,'JPK_KR-1'!W:W,F397),"")</f>
        <v/>
      </c>
      <c r="H397" s="126" t="str">
        <f>IF(E397&lt;&gt;"",SUMIFS('JPK_KR-1'!AM:AM,'JPK_KR-1'!W:W,F397),"")</f>
        <v/>
      </c>
      <c r="I397" s="5" t="str">
        <f>IF(kokpit!I397&lt;&gt;"",kokpit!I397,"")</f>
        <v/>
      </c>
      <c r="J397" s="5" t="str">
        <f>IF(kokpit!J397&lt;&gt;"",kokpit!J397,"")</f>
        <v/>
      </c>
      <c r="K397" s="24" t="str">
        <f>IF(I397&lt;&gt;"",SUMIFS('JPK_KR-1'!AL:AL,'JPK_KR-1'!W:W,J397),"")</f>
        <v/>
      </c>
      <c r="L397" s="141" t="str">
        <f>IF(I397&lt;&gt;"",SUMIFS('JPK_KR-1'!AM:AM,'JPK_KR-1'!W:W,J397),"")</f>
        <v/>
      </c>
      <c r="M397" s="143" t="str">
        <f>IF(kokpit!M397&lt;&gt;"",kokpit!M397,"")</f>
        <v/>
      </c>
      <c r="N397" s="117" t="str">
        <f>IF(kokpit!N397&lt;&gt;"",kokpit!N397,"")</f>
        <v/>
      </c>
      <c r="O397" s="117" t="str">
        <f>IF(kokpit!O397&lt;&gt;"",kokpit!O397,"")</f>
        <v/>
      </c>
      <c r="P397" s="141" t="str">
        <f>IF(M397&lt;&gt;"",IF(O397="",SUMIFS('JPK_KR-1'!AL:AL,'JPK_KR-1'!W:W,N397),SUMIFS('JPK_KR-1'!BF:BF,'JPK_KR-1'!BE:BE,N397,'JPK_KR-1'!BG:BG,O397)),"")</f>
        <v/>
      </c>
      <c r="Q397" s="144" t="str">
        <f>IF(M397&lt;&gt;"",IF(O397="",SUMIFS('JPK_KR-1'!AM:AM,'JPK_KR-1'!W:W,N397),SUMIFS('JPK_KR-1'!BI:BI,'JPK_KR-1'!BH:BH,N397,'JPK_KR-1'!BJ:BJ,O397)),"")</f>
        <v/>
      </c>
      <c r="R397" s="117" t="str">
        <f>IF(kokpit!R397&lt;&gt;"",kokpit!R397,"")</f>
        <v/>
      </c>
      <c r="S397" s="117" t="str">
        <f>IF(kokpit!S397&lt;&gt;"",kokpit!S397,"")</f>
        <v/>
      </c>
      <c r="T397" s="117" t="str">
        <f>IF(kokpit!T397&lt;&gt;"",kokpit!T397,"")</f>
        <v/>
      </c>
      <c r="U397" s="141" t="str">
        <f>IF(R397&lt;&gt;"",SUMIFS('JPK_KR-1'!AL:AL,'JPK_KR-1'!W:W,S397),"")</f>
        <v/>
      </c>
      <c r="V397" s="144" t="str">
        <f>IF(R397&lt;&gt;"",SUMIFS('JPK_KR-1'!AM:AM,'JPK_KR-1'!W:W,S397),"")</f>
        <v/>
      </c>
    </row>
    <row r="398" spans="1:22" x14ac:dyDescent="0.3">
      <c r="A398" s="5" t="str">
        <f>IF(kokpit!A398&lt;&gt;"",kokpit!A398,"")</f>
        <v/>
      </c>
      <c r="B398" s="5" t="str">
        <f>IF(kokpit!B398&lt;&gt;"",kokpit!B398,"")</f>
        <v/>
      </c>
      <c r="C398" s="24" t="str">
        <f>IF(A398&lt;&gt;"",SUMIFS('JPK_KR-1'!AL:AL,'JPK_KR-1'!W:W,B398),"")</f>
        <v/>
      </c>
      <c r="D398" s="126" t="str">
        <f>IF(A398&lt;&gt;"",SUMIFS('JPK_KR-1'!AM:AM,'JPK_KR-1'!W:W,B398),"")</f>
        <v/>
      </c>
      <c r="E398" s="5" t="str">
        <f>IF(kokpit!E398&lt;&gt;"",kokpit!E398,"")</f>
        <v/>
      </c>
      <c r="F398" s="127" t="str">
        <f>IF(kokpit!F398&lt;&gt;"",kokpit!F398,"")</f>
        <v/>
      </c>
      <c r="G398" s="24" t="str">
        <f>IF(E398&lt;&gt;"",SUMIFS('JPK_KR-1'!AL:AL,'JPK_KR-1'!W:W,F398),"")</f>
        <v/>
      </c>
      <c r="H398" s="126" t="str">
        <f>IF(E398&lt;&gt;"",SUMIFS('JPK_KR-1'!AM:AM,'JPK_KR-1'!W:W,F398),"")</f>
        <v/>
      </c>
      <c r="I398" s="5" t="str">
        <f>IF(kokpit!I398&lt;&gt;"",kokpit!I398,"")</f>
        <v/>
      </c>
      <c r="J398" s="5" t="str">
        <f>IF(kokpit!J398&lt;&gt;"",kokpit!J398,"")</f>
        <v/>
      </c>
      <c r="K398" s="24" t="str">
        <f>IF(I398&lt;&gt;"",SUMIFS('JPK_KR-1'!AL:AL,'JPK_KR-1'!W:W,J398),"")</f>
        <v/>
      </c>
      <c r="L398" s="141" t="str">
        <f>IF(I398&lt;&gt;"",SUMIFS('JPK_KR-1'!AM:AM,'JPK_KR-1'!W:W,J398),"")</f>
        <v/>
      </c>
      <c r="M398" s="143" t="str">
        <f>IF(kokpit!M398&lt;&gt;"",kokpit!M398,"")</f>
        <v/>
      </c>
      <c r="N398" s="117" t="str">
        <f>IF(kokpit!N398&lt;&gt;"",kokpit!N398,"")</f>
        <v/>
      </c>
      <c r="O398" s="117" t="str">
        <f>IF(kokpit!O398&lt;&gt;"",kokpit!O398,"")</f>
        <v/>
      </c>
      <c r="P398" s="141" t="str">
        <f>IF(M398&lt;&gt;"",IF(O398="",SUMIFS('JPK_KR-1'!AL:AL,'JPK_KR-1'!W:W,N398),SUMIFS('JPK_KR-1'!BF:BF,'JPK_KR-1'!BE:BE,N398,'JPK_KR-1'!BG:BG,O398)),"")</f>
        <v/>
      </c>
      <c r="Q398" s="144" t="str">
        <f>IF(M398&lt;&gt;"",IF(O398="",SUMIFS('JPK_KR-1'!AM:AM,'JPK_KR-1'!W:W,N398),SUMIFS('JPK_KR-1'!BI:BI,'JPK_KR-1'!BH:BH,N398,'JPK_KR-1'!BJ:BJ,O398)),"")</f>
        <v/>
      </c>
      <c r="R398" s="117" t="str">
        <f>IF(kokpit!R398&lt;&gt;"",kokpit!R398,"")</f>
        <v/>
      </c>
      <c r="S398" s="117" t="str">
        <f>IF(kokpit!S398&lt;&gt;"",kokpit!S398,"")</f>
        <v/>
      </c>
      <c r="T398" s="117" t="str">
        <f>IF(kokpit!T398&lt;&gt;"",kokpit!T398,"")</f>
        <v/>
      </c>
      <c r="U398" s="141" t="str">
        <f>IF(R398&lt;&gt;"",SUMIFS('JPK_KR-1'!AL:AL,'JPK_KR-1'!W:W,S398),"")</f>
        <v/>
      </c>
      <c r="V398" s="144" t="str">
        <f>IF(R398&lt;&gt;"",SUMIFS('JPK_KR-1'!AM:AM,'JPK_KR-1'!W:W,S398),"")</f>
        <v/>
      </c>
    </row>
    <row r="399" spans="1:22" x14ac:dyDescent="0.3">
      <c r="A399" s="5" t="str">
        <f>IF(kokpit!A399&lt;&gt;"",kokpit!A399,"")</f>
        <v/>
      </c>
      <c r="B399" s="5" t="str">
        <f>IF(kokpit!B399&lt;&gt;"",kokpit!B399,"")</f>
        <v/>
      </c>
      <c r="C399" s="24" t="str">
        <f>IF(A399&lt;&gt;"",SUMIFS('JPK_KR-1'!AL:AL,'JPK_KR-1'!W:W,B399),"")</f>
        <v/>
      </c>
      <c r="D399" s="126" t="str">
        <f>IF(A399&lt;&gt;"",SUMIFS('JPK_KR-1'!AM:AM,'JPK_KR-1'!W:W,B399),"")</f>
        <v/>
      </c>
      <c r="E399" s="5" t="str">
        <f>IF(kokpit!E399&lt;&gt;"",kokpit!E399,"")</f>
        <v/>
      </c>
      <c r="F399" s="127" t="str">
        <f>IF(kokpit!F399&lt;&gt;"",kokpit!F399,"")</f>
        <v/>
      </c>
      <c r="G399" s="24" t="str">
        <f>IF(E399&lt;&gt;"",SUMIFS('JPK_KR-1'!AL:AL,'JPK_KR-1'!W:W,F399),"")</f>
        <v/>
      </c>
      <c r="H399" s="126" t="str">
        <f>IF(E399&lt;&gt;"",SUMIFS('JPK_KR-1'!AM:AM,'JPK_KR-1'!W:W,F399),"")</f>
        <v/>
      </c>
      <c r="I399" s="5" t="str">
        <f>IF(kokpit!I399&lt;&gt;"",kokpit!I399,"")</f>
        <v/>
      </c>
      <c r="J399" s="5" t="str">
        <f>IF(kokpit!J399&lt;&gt;"",kokpit!J399,"")</f>
        <v/>
      </c>
      <c r="K399" s="24" t="str">
        <f>IF(I399&lt;&gt;"",SUMIFS('JPK_KR-1'!AL:AL,'JPK_KR-1'!W:W,J399),"")</f>
        <v/>
      </c>
      <c r="L399" s="141" t="str">
        <f>IF(I399&lt;&gt;"",SUMIFS('JPK_KR-1'!AM:AM,'JPK_KR-1'!W:W,J399),"")</f>
        <v/>
      </c>
      <c r="M399" s="143" t="str">
        <f>IF(kokpit!M399&lt;&gt;"",kokpit!M399,"")</f>
        <v/>
      </c>
      <c r="N399" s="117" t="str">
        <f>IF(kokpit!N399&lt;&gt;"",kokpit!N399,"")</f>
        <v/>
      </c>
      <c r="O399" s="117" t="str">
        <f>IF(kokpit!O399&lt;&gt;"",kokpit!O399,"")</f>
        <v/>
      </c>
      <c r="P399" s="141" t="str">
        <f>IF(M399&lt;&gt;"",IF(O399="",SUMIFS('JPK_KR-1'!AL:AL,'JPK_KR-1'!W:W,N399),SUMIFS('JPK_KR-1'!BF:BF,'JPK_KR-1'!BE:BE,N399,'JPK_KR-1'!BG:BG,O399)),"")</f>
        <v/>
      </c>
      <c r="Q399" s="144" t="str">
        <f>IF(M399&lt;&gt;"",IF(O399="",SUMIFS('JPK_KR-1'!AM:AM,'JPK_KR-1'!W:W,N399),SUMIFS('JPK_KR-1'!BI:BI,'JPK_KR-1'!BH:BH,N399,'JPK_KR-1'!BJ:BJ,O399)),"")</f>
        <v/>
      </c>
      <c r="R399" s="117" t="str">
        <f>IF(kokpit!R399&lt;&gt;"",kokpit!R399,"")</f>
        <v/>
      </c>
      <c r="S399" s="117" t="str">
        <f>IF(kokpit!S399&lt;&gt;"",kokpit!S399,"")</f>
        <v/>
      </c>
      <c r="T399" s="117" t="str">
        <f>IF(kokpit!T399&lt;&gt;"",kokpit!T399,"")</f>
        <v/>
      </c>
      <c r="U399" s="141" t="str">
        <f>IF(R399&lt;&gt;"",SUMIFS('JPK_KR-1'!AL:AL,'JPK_KR-1'!W:W,S399),"")</f>
        <v/>
      </c>
      <c r="V399" s="144" t="str">
        <f>IF(R399&lt;&gt;"",SUMIFS('JPK_KR-1'!AM:AM,'JPK_KR-1'!W:W,S399),"")</f>
        <v/>
      </c>
    </row>
    <row r="400" spans="1:22" x14ac:dyDescent="0.3">
      <c r="A400" s="5" t="str">
        <f>IF(kokpit!A400&lt;&gt;"",kokpit!A400,"")</f>
        <v/>
      </c>
      <c r="B400" s="5" t="str">
        <f>IF(kokpit!B400&lt;&gt;"",kokpit!B400,"")</f>
        <v/>
      </c>
      <c r="C400" s="24" t="str">
        <f>IF(A400&lt;&gt;"",SUMIFS('JPK_KR-1'!AL:AL,'JPK_KR-1'!W:W,B400),"")</f>
        <v/>
      </c>
      <c r="D400" s="126" t="str">
        <f>IF(A400&lt;&gt;"",SUMIFS('JPK_KR-1'!AM:AM,'JPK_KR-1'!W:W,B400),"")</f>
        <v/>
      </c>
      <c r="E400" s="5" t="str">
        <f>IF(kokpit!E400&lt;&gt;"",kokpit!E400,"")</f>
        <v/>
      </c>
      <c r="F400" s="127" t="str">
        <f>IF(kokpit!F400&lt;&gt;"",kokpit!F400,"")</f>
        <v/>
      </c>
      <c r="G400" s="24" t="str">
        <f>IF(E400&lt;&gt;"",SUMIFS('JPK_KR-1'!AL:AL,'JPK_KR-1'!W:W,F400),"")</f>
        <v/>
      </c>
      <c r="H400" s="126" t="str">
        <f>IF(E400&lt;&gt;"",SUMIFS('JPK_KR-1'!AM:AM,'JPK_KR-1'!W:W,F400),"")</f>
        <v/>
      </c>
      <c r="I400" s="5" t="str">
        <f>IF(kokpit!I400&lt;&gt;"",kokpit!I400,"")</f>
        <v/>
      </c>
      <c r="J400" s="5" t="str">
        <f>IF(kokpit!J400&lt;&gt;"",kokpit!J400,"")</f>
        <v/>
      </c>
      <c r="K400" s="24" t="str">
        <f>IF(I400&lt;&gt;"",SUMIFS('JPK_KR-1'!AL:AL,'JPK_KR-1'!W:W,J400),"")</f>
        <v/>
      </c>
      <c r="L400" s="141" t="str">
        <f>IF(I400&lt;&gt;"",SUMIFS('JPK_KR-1'!AM:AM,'JPK_KR-1'!W:W,J400),"")</f>
        <v/>
      </c>
      <c r="M400" s="143" t="str">
        <f>IF(kokpit!M400&lt;&gt;"",kokpit!M400,"")</f>
        <v/>
      </c>
      <c r="N400" s="117" t="str">
        <f>IF(kokpit!N400&lt;&gt;"",kokpit!N400,"")</f>
        <v/>
      </c>
      <c r="O400" s="117" t="str">
        <f>IF(kokpit!O400&lt;&gt;"",kokpit!O400,"")</f>
        <v/>
      </c>
      <c r="P400" s="141" t="str">
        <f>IF(M400&lt;&gt;"",IF(O400="",SUMIFS('JPK_KR-1'!AL:AL,'JPK_KR-1'!W:W,N400),SUMIFS('JPK_KR-1'!BF:BF,'JPK_KR-1'!BE:BE,N400,'JPK_KR-1'!BG:BG,O400)),"")</f>
        <v/>
      </c>
      <c r="Q400" s="144" t="str">
        <f>IF(M400&lt;&gt;"",IF(O400="",SUMIFS('JPK_KR-1'!AM:AM,'JPK_KR-1'!W:W,N400),SUMIFS('JPK_KR-1'!BI:BI,'JPK_KR-1'!BH:BH,N400,'JPK_KR-1'!BJ:BJ,O400)),"")</f>
        <v/>
      </c>
      <c r="R400" s="117" t="str">
        <f>IF(kokpit!R400&lt;&gt;"",kokpit!R400,"")</f>
        <v/>
      </c>
      <c r="S400" s="117" t="str">
        <f>IF(kokpit!S400&lt;&gt;"",kokpit!S400,"")</f>
        <v/>
      </c>
      <c r="T400" s="117" t="str">
        <f>IF(kokpit!T400&lt;&gt;"",kokpit!T400,"")</f>
        <v/>
      </c>
      <c r="U400" s="141" t="str">
        <f>IF(R400&lt;&gt;"",SUMIFS('JPK_KR-1'!AL:AL,'JPK_KR-1'!W:W,S400),"")</f>
        <v/>
      </c>
      <c r="V400" s="144" t="str">
        <f>IF(R400&lt;&gt;"",SUMIFS('JPK_KR-1'!AM:AM,'JPK_KR-1'!W:W,S400),"")</f>
        <v/>
      </c>
    </row>
    <row r="401" spans="1:22" x14ac:dyDescent="0.3">
      <c r="A401" s="5" t="str">
        <f>IF(kokpit!A401&lt;&gt;"",kokpit!A401,"")</f>
        <v/>
      </c>
      <c r="B401" s="5" t="str">
        <f>IF(kokpit!B401&lt;&gt;"",kokpit!B401,"")</f>
        <v/>
      </c>
      <c r="C401" s="24" t="str">
        <f>IF(A401&lt;&gt;"",SUMIFS('JPK_KR-1'!AL:AL,'JPK_KR-1'!W:W,B401),"")</f>
        <v/>
      </c>
      <c r="D401" s="126" t="str">
        <f>IF(A401&lt;&gt;"",SUMIFS('JPK_KR-1'!AM:AM,'JPK_KR-1'!W:W,B401),"")</f>
        <v/>
      </c>
      <c r="E401" s="5" t="str">
        <f>IF(kokpit!E401&lt;&gt;"",kokpit!E401,"")</f>
        <v/>
      </c>
      <c r="F401" s="127" t="str">
        <f>IF(kokpit!F401&lt;&gt;"",kokpit!F401,"")</f>
        <v/>
      </c>
      <c r="G401" s="24" t="str">
        <f>IF(E401&lt;&gt;"",SUMIFS('JPK_KR-1'!AL:AL,'JPK_KR-1'!W:W,F401),"")</f>
        <v/>
      </c>
      <c r="H401" s="126" t="str">
        <f>IF(E401&lt;&gt;"",SUMIFS('JPK_KR-1'!AM:AM,'JPK_KR-1'!W:W,F401),"")</f>
        <v/>
      </c>
      <c r="I401" s="5" t="str">
        <f>IF(kokpit!I401&lt;&gt;"",kokpit!I401,"")</f>
        <v/>
      </c>
      <c r="J401" s="5" t="str">
        <f>IF(kokpit!J401&lt;&gt;"",kokpit!J401,"")</f>
        <v/>
      </c>
      <c r="K401" s="24" t="str">
        <f>IF(I401&lt;&gt;"",SUMIFS('JPK_KR-1'!AL:AL,'JPK_KR-1'!W:W,J401),"")</f>
        <v/>
      </c>
      <c r="L401" s="141" t="str">
        <f>IF(I401&lt;&gt;"",SUMIFS('JPK_KR-1'!AM:AM,'JPK_KR-1'!W:W,J401),"")</f>
        <v/>
      </c>
      <c r="M401" s="143" t="str">
        <f>IF(kokpit!M401&lt;&gt;"",kokpit!M401,"")</f>
        <v/>
      </c>
      <c r="N401" s="117" t="str">
        <f>IF(kokpit!N401&lt;&gt;"",kokpit!N401,"")</f>
        <v/>
      </c>
      <c r="O401" s="117" t="str">
        <f>IF(kokpit!O401&lt;&gt;"",kokpit!O401,"")</f>
        <v/>
      </c>
      <c r="P401" s="141" t="str">
        <f>IF(M401&lt;&gt;"",IF(O401="",SUMIFS('JPK_KR-1'!AL:AL,'JPK_KR-1'!W:W,N401),SUMIFS('JPK_KR-1'!BF:BF,'JPK_KR-1'!BE:BE,N401,'JPK_KR-1'!BG:BG,O401)),"")</f>
        <v/>
      </c>
      <c r="Q401" s="144" t="str">
        <f>IF(M401&lt;&gt;"",IF(O401="",SUMIFS('JPK_KR-1'!AM:AM,'JPK_KR-1'!W:W,N401),SUMIFS('JPK_KR-1'!BI:BI,'JPK_KR-1'!BH:BH,N401,'JPK_KR-1'!BJ:BJ,O401)),"")</f>
        <v/>
      </c>
      <c r="R401" s="117" t="str">
        <f>IF(kokpit!R401&lt;&gt;"",kokpit!R401,"")</f>
        <v/>
      </c>
      <c r="S401" s="117" t="str">
        <f>IF(kokpit!S401&lt;&gt;"",kokpit!S401,"")</f>
        <v/>
      </c>
      <c r="T401" s="117" t="str">
        <f>IF(kokpit!T401&lt;&gt;"",kokpit!T401,"")</f>
        <v/>
      </c>
      <c r="U401" s="141" t="str">
        <f>IF(R401&lt;&gt;"",SUMIFS('JPK_KR-1'!AL:AL,'JPK_KR-1'!W:W,S401),"")</f>
        <v/>
      </c>
      <c r="V401" s="144" t="str">
        <f>IF(R401&lt;&gt;"",SUMIFS('JPK_KR-1'!AM:AM,'JPK_KR-1'!W:W,S401),"")</f>
        <v/>
      </c>
    </row>
    <row r="402" spans="1:22" x14ac:dyDescent="0.3">
      <c r="A402" s="5" t="str">
        <f>IF(kokpit!A402&lt;&gt;"",kokpit!A402,"")</f>
        <v/>
      </c>
      <c r="B402" s="5" t="str">
        <f>IF(kokpit!B402&lt;&gt;"",kokpit!B402,"")</f>
        <v/>
      </c>
      <c r="C402" s="24" t="str">
        <f>IF(A402&lt;&gt;"",SUMIFS('JPK_KR-1'!AL:AL,'JPK_KR-1'!W:W,B402),"")</f>
        <v/>
      </c>
      <c r="D402" s="126" t="str">
        <f>IF(A402&lt;&gt;"",SUMIFS('JPK_KR-1'!AM:AM,'JPK_KR-1'!W:W,B402),"")</f>
        <v/>
      </c>
      <c r="E402" s="5" t="str">
        <f>IF(kokpit!E402&lt;&gt;"",kokpit!E402,"")</f>
        <v/>
      </c>
      <c r="F402" s="127" t="str">
        <f>IF(kokpit!F402&lt;&gt;"",kokpit!F402,"")</f>
        <v/>
      </c>
      <c r="G402" s="24" t="str">
        <f>IF(E402&lt;&gt;"",SUMIFS('JPK_KR-1'!AL:AL,'JPK_KR-1'!W:W,F402),"")</f>
        <v/>
      </c>
      <c r="H402" s="126" t="str">
        <f>IF(E402&lt;&gt;"",SUMIFS('JPK_KR-1'!AM:AM,'JPK_KR-1'!W:W,F402),"")</f>
        <v/>
      </c>
      <c r="I402" s="5" t="str">
        <f>IF(kokpit!I402&lt;&gt;"",kokpit!I402,"")</f>
        <v/>
      </c>
      <c r="J402" s="5" t="str">
        <f>IF(kokpit!J402&lt;&gt;"",kokpit!J402,"")</f>
        <v/>
      </c>
      <c r="K402" s="24" t="str">
        <f>IF(I402&lt;&gt;"",SUMIFS('JPK_KR-1'!AL:AL,'JPK_KR-1'!W:W,J402),"")</f>
        <v/>
      </c>
      <c r="L402" s="141" t="str">
        <f>IF(I402&lt;&gt;"",SUMIFS('JPK_KR-1'!AM:AM,'JPK_KR-1'!W:W,J402),"")</f>
        <v/>
      </c>
      <c r="M402" s="143" t="str">
        <f>IF(kokpit!M402&lt;&gt;"",kokpit!M402,"")</f>
        <v/>
      </c>
      <c r="N402" s="117" t="str">
        <f>IF(kokpit!N402&lt;&gt;"",kokpit!N402,"")</f>
        <v/>
      </c>
      <c r="O402" s="117" t="str">
        <f>IF(kokpit!O402&lt;&gt;"",kokpit!O402,"")</f>
        <v/>
      </c>
      <c r="P402" s="141" t="str">
        <f>IF(M402&lt;&gt;"",IF(O402="",SUMIFS('JPK_KR-1'!AL:AL,'JPK_KR-1'!W:W,N402),SUMIFS('JPK_KR-1'!BF:BF,'JPK_KR-1'!BE:BE,N402,'JPK_KR-1'!BG:BG,O402)),"")</f>
        <v/>
      </c>
      <c r="Q402" s="144" t="str">
        <f>IF(M402&lt;&gt;"",IF(O402="",SUMIFS('JPK_KR-1'!AM:AM,'JPK_KR-1'!W:W,N402),SUMIFS('JPK_KR-1'!BI:BI,'JPK_KR-1'!BH:BH,N402,'JPK_KR-1'!BJ:BJ,O402)),"")</f>
        <v/>
      </c>
      <c r="R402" s="117" t="str">
        <f>IF(kokpit!R402&lt;&gt;"",kokpit!R402,"")</f>
        <v/>
      </c>
      <c r="S402" s="117" t="str">
        <f>IF(kokpit!S402&lt;&gt;"",kokpit!S402,"")</f>
        <v/>
      </c>
      <c r="T402" s="117" t="str">
        <f>IF(kokpit!T402&lt;&gt;"",kokpit!T402,"")</f>
        <v/>
      </c>
      <c r="U402" s="141" t="str">
        <f>IF(R402&lt;&gt;"",SUMIFS('JPK_KR-1'!AL:AL,'JPK_KR-1'!W:W,S402),"")</f>
        <v/>
      </c>
      <c r="V402" s="144" t="str">
        <f>IF(R402&lt;&gt;"",SUMIFS('JPK_KR-1'!AM:AM,'JPK_KR-1'!W:W,S402),"")</f>
        <v/>
      </c>
    </row>
    <row r="403" spans="1:22" x14ac:dyDescent="0.3">
      <c r="A403" s="5" t="str">
        <f>IF(kokpit!A403&lt;&gt;"",kokpit!A403,"")</f>
        <v/>
      </c>
      <c r="B403" s="5" t="str">
        <f>IF(kokpit!B403&lt;&gt;"",kokpit!B403,"")</f>
        <v/>
      </c>
      <c r="C403" s="24" t="str">
        <f>IF(A403&lt;&gt;"",SUMIFS('JPK_KR-1'!AL:AL,'JPK_KR-1'!W:W,B403),"")</f>
        <v/>
      </c>
      <c r="D403" s="126" t="str">
        <f>IF(A403&lt;&gt;"",SUMIFS('JPK_KR-1'!AM:AM,'JPK_KR-1'!W:W,B403),"")</f>
        <v/>
      </c>
      <c r="E403" s="5" t="str">
        <f>IF(kokpit!E403&lt;&gt;"",kokpit!E403,"")</f>
        <v/>
      </c>
      <c r="F403" s="127" t="str">
        <f>IF(kokpit!F403&lt;&gt;"",kokpit!F403,"")</f>
        <v/>
      </c>
      <c r="G403" s="24" t="str">
        <f>IF(E403&lt;&gt;"",SUMIFS('JPK_KR-1'!AL:AL,'JPK_KR-1'!W:W,F403),"")</f>
        <v/>
      </c>
      <c r="H403" s="126" t="str">
        <f>IF(E403&lt;&gt;"",SUMIFS('JPK_KR-1'!AM:AM,'JPK_KR-1'!W:W,F403),"")</f>
        <v/>
      </c>
      <c r="I403" s="5" t="str">
        <f>IF(kokpit!I403&lt;&gt;"",kokpit!I403,"")</f>
        <v/>
      </c>
      <c r="J403" s="5" t="str">
        <f>IF(kokpit!J403&lt;&gt;"",kokpit!J403,"")</f>
        <v/>
      </c>
      <c r="K403" s="24" t="str">
        <f>IF(I403&lt;&gt;"",SUMIFS('JPK_KR-1'!AL:AL,'JPK_KR-1'!W:W,J403),"")</f>
        <v/>
      </c>
      <c r="L403" s="141" t="str">
        <f>IF(I403&lt;&gt;"",SUMIFS('JPK_KR-1'!AM:AM,'JPK_KR-1'!W:W,J403),"")</f>
        <v/>
      </c>
      <c r="M403" s="143" t="str">
        <f>IF(kokpit!M403&lt;&gt;"",kokpit!M403,"")</f>
        <v/>
      </c>
      <c r="N403" s="117" t="str">
        <f>IF(kokpit!N403&lt;&gt;"",kokpit!N403,"")</f>
        <v/>
      </c>
      <c r="O403" s="117" t="str">
        <f>IF(kokpit!O403&lt;&gt;"",kokpit!O403,"")</f>
        <v/>
      </c>
      <c r="P403" s="141" t="str">
        <f>IF(M403&lt;&gt;"",IF(O403="",SUMIFS('JPK_KR-1'!AL:AL,'JPK_KR-1'!W:W,N403),SUMIFS('JPK_KR-1'!BF:BF,'JPK_KR-1'!BE:BE,N403,'JPK_KR-1'!BG:BG,O403)),"")</f>
        <v/>
      </c>
      <c r="Q403" s="144" t="str">
        <f>IF(M403&lt;&gt;"",IF(O403="",SUMIFS('JPK_KR-1'!AM:AM,'JPK_KR-1'!W:W,N403),SUMIFS('JPK_KR-1'!BI:BI,'JPK_KR-1'!BH:BH,N403,'JPK_KR-1'!BJ:BJ,O403)),"")</f>
        <v/>
      </c>
      <c r="R403" s="117" t="str">
        <f>IF(kokpit!R403&lt;&gt;"",kokpit!R403,"")</f>
        <v/>
      </c>
      <c r="S403" s="117" t="str">
        <f>IF(kokpit!S403&lt;&gt;"",kokpit!S403,"")</f>
        <v/>
      </c>
      <c r="T403" s="117" t="str">
        <f>IF(kokpit!T403&lt;&gt;"",kokpit!T403,"")</f>
        <v/>
      </c>
      <c r="U403" s="141" t="str">
        <f>IF(R403&lt;&gt;"",SUMIFS('JPK_KR-1'!AL:AL,'JPK_KR-1'!W:W,S403),"")</f>
        <v/>
      </c>
      <c r="V403" s="144" t="str">
        <f>IF(R403&lt;&gt;"",SUMIFS('JPK_KR-1'!AM:AM,'JPK_KR-1'!W:W,S403),"")</f>
        <v/>
      </c>
    </row>
    <row r="404" spans="1:22" x14ac:dyDescent="0.3">
      <c r="A404" s="5" t="str">
        <f>IF(kokpit!A404&lt;&gt;"",kokpit!A404,"")</f>
        <v/>
      </c>
      <c r="B404" s="5" t="str">
        <f>IF(kokpit!B404&lt;&gt;"",kokpit!B404,"")</f>
        <v/>
      </c>
      <c r="C404" s="24" t="str">
        <f>IF(A404&lt;&gt;"",SUMIFS('JPK_KR-1'!AL:AL,'JPK_KR-1'!W:W,B404),"")</f>
        <v/>
      </c>
      <c r="D404" s="126" t="str">
        <f>IF(A404&lt;&gt;"",SUMIFS('JPK_KR-1'!AM:AM,'JPK_KR-1'!W:W,B404),"")</f>
        <v/>
      </c>
      <c r="E404" s="5" t="str">
        <f>IF(kokpit!E404&lt;&gt;"",kokpit!E404,"")</f>
        <v/>
      </c>
      <c r="F404" s="127" t="str">
        <f>IF(kokpit!F404&lt;&gt;"",kokpit!F404,"")</f>
        <v/>
      </c>
      <c r="G404" s="24" t="str">
        <f>IF(E404&lt;&gt;"",SUMIFS('JPK_KR-1'!AL:AL,'JPK_KR-1'!W:W,F404),"")</f>
        <v/>
      </c>
      <c r="H404" s="126" t="str">
        <f>IF(E404&lt;&gt;"",SUMIFS('JPK_KR-1'!AM:AM,'JPK_KR-1'!W:W,F404),"")</f>
        <v/>
      </c>
      <c r="I404" s="5" t="str">
        <f>IF(kokpit!I404&lt;&gt;"",kokpit!I404,"")</f>
        <v/>
      </c>
      <c r="J404" s="5" t="str">
        <f>IF(kokpit!J404&lt;&gt;"",kokpit!J404,"")</f>
        <v/>
      </c>
      <c r="K404" s="24" t="str">
        <f>IF(I404&lt;&gt;"",SUMIFS('JPK_KR-1'!AL:AL,'JPK_KR-1'!W:W,J404),"")</f>
        <v/>
      </c>
      <c r="L404" s="141" t="str">
        <f>IF(I404&lt;&gt;"",SUMIFS('JPK_KR-1'!AM:AM,'JPK_KR-1'!W:W,J404),"")</f>
        <v/>
      </c>
      <c r="M404" s="143" t="str">
        <f>IF(kokpit!M404&lt;&gt;"",kokpit!M404,"")</f>
        <v/>
      </c>
      <c r="N404" s="117" t="str">
        <f>IF(kokpit!N404&lt;&gt;"",kokpit!N404,"")</f>
        <v/>
      </c>
      <c r="O404" s="117" t="str">
        <f>IF(kokpit!O404&lt;&gt;"",kokpit!O404,"")</f>
        <v/>
      </c>
      <c r="P404" s="141" t="str">
        <f>IF(M404&lt;&gt;"",IF(O404="",SUMIFS('JPK_KR-1'!AL:AL,'JPK_KR-1'!W:W,N404),SUMIFS('JPK_KR-1'!BF:BF,'JPK_KR-1'!BE:BE,N404,'JPK_KR-1'!BG:BG,O404)),"")</f>
        <v/>
      </c>
      <c r="Q404" s="144" t="str">
        <f>IF(M404&lt;&gt;"",IF(O404="",SUMIFS('JPK_KR-1'!AM:AM,'JPK_KR-1'!W:W,N404),SUMIFS('JPK_KR-1'!BI:BI,'JPK_KR-1'!BH:BH,N404,'JPK_KR-1'!BJ:BJ,O404)),"")</f>
        <v/>
      </c>
      <c r="R404" s="117" t="str">
        <f>IF(kokpit!R404&lt;&gt;"",kokpit!R404,"")</f>
        <v/>
      </c>
      <c r="S404" s="117" t="str">
        <f>IF(kokpit!S404&lt;&gt;"",kokpit!S404,"")</f>
        <v/>
      </c>
      <c r="T404" s="117" t="str">
        <f>IF(kokpit!T404&lt;&gt;"",kokpit!T404,"")</f>
        <v/>
      </c>
      <c r="U404" s="141" t="str">
        <f>IF(R404&lt;&gt;"",SUMIFS('JPK_KR-1'!AL:AL,'JPK_KR-1'!W:W,S404),"")</f>
        <v/>
      </c>
      <c r="V404" s="144" t="str">
        <f>IF(R404&lt;&gt;"",SUMIFS('JPK_KR-1'!AM:AM,'JPK_KR-1'!W:W,S404),"")</f>
        <v/>
      </c>
    </row>
    <row r="405" spans="1:22" x14ac:dyDescent="0.3">
      <c r="A405" s="5" t="str">
        <f>IF(kokpit!A405&lt;&gt;"",kokpit!A405,"")</f>
        <v/>
      </c>
      <c r="B405" s="5" t="str">
        <f>IF(kokpit!B405&lt;&gt;"",kokpit!B405,"")</f>
        <v/>
      </c>
      <c r="C405" s="24" t="str">
        <f>IF(A405&lt;&gt;"",SUMIFS('JPK_KR-1'!AL:AL,'JPK_KR-1'!W:W,B405),"")</f>
        <v/>
      </c>
      <c r="D405" s="126" t="str">
        <f>IF(A405&lt;&gt;"",SUMIFS('JPK_KR-1'!AM:AM,'JPK_KR-1'!W:W,B405),"")</f>
        <v/>
      </c>
      <c r="E405" s="5" t="str">
        <f>IF(kokpit!E405&lt;&gt;"",kokpit!E405,"")</f>
        <v/>
      </c>
      <c r="F405" s="127" t="str">
        <f>IF(kokpit!F405&lt;&gt;"",kokpit!F405,"")</f>
        <v/>
      </c>
      <c r="G405" s="24" t="str">
        <f>IF(E405&lt;&gt;"",SUMIFS('JPK_KR-1'!AL:AL,'JPK_KR-1'!W:W,F405),"")</f>
        <v/>
      </c>
      <c r="H405" s="126" t="str">
        <f>IF(E405&lt;&gt;"",SUMIFS('JPK_KR-1'!AM:AM,'JPK_KR-1'!W:W,F405),"")</f>
        <v/>
      </c>
      <c r="I405" s="5" t="str">
        <f>IF(kokpit!I405&lt;&gt;"",kokpit!I405,"")</f>
        <v/>
      </c>
      <c r="J405" s="5" t="str">
        <f>IF(kokpit!J405&lt;&gt;"",kokpit!J405,"")</f>
        <v/>
      </c>
      <c r="K405" s="24" t="str">
        <f>IF(I405&lt;&gt;"",SUMIFS('JPK_KR-1'!AL:AL,'JPK_KR-1'!W:W,J405),"")</f>
        <v/>
      </c>
      <c r="L405" s="141" t="str">
        <f>IF(I405&lt;&gt;"",SUMIFS('JPK_KR-1'!AM:AM,'JPK_KR-1'!W:W,J405),"")</f>
        <v/>
      </c>
      <c r="M405" s="143" t="str">
        <f>IF(kokpit!M405&lt;&gt;"",kokpit!M405,"")</f>
        <v/>
      </c>
      <c r="N405" s="117" t="str">
        <f>IF(kokpit!N405&lt;&gt;"",kokpit!N405,"")</f>
        <v/>
      </c>
      <c r="O405" s="117" t="str">
        <f>IF(kokpit!O405&lt;&gt;"",kokpit!O405,"")</f>
        <v/>
      </c>
      <c r="P405" s="141" t="str">
        <f>IF(M405&lt;&gt;"",IF(O405="",SUMIFS('JPK_KR-1'!AL:AL,'JPK_KR-1'!W:W,N405),SUMIFS('JPK_KR-1'!BF:BF,'JPK_KR-1'!BE:BE,N405,'JPK_KR-1'!BG:BG,O405)),"")</f>
        <v/>
      </c>
      <c r="Q405" s="144" t="str">
        <f>IF(M405&lt;&gt;"",IF(O405="",SUMIFS('JPK_KR-1'!AM:AM,'JPK_KR-1'!W:W,N405),SUMIFS('JPK_KR-1'!BI:BI,'JPK_KR-1'!BH:BH,N405,'JPK_KR-1'!BJ:BJ,O405)),"")</f>
        <v/>
      </c>
      <c r="R405" s="117" t="str">
        <f>IF(kokpit!R405&lt;&gt;"",kokpit!R405,"")</f>
        <v/>
      </c>
      <c r="S405" s="117" t="str">
        <f>IF(kokpit!S405&lt;&gt;"",kokpit!S405,"")</f>
        <v/>
      </c>
      <c r="T405" s="117" t="str">
        <f>IF(kokpit!T405&lt;&gt;"",kokpit!T405,"")</f>
        <v/>
      </c>
      <c r="U405" s="141" t="str">
        <f>IF(R405&lt;&gt;"",SUMIFS('JPK_KR-1'!AL:AL,'JPK_KR-1'!W:W,S405),"")</f>
        <v/>
      </c>
      <c r="V405" s="144" t="str">
        <f>IF(R405&lt;&gt;"",SUMIFS('JPK_KR-1'!AM:AM,'JPK_KR-1'!W:W,S405),"")</f>
        <v/>
      </c>
    </row>
    <row r="406" spans="1:22" x14ac:dyDescent="0.3">
      <c r="A406" s="5" t="str">
        <f>IF(kokpit!A406&lt;&gt;"",kokpit!A406,"")</f>
        <v/>
      </c>
      <c r="B406" s="5" t="str">
        <f>IF(kokpit!B406&lt;&gt;"",kokpit!B406,"")</f>
        <v/>
      </c>
      <c r="C406" s="24" t="str">
        <f>IF(A406&lt;&gt;"",SUMIFS('JPK_KR-1'!AL:AL,'JPK_KR-1'!W:W,B406),"")</f>
        <v/>
      </c>
      <c r="D406" s="126" t="str">
        <f>IF(A406&lt;&gt;"",SUMIFS('JPK_KR-1'!AM:AM,'JPK_KR-1'!W:W,B406),"")</f>
        <v/>
      </c>
      <c r="E406" s="5" t="str">
        <f>IF(kokpit!E406&lt;&gt;"",kokpit!E406,"")</f>
        <v/>
      </c>
      <c r="F406" s="127" t="str">
        <f>IF(kokpit!F406&lt;&gt;"",kokpit!F406,"")</f>
        <v/>
      </c>
      <c r="G406" s="24" t="str">
        <f>IF(E406&lt;&gt;"",SUMIFS('JPK_KR-1'!AL:AL,'JPK_KR-1'!W:W,F406),"")</f>
        <v/>
      </c>
      <c r="H406" s="126" t="str">
        <f>IF(E406&lt;&gt;"",SUMIFS('JPK_KR-1'!AM:AM,'JPK_KR-1'!W:W,F406),"")</f>
        <v/>
      </c>
      <c r="I406" s="5" t="str">
        <f>IF(kokpit!I406&lt;&gt;"",kokpit!I406,"")</f>
        <v/>
      </c>
      <c r="J406" s="5" t="str">
        <f>IF(kokpit!J406&lt;&gt;"",kokpit!J406,"")</f>
        <v/>
      </c>
      <c r="K406" s="24" t="str">
        <f>IF(I406&lt;&gt;"",SUMIFS('JPK_KR-1'!AL:AL,'JPK_KR-1'!W:W,J406),"")</f>
        <v/>
      </c>
      <c r="L406" s="141" t="str">
        <f>IF(I406&lt;&gt;"",SUMIFS('JPK_KR-1'!AM:AM,'JPK_KR-1'!W:W,J406),"")</f>
        <v/>
      </c>
      <c r="M406" s="143" t="str">
        <f>IF(kokpit!M406&lt;&gt;"",kokpit!M406,"")</f>
        <v/>
      </c>
      <c r="N406" s="117" t="str">
        <f>IF(kokpit!N406&lt;&gt;"",kokpit!N406,"")</f>
        <v/>
      </c>
      <c r="O406" s="117" t="str">
        <f>IF(kokpit!O406&lt;&gt;"",kokpit!O406,"")</f>
        <v/>
      </c>
      <c r="P406" s="141" t="str">
        <f>IF(M406&lt;&gt;"",IF(O406="",SUMIFS('JPK_KR-1'!AL:AL,'JPK_KR-1'!W:W,N406),SUMIFS('JPK_KR-1'!BF:BF,'JPK_KR-1'!BE:BE,N406,'JPK_KR-1'!BG:BG,O406)),"")</f>
        <v/>
      </c>
      <c r="Q406" s="144" t="str">
        <f>IF(M406&lt;&gt;"",IF(O406="",SUMIFS('JPK_KR-1'!AM:AM,'JPK_KR-1'!W:W,N406),SUMIFS('JPK_KR-1'!BI:BI,'JPK_KR-1'!BH:BH,N406,'JPK_KR-1'!BJ:BJ,O406)),"")</f>
        <v/>
      </c>
      <c r="R406" s="117" t="str">
        <f>IF(kokpit!R406&lt;&gt;"",kokpit!R406,"")</f>
        <v/>
      </c>
      <c r="S406" s="117" t="str">
        <f>IF(kokpit!S406&lt;&gt;"",kokpit!S406,"")</f>
        <v/>
      </c>
      <c r="T406" s="117" t="str">
        <f>IF(kokpit!T406&lt;&gt;"",kokpit!T406,"")</f>
        <v/>
      </c>
      <c r="U406" s="141" t="str">
        <f>IF(R406&lt;&gt;"",SUMIFS('JPK_KR-1'!AL:AL,'JPK_KR-1'!W:W,S406),"")</f>
        <v/>
      </c>
      <c r="V406" s="144" t="str">
        <f>IF(R406&lt;&gt;"",SUMIFS('JPK_KR-1'!AM:AM,'JPK_KR-1'!W:W,S406),"")</f>
        <v/>
      </c>
    </row>
    <row r="407" spans="1:22" x14ac:dyDescent="0.3">
      <c r="A407" s="5" t="str">
        <f>IF(kokpit!A407&lt;&gt;"",kokpit!A407,"")</f>
        <v/>
      </c>
      <c r="B407" s="5" t="str">
        <f>IF(kokpit!B407&lt;&gt;"",kokpit!B407,"")</f>
        <v/>
      </c>
      <c r="C407" s="24" t="str">
        <f>IF(A407&lt;&gt;"",SUMIFS('JPK_KR-1'!AL:AL,'JPK_KR-1'!W:W,B407),"")</f>
        <v/>
      </c>
      <c r="D407" s="126" t="str">
        <f>IF(A407&lt;&gt;"",SUMIFS('JPK_KR-1'!AM:AM,'JPK_KR-1'!W:W,B407),"")</f>
        <v/>
      </c>
      <c r="E407" s="5" t="str">
        <f>IF(kokpit!E407&lt;&gt;"",kokpit!E407,"")</f>
        <v/>
      </c>
      <c r="F407" s="127" t="str">
        <f>IF(kokpit!F407&lt;&gt;"",kokpit!F407,"")</f>
        <v/>
      </c>
      <c r="G407" s="24" t="str">
        <f>IF(E407&lt;&gt;"",SUMIFS('JPK_KR-1'!AL:AL,'JPK_KR-1'!W:W,F407),"")</f>
        <v/>
      </c>
      <c r="H407" s="126" t="str">
        <f>IF(E407&lt;&gt;"",SUMIFS('JPK_KR-1'!AM:AM,'JPK_KR-1'!W:W,F407),"")</f>
        <v/>
      </c>
      <c r="I407" s="5" t="str">
        <f>IF(kokpit!I407&lt;&gt;"",kokpit!I407,"")</f>
        <v/>
      </c>
      <c r="J407" s="5" t="str">
        <f>IF(kokpit!J407&lt;&gt;"",kokpit!J407,"")</f>
        <v/>
      </c>
      <c r="K407" s="24" t="str">
        <f>IF(I407&lt;&gt;"",SUMIFS('JPK_KR-1'!AL:AL,'JPK_KR-1'!W:W,J407),"")</f>
        <v/>
      </c>
      <c r="L407" s="141" t="str">
        <f>IF(I407&lt;&gt;"",SUMIFS('JPK_KR-1'!AM:AM,'JPK_KR-1'!W:W,J407),"")</f>
        <v/>
      </c>
      <c r="M407" s="143" t="str">
        <f>IF(kokpit!M407&lt;&gt;"",kokpit!M407,"")</f>
        <v/>
      </c>
      <c r="N407" s="117" t="str">
        <f>IF(kokpit!N407&lt;&gt;"",kokpit!N407,"")</f>
        <v/>
      </c>
      <c r="O407" s="117" t="str">
        <f>IF(kokpit!O407&lt;&gt;"",kokpit!O407,"")</f>
        <v/>
      </c>
      <c r="P407" s="141" t="str">
        <f>IF(M407&lt;&gt;"",IF(O407="",SUMIFS('JPK_KR-1'!AL:AL,'JPK_KR-1'!W:W,N407),SUMIFS('JPK_KR-1'!BF:BF,'JPK_KR-1'!BE:BE,N407,'JPK_KR-1'!BG:BG,O407)),"")</f>
        <v/>
      </c>
      <c r="Q407" s="144" t="str">
        <f>IF(M407&lt;&gt;"",IF(O407="",SUMIFS('JPK_KR-1'!AM:AM,'JPK_KR-1'!W:W,N407),SUMIFS('JPK_KR-1'!BI:BI,'JPK_KR-1'!BH:BH,N407,'JPK_KR-1'!BJ:BJ,O407)),"")</f>
        <v/>
      </c>
      <c r="R407" s="117" t="str">
        <f>IF(kokpit!R407&lt;&gt;"",kokpit!R407,"")</f>
        <v/>
      </c>
      <c r="S407" s="117" t="str">
        <f>IF(kokpit!S407&lt;&gt;"",kokpit!S407,"")</f>
        <v/>
      </c>
      <c r="T407" s="117" t="str">
        <f>IF(kokpit!T407&lt;&gt;"",kokpit!T407,"")</f>
        <v/>
      </c>
      <c r="U407" s="141" t="str">
        <f>IF(R407&lt;&gt;"",SUMIFS('JPK_KR-1'!AL:AL,'JPK_KR-1'!W:W,S407),"")</f>
        <v/>
      </c>
      <c r="V407" s="144" t="str">
        <f>IF(R407&lt;&gt;"",SUMIFS('JPK_KR-1'!AM:AM,'JPK_KR-1'!W:W,S407),"")</f>
        <v/>
      </c>
    </row>
    <row r="408" spans="1:22" x14ac:dyDescent="0.3">
      <c r="A408" s="5" t="str">
        <f>IF(kokpit!A408&lt;&gt;"",kokpit!A408,"")</f>
        <v/>
      </c>
      <c r="B408" s="5" t="str">
        <f>IF(kokpit!B408&lt;&gt;"",kokpit!B408,"")</f>
        <v/>
      </c>
      <c r="C408" s="24" t="str">
        <f>IF(A408&lt;&gt;"",SUMIFS('JPK_KR-1'!AL:AL,'JPK_KR-1'!W:W,B408),"")</f>
        <v/>
      </c>
      <c r="D408" s="126" t="str">
        <f>IF(A408&lt;&gt;"",SUMIFS('JPK_KR-1'!AM:AM,'JPK_KR-1'!W:W,B408),"")</f>
        <v/>
      </c>
      <c r="E408" s="5" t="str">
        <f>IF(kokpit!E408&lt;&gt;"",kokpit!E408,"")</f>
        <v/>
      </c>
      <c r="F408" s="127" t="str">
        <f>IF(kokpit!F408&lt;&gt;"",kokpit!F408,"")</f>
        <v/>
      </c>
      <c r="G408" s="24" t="str">
        <f>IF(E408&lt;&gt;"",SUMIFS('JPK_KR-1'!AL:AL,'JPK_KR-1'!W:W,F408),"")</f>
        <v/>
      </c>
      <c r="H408" s="126" t="str">
        <f>IF(E408&lt;&gt;"",SUMIFS('JPK_KR-1'!AM:AM,'JPK_KR-1'!W:W,F408),"")</f>
        <v/>
      </c>
      <c r="I408" s="5" t="str">
        <f>IF(kokpit!I408&lt;&gt;"",kokpit!I408,"")</f>
        <v/>
      </c>
      <c r="J408" s="5" t="str">
        <f>IF(kokpit!J408&lt;&gt;"",kokpit!J408,"")</f>
        <v/>
      </c>
      <c r="K408" s="24" t="str">
        <f>IF(I408&lt;&gt;"",SUMIFS('JPK_KR-1'!AL:AL,'JPK_KR-1'!W:W,J408),"")</f>
        <v/>
      </c>
      <c r="L408" s="141" t="str">
        <f>IF(I408&lt;&gt;"",SUMIFS('JPK_KR-1'!AM:AM,'JPK_KR-1'!W:W,J408),"")</f>
        <v/>
      </c>
      <c r="M408" s="143" t="str">
        <f>IF(kokpit!M408&lt;&gt;"",kokpit!M408,"")</f>
        <v/>
      </c>
      <c r="N408" s="117" t="str">
        <f>IF(kokpit!N408&lt;&gt;"",kokpit!N408,"")</f>
        <v/>
      </c>
      <c r="O408" s="117" t="str">
        <f>IF(kokpit!O408&lt;&gt;"",kokpit!O408,"")</f>
        <v/>
      </c>
      <c r="P408" s="141" t="str">
        <f>IF(M408&lt;&gt;"",IF(O408="",SUMIFS('JPK_KR-1'!AL:AL,'JPK_KR-1'!W:W,N408),SUMIFS('JPK_KR-1'!BF:BF,'JPK_KR-1'!BE:BE,N408,'JPK_KR-1'!BG:BG,O408)),"")</f>
        <v/>
      </c>
      <c r="Q408" s="144" t="str">
        <f>IF(M408&lt;&gt;"",IF(O408="",SUMIFS('JPK_KR-1'!AM:AM,'JPK_KR-1'!W:W,N408),SUMIFS('JPK_KR-1'!BI:BI,'JPK_KR-1'!BH:BH,N408,'JPK_KR-1'!BJ:BJ,O408)),"")</f>
        <v/>
      </c>
      <c r="R408" s="117" t="str">
        <f>IF(kokpit!R408&lt;&gt;"",kokpit!R408,"")</f>
        <v/>
      </c>
      <c r="S408" s="117" t="str">
        <f>IF(kokpit!S408&lt;&gt;"",kokpit!S408,"")</f>
        <v/>
      </c>
      <c r="T408" s="117" t="str">
        <f>IF(kokpit!T408&lt;&gt;"",kokpit!T408,"")</f>
        <v/>
      </c>
      <c r="U408" s="141" t="str">
        <f>IF(R408&lt;&gt;"",SUMIFS('JPK_KR-1'!AL:AL,'JPK_KR-1'!W:W,S408),"")</f>
        <v/>
      </c>
      <c r="V408" s="144" t="str">
        <f>IF(R408&lt;&gt;"",SUMIFS('JPK_KR-1'!AM:AM,'JPK_KR-1'!W:W,S408),"")</f>
        <v/>
      </c>
    </row>
    <row r="409" spans="1:22" x14ac:dyDescent="0.3">
      <c r="A409" s="5" t="str">
        <f>IF(kokpit!A409&lt;&gt;"",kokpit!A409,"")</f>
        <v/>
      </c>
      <c r="B409" s="5" t="str">
        <f>IF(kokpit!B409&lt;&gt;"",kokpit!B409,"")</f>
        <v/>
      </c>
      <c r="C409" s="24" t="str">
        <f>IF(A409&lt;&gt;"",SUMIFS('JPK_KR-1'!AL:AL,'JPK_KR-1'!W:W,B409),"")</f>
        <v/>
      </c>
      <c r="D409" s="126" t="str">
        <f>IF(A409&lt;&gt;"",SUMIFS('JPK_KR-1'!AM:AM,'JPK_KR-1'!W:W,B409),"")</f>
        <v/>
      </c>
      <c r="E409" s="5" t="str">
        <f>IF(kokpit!E409&lt;&gt;"",kokpit!E409,"")</f>
        <v/>
      </c>
      <c r="F409" s="127" t="str">
        <f>IF(kokpit!F409&lt;&gt;"",kokpit!F409,"")</f>
        <v/>
      </c>
      <c r="G409" s="24" t="str">
        <f>IF(E409&lt;&gt;"",SUMIFS('JPK_KR-1'!AL:AL,'JPK_KR-1'!W:W,F409),"")</f>
        <v/>
      </c>
      <c r="H409" s="126" t="str">
        <f>IF(E409&lt;&gt;"",SUMIFS('JPK_KR-1'!AM:AM,'JPK_KR-1'!W:W,F409),"")</f>
        <v/>
      </c>
      <c r="I409" s="5" t="str">
        <f>IF(kokpit!I409&lt;&gt;"",kokpit!I409,"")</f>
        <v/>
      </c>
      <c r="J409" s="5" t="str">
        <f>IF(kokpit!J409&lt;&gt;"",kokpit!J409,"")</f>
        <v/>
      </c>
      <c r="K409" s="24" t="str">
        <f>IF(I409&lt;&gt;"",SUMIFS('JPK_KR-1'!AL:AL,'JPK_KR-1'!W:W,J409),"")</f>
        <v/>
      </c>
      <c r="L409" s="141" t="str">
        <f>IF(I409&lt;&gt;"",SUMIFS('JPK_KR-1'!AM:AM,'JPK_KR-1'!W:W,J409),"")</f>
        <v/>
      </c>
      <c r="M409" s="143" t="str">
        <f>IF(kokpit!M409&lt;&gt;"",kokpit!M409,"")</f>
        <v/>
      </c>
      <c r="N409" s="117" t="str">
        <f>IF(kokpit!N409&lt;&gt;"",kokpit!N409,"")</f>
        <v/>
      </c>
      <c r="O409" s="117" t="str">
        <f>IF(kokpit!O409&lt;&gt;"",kokpit!O409,"")</f>
        <v/>
      </c>
      <c r="P409" s="141" t="str">
        <f>IF(M409&lt;&gt;"",IF(O409="",SUMIFS('JPK_KR-1'!AL:AL,'JPK_KR-1'!W:W,N409),SUMIFS('JPK_KR-1'!BF:BF,'JPK_KR-1'!BE:BE,N409,'JPK_KR-1'!BG:BG,O409)),"")</f>
        <v/>
      </c>
      <c r="Q409" s="144" t="str">
        <f>IF(M409&lt;&gt;"",IF(O409="",SUMIFS('JPK_KR-1'!AM:AM,'JPK_KR-1'!W:W,N409),SUMIFS('JPK_KR-1'!BI:BI,'JPK_KR-1'!BH:BH,N409,'JPK_KR-1'!BJ:BJ,O409)),"")</f>
        <v/>
      </c>
      <c r="R409" s="117" t="str">
        <f>IF(kokpit!R409&lt;&gt;"",kokpit!R409,"")</f>
        <v/>
      </c>
      <c r="S409" s="117" t="str">
        <f>IF(kokpit!S409&lt;&gt;"",kokpit!S409,"")</f>
        <v/>
      </c>
      <c r="T409" s="117" t="str">
        <f>IF(kokpit!T409&lt;&gt;"",kokpit!T409,"")</f>
        <v/>
      </c>
      <c r="U409" s="141" t="str">
        <f>IF(R409&lt;&gt;"",SUMIFS('JPK_KR-1'!AL:AL,'JPK_KR-1'!W:W,S409),"")</f>
        <v/>
      </c>
      <c r="V409" s="144" t="str">
        <f>IF(R409&lt;&gt;"",SUMIFS('JPK_KR-1'!AM:AM,'JPK_KR-1'!W:W,S409),"")</f>
        <v/>
      </c>
    </row>
    <row r="410" spans="1:22" x14ac:dyDescent="0.3">
      <c r="A410" s="5" t="str">
        <f>IF(kokpit!A410&lt;&gt;"",kokpit!A410,"")</f>
        <v/>
      </c>
      <c r="B410" s="5" t="str">
        <f>IF(kokpit!B410&lt;&gt;"",kokpit!B410,"")</f>
        <v/>
      </c>
      <c r="C410" s="24" t="str">
        <f>IF(A410&lt;&gt;"",SUMIFS('JPK_KR-1'!AL:AL,'JPK_KR-1'!W:W,B410),"")</f>
        <v/>
      </c>
      <c r="D410" s="126" t="str">
        <f>IF(A410&lt;&gt;"",SUMIFS('JPK_KR-1'!AM:AM,'JPK_KR-1'!W:W,B410),"")</f>
        <v/>
      </c>
      <c r="E410" s="5" t="str">
        <f>IF(kokpit!E410&lt;&gt;"",kokpit!E410,"")</f>
        <v/>
      </c>
      <c r="F410" s="127" t="str">
        <f>IF(kokpit!F410&lt;&gt;"",kokpit!F410,"")</f>
        <v/>
      </c>
      <c r="G410" s="24" t="str">
        <f>IF(E410&lt;&gt;"",SUMIFS('JPK_KR-1'!AL:AL,'JPK_KR-1'!W:W,F410),"")</f>
        <v/>
      </c>
      <c r="H410" s="126" t="str">
        <f>IF(E410&lt;&gt;"",SUMIFS('JPK_KR-1'!AM:AM,'JPK_KR-1'!W:W,F410),"")</f>
        <v/>
      </c>
      <c r="I410" s="5" t="str">
        <f>IF(kokpit!I410&lt;&gt;"",kokpit!I410,"")</f>
        <v/>
      </c>
      <c r="J410" s="5" t="str">
        <f>IF(kokpit!J410&lt;&gt;"",kokpit!J410,"")</f>
        <v/>
      </c>
      <c r="K410" s="24" t="str">
        <f>IF(I410&lt;&gt;"",SUMIFS('JPK_KR-1'!AL:AL,'JPK_KR-1'!W:W,J410),"")</f>
        <v/>
      </c>
      <c r="L410" s="141" t="str">
        <f>IF(I410&lt;&gt;"",SUMIFS('JPK_KR-1'!AM:AM,'JPK_KR-1'!W:W,J410),"")</f>
        <v/>
      </c>
      <c r="M410" s="143" t="str">
        <f>IF(kokpit!M410&lt;&gt;"",kokpit!M410,"")</f>
        <v/>
      </c>
      <c r="N410" s="117" t="str">
        <f>IF(kokpit!N410&lt;&gt;"",kokpit!N410,"")</f>
        <v/>
      </c>
      <c r="O410" s="117" t="str">
        <f>IF(kokpit!O410&lt;&gt;"",kokpit!O410,"")</f>
        <v/>
      </c>
      <c r="P410" s="141" t="str">
        <f>IF(M410&lt;&gt;"",IF(O410="",SUMIFS('JPK_KR-1'!AL:AL,'JPK_KR-1'!W:W,N410),SUMIFS('JPK_KR-1'!BF:BF,'JPK_KR-1'!BE:BE,N410,'JPK_KR-1'!BG:BG,O410)),"")</f>
        <v/>
      </c>
      <c r="Q410" s="144" t="str">
        <f>IF(M410&lt;&gt;"",IF(O410="",SUMIFS('JPK_KR-1'!AM:AM,'JPK_KR-1'!W:W,N410),SUMIFS('JPK_KR-1'!BI:BI,'JPK_KR-1'!BH:BH,N410,'JPK_KR-1'!BJ:BJ,O410)),"")</f>
        <v/>
      </c>
      <c r="R410" s="117" t="str">
        <f>IF(kokpit!R410&lt;&gt;"",kokpit!R410,"")</f>
        <v/>
      </c>
      <c r="S410" s="117" t="str">
        <f>IF(kokpit!S410&lt;&gt;"",kokpit!S410,"")</f>
        <v/>
      </c>
      <c r="T410" s="117" t="str">
        <f>IF(kokpit!T410&lt;&gt;"",kokpit!T410,"")</f>
        <v/>
      </c>
      <c r="U410" s="141" t="str">
        <f>IF(R410&lt;&gt;"",SUMIFS('JPK_KR-1'!AL:AL,'JPK_KR-1'!W:W,S410),"")</f>
        <v/>
      </c>
      <c r="V410" s="144" t="str">
        <f>IF(R410&lt;&gt;"",SUMIFS('JPK_KR-1'!AM:AM,'JPK_KR-1'!W:W,S410),"")</f>
        <v/>
      </c>
    </row>
    <row r="411" spans="1:22" x14ac:dyDescent="0.3">
      <c r="A411" s="5" t="str">
        <f>IF(kokpit!A411&lt;&gt;"",kokpit!A411,"")</f>
        <v/>
      </c>
      <c r="B411" s="5" t="str">
        <f>IF(kokpit!B411&lt;&gt;"",kokpit!B411,"")</f>
        <v/>
      </c>
      <c r="C411" s="24" t="str">
        <f>IF(A411&lt;&gt;"",SUMIFS('JPK_KR-1'!AL:AL,'JPK_KR-1'!W:W,B411),"")</f>
        <v/>
      </c>
      <c r="D411" s="126" t="str">
        <f>IF(A411&lt;&gt;"",SUMIFS('JPK_KR-1'!AM:AM,'JPK_KR-1'!W:W,B411),"")</f>
        <v/>
      </c>
      <c r="E411" s="5" t="str">
        <f>IF(kokpit!E411&lt;&gt;"",kokpit!E411,"")</f>
        <v/>
      </c>
      <c r="F411" s="127" t="str">
        <f>IF(kokpit!F411&lt;&gt;"",kokpit!F411,"")</f>
        <v/>
      </c>
      <c r="G411" s="24" t="str">
        <f>IF(E411&lt;&gt;"",SUMIFS('JPK_KR-1'!AL:AL,'JPK_KR-1'!W:W,F411),"")</f>
        <v/>
      </c>
      <c r="H411" s="126" t="str">
        <f>IF(E411&lt;&gt;"",SUMIFS('JPK_KR-1'!AM:AM,'JPK_KR-1'!W:W,F411),"")</f>
        <v/>
      </c>
      <c r="I411" s="5" t="str">
        <f>IF(kokpit!I411&lt;&gt;"",kokpit!I411,"")</f>
        <v/>
      </c>
      <c r="J411" s="5" t="str">
        <f>IF(kokpit!J411&lt;&gt;"",kokpit!J411,"")</f>
        <v/>
      </c>
      <c r="K411" s="24" t="str">
        <f>IF(I411&lt;&gt;"",SUMIFS('JPK_KR-1'!AL:AL,'JPK_KR-1'!W:W,J411),"")</f>
        <v/>
      </c>
      <c r="L411" s="141" t="str">
        <f>IF(I411&lt;&gt;"",SUMIFS('JPK_KR-1'!AM:AM,'JPK_KR-1'!W:W,J411),"")</f>
        <v/>
      </c>
      <c r="M411" s="143" t="str">
        <f>IF(kokpit!M411&lt;&gt;"",kokpit!M411,"")</f>
        <v/>
      </c>
      <c r="N411" s="117" t="str">
        <f>IF(kokpit!N411&lt;&gt;"",kokpit!N411,"")</f>
        <v/>
      </c>
      <c r="O411" s="117" t="str">
        <f>IF(kokpit!O411&lt;&gt;"",kokpit!O411,"")</f>
        <v/>
      </c>
      <c r="P411" s="141" t="str">
        <f>IF(M411&lt;&gt;"",IF(O411="",SUMIFS('JPK_KR-1'!AL:AL,'JPK_KR-1'!W:W,N411),SUMIFS('JPK_KR-1'!BF:BF,'JPK_KR-1'!BE:BE,N411,'JPK_KR-1'!BG:BG,O411)),"")</f>
        <v/>
      </c>
      <c r="Q411" s="144" t="str">
        <f>IF(M411&lt;&gt;"",IF(O411="",SUMIFS('JPK_KR-1'!AM:AM,'JPK_KR-1'!W:W,N411),SUMIFS('JPK_KR-1'!BI:BI,'JPK_KR-1'!BH:BH,N411,'JPK_KR-1'!BJ:BJ,O411)),"")</f>
        <v/>
      </c>
      <c r="R411" s="117" t="str">
        <f>IF(kokpit!R411&lt;&gt;"",kokpit!R411,"")</f>
        <v/>
      </c>
      <c r="S411" s="117" t="str">
        <f>IF(kokpit!S411&lt;&gt;"",kokpit!S411,"")</f>
        <v/>
      </c>
      <c r="T411" s="117" t="str">
        <f>IF(kokpit!T411&lt;&gt;"",kokpit!T411,"")</f>
        <v/>
      </c>
      <c r="U411" s="141" t="str">
        <f>IF(R411&lt;&gt;"",SUMIFS('JPK_KR-1'!AL:AL,'JPK_KR-1'!W:W,S411),"")</f>
        <v/>
      </c>
      <c r="V411" s="144" t="str">
        <f>IF(R411&lt;&gt;"",SUMIFS('JPK_KR-1'!AM:AM,'JPK_KR-1'!W:W,S411),"")</f>
        <v/>
      </c>
    </row>
    <row r="412" spans="1:22" x14ac:dyDescent="0.3">
      <c r="A412" s="5" t="str">
        <f>IF(kokpit!A412&lt;&gt;"",kokpit!A412,"")</f>
        <v/>
      </c>
      <c r="B412" s="5" t="str">
        <f>IF(kokpit!B412&lt;&gt;"",kokpit!B412,"")</f>
        <v/>
      </c>
      <c r="C412" s="24" t="str">
        <f>IF(A412&lt;&gt;"",SUMIFS('JPK_KR-1'!AL:AL,'JPK_KR-1'!W:W,B412),"")</f>
        <v/>
      </c>
      <c r="D412" s="126" t="str">
        <f>IF(A412&lt;&gt;"",SUMIFS('JPK_KR-1'!AM:AM,'JPK_KR-1'!W:W,B412),"")</f>
        <v/>
      </c>
      <c r="E412" s="5" t="str">
        <f>IF(kokpit!E412&lt;&gt;"",kokpit!E412,"")</f>
        <v/>
      </c>
      <c r="F412" s="127" t="str">
        <f>IF(kokpit!F412&lt;&gt;"",kokpit!F412,"")</f>
        <v/>
      </c>
      <c r="G412" s="24" t="str">
        <f>IF(E412&lt;&gt;"",SUMIFS('JPK_KR-1'!AL:AL,'JPK_KR-1'!W:W,F412),"")</f>
        <v/>
      </c>
      <c r="H412" s="126" t="str">
        <f>IF(E412&lt;&gt;"",SUMIFS('JPK_KR-1'!AM:AM,'JPK_KR-1'!W:W,F412),"")</f>
        <v/>
      </c>
      <c r="I412" s="5" t="str">
        <f>IF(kokpit!I412&lt;&gt;"",kokpit!I412,"")</f>
        <v/>
      </c>
      <c r="J412" s="5" t="str">
        <f>IF(kokpit!J412&lt;&gt;"",kokpit!J412,"")</f>
        <v/>
      </c>
      <c r="K412" s="24" t="str">
        <f>IF(I412&lt;&gt;"",SUMIFS('JPK_KR-1'!AL:AL,'JPK_KR-1'!W:W,J412),"")</f>
        <v/>
      </c>
      <c r="L412" s="141" t="str">
        <f>IF(I412&lt;&gt;"",SUMIFS('JPK_KR-1'!AM:AM,'JPK_KR-1'!W:W,J412),"")</f>
        <v/>
      </c>
      <c r="M412" s="143" t="str">
        <f>IF(kokpit!M412&lt;&gt;"",kokpit!M412,"")</f>
        <v/>
      </c>
      <c r="N412" s="117" t="str">
        <f>IF(kokpit!N412&lt;&gt;"",kokpit!N412,"")</f>
        <v/>
      </c>
      <c r="O412" s="117" t="str">
        <f>IF(kokpit!O412&lt;&gt;"",kokpit!O412,"")</f>
        <v/>
      </c>
      <c r="P412" s="141" t="str">
        <f>IF(M412&lt;&gt;"",IF(O412="",SUMIFS('JPK_KR-1'!AL:AL,'JPK_KR-1'!W:W,N412),SUMIFS('JPK_KR-1'!BF:BF,'JPK_KR-1'!BE:BE,N412,'JPK_KR-1'!BG:BG,O412)),"")</f>
        <v/>
      </c>
      <c r="Q412" s="144" t="str">
        <f>IF(M412&lt;&gt;"",IF(O412="",SUMIFS('JPK_KR-1'!AM:AM,'JPK_KR-1'!W:W,N412),SUMIFS('JPK_KR-1'!BI:BI,'JPK_KR-1'!BH:BH,N412,'JPK_KR-1'!BJ:BJ,O412)),"")</f>
        <v/>
      </c>
      <c r="R412" s="117" t="str">
        <f>IF(kokpit!R412&lt;&gt;"",kokpit!R412,"")</f>
        <v/>
      </c>
      <c r="S412" s="117" t="str">
        <f>IF(kokpit!S412&lt;&gt;"",kokpit!S412,"")</f>
        <v/>
      </c>
      <c r="T412" s="117" t="str">
        <f>IF(kokpit!T412&lt;&gt;"",kokpit!T412,"")</f>
        <v/>
      </c>
      <c r="U412" s="141" t="str">
        <f>IF(R412&lt;&gt;"",SUMIFS('JPK_KR-1'!AL:AL,'JPK_KR-1'!W:W,S412),"")</f>
        <v/>
      </c>
      <c r="V412" s="144" t="str">
        <f>IF(R412&lt;&gt;"",SUMIFS('JPK_KR-1'!AM:AM,'JPK_KR-1'!W:W,S412),"")</f>
        <v/>
      </c>
    </row>
    <row r="413" spans="1:22" x14ac:dyDescent="0.3">
      <c r="A413" s="5" t="str">
        <f>IF(kokpit!A413&lt;&gt;"",kokpit!A413,"")</f>
        <v/>
      </c>
      <c r="B413" s="5" t="str">
        <f>IF(kokpit!B413&lt;&gt;"",kokpit!B413,"")</f>
        <v/>
      </c>
      <c r="C413" s="24" t="str">
        <f>IF(A413&lt;&gt;"",SUMIFS('JPK_KR-1'!AL:AL,'JPK_KR-1'!W:W,B413),"")</f>
        <v/>
      </c>
      <c r="D413" s="126" t="str">
        <f>IF(A413&lt;&gt;"",SUMIFS('JPK_KR-1'!AM:AM,'JPK_KR-1'!W:W,B413),"")</f>
        <v/>
      </c>
      <c r="E413" s="5" t="str">
        <f>IF(kokpit!E413&lt;&gt;"",kokpit!E413,"")</f>
        <v/>
      </c>
      <c r="F413" s="127" t="str">
        <f>IF(kokpit!F413&lt;&gt;"",kokpit!F413,"")</f>
        <v/>
      </c>
      <c r="G413" s="24" t="str">
        <f>IF(E413&lt;&gt;"",SUMIFS('JPK_KR-1'!AL:AL,'JPK_KR-1'!W:W,F413),"")</f>
        <v/>
      </c>
      <c r="H413" s="126" t="str">
        <f>IF(E413&lt;&gt;"",SUMIFS('JPK_KR-1'!AM:AM,'JPK_KR-1'!W:W,F413),"")</f>
        <v/>
      </c>
      <c r="I413" s="5" t="str">
        <f>IF(kokpit!I413&lt;&gt;"",kokpit!I413,"")</f>
        <v/>
      </c>
      <c r="J413" s="5" t="str">
        <f>IF(kokpit!J413&lt;&gt;"",kokpit!J413,"")</f>
        <v/>
      </c>
      <c r="K413" s="24" t="str">
        <f>IF(I413&lt;&gt;"",SUMIFS('JPK_KR-1'!AL:AL,'JPK_KR-1'!W:W,J413),"")</f>
        <v/>
      </c>
      <c r="L413" s="141" t="str">
        <f>IF(I413&lt;&gt;"",SUMIFS('JPK_KR-1'!AM:AM,'JPK_KR-1'!W:W,J413),"")</f>
        <v/>
      </c>
      <c r="M413" s="143" t="str">
        <f>IF(kokpit!M413&lt;&gt;"",kokpit!M413,"")</f>
        <v/>
      </c>
      <c r="N413" s="117" t="str">
        <f>IF(kokpit!N413&lt;&gt;"",kokpit!N413,"")</f>
        <v/>
      </c>
      <c r="O413" s="117" t="str">
        <f>IF(kokpit!O413&lt;&gt;"",kokpit!O413,"")</f>
        <v/>
      </c>
      <c r="P413" s="141" t="str">
        <f>IF(M413&lt;&gt;"",IF(O413="",SUMIFS('JPK_KR-1'!AL:AL,'JPK_KR-1'!W:W,N413),SUMIFS('JPK_KR-1'!BF:BF,'JPK_KR-1'!BE:BE,N413,'JPK_KR-1'!BG:BG,O413)),"")</f>
        <v/>
      </c>
      <c r="Q413" s="144" t="str">
        <f>IF(M413&lt;&gt;"",IF(O413="",SUMIFS('JPK_KR-1'!AM:AM,'JPK_KR-1'!W:W,N413),SUMIFS('JPK_KR-1'!BI:BI,'JPK_KR-1'!BH:BH,N413,'JPK_KR-1'!BJ:BJ,O413)),"")</f>
        <v/>
      </c>
      <c r="R413" s="117" t="str">
        <f>IF(kokpit!R413&lt;&gt;"",kokpit!R413,"")</f>
        <v/>
      </c>
      <c r="S413" s="117" t="str">
        <f>IF(kokpit!S413&lt;&gt;"",kokpit!S413,"")</f>
        <v/>
      </c>
      <c r="T413" s="117" t="str">
        <f>IF(kokpit!T413&lt;&gt;"",kokpit!T413,"")</f>
        <v/>
      </c>
      <c r="U413" s="141" t="str">
        <f>IF(R413&lt;&gt;"",SUMIFS('JPK_KR-1'!AL:AL,'JPK_KR-1'!W:W,S413),"")</f>
        <v/>
      </c>
      <c r="V413" s="144" t="str">
        <f>IF(R413&lt;&gt;"",SUMIFS('JPK_KR-1'!AM:AM,'JPK_KR-1'!W:W,S413),"")</f>
        <v/>
      </c>
    </row>
    <row r="414" spans="1:22" x14ac:dyDescent="0.3">
      <c r="A414" s="5" t="str">
        <f>IF(kokpit!A414&lt;&gt;"",kokpit!A414,"")</f>
        <v/>
      </c>
      <c r="B414" s="5" t="str">
        <f>IF(kokpit!B414&lt;&gt;"",kokpit!B414,"")</f>
        <v/>
      </c>
      <c r="C414" s="24" t="str">
        <f>IF(A414&lt;&gt;"",SUMIFS('JPK_KR-1'!AL:AL,'JPK_KR-1'!W:W,B414),"")</f>
        <v/>
      </c>
      <c r="D414" s="126" t="str">
        <f>IF(A414&lt;&gt;"",SUMIFS('JPK_KR-1'!AM:AM,'JPK_KR-1'!W:W,B414),"")</f>
        <v/>
      </c>
      <c r="E414" s="5" t="str">
        <f>IF(kokpit!E414&lt;&gt;"",kokpit!E414,"")</f>
        <v/>
      </c>
      <c r="F414" s="127" t="str">
        <f>IF(kokpit!F414&lt;&gt;"",kokpit!F414,"")</f>
        <v/>
      </c>
      <c r="G414" s="24" t="str">
        <f>IF(E414&lt;&gt;"",SUMIFS('JPK_KR-1'!AL:AL,'JPK_KR-1'!W:W,F414),"")</f>
        <v/>
      </c>
      <c r="H414" s="126" t="str">
        <f>IF(E414&lt;&gt;"",SUMIFS('JPK_KR-1'!AM:AM,'JPK_KR-1'!W:W,F414),"")</f>
        <v/>
      </c>
      <c r="I414" s="5" t="str">
        <f>IF(kokpit!I414&lt;&gt;"",kokpit!I414,"")</f>
        <v/>
      </c>
      <c r="J414" s="5" t="str">
        <f>IF(kokpit!J414&lt;&gt;"",kokpit!J414,"")</f>
        <v/>
      </c>
      <c r="K414" s="24" t="str">
        <f>IF(I414&lt;&gt;"",SUMIFS('JPK_KR-1'!AL:AL,'JPK_KR-1'!W:W,J414),"")</f>
        <v/>
      </c>
      <c r="L414" s="141" t="str">
        <f>IF(I414&lt;&gt;"",SUMIFS('JPK_KR-1'!AM:AM,'JPK_KR-1'!W:W,J414),"")</f>
        <v/>
      </c>
      <c r="M414" s="143" t="str">
        <f>IF(kokpit!M414&lt;&gt;"",kokpit!M414,"")</f>
        <v/>
      </c>
      <c r="N414" s="117" t="str">
        <f>IF(kokpit!N414&lt;&gt;"",kokpit!N414,"")</f>
        <v/>
      </c>
      <c r="O414" s="117" t="str">
        <f>IF(kokpit!O414&lt;&gt;"",kokpit!O414,"")</f>
        <v/>
      </c>
      <c r="P414" s="141" t="str">
        <f>IF(M414&lt;&gt;"",IF(O414="",SUMIFS('JPK_KR-1'!AL:AL,'JPK_KR-1'!W:W,N414),SUMIFS('JPK_KR-1'!BF:BF,'JPK_KR-1'!BE:BE,N414,'JPK_KR-1'!BG:BG,O414)),"")</f>
        <v/>
      </c>
      <c r="Q414" s="144" t="str">
        <f>IF(M414&lt;&gt;"",IF(O414="",SUMIFS('JPK_KR-1'!AM:AM,'JPK_KR-1'!W:W,N414),SUMIFS('JPK_KR-1'!BI:BI,'JPK_KR-1'!BH:BH,N414,'JPK_KR-1'!BJ:BJ,O414)),"")</f>
        <v/>
      </c>
      <c r="R414" s="117" t="str">
        <f>IF(kokpit!R414&lt;&gt;"",kokpit!R414,"")</f>
        <v/>
      </c>
      <c r="S414" s="117" t="str">
        <f>IF(kokpit!S414&lt;&gt;"",kokpit!S414,"")</f>
        <v/>
      </c>
      <c r="T414" s="117" t="str">
        <f>IF(kokpit!T414&lt;&gt;"",kokpit!T414,"")</f>
        <v/>
      </c>
      <c r="U414" s="141" t="str">
        <f>IF(R414&lt;&gt;"",SUMIFS('JPK_KR-1'!AL:AL,'JPK_KR-1'!W:W,S414),"")</f>
        <v/>
      </c>
      <c r="V414" s="144" t="str">
        <f>IF(R414&lt;&gt;"",SUMIFS('JPK_KR-1'!AM:AM,'JPK_KR-1'!W:W,S414),"")</f>
        <v/>
      </c>
    </row>
    <row r="415" spans="1:22" x14ac:dyDescent="0.3">
      <c r="A415" s="5" t="str">
        <f>IF(kokpit!A415&lt;&gt;"",kokpit!A415,"")</f>
        <v/>
      </c>
      <c r="B415" s="5" t="str">
        <f>IF(kokpit!B415&lt;&gt;"",kokpit!B415,"")</f>
        <v/>
      </c>
      <c r="C415" s="24" t="str">
        <f>IF(A415&lt;&gt;"",SUMIFS('JPK_KR-1'!AL:AL,'JPK_KR-1'!W:W,B415),"")</f>
        <v/>
      </c>
      <c r="D415" s="126" t="str">
        <f>IF(A415&lt;&gt;"",SUMIFS('JPK_KR-1'!AM:AM,'JPK_KR-1'!W:W,B415),"")</f>
        <v/>
      </c>
      <c r="E415" s="5" t="str">
        <f>IF(kokpit!E415&lt;&gt;"",kokpit!E415,"")</f>
        <v/>
      </c>
      <c r="F415" s="127" t="str">
        <f>IF(kokpit!F415&lt;&gt;"",kokpit!F415,"")</f>
        <v/>
      </c>
      <c r="G415" s="24" t="str">
        <f>IF(E415&lt;&gt;"",SUMIFS('JPK_KR-1'!AL:AL,'JPK_KR-1'!W:W,F415),"")</f>
        <v/>
      </c>
      <c r="H415" s="126" t="str">
        <f>IF(E415&lt;&gt;"",SUMIFS('JPK_KR-1'!AM:AM,'JPK_KR-1'!W:W,F415),"")</f>
        <v/>
      </c>
      <c r="I415" s="5" t="str">
        <f>IF(kokpit!I415&lt;&gt;"",kokpit!I415,"")</f>
        <v/>
      </c>
      <c r="J415" s="5" t="str">
        <f>IF(kokpit!J415&lt;&gt;"",kokpit!J415,"")</f>
        <v/>
      </c>
      <c r="K415" s="24" t="str">
        <f>IF(I415&lt;&gt;"",SUMIFS('JPK_KR-1'!AL:AL,'JPK_KR-1'!W:W,J415),"")</f>
        <v/>
      </c>
      <c r="L415" s="141" t="str">
        <f>IF(I415&lt;&gt;"",SUMIFS('JPK_KR-1'!AM:AM,'JPK_KR-1'!W:W,J415),"")</f>
        <v/>
      </c>
      <c r="M415" s="143" t="str">
        <f>IF(kokpit!M415&lt;&gt;"",kokpit!M415,"")</f>
        <v/>
      </c>
      <c r="N415" s="117" t="str">
        <f>IF(kokpit!N415&lt;&gt;"",kokpit!N415,"")</f>
        <v/>
      </c>
      <c r="O415" s="117" t="str">
        <f>IF(kokpit!O415&lt;&gt;"",kokpit!O415,"")</f>
        <v/>
      </c>
      <c r="P415" s="141" t="str">
        <f>IF(M415&lt;&gt;"",IF(O415="",SUMIFS('JPK_KR-1'!AL:AL,'JPK_KR-1'!W:W,N415),SUMIFS('JPK_KR-1'!BF:BF,'JPK_KR-1'!BE:BE,N415,'JPK_KR-1'!BG:BG,O415)),"")</f>
        <v/>
      </c>
      <c r="Q415" s="144" t="str">
        <f>IF(M415&lt;&gt;"",IF(O415="",SUMIFS('JPK_KR-1'!AM:AM,'JPK_KR-1'!W:W,N415),SUMIFS('JPK_KR-1'!BI:BI,'JPK_KR-1'!BH:BH,N415,'JPK_KR-1'!BJ:BJ,O415)),"")</f>
        <v/>
      </c>
      <c r="R415" s="117" t="str">
        <f>IF(kokpit!R415&lt;&gt;"",kokpit!R415,"")</f>
        <v/>
      </c>
      <c r="S415" s="117" t="str">
        <f>IF(kokpit!S415&lt;&gt;"",kokpit!S415,"")</f>
        <v/>
      </c>
      <c r="T415" s="117" t="str">
        <f>IF(kokpit!T415&lt;&gt;"",kokpit!T415,"")</f>
        <v/>
      </c>
      <c r="U415" s="141" t="str">
        <f>IF(R415&lt;&gt;"",SUMIFS('JPK_KR-1'!AL:AL,'JPK_KR-1'!W:W,S415),"")</f>
        <v/>
      </c>
      <c r="V415" s="144" t="str">
        <f>IF(R415&lt;&gt;"",SUMIFS('JPK_KR-1'!AM:AM,'JPK_KR-1'!W:W,S415),"")</f>
        <v/>
      </c>
    </row>
    <row r="416" spans="1:22" x14ac:dyDescent="0.3">
      <c r="A416" s="5" t="str">
        <f>IF(kokpit!A416&lt;&gt;"",kokpit!A416,"")</f>
        <v/>
      </c>
      <c r="B416" s="5" t="str">
        <f>IF(kokpit!B416&lt;&gt;"",kokpit!B416,"")</f>
        <v/>
      </c>
      <c r="C416" s="24" t="str">
        <f>IF(A416&lt;&gt;"",SUMIFS('JPK_KR-1'!AL:AL,'JPK_KR-1'!W:W,B416),"")</f>
        <v/>
      </c>
      <c r="D416" s="126" t="str">
        <f>IF(A416&lt;&gt;"",SUMIFS('JPK_KR-1'!AM:AM,'JPK_KR-1'!W:W,B416),"")</f>
        <v/>
      </c>
      <c r="E416" s="5" t="str">
        <f>IF(kokpit!E416&lt;&gt;"",kokpit!E416,"")</f>
        <v/>
      </c>
      <c r="F416" s="127" t="str">
        <f>IF(kokpit!F416&lt;&gt;"",kokpit!F416,"")</f>
        <v/>
      </c>
      <c r="G416" s="24" t="str">
        <f>IF(E416&lt;&gt;"",SUMIFS('JPK_KR-1'!AL:AL,'JPK_KR-1'!W:W,F416),"")</f>
        <v/>
      </c>
      <c r="H416" s="126" t="str">
        <f>IF(E416&lt;&gt;"",SUMIFS('JPK_KR-1'!AM:AM,'JPK_KR-1'!W:W,F416),"")</f>
        <v/>
      </c>
      <c r="I416" s="5" t="str">
        <f>IF(kokpit!I416&lt;&gt;"",kokpit!I416,"")</f>
        <v/>
      </c>
      <c r="J416" s="5" t="str">
        <f>IF(kokpit!J416&lt;&gt;"",kokpit!J416,"")</f>
        <v/>
      </c>
      <c r="K416" s="24" t="str">
        <f>IF(I416&lt;&gt;"",SUMIFS('JPK_KR-1'!AL:AL,'JPK_KR-1'!W:W,J416),"")</f>
        <v/>
      </c>
      <c r="L416" s="141" t="str">
        <f>IF(I416&lt;&gt;"",SUMIFS('JPK_KR-1'!AM:AM,'JPK_KR-1'!W:W,J416),"")</f>
        <v/>
      </c>
      <c r="M416" s="143" t="str">
        <f>IF(kokpit!M416&lt;&gt;"",kokpit!M416,"")</f>
        <v/>
      </c>
      <c r="N416" s="117" t="str">
        <f>IF(kokpit!N416&lt;&gt;"",kokpit!N416,"")</f>
        <v/>
      </c>
      <c r="O416" s="117" t="str">
        <f>IF(kokpit!O416&lt;&gt;"",kokpit!O416,"")</f>
        <v/>
      </c>
      <c r="P416" s="141" t="str">
        <f>IF(M416&lt;&gt;"",IF(O416="",SUMIFS('JPK_KR-1'!AL:AL,'JPK_KR-1'!W:W,N416),SUMIFS('JPK_KR-1'!BF:BF,'JPK_KR-1'!BE:BE,N416,'JPK_KR-1'!BG:BG,O416)),"")</f>
        <v/>
      </c>
      <c r="Q416" s="144" t="str">
        <f>IF(M416&lt;&gt;"",IF(O416="",SUMIFS('JPK_KR-1'!AM:AM,'JPK_KR-1'!W:W,N416),SUMIFS('JPK_KR-1'!BI:BI,'JPK_KR-1'!BH:BH,N416,'JPK_KR-1'!BJ:BJ,O416)),"")</f>
        <v/>
      </c>
      <c r="R416" s="117" t="str">
        <f>IF(kokpit!R416&lt;&gt;"",kokpit!R416,"")</f>
        <v/>
      </c>
      <c r="S416" s="117" t="str">
        <f>IF(kokpit!S416&lt;&gt;"",kokpit!S416,"")</f>
        <v/>
      </c>
      <c r="T416" s="117" t="str">
        <f>IF(kokpit!T416&lt;&gt;"",kokpit!T416,"")</f>
        <v/>
      </c>
      <c r="U416" s="141" t="str">
        <f>IF(R416&lt;&gt;"",SUMIFS('JPK_KR-1'!AL:AL,'JPK_KR-1'!W:W,S416),"")</f>
        <v/>
      </c>
      <c r="V416" s="144" t="str">
        <f>IF(R416&lt;&gt;"",SUMIFS('JPK_KR-1'!AM:AM,'JPK_KR-1'!W:W,S416),"")</f>
        <v/>
      </c>
    </row>
    <row r="417" spans="1:22" x14ac:dyDescent="0.3">
      <c r="A417" s="5" t="str">
        <f>IF(kokpit!A417&lt;&gt;"",kokpit!A417,"")</f>
        <v/>
      </c>
      <c r="B417" s="5" t="str">
        <f>IF(kokpit!B417&lt;&gt;"",kokpit!B417,"")</f>
        <v/>
      </c>
      <c r="C417" s="24" t="str">
        <f>IF(A417&lt;&gt;"",SUMIFS('JPK_KR-1'!AL:AL,'JPK_KR-1'!W:W,B417),"")</f>
        <v/>
      </c>
      <c r="D417" s="126" t="str">
        <f>IF(A417&lt;&gt;"",SUMIFS('JPK_KR-1'!AM:AM,'JPK_KR-1'!W:W,B417),"")</f>
        <v/>
      </c>
      <c r="E417" s="5" t="str">
        <f>IF(kokpit!E417&lt;&gt;"",kokpit!E417,"")</f>
        <v/>
      </c>
      <c r="F417" s="127" t="str">
        <f>IF(kokpit!F417&lt;&gt;"",kokpit!F417,"")</f>
        <v/>
      </c>
      <c r="G417" s="24" t="str">
        <f>IF(E417&lt;&gt;"",SUMIFS('JPK_KR-1'!AL:AL,'JPK_KR-1'!W:W,F417),"")</f>
        <v/>
      </c>
      <c r="H417" s="126" t="str">
        <f>IF(E417&lt;&gt;"",SUMIFS('JPK_KR-1'!AM:AM,'JPK_KR-1'!W:W,F417),"")</f>
        <v/>
      </c>
      <c r="I417" s="5" t="str">
        <f>IF(kokpit!I417&lt;&gt;"",kokpit!I417,"")</f>
        <v/>
      </c>
      <c r="J417" s="5" t="str">
        <f>IF(kokpit!J417&lt;&gt;"",kokpit!J417,"")</f>
        <v/>
      </c>
      <c r="K417" s="24" t="str">
        <f>IF(I417&lt;&gt;"",SUMIFS('JPK_KR-1'!AL:AL,'JPK_KR-1'!W:W,J417),"")</f>
        <v/>
      </c>
      <c r="L417" s="141" t="str">
        <f>IF(I417&lt;&gt;"",SUMIFS('JPK_KR-1'!AM:AM,'JPK_KR-1'!W:W,J417),"")</f>
        <v/>
      </c>
      <c r="M417" s="143" t="str">
        <f>IF(kokpit!M417&lt;&gt;"",kokpit!M417,"")</f>
        <v/>
      </c>
      <c r="N417" s="117" t="str">
        <f>IF(kokpit!N417&lt;&gt;"",kokpit!N417,"")</f>
        <v/>
      </c>
      <c r="O417" s="117" t="str">
        <f>IF(kokpit!O417&lt;&gt;"",kokpit!O417,"")</f>
        <v/>
      </c>
      <c r="P417" s="141" t="str">
        <f>IF(M417&lt;&gt;"",IF(O417="",SUMIFS('JPK_KR-1'!AL:AL,'JPK_KR-1'!W:W,N417),SUMIFS('JPK_KR-1'!BF:BF,'JPK_KR-1'!BE:BE,N417,'JPK_KR-1'!BG:BG,O417)),"")</f>
        <v/>
      </c>
      <c r="Q417" s="144" t="str">
        <f>IF(M417&lt;&gt;"",IF(O417="",SUMIFS('JPK_KR-1'!AM:AM,'JPK_KR-1'!W:W,N417),SUMIFS('JPK_KR-1'!BI:BI,'JPK_KR-1'!BH:BH,N417,'JPK_KR-1'!BJ:BJ,O417)),"")</f>
        <v/>
      </c>
      <c r="R417" s="117" t="str">
        <f>IF(kokpit!R417&lt;&gt;"",kokpit!R417,"")</f>
        <v/>
      </c>
      <c r="S417" s="117" t="str">
        <f>IF(kokpit!S417&lt;&gt;"",kokpit!S417,"")</f>
        <v/>
      </c>
      <c r="T417" s="117" t="str">
        <f>IF(kokpit!T417&lt;&gt;"",kokpit!T417,"")</f>
        <v/>
      </c>
      <c r="U417" s="141" t="str">
        <f>IF(R417&lt;&gt;"",SUMIFS('JPK_KR-1'!AL:AL,'JPK_KR-1'!W:W,S417),"")</f>
        <v/>
      </c>
      <c r="V417" s="144" t="str">
        <f>IF(R417&lt;&gt;"",SUMIFS('JPK_KR-1'!AM:AM,'JPK_KR-1'!W:W,S417),"")</f>
        <v/>
      </c>
    </row>
    <row r="418" spans="1:22" x14ac:dyDescent="0.3">
      <c r="A418" s="5" t="str">
        <f>IF(kokpit!A418&lt;&gt;"",kokpit!A418,"")</f>
        <v/>
      </c>
      <c r="B418" s="5" t="str">
        <f>IF(kokpit!B418&lt;&gt;"",kokpit!B418,"")</f>
        <v/>
      </c>
      <c r="C418" s="24" t="str">
        <f>IF(A418&lt;&gt;"",SUMIFS('JPK_KR-1'!AL:AL,'JPK_KR-1'!W:W,B418),"")</f>
        <v/>
      </c>
      <c r="D418" s="126" t="str">
        <f>IF(A418&lt;&gt;"",SUMIFS('JPK_KR-1'!AM:AM,'JPK_KR-1'!W:W,B418),"")</f>
        <v/>
      </c>
      <c r="E418" s="5" t="str">
        <f>IF(kokpit!E418&lt;&gt;"",kokpit!E418,"")</f>
        <v/>
      </c>
      <c r="F418" s="127" t="str">
        <f>IF(kokpit!F418&lt;&gt;"",kokpit!F418,"")</f>
        <v/>
      </c>
      <c r="G418" s="24" t="str">
        <f>IF(E418&lt;&gt;"",SUMIFS('JPK_KR-1'!AL:AL,'JPK_KR-1'!W:W,F418),"")</f>
        <v/>
      </c>
      <c r="H418" s="126" t="str">
        <f>IF(E418&lt;&gt;"",SUMIFS('JPK_KR-1'!AM:AM,'JPK_KR-1'!W:W,F418),"")</f>
        <v/>
      </c>
      <c r="I418" s="5" t="str">
        <f>IF(kokpit!I418&lt;&gt;"",kokpit!I418,"")</f>
        <v/>
      </c>
      <c r="J418" s="5" t="str">
        <f>IF(kokpit!J418&lt;&gt;"",kokpit!J418,"")</f>
        <v/>
      </c>
      <c r="K418" s="24" t="str">
        <f>IF(I418&lt;&gt;"",SUMIFS('JPK_KR-1'!AL:AL,'JPK_KR-1'!W:W,J418),"")</f>
        <v/>
      </c>
      <c r="L418" s="141" t="str">
        <f>IF(I418&lt;&gt;"",SUMIFS('JPK_KR-1'!AM:AM,'JPK_KR-1'!W:W,J418),"")</f>
        <v/>
      </c>
      <c r="M418" s="143" t="str">
        <f>IF(kokpit!M418&lt;&gt;"",kokpit!M418,"")</f>
        <v/>
      </c>
      <c r="N418" s="117" t="str">
        <f>IF(kokpit!N418&lt;&gt;"",kokpit!N418,"")</f>
        <v/>
      </c>
      <c r="O418" s="117" t="str">
        <f>IF(kokpit!O418&lt;&gt;"",kokpit!O418,"")</f>
        <v/>
      </c>
      <c r="P418" s="141" t="str">
        <f>IF(M418&lt;&gt;"",IF(O418="",SUMIFS('JPK_KR-1'!AL:AL,'JPK_KR-1'!W:W,N418),SUMIFS('JPK_KR-1'!BF:BF,'JPK_KR-1'!BE:BE,N418,'JPK_KR-1'!BG:BG,O418)),"")</f>
        <v/>
      </c>
      <c r="Q418" s="144" t="str">
        <f>IF(M418&lt;&gt;"",IF(O418="",SUMIFS('JPK_KR-1'!AM:AM,'JPK_KR-1'!W:W,N418),SUMIFS('JPK_KR-1'!BI:BI,'JPK_KR-1'!BH:BH,N418,'JPK_KR-1'!BJ:BJ,O418)),"")</f>
        <v/>
      </c>
      <c r="R418" s="117" t="str">
        <f>IF(kokpit!R418&lt;&gt;"",kokpit!R418,"")</f>
        <v/>
      </c>
      <c r="S418" s="117" t="str">
        <f>IF(kokpit!S418&lt;&gt;"",kokpit!S418,"")</f>
        <v/>
      </c>
      <c r="T418" s="117" t="str">
        <f>IF(kokpit!T418&lt;&gt;"",kokpit!T418,"")</f>
        <v/>
      </c>
      <c r="U418" s="141" t="str">
        <f>IF(R418&lt;&gt;"",SUMIFS('JPK_KR-1'!AL:AL,'JPK_KR-1'!W:W,S418),"")</f>
        <v/>
      </c>
      <c r="V418" s="144" t="str">
        <f>IF(R418&lt;&gt;"",SUMIFS('JPK_KR-1'!AM:AM,'JPK_KR-1'!W:W,S418),"")</f>
        <v/>
      </c>
    </row>
    <row r="419" spans="1:22" x14ac:dyDescent="0.3">
      <c r="A419" s="5" t="str">
        <f>IF(kokpit!A419&lt;&gt;"",kokpit!A419,"")</f>
        <v/>
      </c>
      <c r="B419" s="5" t="str">
        <f>IF(kokpit!B419&lt;&gt;"",kokpit!B419,"")</f>
        <v/>
      </c>
      <c r="C419" s="24" t="str">
        <f>IF(A419&lt;&gt;"",SUMIFS('JPK_KR-1'!AL:AL,'JPK_KR-1'!W:W,B419),"")</f>
        <v/>
      </c>
      <c r="D419" s="126" t="str">
        <f>IF(A419&lt;&gt;"",SUMIFS('JPK_KR-1'!AM:AM,'JPK_KR-1'!W:W,B419),"")</f>
        <v/>
      </c>
      <c r="E419" s="5" t="str">
        <f>IF(kokpit!E419&lt;&gt;"",kokpit!E419,"")</f>
        <v/>
      </c>
      <c r="F419" s="127" t="str">
        <f>IF(kokpit!F419&lt;&gt;"",kokpit!F419,"")</f>
        <v/>
      </c>
      <c r="G419" s="24" t="str">
        <f>IF(E419&lt;&gt;"",SUMIFS('JPK_KR-1'!AL:AL,'JPK_KR-1'!W:W,F419),"")</f>
        <v/>
      </c>
      <c r="H419" s="126" t="str">
        <f>IF(E419&lt;&gt;"",SUMIFS('JPK_KR-1'!AM:AM,'JPK_KR-1'!W:W,F419),"")</f>
        <v/>
      </c>
      <c r="I419" s="5" t="str">
        <f>IF(kokpit!I419&lt;&gt;"",kokpit!I419,"")</f>
        <v/>
      </c>
      <c r="J419" s="5" t="str">
        <f>IF(kokpit!J419&lt;&gt;"",kokpit!J419,"")</f>
        <v/>
      </c>
      <c r="K419" s="24" t="str">
        <f>IF(I419&lt;&gt;"",SUMIFS('JPK_KR-1'!AL:AL,'JPK_KR-1'!W:W,J419),"")</f>
        <v/>
      </c>
      <c r="L419" s="141" t="str">
        <f>IF(I419&lt;&gt;"",SUMIFS('JPK_KR-1'!AM:AM,'JPK_KR-1'!W:W,J419),"")</f>
        <v/>
      </c>
      <c r="M419" s="143" t="str">
        <f>IF(kokpit!M419&lt;&gt;"",kokpit!M419,"")</f>
        <v/>
      </c>
      <c r="N419" s="117" t="str">
        <f>IF(kokpit!N419&lt;&gt;"",kokpit!N419,"")</f>
        <v/>
      </c>
      <c r="O419" s="117" t="str">
        <f>IF(kokpit!O419&lt;&gt;"",kokpit!O419,"")</f>
        <v/>
      </c>
      <c r="P419" s="141" t="str">
        <f>IF(M419&lt;&gt;"",IF(O419="",SUMIFS('JPK_KR-1'!AL:AL,'JPK_KR-1'!W:W,N419),SUMIFS('JPK_KR-1'!BF:BF,'JPK_KR-1'!BE:BE,N419,'JPK_KR-1'!BG:BG,O419)),"")</f>
        <v/>
      </c>
      <c r="Q419" s="144" t="str">
        <f>IF(M419&lt;&gt;"",IF(O419="",SUMIFS('JPK_KR-1'!AM:AM,'JPK_KR-1'!W:W,N419),SUMIFS('JPK_KR-1'!BI:BI,'JPK_KR-1'!BH:BH,N419,'JPK_KR-1'!BJ:BJ,O419)),"")</f>
        <v/>
      </c>
      <c r="R419" s="117" t="str">
        <f>IF(kokpit!R419&lt;&gt;"",kokpit!R419,"")</f>
        <v/>
      </c>
      <c r="S419" s="117" t="str">
        <f>IF(kokpit!S419&lt;&gt;"",kokpit!S419,"")</f>
        <v/>
      </c>
      <c r="T419" s="117" t="str">
        <f>IF(kokpit!T419&lt;&gt;"",kokpit!T419,"")</f>
        <v/>
      </c>
      <c r="U419" s="141" t="str">
        <f>IF(R419&lt;&gt;"",SUMIFS('JPK_KR-1'!AL:AL,'JPK_KR-1'!W:W,S419),"")</f>
        <v/>
      </c>
      <c r="V419" s="144" t="str">
        <f>IF(R419&lt;&gt;"",SUMIFS('JPK_KR-1'!AM:AM,'JPK_KR-1'!W:W,S419),"")</f>
        <v/>
      </c>
    </row>
    <row r="420" spans="1:22" x14ac:dyDescent="0.3">
      <c r="A420" s="5" t="str">
        <f>IF(kokpit!A420&lt;&gt;"",kokpit!A420,"")</f>
        <v/>
      </c>
      <c r="B420" s="5" t="str">
        <f>IF(kokpit!B420&lt;&gt;"",kokpit!B420,"")</f>
        <v/>
      </c>
      <c r="C420" s="24" t="str">
        <f>IF(A420&lt;&gt;"",SUMIFS('JPK_KR-1'!AL:AL,'JPK_KR-1'!W:W,B420),"")</f>
        <v/>
      </c>
      <c r="D420" s="126" t="str">
        <f>IF(A420&lt;&gt;"",SUMIFS('JPK_KR-1'!AM:AM,'JPK_KR-1'!W:W,B420),"")</f>
        <v/>
      </c>
      <c r="E420" s="5" t="str">
        <f>IF(kokpit!E420&lt;&gt;"",kokpit!E420,"")</f>
        <v/>
      </c>
      <c r="F420" s="127" t="str">
        <f>IF(kokpit!F420&lt;&gt;"",kokpit!F420,"")</f>
        <v/>
      </c>
      <c r="G420" s="24" t="str">
        <f>IF(E420&lt;&gt;"",SUMIFS('JPK_KR-1'!AL:AL,'JPK_KR-1'!W:W,F420),"")</f>
        <v/>
      </c>
      <c r="H420" s="126" t="str">
        <f>IF(E420&lt;&gt;"",SUMIFS('JPK_KR-1'!AM:AM,'JPK_KR-1'!W:W,F420),"")</f>
        <v/>
      </c>
      <c r="I420" s="5" t="str">
        <f>IF(kokpit!I420&lt;&gt;"",kokpit!I420,"")</f>
        <v/>
      </c>
      <c r="J420" s="5" t="str">
        <f>IF(kokpit!J420&lt;&gt;"",kokpit!J420,"")</f>
        <v/>
      </c>
      <c r="K420" s="24" t="str">
        <f>IF(I420&lt;&gt;"",SUMIFS('JPK_KR-1'!AL:AL,'JPK_KR-1'!W:W,J420),"")</f>
        <v/>
      </c>
      <c r="L420" s="141" t="str">
        <f>IF(I420&lt;&gt;"",SUMIFS('JPK_KR-1'!AM:AM,'JPK_KR-1'!W:W,J420),"")</f>
        <v/>
      </c>
      <c r="M420" s="143" t="str">
        <f>IF(kokpit!M420&lt;&gt;"",kokpit!M420,"")</f>
        <v/>
      </c>
      <c r="N420" s="117" t="str">
        <f>IF(kokpit!N420&lt;&gt;"",kokpit!N420,"")</f>
        <v/>
      </c>
      <c r="O420" s="117" t="str">
        <f>IF(kokpit!O420&lt;&gt;"",kokpit!O420,"")</f>
        <v/>
      </c>
      <c r="P420" s="141" t="str">
        <f>IF(M420&lt;&gt;"",IF(O420="",SUMIFS('JPK_KR-1'!AL:AL,'JPK_KR-1'!W:W,N420),SUMIFS('JPK_KR-1'!BF:BF,'JPK_KR-1'!BE:BE,N420,'JPK_KR-1'!BG:BG,O420)),"")</f>
        <v/>
      </c>
      <c r="Q420" s="144" t="str">
        <f>IF(M420&lt;&gt;"",IF(O420="",SUMIFS('JPK_KR-1'!AM:AM,'JPK_KR-1'!W:W,N420),SUMIFS('JPK_KR-1'!BI:BI,'JPK_KR-1'!BH:BH,N420,'JPK_KR-1'!BJ:BJ,O420)),"")</f>
        <v/>
      </c>
      <c r="R420" s="117" t="str">
        <f>IF(kokpit!R420&lt;&gt;"",kokpit!R420,"")</f>
        <v/>
      </c>
      <c r="S420" s="117" t="str">
        <f>IF(kokpit!S420&lt;&gt;"",kokpit!S420,"")</f>
        <v/>
      </c>
      <c r="T420" s="117" t="str">
        <f>IF(kokpit!T420&lt;&gt;"",kokpit!T420,"")</f>
        <v/>
      </c>
      <c r="U420" s="141" t="str">
        <f>IF(R420&lt;&gt;"",SUMIFS('JPK_KR-1'!AL:AL,'JPK_KR-1'!W:W,S420),"")</f>
        <v/>
      </c>
      <c r="V420" s="144" t="str">
        <f>IF(R420&lt;&gt;"",SUMIFS('JPK_KR-1'!AM:AM,'JPK_KR-1'!W:W,S420),"")</f>
        <v/>
      </c>
    </row>
    <row r="421" spans="1:22" x14ac:dyDescent="0.3">
      <c r="A421" s="5" t="str">
        <f>IF(kokpit!A421&lt;&gt;"",kokpit!A421,"")</f>
        <v/>
      </c>
      <c r="B421" s="5" t="str">
        <f>IF(kokpit!B421&lt;&gt;"",kokpit!B421,"")</f>
        <v/>
      </c>
      <c r="C421" s="24" t="str">
        <f>IF(A421&lt;&gt;"",SUMIFS('JPK_KR-1'!AL:AL,'JPK_KR-1'!W:W,B421),"")</f>
        <v/>
      </c>
      <c r="D421" s="126" t="str">
        <f>IF(A421&lt;&gt;"",SUMIFS('JPK_KR-1'!AM:AM,'JPK_KR-1'!W:W,B421),"")</f>
        <v/>
      </c>
      <c r="E421" s="5" t="str">
        <f>IF(kokpit!E421&lt;&gt;"",kokpit!E421,"")</f>
        <v/>
      </c>
      <c r="F421" s="127" t="str">
        <f>IF(kokpit!F421&lt;&gt;"",kokpit!F421,"")</f>
        <v/>
      </c>
      <c r="G421" s="24" t="str">
        <f>IF(E421&lt;&gt;"",SUMIFS('JPK_KR-1'!AL:AL,'JPK_KR-1'!W:W,F421),"")</f>
        <v/>
      </c>
      <c r="H421" s="126" t="str">
        <f>IF(E421&lt;&gt;"",SUMIFS('JPK_KR-1'!AM:AM,'JPK_KR-1'!W:W,F421),"")</f>
        <v/>
      </c>
      <c r="I421" s="5" t="str">
        <f>IF(kokpit!I421&lt;&gt;"",kokpit!I421,"")</f>
        <v/>
      </c>
      <c r="J421" s="5" t="str">
        <f>IF(kokpit!J421&lt;&gt;"",kokpit!J421,"")</f>
        <v/>
      </c>
      <c r="K421" s="24" t="str">
        <f>IF(I421&lt;&gt;"",SUMIFS('JPK_KR-1'!AL:AL,'JPK_KR-1'!W:W,J421),"")</f>
        <v/>
      </c>
      <c r="L421" s="141" t="str">
        <f>IF(I421&lt;&gt;"",SUMIFS('JPK_KR-1'!AM:AM,'JPK_KR-1'!W:W,J421),"")</f>
        <v/>
      </c>
      <c r="M421" s="143" t="str">
        <f>IF(kokpit!M421&lt;&gt;"",kokpit!M421,"")</f>
        <v/>
      </c>
      <c r="N421" s="117" t="str">
        <f>IF(kokpit!N421&lt;&gt;"",kokpit!N421,"")</f>
        <v/>
      </c>
      <c r="O421" s="117" t="str">
        <f>IF(kokpit!O421&lt;&gt;"",kokpit!O421,"")</f>
        <v/>
      </c>
      <c r="P421" s="141" t="str">
        <f>IF(M421&lt;&gt;"",IF(O421="",SUMIFS('JPK_KR-1'!AL:AL,'JPK_KR-1'!W:W,N421),SUMIFS('JPK_KR-1'!BF:BF,'JPK_KR-1'!BE:BE,N421,'JPK_KR-1'!BG:BG,O421)),"")</f>
        <v/>
      </c>
      <c r="Q421" s="144" t="str">
        <f>IF(M421&lt;&gt;"",IF(O421="",SUMIFS('JPK_KR-1'!AM:AM,'JPK_KR-1'!W:W,N421),SUMIFS('JPK_KR-1'!BI:BI,'JPK_KR-1'!BH:BH,N421,'JPK_KR-1'!BJ:BJ,O421)),"")</f>
        <v/>
      </c>
      <c r="R421" s="117" t="str">
        <f>IF(kokpit!R421&lt;&gt;"",kokpit!R421,"")</f>
        <v/>
      </c>
      <c r="S421" s="117" t="str">
        <f>IF(kokpit!S421&lt;&gt;"",kokpit!S421,"")</f>
        <v/>
      </c>
      <c r="T421" s="117" t="str">
        <f>IF(kokpit!T421&lt;&gt;"",kokpit!T421,"")</f>
        <v/>
      </c>
      <c r="U421" s="141" t="str">
        <f>IF(R421&lt;&gt;"",SUMIFS('JPK_KR-1'!AL:AL,'JPK_KR-1'!W:W,S421),"")</f>
        <v/>
      </c>
      <c r="V421" s="144" t="str">
        <f>IF(R421&lt;&gt;"",SUMIFS('JPK_KR-1'!AM:AM,'JPK_KR-1'!W:W,S421),"")</f>
        <v/>
      </c>
    </row>
    <row r="422" spans="1:22" x14ac:dyDescent="0.3">
      <c r="A422" s="5" t="str">
        <f>IF(kokpit!A422&lt;&gt;"",kokpit!A422,"")</f>
        <v/>
      </c>
      <c r="B422" s="5" t="str">
        <f>IF(kokpit!B422&lt;&gt;"",kokpit!B422,"")</f>
        <v/>
      </c>
      <c r="C422" s="24" t="str">
        <f>IF(A422&lt;&gt;"",SUMIFS('JPK_KR-1'!AL:AL,'JPK_KR-1'!W:W,B422),"")</f>
        <v/>
      </c>
      <c r="D422" s="126" t="str">
        <f>IF(A422&lt;&gt;"",SUMIFS('JPK_KR-1'!AM:AM,'JPK_KR-1'!W:W,B422),"")</f>
        <v/>
      </c>
      <c r="E422" s="5" t="str">
        <f>IF(kokpit!E422&lt;&gt;"",kokpit!E422,"")</f>
        <v/>
      </c>
      <c r="F422" s="127" t="str">
        <f>IF(kokpit!F422&lt;&gt;"",kokpit!F422,"")</f>
        <v/>
      </c>
      <c r="G422" s="24" t="str">
        <f>IF(E422&lt;&gt;"",SUMIFS('JPK_KR-1'!AL:AL,'JPK_KR-1'!W:W,F422),"")</f>
        <v/>
      </c>
      <c r="H422" s="126" t="str">
        <f>IF(E422&lt;&gt;"",SUMIFS('JPK_KR-1'!AM:AM,'JPK_KR-1'!W:W,F422),"")</f>
        <v/>
      </c>
      <c r="I422" s="5" t="str">
        <f>IF(kokpit!I422&lt;&gt;"",kokpit!I422,"")</f>
        <v/>
      </c>
      <c r="J422" s="5" t="str">
        <f>IF(kokpit!J422&lt;&gt;"",kokpit!J422,"")</f>
        <v/>
      </c>
      <c r="K422" s="24" t="str">
        <f>IF(I422&lt;&gt;"",SUMIFS('JPK_KR-1'!AL:AL,'JPK_KR-1'!W:W,J422),"")</f>
        <v/>
      </c>
      <c r="L422" s="141" t="str">
        <f>IF(I422&lt;&gt;"",SUMIFS('JPK_KR-1'!AM:AM,'JPK_KR-1'!W:W,J422),"")</f>
        <v/>
      </c>
      <c r="M422" s="143" t="str">
        <f>IF(kokpit!M422&lt;&gt;"",kokpit!M422,"")</f>
        <v/>
      </c>
      <c r="N422" s="117" t="str">
        <f>IF(kokpit!N422&lt;&gt;"",kokpit!N422,"")</f>
        <v/>
      </c>
      <c r="O422" s="117" t="str">
        <f>IF(kokpit!O422&lt;&gt;"",kokpit!O422,"")</f>
        <v/>
      </c>
      <c r="P422" s="141" t="str">
        <f>IF(M422&lt;&gt;"",IF(O422="",SUMIFS('JPK_KR-1'!AL:AL,'JPK_KR-1'!W:W,N422),SUMIFS('JPK_KR-1'!BF:BF,'JPK_KR-1'!BE:BE,N422,'JPK_KR-1'!BG:BG,O422)),"")</f>
        <v/>
      </c>
      <c r="Q422" s="144" t="str">
        <f>IF(M422&lt;&gt;"",IF(O422="",SUMIFS('JPK_KR-1'!AM:AM,'JPK_KR-1'!W:W,N422),SUMIFS('JPK_KR-1'!BI:BI,'JPK_KR-1'!BH:BH,N422,'JPK_KR-1'!BJ:BJ,O422)),"")</f>
        <v/>
      </c>
      <c r="R422" s="117" t="str">
        <f>IF(kokpit!R422&lt;&gt;"",kokpit!R422,"")</f>
        <v/>
      </c>
      <c r="S422" s="117" t="str">
        <f>IF(kokpit!S422&lt;&gt;"",kokpit!S422,"")</f>
        <v/>
      </c>
      <c r="T422" s="117" t="str">
        <f>IF(kokpit!T422&lt;&gt;"",kokpit!T422,"")</f>
        <v/>
      </c>
      <c r="U422" s="141" t="str">
        <f>IF(R422&lt;&gt;"",SUMIFS('JPK_KR-1'!AL:AL,'JPK_KR-1'!W:W,S422),"")</f>
        <v/>
      </c>
      <c r="V422" s="144" t="str">
        <f>IF(R422&lt;&gt;"",SUMIFS('JPK_KR-1'!AM:AM,'JPK_KR-1'!W:W,S422),"")</f>
        <v/>
      </c>
    </row>
    <row r="423" spans="1:22" x14ac:dyDescent="0.3">
      <c r="A423" s="5" t="str">
        <f>IF(kokpit!A423&lt;&gt;"",kokpit!A423,"")</f>
        <v/>
      </c>
      <c r="B423" s="5" t="str">
        <f>IF(kokpit!B423&lt;&gt;"",kokpit!B423,"")</f>
        <v/>
      </c>
      <c r="C423" s="24" t="str">
        <f>IF(A423&lt;&gt;"",SUMIFS('JPK_KR-1'!AL:AL,'JPK_KR-1'!W:W,B423),"")</f>
        <v/>
      </c>
      <c r="D423" s="126" t="str">
        <f>IF(A423&lt;&gt;"",SUMIFS('JPK_KR-1'!AM:AM,'JPK_KR-1'!W:W,B423),"")</f>
        <v/>
      </c>
      <c r="E423" s="5" t="str">
        <f>IF(kokpit!E423&lt;&gt;"",kokpit!E423,"")</f>
        <v/>
      </c>
      <c r="F423" s="127" t="str">
        <f>IF(kokpit!F423&lt;&gt;"",kokpit!F423,"")</f>
        <v/>
      </c>
      <c r="G423" s="24" t="str">
        <f>IF(E423&lt;&gt;"",SUMIFS('JPK_KR-1'!AL:AL,'JPK_KR-1'!W:W,F423),"")</f>
        <v/>
      </c>
      <c r="H423" s="126" t="str">
        <f>IF(E423&lt;&gt;"",SUMIFS('JPK_KR-1'!AM:AM,'JPK_KR-1'!W:W,F423),"")</f>
        <v/>
      </c>
      <c r="I423" s="5" t="str">
        <f>IF(kokpit!I423&lt;&gt;"",kokpit!I423,"")</f>
        <v/>
      </c>
      <c r="J423" s="5" t="str">
        <f>IF(kokpit!J423&lt;&gt;"",kokpit!J423,"")</f>
        <v/>
      </c>
      <c r="K423" s="24" t="str">
        <f>IF(I423&lt;&gt;"",SUMIFS('JPK_KR-1'!AL:AL,'JPK_KR-1'!W:W,J423),"")</f>
        <v/>
      </c>
      <c r="L423" s="141" t="str">
        <f>IF(I423&lt;&gt;"",SUMIFS('JPK_KR-1'!AM:AM,'JPK_KR-1'!W:W,J423),"")</f>
        <v/>
      </c>
      <c r="M423" s="143" t="str">
        <f>IF(kokpit!M423&lt;&gt;"",kokpit!M423,"")</f>
        <v/>
      </c>
      <c r="N423" s="117" t="str">
        <f>IF(kokpit!N423&lt;&gt;"",kokpit!N423,"")</f>
        <v/>
      </c>
      <c r="O423" s="117" t="str">
        <f>IF(kokpit!O423&lt;&gt;"",kokpit!O423,"")</f>
        <v/>
      </c>
      <c r="P423" s="141" t="str">
        <f>IF(M423&lt;&gt;"",IF(O423="",SUMIFS('JPK_KR-1'!AL:AL,'JPK_KR-1'!W:W,N423),SUMIFS('JPK_KR-1'!BF:BF,'JPK_KR-1'!BE:BE,N423,'JPK_KR-1'!BG:BG,O423)),"")</f>
        <v/>
      </c>
      <c r="Q423" s="144" t="str">
        <f>IF(M423&lt;&gt;"",IF(O423="",SUMIFS('JPK_KR-1'!AM:AM,'JPK_KR-1'!W:W,N423),SUMIFS('JPK_KR-1'!BI:BI,'JPK_KR-1'!BH:BH,N423,'JPK_KR-1'!BJ:BJ,O423)),"")</f>
        <v/>
      </c>
      <c r="R423" s="117" t="str">
        <f>IF(kokpit!R423&lt;&gt;"",kokpit!R423,"")</f>
        <v/>
      </c>
      <c r="S423" s="117" t="str">
        <f>IF(kokpit!S423&lt;&gt;"",kokpit!S423,"")</f>
        <v/>
      </c>
      <c r="T423" s="117" t="str">
        <f>IF(kokpit!T423&lt;&gt;"",kokpit!T423,"")</f>
        <v/>
      </c>
      <c r="U423" s="141" t="str">
        <f>IF(R423&lt;&gt;"",SUMIFS('JPK_KR-1'!AL:AL,'JPK_KR-1'!W:W,S423),"")</f>
        <v/>
      </c>
      <c r="V423" s="144" t="str">
        <f>IF(R423&lt;&gt;"",SUMIFS('JPK_KR-1'!AM:AM,'JPK_KR-1'!W:W,S423),"")</f>
        <v/>
      </c>
    </row>
    <row r="424" spans="1:22" x14ac:dyDescent="0.3">
      <c r="A424" s="5" t="str">
        <f>IF(kokpit!A424&lt;&gt;"",kokpit!A424,"")</f>
        <v/>
      </c>
      <c r="B424" s="5" t="str">
        <f>IF(kokpit!B424&lt;&gt;"",kokpit!B424,"")</f>
        <v/>
      </c>
      <c r="C424" s="24" t="str">
        <f>IF(A424&lt;&gt;"",SUMIFS('JPK_KR-1'!AL:AL,'JPK_KR-1'!W:W,B424),"")</f>
        <v/>
      </c>
      <c r="D424" s="126" t="str">
        <f>IF(A424&lt;&gt;"",SUMIFS('JPK_KR-1'!AM:AM,'JPK_KR-1'!W:W,B424),"")</f>
        <v/>
      </c>
      <c r="E424" s="5" t="str">
        <f>IF(kokpit!E424&lt;&gt;"",kokpit!E424,"")</f>
        <v/>
      </c>
      <c r="F424" s="127" t="str">
        <f>IF(kokpit!F424&lt;&gt;"",kokpit!F424,"")</f>
        <v/>
      </c>
      <c r="G424" s="24" t="str">
        <f>IF(E424&lt;&gt;"",SUMIFS('JPK_KR-1'!AL:AL,'JPK_KR-1'!W:W,F424),"")</f>
        <v/>
      </c>
      <c r="H424" s="126" t="str">
        <f>IF(E424&lt;&gt;"",SUMIFS('JPK_KR-1'!AM:AM,'JPK_KR-1'!W:W,F424),"")</f>
        <v/>
      </c>
      <c r="I424" s="5" t="str">
        <f>IF(kokpit!I424&lt;&gt;"",kokpit!I424,"")</f>
        <v/>
      </c>
      <c r="J424" s="5" t="str">
        <f>IF(kokpit!J424&lt;&gt;"",kokpit!J424,"")</f>
        <v/>
      </c>
      <c r="K424" s="24" t="str">
        <f>IF(I424&lt;&gt;"",SUMIFS('JPK_KR-1'!AL:AL,'JPK_KR-1'!W:W,J424),"")</f>
        <v/>
      </c>
      <c r="L424" s="141" t="str">
        <f>IF(I424&lt;&gt;"",SUMIFS('JPK_KR-1'!AM:AM,'JPK_KR-1'!W:W,J424),"")</f>
        <v/>
      </c>
      <c r="M424" s="143" t="str">
        <f>IF(kokpit!M424&lt;&gt;"",kokpit!M424,"")</f>
        <v/>
      </c>
      <c r="N424" s="117" t="str">
        <f>IF(kokpit!N424&lt;&gt;"",kokpit!N424,"")</f>
        <v/>
      </c>
      <c r="O424" s="117" t="str">
        <f>IF(kokpit!O424&lt;&gt;"",kokpit!O424,"")</f>
        <v/>
      </c>
      <c r="P424" s="141" t="str">
        <f>IF(M424&lt;&gt;"",IF(O424="",SUMIFS('JPK_KR-1'!AL:AL,'JPK_KR-1'!W:W,N424),SUMIFS('JPK_KR-1'!BF:BF,'JPK_KR-1'!BE:BE,N424,'JPK_KR-1'!BG:BG,O424)),"")</f>
        <v/>
      </c>
      <c r="Q424" s="144" t="str">
        <f>IF(M424&lt;&gt;"",IF(O424="",SUMIFS('JPK_KR-1'!AM:AM,'JPK_KR-1'!W:W,N424),SUMIFS('JPK_KR-1'!BI:BI,'JPK_KR-1'!BH:BH,N424,'JPK_KR-1'!BJ:BJ,O424)),"")</f>
        <v/>
      </c>
      <c r="R424" s="117" t="str">
        <f>IF(kokpit!R424&lt;&gt;"",kokpit!R424,"")</f>
        <v/>
      </c>
      <c r="S424" s="117" t="str">
        <f>IF(kokpit!S424&lt;&gt;"",kokpit!S424,"")</f>
        <v/>
      </c>
      <c r="T424" s="117" t="str">
        <f>IF(kokpit!T424&lt;&gt;"",kokpit!T424,"")</f>
        <v/>
      </c>
      <c r="U424" s="141" t="str">
        <f>IF(R424&lt;&gt;"",SUMIFS('JPK_KR-1'!AL:AL,'JPK_KR-1'!W:W,S424),"")</f>
        <v/>
      </c>
      <c r="V424" s="144" t="str">
        <f>IF(R424&lt;&gt;"",SUMIFS('JPK_KR-1'!AM:AM,'JPK_KR-1'!W:W,S424),"")</f>
        <v/>
      </c>
    </row>
    <row r="425" spans="1:22" x14ac:dyDescent="0.3">
      <c r="A425" s="5" t="str">
        <f>IF(kokpit!A425&lt;&gt;"",kokpit!A425,"")</f>
        <v/>
      </c>
      <c r="B425" s="5" t="str">
        <f>IF(kokpit!B425&lt;&gt;"",kokpit!B425,"")</f>
        <v/>
      </c>
      <c r="C425" s="24" t="str">
        <f>IF(A425&lt;&gt;"",SUMIFS('JPK_KR-1'!AL:AL,'JPK_KR-1'!W:W,B425),"")</f>
        <v/>
      </c>
      <c r="D425" s="126" t="str">
        <f>IF(A425&lt;&gt;"",SUMIFS('JPK_KR-1'!AM:AM,'JPK_KR-1'!W:W,B425),"")</f>
        <v/>
      </c>
      <c r="E425" s="5" t="str">
        <f>IF(kokpit!E425&lt;&gt;"",kokpit!E425,"")</f>
        <v/>
      </c>
      <c r="F425" s="127" t="str">
        <f>IF(kokpit!F425&lt;&gt;"",kokpit!F425,"")</f>
        <v/>
      </c>
      <c r="G425" s="24" t="str">
        <f>IF(E425&lt;&gt;"",SUMIFS('JPK_KR-1'!AL:AL,'JPK_KR-1'!W:W,F425),"")</f>
        <v/>
      </c>
      <c r="H425" s="126" t="str">
        <f>IF(E425&lt;&gt;"",SUMIFS('JPK_KR-1'!AM:AM,'JPK_KR-1'!W:W,F425),"")</f>
        <v/>
      </c>
      <c r="I425" s="5" t="str">
        <f>IF(kokpit!I425&lt;&gt;"",kokpit!I425,"")</f>
        <v/>
      </c>
      <c r="J425" s="5" t="str">
        <f>IF(kokpit!J425&lt;&gt;"",kokpit!J425,"")</f>
        <v/>
      </c>
      <c r="K425" s="24" t="str">
        <f>IF(I425&lt;&gt;"",SUMIFS('JPK_KR-1'!AL:AL,'JPK_KR-1'!W:W,J425),"")</f>
        <v/>
      </c>
      <c r="L425" s="141" t="str">
        <f>IF(I425&lt;&gt;"",SUMIFS('JPK_KR-1'!AM:AM,'JPK_KR-1'!W:W,J425),"")</f>
        <v/>
      </c>
      <c r="M425" s="143" t="str">
        <f>IF(kokpit!M425&lt;&gt;"",kokpit!M425,"")</f>
        <v/>
      </c>
      <c r="N425" s="117" t="str">
        <f>IF(kokpit!N425&lt;&gt;"",kokpit!N425,"")</f>
        <v/>
      </c>
      <c r="O425" s="117" t="str">
        <f>IF(kokpit!O425&lt;&gt;"",kokpit!O425,"")</f>
        <v/>
      </c>
      <c r="P425" s="141" t="str">
        <f>IF(M425&lt;&gt;"",IF(O425="",SUMIFS('JPK_KR-1'!AL:AL,'JPK_KR-1'!W:W,N425),SUMIFS('JPK_KR-1'!BF:BF,'JPK_KR-1'!BE:BE,N425,'JPK_KR-1'!BG:BG,O425)),"")</f>
        <v/>
      </c>
      <c r="Q425" s="144" t="str">
        <f>IF(M425&lt;&gt;"",IF(O425="",SUMIFS('JPK_KR-1'!AM:AM,'JPK_KR-1'!W:W,N425),SUMIFS('JPK_KR-1'!BI:BI,'JPK_KR-1'!BH:BH,N425,'JPK_KR-1'!BJ:BJ,O425)),"")</f>
        <v/>
      </c>
      <c r="R425" s="117" t="str">
        <f>IF(kokpit!R425&lt;&gt;"",kokpit!R425,"")</f>
        <v/>
      </c>
      <c r="S425" s="117" t="str">
        <f>IF(kokpit!S425&lt;&gt;"",kokpit!S425,"")</f>
        <v/>
      </c>
      <c r="T425" s="117" t="str">
        <f>IF(kokpit!T425&lt;&gt;"",kokpit!T425,"")</f>
        <v/>
      </c>
      <c r="U425" s="141" t="str">
        <f>IF(R425&lt;&gt;"",SUMIFS('JPK_KR-1'!AL:AL,'JPK_KR-1'!W:W,S425),"")</f>
        <v/>
      </c>
      <c r="V425" s="144" t="str">
        <f>IF(R425&lt;&gt;"",SUMIFS('JPK_KR-1'!AM:AM,'JPK_KR-1'!W:W,S425),"")</f>
        <v/>
      </c>
    </row>
    <row r="426" spans="1:22" x14ac:dyDescent="0.3">
      <c r="A426" s="5" t="str">
        <f>IF(kokpit!A426&lt;&gt;"",kokpit!A426,"")</f>
        <v/>
      </c>
      <c r="B426" s="5" t="str">
        <f>IF(kokpit!B426&lt;&gt;"",kokpit!B426,"")</f>
        <v/>
      </c>
      <c r="C426" s="24" t="str">
        <f>IF(A426&lt;&gt;"",SUMIFS('JPK_KR-1'!AL:AL,'JPK_KR-1'!W:W,B426),"")</f>
        <v/>
      </c>
      <c r="D426" s="126" t="str">
        <f>IF(A426&lt;&gt;"",SUMIFS('JPK_KR-1'!AM:AM,'JPK_KR-1'!W:W,B426),"")</f>
        <v/>
      </c>
      <c r="E426" s="5" t="str">
        <f>IF(kokpit!E426&lt;&gt;"",kokpit!E426,"")</f>
        <v/>
      </c>
      <c r="F426" s="127" t="str">
        <f>IF(kokpit!F426&lt;&gt;"",kokpit!F426,"")</f>
        <v/>
      </c>
      <c r="G426" s="24" t="str">
        <f>IF(E426&lt;&gt;"",SUMIFS('JPK_KR-1'!AL:AL,'JPK_KR-1'!W:W,F426),"")</f>
        <v/>
      </c>
      <c r="H426" s="126" t="str">
        <f>IF(E426&lt;&gt;"",SUMIFS('JPK_KR-1'!AM:AM,'JPK_KR-1'!W:W,F426),"")</f>
        <v/>
      </c>
      <c r="I426" s="5" t="str">
        <f>IF(kokpit!I426&lt;&gt;"",kokpit!I426,"")</f>
        <v/>
      </c>
      <c r="J426" s="5" t="str">
        <f>IF(kokpit!J426&lt;&gt;"",kokpit!J426,"")</f>
        <v/>
      </c>
      <c r="K426" s="24" t="str">
        <f>IF(I426&lt;&gt;"",SUMIFS('JPK_KR-1'!AL:AL,'JPK_KR-1'!W:W,J426),"")</f>
        <v/>
      </c>
      <c r="L426" s="141" t="str">
        <f>IF(I426&lt;&gt;"",SUMIFS('JPK_KR-1'!AM:AM,'JPK_KR-1'!W:W,J426),"")</f>
        <v/>
      </c>
      <c r="M426" s="143" t="str">
        <f>IF(kokpit!M426&lt;&gt;"",kokpit!M426,"")</f>
        <v/>
      </c>
      <c r="N426" s="117" t="str">
        <f>IF(kokpit!N426&lt;&gt;"",kokpit!N426,"")</f>
        <v/>
      </c>
      <c r="O426" s="117" t="str">
        <f>IF(kokpit!O426&lt;&gt;"",kokpit!O426,"")</f>
        <v/>
      </c>
      <c r="P426" s="141" t="str">
        <f>IF(M426&lt;&gt;"",IF(O426="",SUMIFS('JPK_KR-1'!AL:AL,'JPK_KR-1'!W:W,N426),SUMIFS('JPK_KR-1'!BF:BF,'JPK_KR-1'!BE:BE,N426,'JPK_KR-1'!BG:BG,O426)),"")</f>
        <v/>
      </c>
      <c r="Q426" s="144" t="str">
        <f>IF(M426&lt;&gt;"",IF(O426="",SUMIFS('JPK_KR-1'!AM:AM,'JPK_KR-1'!W:W,N426),SUMIFS('JPK_KR-1'!BI:BI,'JPK_KR-1'!BH:BH,N426,'JPK_KR-1'!BJ:BJ,O426)),"")</f>
        <v/>
      </c>
      <c r="R426" s="117" t="str">
        <f>IF(kokpit!R426&lt;&gt;"",kokpit!R426,"")</f>
        <v/>
      </c>
      <c r="S426" s="117" t="str">
        <f>IF(kokpit!S426&lt;&gt;"",kokpit!S426,"")</f>
        <v/>
      </c>
      <c r="T426" s="117" t="str">
        <f>IF(kokpit!T426&lt;&gt;"",kokpit!T426,"")</f>
        <v/>
      </c>
      <c r="U426" s="141" t="str">
        <f>IF(R426&lt;&gt;"",SUMIFS('JPK_KR-1'!AL:AL,'JPK_KR-1'!W:W,S426),"")</f>
        <v/>
      </c>
      <c r="V426" s="144" t="str">
        <f>IF(R426&lt;&gt;"",SUMIFS('JPK_KR-1'!AM:AM,'JPK_KR-1'!W:W,S426),"")</f>
        <v/>
      </c>
    </row>
    <row r="427" spans="1:22" x14ac:dyDescent="0.3">
      <c r="A427" s="5" t="str">
        <f>IF(kokpit!A427&lt;&gt;"",kokpit!A427,"")</f>
        <v/>
      </c>
      <c r="B427" s="5" t="str">
        <f>IF(kokpit!B427&lt;&gt;"",kokpit!B427,"")</f>
        <v/>
      </c>
      <c r="C427" s="24" t="str">
        <f>IF(A427&lt;&gt;"",SUMIFS('JPK_KR-1'!AL:AL,'JPK_KR-1'!W:W,B427),"")</f>
        <v/>
      </c>
      <c r="D427" s="126" t="str">
        <f>IF(A427&lt;&gt;"",SUMIFS('JPK_KR-1'!AM:AM,'JPK_KR-1'!W:W,B427),"")</f>
        <v/>
      </c>
      <c r="E427" s="5" t="str">
        <f>IF(kokpit!E427&lt;&gt;"",kokpit!E427,"")</f>
        <v/>
      </c>
      <c r="F427" s="127" t="str">
        <f>IF(kokpit!F427&lt;&gt;"",kokpit!F427,"")</f>
        <v/>
      </c>
      <c r="G427" s="24" t="str">
        <f>IF(E427&lt;&gt;"",SUMIFS('JPK_KR-1'!AL:AL,'JPK_KR-1'!W:W,F427),"")</f>
        <v/>
      </c>
      <c r="H427" s="126" t="str">
        <f>IF(E427&lt;&gt;"",SUMIFS('JPK_KR-1'!AM:AM,'JPK_KR-1'!W:W,F427),"")</f>
        <v/>
      </c>
      <c r="I427" s="5" t="str">
        <f>IF(kokpit!I427&lt;&gt;"",kokpit!I427,"")</f>
        <v/>
      </c>
      <c r="J427" s="5" t="str">
        <f>IF(kokpit!J427&lt;&gt;"",kokpit!J427,"")</f>
        <v/>
      </c>
      <c r="K427" s="24" t="str">
        <f>IF(I427&lt;&gt;"",SUMIFS('JPK_KR-1'!AL:AL,'JPK_KR-1'!W:W,J427),"")</f>
        <v/>
      </c>
      <c r="L427" s="141" t="str">
        <f>IF(I427&lt;&gt;"",SUMIFS('JPK_KR-1'!AM:AM,'JPK_KR-1'!W:W,J427),"")</f>
        <v/>
      </c>
      <c r="M427" s="143" t="str">
        <f>IF(kokpit!M427&lt;&gt;"",kokpit!M427,"")</f>
        <v/>
      </c>
      <c r="N427" s="117" t="str">
        <f>IF(kokpit!N427&lt;&gt;"",kokpit!N427,"")</f>
        <v/>
      </c>
      <c r="O427" s="117" t="str">
        <f>IF(kokpit!O427&lt;&gt;"",kokpit!O427,"")</f>
        <v/>
      </c>
      <c r="P427" s="141" t="str">
        <f>IF(M427&lt;&gt;"",IF(O427="",SUMIFS('JPK_KR-1'!AL:AL,'JPK_KR-1'!W:W,N427),SUMIFS('JPK_KR-1'!BF:BF,'JPK_KR-1'!BE:BE,N427,'JPK_KR-1'!BG:BG,O427)),"")</f>
        <v/>
      </c>
      <c r="Q427" s="144" t="str">
        <f>IF(M427&lt;&gt;"",IF(O427="",SUMIFS('JPK_KR-1'!AM:AM,'JPK_KR-1'!W:W,N427),SUMIFS('JPK_KR-1'!BI:BI,'JPK_KR-1'!BH:BH,N427,'JPK_KR-1'!BJ:BJ,O427)),"")</f>
        <v/>
      </c>
      <c r="R427" s="117" t="str">
        <f>IF(kokpit!R427&lt;&gt;"",kokpit!R427,"")</f>
        <v/>
      </c>
      <c r="S427" s="117" t="str">
        <f>IF(kokpit!S427&lt;&gt;"",kokpit!S427,"")</f>
        <v/>
      </c>
      <c r="T427" s="117" t="str">
        <f>IF(kokpit!T427&lt;&gt;"",kokpit!T427,"")</f>
        <v/>
      </c>
      <c r="U427" s="141" t="str">
        <f>IF(R427&lt;&gt;"",SUMIFS('JPK_KR-1'!AL:AL,'JPK_KR-1'!W:W,S427),"")</f>
        <v/>
      </c>
      <c r="V427" s="144" t="str">
        <f>IF(R427&lt;&gt;"",SUMIFS('JPK_KR-1'!AM:AM,'JPK_KR-1'!W:W,S427),"")</f>
        <v/>
      </c>
    </row>
    <row r="428" spans="1:22" x14ac:dyDescent="0.3">
      <c r="A428" s="5" t="str">
        <f>IF(kokpit!A428&lt;&gt;"",kokpit!A428,"")</f>
        <v/>
      </c>
      <c r="B428" s="5" t="str">
        <f>IF(kokpit!B428&lt;&gt;"",kokpit!B428,"")</f>
        <v/>
      </c>
      <c r="C428" s="24" t="str">
        <f>IF(A428&lt;&gt;"",SUMIFS('JPK_KR-1'!AL:AL,'JPK_KR-1'!W:W,B428),"")</f>
        <v/>
      </c>
      <c r="D428" s="126" t="str">
        <f>IF(A428&lt;&gt;"",SUMIFS('JPK_KR-1'!AM:AM,'JPK_KR-1'!W:W,B428),"")</f>
        <v/>
      </c>
      <c r="E428" s="5" t="str">
        <f>IF(kokpit!E428&lt;&gt;"",kokpit!E428,"")</f>
        <v/>
      </c>
      <c r="F428" s="127" t="str">
        <f>IF(kokpit!F428&lt;&gt;"",kokpit!F428,"")</f>
        <v/>
      </c>
      <c r="G428" s="24" t="str">
        <f>IF(E428&lt;&gt;"",SUMIFS('JPK_KR-1'!AL:AL,'JPK_KR-1'!W:W,F428),"")</f>
        <v/>
      </c>
      <c r="H428" s="126" t="str">
        <f>IF(E428&lt;&gt;"",SUMIFS('JPK_KR-1'!AM:AM,'JPK_KR-1'!W:W,F428),"")</f>
        <v/>
      </c>
      <c r="I428" s="5" t="str">
        <f>IF(kokpit!I428&lt;&gt;"",kokpit!I428,"")</f>
        <v/>
      </c>
      <c r="J428" s="5" t="str">
        <f>IF(kokpit!J428&lt;&gt;"",kokpit!J428,"")</f>
        <v/>
      </c>
      <c r="K428" s="24" t="str">
        <f>IF(I428&lt;&gt;"",SUMIFS('JPK_KR-1'!AL:AL,'JPK_KR-1'!W:W,J428),"")</f>
        <v/>
      </c>
      <c r="L428" s="141" t="str">
        <f>IF(I428&lt;&gt;"",SUMIFS('JPK_KR-1'!AM:AM,'JPK_KR-1'!W:W,J428),"")</f>
        <v/>
      </c>
      <c r="M428" s="143" t="str">
        <f>IF(kokpit!M428&lt;&gt;"",kokpit!M428,"")</f>
        <v/>
      </c>
      <c r="N428" s="117" t="str">
        <f>IF(kokpit!N428&lt;&gt;"",kokpit!N428,"")</f>
        <v/>
      </c>
      <c r="O428" s="117" t="str">
        <f>IF(kokpit!O428&lt;&gt;"",kokpit!O428,"")</f>
        <v/>
      </c>
      <c r="P428" s="141" t="str">
        <f>IF(M428&lt;&gt;"",IF(O428="",SUMIFS('JPK_KR-1'!AL:AL,'JPK_KR-1'!W:W,N428),SUMIFS('JPK_KR-1'!BF:BF,'JPK_KR-1'!BE:BE,N428,'JPK_KR-1'!BG:BG,O428)),"")</f>
        <v/>
      </c>
      <c r="Q428" s="144" t="str">
        <f>IF(M428&lt;&gt;"",IF(O428="",SUMIFS('JPK_KR-1'!AM:AM,'JPK_KR-1'!W:W,N428),SUMIFS('JPK_KR-1'!BI:BI,'JPK_KR-1'!BH:BH,N428,'JPK_KR-1'!BJ:BJ,O428)),"")</f>
        <v/>
      </c>
      <c r="R428" s="117" t="str">
        <f>IF(kokpit!R428&lt;&gt;"",kokpit!R428,"")</f>
        <v/>
      </c>
      <c r="S428" s="117" t="str">
        <f>IF(kokpit!S428&lt;&gt;"",kokpit!S428,"")</f>
        <v/>
      </c>
      <c r="T428" s="117" t="str">
        <f>IF(kokpit!T428&lt;&gt;"",kokpit!T428,"")</f>
        <v/>
      </c>
      <c r="U428" s="141" t="str">
        <f>IF(R428&lt;&gt;"",SUMIFS('JPK_KR-1'!AL:AL,'JPK_KR-1'!W:W,S428),"")</f>
        <v/>
      </c>
      <c r="V428" s="144" t="str">
        <f>IF(R428&lt;&gt;"",SUMIFS('JPK_KR-1'!AM:AM,'JPK_KR-1'!W:W,S428),"")</f>
        <v/>
      </c>
    </row>
    <row r="429" spans="1:22" x14ac:dyDescent="0.3">
      <c r="A429" s="5" t="str">
        <f>IF(kokpit!A429&lt;&gt;"",kokpit!A429,"")</f>
        <v/>
      </c>
      <c r="B429" s="5" t="str">
        <f>IF(kokpit!B429&lt;&gt;"",kokpit!B429,"")</f>
        <v/>
      </c>
      <c r="C429" s="24" t="str">
        <f>IF(A429&lt;&gt;"",SUMIFS('JPK_KR-1'!AL:AL,'JPK_KR-1'!W:W,B429),"")</f>
        <v/>
      </c>
      <c r="D429" s="126" t="str">
        <f>IF(A429&lt;&gt;"",SUMIFS('JPK_KR-1'!AM:AM,'JPK_KR-1'!W:W,B429),"")</f>
        <v/>
      </c>
      <c r="E429" s="5" t="str">
        <f>IF(kokpit!E429&lt;&gt;"",kokpit!E429,"")</f>
        <v/>
      </c>
      <c r="F429" s="127" t="str">
        <f>IF(kokpit!F429&lt;&gt;"",kokpit!F429,"")</f>
        <v/>
      </c>
      <c r="G429" s="24" t="str">
        <f>IF(E429&lt;&gt;"",SUMIFS('JPK_KR-1'!AL:AL,'JPK_KR-1'!W:W,F429),"")</f>
        <v/>
      </c>
      <c r="H429" s="126" t="str">
        <f>IF(E429&lt;&gt;"",SUMIFS('JPK_KR-1'!AM:AM,'JPK_KR-1'!W:W,F429),"")</f>
        <v/>
      </c>
      <c r="I429" s="5" t="str">
        <f>IF(kokpit!I429&lt;&gt;"",kokpit!I429,"")</f>
        <v/>
      </c>
      <c r="J429" s="5" t="str">
        <f>IF(kokpit!J429&lt;&gt;"",kokpit!J429,"")</f>
        <v/>
      </c>
      <c r="K429" s="24" t="str">
        <f>IF(I429&lt;&gt;"",SUMIFS('JPK_KR-1'!AL:AL,'JPK_KR-1'!W:W,J429),"")</f>
        <v/>
      </c>
      <c r="L429" s="141" t="str">
        <f>IF(I429&lt;&gt;"",SUMIFS('JPK_KR-1'!AM:AM,'JPK_KR-1'!W:W,J429),"")</f>
        <v/>
      </c>
      <c r="M429" s="143" t="str">
        <f>IF(kokpit!M429&lt;&gt;"",kokpit!M429,"")</f>
        <v/>
      </c>
      <c r="N429" s="117" t="str">
        <f>IF(kokpit!N429&lt;&gt;"",kokpit!N429,"")</f>
        <v/>
      </c>
      <c r="O429" s="117" t="str">
        <f>IF(kokpit!O429&lt;&gt;"",kokpit!O429,"")</f>
        <v/>
      </c>
      <c r="P429" s="141" t="str">
        <f>IF(M429&lt;&gt;"",IF(O429="",SUMIFS('JPK_KR-1'!AL:AL,'JPK_KR-1'!W:W,N429),SUMIFS('JPK_KR-1'!BF:BF,'JPK_KR-1'!BE:BE,N429,'JPK_KR-1'!BG:BG,O429)),"")</f>
        <v/>
      </c>
      <c r="Q429" s="144" t="str">
        <f>IF(M429&lt;&gt;"",IF(O429="",SUMIFS('JPK_KR-1'!AM:AM,'JPK_KR-1'!W:W,N429),SUMIFS('JPK_KR-1'!BI:BI,'JPK_KR-1'!BH:BH,N429,'JPK_KR-1'!BJ:BJ,O429)),"")</f>
        <v/>
      </c>
      <c r="R429" s="117" t="str">
        <f>IF(kokpit!R429&lt;&gt;"",kokpit!R429,"")</f>
        <v/>
      </c>
      <c r="S429" s="117" t="str">
        <f>IF(kokpit!S429&lt;&gt;"",kokpit!S429,"")</f>
        <v/>
      </c>
      <c r="T429" s="117" t="str">
        <f>IF(kokpit!T429&lt;&gt;"",kokpit!T429,"")</f>
        <v/>
      </c>
      <c r="U429" s="141" t="str">
        <f>IF(R429&lt;&gt;"",SUMIFS('JPK_KR-1'!AL:AL,'JPK_KR-1'!W:W,S429),"")</f>
        <v/>
      </c>
      <c r="V429" s="144" t="str">
        <f>IF(R429&lt;&gt;"",SUMIFS('JPK_KR-1'!AM:AM,'JPK_KR-1'!W:W,S429),"")</f>
        <v/>
      </c>
    </row>
    <row r="430" spans="1:22" x14ac:dyDescent="0.3">
      <c r="A430" s="5" t="str">
        <f>IF(kokpit!A430&lt;&gt;"",kokpit!A430,"")</f>
        <v/>
      </c>
      <c r="B430" s="5" t="str">
        <f>IF(kokpit!B430&lt;&gt;"",kokpit!B430,"")</f>
        <v/>
      </c>
      <c r="C430" s="24" t="str">
        <f>IF(A430&lt;&gt;"",SUMIFS('JPK_KR-1'!AL:AL,'JPK_KR-1'!W:W,B430),"")</f>
        <v/>
      </c>
      <c r="D430" s="126" t="str">
        <f>IF(A430&lt;&gt;"",SUMIFS('JPK_KR-1'!AM:AM,'JPK_KR-1'!W:W,B430),"")</f>
        <v/>
      </c>
      <c r="E430" s="5" t="str">
        <f>IF(kokpit!E430&lt;&gt;"",kokpit!E430,"")</f>
        <v/>
      </c>
      <c r="F430" s="127" t="str">
        <f>IF(kokpit!F430&lt;&gt;"",kokpit!F430,"")</f>
        <v/>
      </c>
      <c r="G430" s="24" t="str">
        <f>IF(E430&lt;&gt;"",SUMIFS('JPK_KR-1'!AL:AL,'JPK_KR-1'!W:W,F430),"")</f>
        <v/>
      </c>
      <c r="H430" s="126" t="str">
        <f>IF(E430&lt;&gt;"",SUMIFS('JPK_KR-1'!AM:AM,'JPK_KR-1'!W:W,F430),"")</f>
        <v/>
      </c>
      <c r="I430" s="5" t="str">
        <f>IF(kokpit!I430&lt;&gt;"",kokpit!I430,"")</f>
        <v/>
      </c>
      <c r="J430" s="5" t="str">
        <f>IF(kokpit!J430&lt;&gt;"",kokpit!J430,"")</f>
        <v/>
      </c>
      <c r="K430" s="24" t="str">
        <f>IF(I430&lt;&gt;"",SUMIFS('JPK_KR-1'!AL:AL,'JPK_KR-1'!W:W,J430),"")</f>
        <v/>
      </c>
      <c r="L430" s="141" t="str">
        <f>IF(I430&lt;&gt;"",SUMIFS('JPK_KR-1'!AM:AM,'JPK_KR-1'!W:W,J430),"")</f>
        <v/>
      </c>
      <c r="M430" s="143" t="str">
        <f>IF(kokpit!M430&lt;&gt;"",kokpit!M430,"")</f>
        <v/>
      </c>
      <c r="N430" s="117" t="str">
        <f>IF(kokpit!N430&lt;&gt;"",kokpit!N430,"")</f>
        <v/>
      </c>
      <c r="O430" s="117" t="str">
        <f>IF(kokpit!O430&lt;&gt;"",kokpit!O430,"")</f>
        <v/>
      </c>
      <c r="P430" s="141" t="str">
        <f>IF(M430&lt;&gt;"",IF(O430="",SUMIFS('JPK_KR-1'!AL:AL,'JPK_KR-1'!W:W,N430),SUMIFS('JPK_KR-1'!BF:BF,'JPK_KR-1'!BE:BE,N430,'JPK_KR-1'!BG:BG,O430)),"")</f>
        <v/>
      </c>
      <c r="Q430" s="144" t="str">
        <f>IF(M430&lt;&gt;"",IF(O430="",SUMIFS('JPK_KR-1'!AM:AM,'JPK_KR-1'!W:W,N430),SUMIFS('JPK_KR-1'!BI:BI,'JPK_KR-1'!BH:BH,N430,'JPK_KR-1'!BJ:BJ,O430)),"")</f>
        <v/>
      </c>
      <c r="R430" s="117" t="str">
        <f>IF(kokpit!R430&lt;&gt;"",kokpit!R430,"")</f>
        <v/>
      </c>
      <c r="S430" s="117" t="str">
        <f>IF(kokpit!S430&lt;&gt;"",kokpit!S430,"")</f>
        <v/>
      </c>
      <c r="T430" s="117" t="str">
        <f>IF(kokpit!T430&lt;&gt;"",kokpit!T430,"")</f>
        <v/>
      </c>
      <c r="U430" s="141" t="str">
        <f>IF(R430&lt;&gt;"",SUMIFS('JPK_KR-1'!AL:AL,'JPK_KR-1'!W:W,S430),"")</f>
        <v/>
      </c>
      <c r="V430" s="144" t="str">
        <f>IF(R430&lt;&gt;"",SUMIFS('JPK_KR-1'!AM:AM,'JPK_KR-1'!W:W,S430),"")</f>
        <v/>
      </c>
    </row>
    <row r="431" spans="1:22" x14ac:dyDescent="0.3">
      <c r="A431" s="5" t="str">
        <f>IF(kokpit!A431&lt;&gt;"",kokpit!A431,"")</f>
        <v/>
      </c>
      <c r="B431" s="5" t="str">
        <f>IF(kokpit!B431&lt;&gt;"",kokpit!B431,"")</f>
        <v/>
      </c>
      <c r="C431" s="24" t="str">
        <f>IF(A431&lt;&gt;"",SUMIFS('JPK_KR-1'!AL:AL,'JPK_KR-1'!W:W,B431),"")</f>
        <v/>
      </c>
      <c r="D431" s="126" t="str">
        <f>IF(A431&lt;&gt;"",SUMIFS('JPK_KR-1'!AM:AM,'JPK_KR-1'!W:W,B431),"")</f>
        <v/>
      </c>
      <c r="E431" s="5" t="str">
        <f>IF(kokpit!E431&lt;&gt;"",kokpit!E431,"")</f>
        <v/>
      </c>
      <c r="F431" s="127" t="str">
        <f>IF(kokpit!F431&lt;&gt;"",kokpit!F431,"")</f>
        <v/>
      </c>
      <c r="G431" s="24" t="str">
        <f>IF(E431&lt;&gt;"",SUMIFS('JPK_KR-1'!AL:AL,'JPK_KR-1'!W:W,F431),"")</f>
        <v/>
      </c>
      <c r="H431" s="126" t="str">
        <f>IF(E431&lt;&gt;"",SUMIFS('JPK_KR-1'!AM:AM,'JPK_KR-1'!W:W,F431),"")</f>
        <v/>
      </c>
      <c r="I431" s="5" t="str">
        <f>IF(kokpit!I431&lt;&gt;"",kokpit!I431,"")</f>
        <v/>
      </c>
      <c r="J431" s="5" t="str">
        <f>IF(kokpit!J431&lt;&gt;"",kokpit!J431,"")</f>
        <v/>
      </c>
      <c r="K431" s="24" t="str">
        <f>IF(I431&lt;&gt;"",SUMIFS('JPK_KR-1'!AL:AL,'JPK_KR-1'!W:W,J431),"")</f>
        <v/>
      </c>
      <c r="L431" s="141" t="str">
        <f>IF(I431&lt;&gt;"",SUMIFS('JPK_KR-1'!AM:AM,'JPK_KR-1'!W:W,J431),"")</f>
        <v/>
      </c>
      <c r="M431" s="143" t="str">
        <f>IF(kokpit!M431&lt;&gt;"",kokpit!M431,"")</f>
        <v/>
      </c>
      <c r="N431" s="117" t="str">
        <f>IF(kokpit!N431&lt;&gt;"",kokpit!N431,"")</f>
        <v/>
      </c>
      <c r="O431" s="117" t="str">
        <f>IF(kokpit!O431&lt;&gt;"",kokpit!O431,"")</f>
        <v/>
      </c>
      <c r="P431" s="141" t="str">
        <f>IF(M431&lt;&gt;"",IF(O431="",SUMIFS('JPK_KR-1'!AL:AL,'JPK_KR-1'!W:W,N431),SUMIFS('JPK_KR-1'!BF:BF,'JPK_KR-1'!BE:BE,N431,'JPK_KR-1'!BG:BG,O431)),"")</f>
        <v/>
      </c>
      <c r="Q431" s="144" t="str">
        <f>IF(M431&lt;&gt;"",IF(O431="",SUMIFS('JPK_KR-1'!AM:AM,'JPK_KR-1'!W:W,N431),SUMIFS('JPK_KR-1'!BI:BI,'JPK_KR-1'!BH:BH,N431,'JPK_KR-1'!BJ:BJ,O431)),"")</f>
        <v/>
      </c>
      <c r="R431" s="117" t="str">
        <f>IF(kokpit!R431&lt;&gt;"",kokpit!R431,"")</f>
        <v/>
      </c>
      <c r="S431" s="117" t="str">
        <f>IF(kokpit!S431&lt;&gt;"",kokpit!S431,"")</f>
        <v/>
      </c>
      <c r="T431" s="117" t="str">
        <f>IF(kokpit!T431&lt;&gt;"",kokpit!T431,"")</f>
        <v/>
      </c>
      <c r="U431" s="141" t="str">
        <f>IF(R431&lt;&gt;"",SUMIFS('JPK_KR-1'!AL:AL,'JPK_KR-1'!W:W,S431),"")</f>
        <v/>
      </c>
      <c r="V431" s="144" t="str">
        <f>IF(R431&lt;&gt;"",SUMIFS('JPK_KR-1'!AM:AM,'JPK_KR-1'!W:W,S431),"")</f>
        <v/>
      </c>
    </row>
    <row r="432" spans="1:22" x14ac:dyDescent="0.3">
      <c r="A432" s="5" t="str">
        <f>IF(kokpit!A432&lt;&gt;"",kokpit!A432,"")</f>
        <v/>
      </c>
      <c r="B432" s="5" t="str">
        <f>IF(kokpit!B432&lt;&gt;"",kokpit!B432,"")</f>
        <v/>
      </c>
      <c r="C432" s="24" t="str">
        <f>IF(A432&lt;&gt;"",SUMIFS('JPK_KR-1'!AL:AL,'JPK_KR-1'!W:W,B432),"")</f>
        <v/>
      </c>
      <c r="D432" s="126" t="str">
        <f>IF(A432&lt;&gt;"",SUMIFS('JPK_KR-1'!AM:AM,'JPK_KR-1'!W:W,B432),"")</f>
        <v/>
      </c>
      <c r="E432" s="5" t="str">
        <f>IF(kokpit!E432&lt;&gt;"",kokpit!E432,"")</f>
        <v/>
      </c>
      <c r="F432" s="127" t="str">
        <f>IF(kokpit!F432&lt;&gt;"",kokpit!F432,"")</f>
        <v/>
      </c>
      <c r="G432" s="24" t="str">
        <f>IF(E432&lt;&gt;"",SUMIFS('JPK_KR-1'!AL:AL,'JPK_KR-1'!W:W,F432),"")</f>
        <v/>
      </c>
      <c r="H432" s="126" t="str">
        <f>IF(E432&lt;&gt;"",SUMIFS('JPK_KR-1'!AM:AM,'JPK_KR-1'!W:W,F432),"")</f>
        <v/>
      </c>
      <c r="I432" s="5" t="str">
        <f>IF(kokpit!I432&lt;&gt;"",kokpit!I432,"")</f>
        <v/>
      </c>
      <c r="J432" s="5" t="str">
        <f>IF(kokpit!J432&lt;&gt;"",kokpit!J432,"")</f>
        <v/>
      </c>
      <c r="K432" s="24" t="str">
        <f>IF(I432&lt;&gt;"",SUMIFS('JPK_KR-1'!AL:AL,'JPK_KR-1'!W:W,J432),"")</f>
        <v/>
      </c>
      <c r="L432" s="141" t="str">
        <f>IF(I432&lt;&gt;"",SUMIFS('JPK_KR-1'!AM:AM,'JPK_KR-1'!W:W,J432),"")</f>
        <v/>
      </c>
      <c r="M432" s="143" t="str">
        <f>IF(kokpit!M432&lt;&gt;"",kokpit!M432,"")</f>
        <v/>
      </c>
      <c r="N432" s="117" t="str">
        <f>IF(kokpit!N432&lt;&gt;"",kokpit!N432,"")</f>
        <v/>
      </c>
      <c r="O432" s="117" t="str">
        <f>IF(kokpit!O432&lt;&gt;"",kokpit!O432,"")</f>
        <v/>
      </c>
      <c r="P432" s="141" t="str">
        <f>IF(M432&lt;&gt;"",IF(O432="",SUMIFS('JPK_KR-1'!AL:AL,'JPK_KR-1'!W:W,N432),SUMIFS('JPK_KR-1'!BF:BF,'JPK_KR-1'!BE:BE,N432,'JPK_KR-1'!BG:BG,O432)),"")</f>
        <v/>
      </c>
      <c r="Q432" s="144" t="str">
        <f>IF(M432&lt;&gt;"",IF(O432="",SUMIFS('JPK_KR-1'!AM:AM,'JPK_KR-1'!W:W,N432),SUMIFS('JPK_KR-1'!BI:BI,'JPK_KR-1'!BH:BH,N432,'JPK_KR-1'!BJ:BJ,O432)),"")</f>
        <v/>
      </c>
      <c r="R432" s="117" t="str">
        <f>IF(kokpit!R432&lt;&gt;"",kokpit!R432,"")</f>
        <v/>
      </c>
      <c r="S432" s="117" t="str">
        <f>IF(kokpit!S432&lt;&gt;"",kokpit!S432,"")</f>
        <v/>
      </c>
      <c r="T432" s="117" t="str">
        <f>IF(kokpit!T432&lt;&gt;"",kokpit!T432,"")</f>
        <v/>
      </c>
      <c r="U432" s="141" t="str">
        <f>IF(R432&lt;&gt;"",SUMIFS('JPK_KR-1'!AL:AL,'JPK_KR-1'!W:W,S432),"")</f>
        <v/>
      </c>
      <c r="V432" s="144" t="str">
        <f>IF(R432&lt;&gt;"",SUMIFS('JPK_KR-1'!AM:AM,'JPK_KR-1'!W:W,S432),"")</f>
        <v/>
      </c>
    </row>
    <row r="433" spans="1:22" x14ac:dyDescent="0.3">
      <c r="A433" s="5" t="str">
        <f>IF(kokpit!A433&lt;&gt;"",kokpit!A433,"")</f>
        <v/>
      </c>
      <c r="B433" s="5" t="str">
        <f>IF(kokpit!B433&lt;&gt;"",kokpit!B433,"")</f>
        <v/>
      </c>
      <c r="C433" s="24" t="str">
        <f>IF(A433&lt;&gt;"",SUMIFS('JPK_KR-1'!AL:AL,'JPK_KR-1'!W:W,B433),"")</f>
        <v/>
      </c>
      <c r="D433" s="126" t="str">
        <f>IF(A433&lt;&gt;"",SUMIFS('JPK_KR-1'!AM:AM,'JPK_KR-1'!W:W,B433),"")</f>
        <v/>
      </c>
      <c r="E433" s="5" t="str">
        <f>IF(kokpit!E433&lt;&gt;"",kokpit!E433,"")</f>
        <v/>
      </c>
      <c r="F433" s="127" t="str">
        <f>IF(kokpit!F433&lt;&gt;"",kokpit!F433,"")</f>
        <v/>
      </c>
      <c r="G433" s="24" t="str">
        <f>IF(E433&lt;&gt;"",SUMIFS('JPK_KR-1'!AL:AL,'JPK_KR-1'!W:W,F433),"")</f>
        <v/>
      </c>
      <c r="H433" s="126" t="str">
        <f>IF(E433&lt;&gt;"",SUMIFS('JPK_KR-1'!AM:AM,'JPK_KR-1'!W:W,F433),"")</f>
        <v/>
      </c>
      <c r="I433" s="5" t="str">
        <f>IF(kokpit!I433&lt;&gt;"",kokpit!I433,"")</f>
        <v/>
      </c>
      <c r="J433" s="5" t="str">
        <f>IF(kokpit!J433&lt;&gt;"",kokpit!J433,"")</f>
        <v/>
      </c>
      <c r="K433" s="24" t="str">
        <f>IF(I433&lt;&gt;"",SUMIFS('JPK_KR-1'!AL:AL,'JPK_KR-1'!W:W,J433),"")</f>
        <v/>
      </c>
      <c r="L433" s="141" t="str">
        <f>IF(I433&lt;&gt;"",SUMIFS('JPK_KR-1'!AM:AM,'JPK_KR-1'!W:W,J433),"")</f>
        <v/>
      </c>
      <c r="M433" s="143" t="str">
        <f>IF(kokpit!M433&lt;&gt;"",kokpit!M433,"")</f>
        <v/>
      </c>
      <c r="N433" s="117" t="str">
        <f>IF(kokpit!N433&lt;&gt;"",kokpit!N433,"")</f>
        <v/>
      </c>
      <c r="O433" s="117" t="str">
        <f>IF(kokpit!O433&lt;&gt;"",kokpit!O433,"")</f>
        <v/>
      </c>
      <c r="P433" s="141" t="str">
        <f>IF(M433&lt;&gt;"",IF(O433="",SUMIFS('JPK_KR-1'!AL:AL,'JPK_KR-1'!W:W,N433),SUMIFS('JPK_KR-1'!BF:BF,'JPK_KR-1'!BE:BE,N433,'JPK_KR-1'!BG:BG,O433)),"")</f>
        <v/>
      </c>
      <c r="Q433" s="144" t="str">
        <f>IF(M433&lt;&gt;"",IF(O433="",SUMIFS('JPK_KR-1'!AM:AM,'JPK_KR-1'!W:W,N433),SUMIFS('JPK_KR-1'!BI:BI,'JPK_KR-1'!BH:BH,N433,'JPK_KR-1'!BJ:BJ,O433)),"")</f>
        <v/>
      </c>
      <c r="R433" s="117" t="str">
        <f>IF(kokpit!R433&lt;&gt;"",kokpit!R433,"")</f>
        <v/>
      </c>
      <c r="S433" s="117" t="str">
        <f>IF(kokpit!S433&lt;&gt;"",kokpit!S433,"")</f>
        <v/>
      </c>
      <c r="T433" s="117" t="str">
        <f>IF(kokpit!T433&lt;&gt;"",kokpit!T433,"")</f>
        <v/>
      </c>
      <c r="U433" s="141" t="str">
        <f>IF(R433&lt;&gt;"",SUMIFS('JPK_KR-1'!AL:AL,'JPK_KR-1'!W:W,S433),"")</f>
        <v/>
      </c>
      <c r="V433" s="144" t="str">
        <f>IF(R433&lt;&gt;"",SUMIFS('JPK_KR-1'!AM:AM,'JPK_KR-1'!W:W,S433),"")</f>
        <v/>
      </c>
    </row>
    <row r="434" spans="1:22" x14ac:dyDescent="0.3">
      <c r="A434" s="5" t="str">
        <f>IF(kokpit!A434&lt;&gt;"",kokpit!A434,"")</f>
        <v/>
      </c>
      <c r="B434" s="5" t="str">
        <f>IF(kokpit!B434&lt;&gt;"",kokpit!B434,"")</f>
        <v/>
      </c>
      <c r="C434" s="24" t="str">
        <f>IF(A434&lt;&gt;"",SUMIFS('JPK_KR-1'!AL:AL,'JPK_KR-1'!W:W,B434),"")</f>
        <v/>
      </c>
      <c r="D434" s="126" t="str">
        <f>IF(A434&lt;&gt;"",SUMIFS('JPK_KR-1'!AM:AM,'JPK_KR-1'!W:W,B434),"")</f>
        <v/>
      </c>
      <c r="E434" s="5" t="str">
        <f>IF(kokpit!E434&lt;&gt;"",kokpit!E434,"")</f>
        <v/>
      </c>
      <c r="F434" s="127" t="str">
        <f>IF(kokpit!F434&lt;&gt;"",kokpit!F434,"")</f>
        <v/>
      </c>
      <c r="G434" s="24" t="str">
        <f>IF(E434&lt;&gt;"",SUMIFS('JPK_KR-1'!AL:AL,'JPK_KR-1'!W:W,F434),"")</f>
        <v/>
      </c>
      <c r="H434" s="126" t="str">
        <f>IF(E434&lt;&gt;"",SUMIFS('JPK_KR-1'!AM:AM,'JPK_KR-1'!W:W,F434),"")</f>
        <v/>
      </c>
      <c r="I434" s="5" t="str">
        <f>IF(kokpit!I434&lt;&gt;"",kokpit!I434,"")</f>
        <v/>
      </c>
      <c r="J434" s="5" t="str">
        <f>IF(kokpit!J434&lt;&gt;"",kokpit!J434,"")</f>
        <v/>
      </c>
      <c r="K434" s="24" t="str">
        <f>IF(I434&lt;&gt;"",SUMIFS('JPK_KR-1'!AL:AL,'JPK_KR-1'!W:W,J434),"")</f>
        <v/>
      </c>
      <c r="L434" s="141" t="str">
        <f>IF(I434&lt;&gt;"",SUMIFS('JPK_KR-1'!AM:AM,'JPK_KR-1'!W:W,J434),"")</f>
        <v/>
      </c>
      <c r="M434" s="143" t="str">
        <f>IF(kokpit!M434&lt;&gt;"",kokpit!M434,"")</f>
        <v/>
      </c>
      <c r="N434" s="117" t="str">
        <f>IF(kokpit!N434&lt;&gt;"",kokpit!N434,"")</f>
        <v/>
      </c>
      <c r="O434" s="117" t="str">
        <f>IF(kokpit!O434&lt;&gt;"",kokpit!O434,"")</f>
        <v/>
      </c>
      <c r="P434" s="141" t="str">
        <f>IF(M434&lt;&gt;"",IF(O434="",SUMIFS('JPK_KR-1'!AL:AL,'JPK_KR-1'!W:W,N434),SUMIFS('JPK_KR-1'!BF:BF,'JPK_KR-1'!BE:BE,N434,'JPK_KR-1'!BG:BG,O434)),"")</f>
        <v/>
      </c>
      <c r="Q434" s="144" t="str">
        <f>IF(M434&lt;&gt;"",IF(O434="",SUMIFS('JPK_KR-1'!AM:AM,'JPK_KR-1'!W:W,N434),SUMIFS('JPK_KR-1'!BI:BI,'JPK_KR-1'!BH:BH,N434,'JPK_KR-1'!BJ:BJ,O434)),"")</f>
        <v/>
      </c>
      <c r="R434" s="117" t="str">
        <f>IF(kokpit!R434&lt;&gt;"",kokpit!R434,"")</f>
        <v/>
      </c>
      <c r="S434" s="117" t="str">
        <f>IF(kokpit!S434&lt;&gt;"",kokpit!S434,"")</f>
        <v/>
      </c>
      <c r="T434" s="117" t="str">
        <f>IF(kokpit!T434&lt;&gt;"",kokpit!T434,"")</f>
        <v/>
      </c>
      <c r="U434" s="141" t="str">
        <f>IF(R434&lt;&gt;"",SUMIFS('JPK_KR-1'!AL:AL,'JPK_KR-1'!W:W,S434),"")</f>
        <v/>
      </c>
      <c r="V434" s="144" t="str">
        <f>IF(R434&lt;&gt;"",SUMIFS('JPK_KR-1'!AM:AM,'JPK_KR-1'!W:W,S434),"")</f>
        <v/>
      </c>
    </row>
    <row r="435" spans="1:22" x14ac:dyDescent="0.3">
      <c r="A435" s="5" t="str">
        <f>IF(kokpit!A435&lt;&gt;"",kokpit!A435,"")</f>
        <v/>
      </c>
      <c r="B435" s="5" t="str">
        <f>IF(kokpit!B435&lt;&gt;"",kokpit!B435,"")</f>
        <v/>
      </c>
      <c r="C435" s="24" t="str">
        <f>IF(A435&lt;&gt;"",SUMIFS('JPK_KR-1'!AL:AL,'JPK_KR-1'!W:W,B435),"")</f>
        <v/>
      </c>
      <c r="D435" s="126" t="str">
        <f>IF(A435&lt;&gt;"",SUMIFS('JPK_KR-1'!AM:AM,'JPK_KR-1'!W:W,B435),"")</f>
        <v/>
      </c>
      <c r="E435" s="5" t="str">
        <f>IF(kokpit!E435&lt;&gt;"",kokpit!E435,"")</f>
        <v/>
      </c>
      <c r="F435" s="127" t="str">
        <f>IF(kokpit!F435&lt;&gt;"",kokpit!F435,"")</f>
        <v/>
      </c>
      <c r="G435" s="24" t="str">
        <f>IF(E435&lt;&gt;"",SUMIFS('JPK_KR-1'!AL:AL,'JPK_KR-1'!W:W,F435),"")</f>
        <v/>
      </c>
      <c r="H435" s="126" t="str">
        <f>IF(E435&lt;&gt;"",SUMIFS('JPK_KR-1'!AM:AM,'JPK_KR-1'!W:W,F435),"")</f>
        <v/>
      </c>
      <c r="I435" s="5" t="str">
        <f>IF(kokpit!I435&lt;&gt;"",kokpit!I435,"")</f>
        <v/>
      </c>
      <c r="J435" s="5" t="str">
        <f>IF(kokpit!J435&lt;&gt;"",kokpit!J435,"")</f>
        <v/>
      </c>
      <c r="K435" s="24" t="str">
        <f>IF(I435&lt;&gt;"",SUMIFS('JPK_KR-1'!AL:AL,'JPK_KR-1'!W:W,J435),"")</f>
        <v/>
      </c>
      <c r="L435" s="141" t="str">
        <f>IF(I435&lt;&gt;"",SUMIFS('JPK_KR-1'!AM:AM,'JPK_KR-1'!W:W,J435),"")</f>
        <v/>
      </c>
      <c r="M435" s="143" t="str">
        <f>IF(kokpit!M435&lt;&gt;"",kokpit!M435,"")</f>
        <v/>
      </c>
      <c r="N435" s="117" t="str">
        <f>IF(kokpit!N435&lt;&gt;"",kokpit!N435,"")</f>
        <v/>
      </c>
      <c r="O435" s="117" t="str">
        <f>IF(kokpit!O435&lt;&gt;"",kokpit!O435,"")</f>
        <v/>
      </c>
      <c r="P435" s="141" t="str">
        <f>IF(M435&lt;&gt;"",IF(O435="",SUMIFS('JPK_KR-1'!AL:AL,'JPK_KR-1'!W:W,N435),SUMIFS('JPK_KR-1'!BF:BF,'JPK_KR-1'!BE:BE,N435,'JPK_KR-1'!BG:BG,O435)),"")</f>
        <v/>
      </c>
      <c r="Q435" s="144" t="str">
        <f>IF(M435&lt;&gt;"",IF(O435="",SUMIFS('JPK_KR-1'!AM:AM,'JPK_KR-1'!W:W,N435),SUMIFS('JPK_KR-1'!BI:BI,'JPK_KR-1'!BH:BH,N435,'JPK_KR-1'!BJ:BJ,O435)),"")</f>
        <v/>
      </c>
      <c r="R435" s="117" t="str">
        <f>IF(kokpit!R435&lt;&gt;"",kokpit!R435,"")</f>
        <v/>
      </c>
      <c r="S435" s="117" t="str">
        <f>IF(kokpit!S435&lt;&gt;"",kokpit!S435,"")</f>
        <v/>
      </c>
      <c r="T435" s="117" t="str">
        <f>IF(kokpit!T435&lt;&gt;"",kokpit!T435,"")</f>
        <v/>
      </c>
      <c r="U435" s="141" t="str">
        <f>IF(R435&lt;&gt;"",SUMIFS('JPK_KR-1'!AL:AL,'JPK_KR-1'!W:W,S435),"")</f>
        <v/>
      </c>
      <c r="V435" s="144" t="str">
        <f>IF(R435&lt;&gt;"",SUMIFS('JPK_KR-1'!AM:AM,'JPK_KR-1'!W:W,S435),"")</f>
        <v/>
      </c>
    </row>
    <row r="436" spans="1:22" x14ac:dyDescent="0.3">
      <c r="A436" s="5" t="str">
        <f>IF(kokpit!A436&lt;&gt;"",kokpit!A436,"")</f>
        <v/>
      </c>
      <c r="B436" s="5" t="str">
        <f>IF(kokpit!B436&lt;&gt;"",kokpit!B436,"")</f>
        <v/>
      </c>
      <c r="C436" s="24" t="str">
        <f>IF(A436&lt;&gt;"",SUMIFS('JPK_KR-1'!AL:AL,'JPK_KR-1'!W:W,B436),"")</f>
        <v/>
      </c>
      <c r="D436" s="126" t="str">
        <f>IF(A436&lt;&gt;"",SUMIFS('JPK_KR-1'!AM:AM,'JPK_KR-1'!W:W,B436),"")</f>
        <v/>
      </c>
      <c r="E436" s="5" t="str">
        <f>IF(kokpit!E436&lt;&gt;"",kokpit!E436,"")</f>
        <v/>
      </c>
      <c r="F436" s="127" t="str">
        <f>IF(kokpit!F436&lt;&gt;"",kokpit!F436,"")</f>
        <v/>
      </c>
      <c r="G436" s="24" t="str">
        <f>IF(E436&lt;&gt;"",SUMIFS('JPK_KR-1'!AL:AL,'JPK_KR-1'!W:W,F436),"")</f>
        <v/>
      </c>
      <c r="H436" s="126" t="str">
        <f>IF(E436&lt;&gt;"",SUMIFS('JPK_KR-1'!AM:AM,'JPK_KR-1'!W:W,F436),"")</f>
        <v/>
      </c>
      <c r="I436" s="5" t="str">
        <f>IF(kokpit!I436&lt;&gt;"",kokpit!I436,"")</f>
        <v/>
      </c>
      <c r="J436" s="5" t="str">
        <f>IF(kokpit!J436&lt;&gt;"",kokpit!J436,"")</f>
        <v/>
      </c>
      <c r="K436" s="24" t="str">
        <f>IF(I436&lt;&gt;"",SUMIFS('JPK_KR-1'!AL:AL,'JPK_KR-1'!W:W,J436),"")</f>
        <v/>
      </c>
      <c r="L436" s="141" t="str">
        <f>IF(I436&lt;&gt;"",SUMIFS('JPK_KR-1'!AM:AM,'JPK_KR-1'!W:W,J436),"")</f>
        <v/>
      </c>
      <c r="M436" s="143" t="str">
        <f>IF(kokpit!M436&lt;&gt;"",kokpit!M436,"")</f>
        <v/>
      </c>
      <c r="N436" s="117" t="str">
        <f>IF(kokpit!N436&lt;&gt;"",kokpit!N436,"")</f>
        <v/>
      </c>
      <c r="O436" s="117" t="str">
        <f>IF(kokpit!O436&lt;&gt;"",kokpit!O436,"")</f>
        <v/>
      </c>
      <c r="P436" s="141" t="str">
        <f>IF(M436&lt;&gt;"",IF(O436="",SUMIFS('JPK_KR-1'!AL:AL,'JPK_KR-1'!W:W,N436),SUMIFS('JPK_KR-1'!BF:BF,'JPK_KR-1'!BE:BE,N436,'JPK_KR-1'!BG:BG,O436)),"")</f>
        <v/>
      </c>
      <c r="Q436" s="144" t="str">
        <f>IF(M436&lt;&gt;"",IF(O436="",SUMIFS('JPK_KR-1'!AM:AM,'JPK_KR-1'!W:W,N436),SUMIFS('JPK_KR-1'!BI:BI,'JPK_KR-1'!BH:BH,N436,'JPK_KR-1'!BJ:BJ,O436)),"")</f>
        <v/>
      </c>
      <c r="R436" s="117" t="str">
        <f>IF(kokpit!R436&lt;&gt;"",kokpit!R436,"")</f>
        <v/>
      </c>
      <c r="S436" s="117" t="str">
        <f>IF(kokpit!S436&lt;&gt;"",kokpit!S436,"")</f>
        <v/>
      </c>
      <c r="T436" s="117" t="str">
        <f>IF(kokpit!T436&lt;&gt;"",kokpit!T436,"")</f>
        <v/>
      </c>
      <c r="U436" s="141" t="str">
        <f>IF(R436&lt;&gt;"",SUMIFS('JPK_KR-1'!AL:AL,'JPK_KR-1'!W:W,S436),"")</f>
        <v/>
      </c>
      <c r="V436" s="144" t="str">
        <f>IF(R436&lt;&gt;"",SUMIFS('JPK_KR-1'!AM:AM,'JPK_KR-1'!W:W,S436),"")</f>
        <v/>
      </c>
    </row>
    <row r="437" spans="1:22" x14ac:dyDescent="0.3">
      <c r="A437" s="5" t="str">
        <f>IF(kokpit!A437&lt;&gt;"",kokpit!A437,"")</f>
        <v/>
      </c>
      <c r="B437" s="5" t="str">
        <f>IF(kokpit!B437&lt;&gt;"",kokpit!B437,"")</f>
        <v/>
      </c>
      <c r="C437" s="24" t="str">
        <f>IF(A437&lt;&gt;"",SUMIFS('JPK_KR-1'!AL:AL,'JPK_KR-1'!W:W,B437),"")</f>
        <v/>
      </c>
      <c r="D437" s="126" t="str">
        <f>IF(A437&lt;&gt;"",SUMIFS('JPK_KR-1'!AM:AM,'JPK_KR-1'!W:W,B437),"")</f>
        <v/>
      </c>
      <c r="E437" s="5" t="str">
        <f>IF(kokpit!E437&lt;&gt;"",kokpit!E437,"")</f>
        <v/>
      </c>
      <c r="F437" s="127" t="str">
        <f>IF(kokpit!F437&lt;&gt;"",kokpit!F437,"")</f>
        <v/>
      </c>
      <c r="G437" s="24" t="str">
        <f>IF(E437&lt;&gt;"",SUMIFS('JPK_KR-1'!AL:AL,'JPK_KR-1'!W:W,F437),"")</f>
        <v/>
      </c>
      <c r="H437" s="126" t="str">
        <f>IF(E437&lt;&gt;"",SUMIFS('JPK_KR-1'!AM:AM,'JPK_KR-1'!W:W,F437),"")</f>
        <v/>
      </c>
      <c r="I437" s="5" t="str">
        <f>IF(kokpit!I437&lt;&gt;"",kokpit!I437,"")</f>
        <v/>
      </c>
      <c r="J437" s="5" t="str">
        <f>IF(kokpit!J437&lt;&gt;"",kokpit!J437,"")</f>
        <v/>
      </c>
      <c r="K437" s="24" t="str">
        <f>IF(I437&lt;&gt;"",SUMIFS('JPK_KR-1'!AL:AL,'JPK_KR-1'!W:W,J437),"")</f>
        <v/>
      </c>
      <c r="L437" s="141" t="str">
        <f>IF(I437&lt;&gt;"",SUMIFS('JPK_KR-1'!AM:AM,'JPK_KR-1'!W:W,J437),"")</f>
        <v/>
      </c>
      <c r="M437" s="143" t="str">
        <f>IF(kokpit!M437&lt;&gt;"",kokpit!M437,"")</f>
        <v/>
      </c>
      <c r="N437" s="117" t="str">
        <f>IF(kokpit!N437&lt;&gt;"",kokpit!N437,"")</f>
        <v/>
      </c>
      <c r="O437" s="117" t="str">
        <f>IF(kokpit!O437&lt;&gt;"",kokpit!O437,"")</f>
        <v/>
      </c>
      <c r="P437" s="141" t="str">
        <f>IF(M437&lt;&gt;"",IF(O437="",SUMIFS('JPK_KR-1'!AL:AL,'JPK_KR-1'!W:W,N437),SUMIFS('JPK_KR-1'!BF:BF,'JPK_KR-1'!BE:BE,N437,'JPK_KR-1'!BG:BG,O437)),"")</f>
        <v/>
      </c>
      <c r="Q437" s="144" t="str">
        <f>IF(M437&lt;&gt;"",IF(O437="",SUMIFS('JPK_KR-1'!AM:AM,'JPK_KR-1'!W:W,N437),SUMIFS('JPK_KR-1'!BI:BI,'JPK_KR-1'!BH:BH,N437,'JPK_KR-1'!BJ:BJ,O437)),"")</f>
        <v/>
      </c>
      <c r="R437" s="117" t="str">
        <f>IF(kokpit!R437&lt;&gt;"",kokpit!R437,"")</f>
        <v/>
      </c>
      <c r="S437" s="117" t="str">
        <f>IF(kokpit!S437&lt;&gt;"",kokpit!S437,"")</f>
        <v/>
      </c>
      <c r="T437" s="117" t="str">
        <f>IF(kokpit!T437&lt;&gt;"",kokpit!T437,"")</f>
        <v/>
      </c>
      <c r="U437" s="141" t="str">
        <f>IF(R437&lt;&gt;"",SUMIFS('JPK_KR-1'!AL:AL,'JPK_KR-1'!W:W,S437),"")</f>
        <v/>
      </c>
      <c r="V437" s="144" t="str">
        <f>IF(R437&lt;&gt;"",SUMIFS('JPK_KR-1'!AM:AM,'JPK_KR-1'!W:W,S437),"")</f>
        <v/>
      </c>
    </row>
    <row r="438" spans="1:22" x14ac:dyDescent="0.3">
      <c r="A438" s="5" t="str">
        <f>IF(kokpit!A438&lt;&gt;"",kokpit!A438,"")</f>
        <v/>
      </c>
      <c r="B438" s="5" t="str">
        <f>IF(kokpit!B438&lt;&gt;"",kokpit!B438,"")</f>
        <v/>
      </c>
      <c r="C438" s="24" t="str">
        <f>IF(A438&lt;&gt;"",SUMIFS('JPK_KR-1'!AL:AL,'JPK_KR-1'!W:W,B438),"")</f>
        <v/>
      </c>
      <c r="D438" s="126" t="str">
        <f>IF(A438&lt;&gt;"",SUMIFS('JPK_KR-1'!AM:AM,'JPK_KR-1'!W:W,B438),"")</f>
        <v/>
      </c>
      <c r="E438" s="5" t="str">
        <f>IF(kokpit!E438&lt;&gt;"",kokpit!E438,"")</f>
        <v/>
      </c>
      <c r="F438" s="127" t="str">
        <f>IF(kokpit!F438&lt;&gt;"",kokpit!F438,"")</f>
        <v/>
      </c>
      <c r="G438" s="24" t="str">
        <f>IF(E438&lt;&gt;"",SUMIFS('JPK_KR-1'!AL:AL,'JPK_KR-1'!W:W,F438),"")</f>
        <v/>
      </c>
      <c r="H438" s="126" t="str">
        <f>IF(E438&lt;&gt;"",SUMIFS('JPK_KR-1'!AM:AM,'JPK_KR-1'!W:W,F438),"")</f>
        <v/>
      </c>
      <c r="I438" s="5" t="str">
        <f>IF(kokpit!I438&lt;&gt;"",kokpit!I438,"")</f>
        <v/>
      </c>
      <c r="J438" s="5" t="str">
        <f>IF(kokpit!J438&lt;&gt;"",kokpit!J438,"")</f>
        <v/>
      </c>
      <c r="K438" s="24" t="str">
        <f>IF(I438&lt;&gt;"",SUMIFS('JPK_KR-1'!AL:AL,'JPK_KR-1'!W:W,J438),"")</f>
        <v/>
      </c>
      <c r="L438" s="141" t="str">
        <f>IF(I438&lt;&gt;"",SUMIFS('JPK_KR-1'!AM:AM,'JPK_KR-1'!W:W,J438),"")</f>
        <v/>
      </c>
      <c r="M438" s="143" t="str">
        <f>IF(kokpit!M438&lt;&gt;"",kokpit!M438,"")</f>
        <v/>
      </c>
      <c r="N438" s="117" t="str">
        <f>IF(kokpit!N438&lt;&gt;"",kokpit!N438,"")</f>
        <v/>
      </c>
      <c r="O438" s="117" t="str">
        <f>IF(kokpit!O438&lt;&gt;"",kokpit!O438,"")</f>
        <v/>
      </c>
      <c r="P438" s="141" t="str">
        <f>IF(M438&lt;&gt;"",IF(O438="",SUMIFS('JPK_KR-1'!AL:AL,'JPK_KR-1'!W:W,N438),SUMIFS('JPK_KR-1'!BF:BF,'JPK_KR-1'!BE:BE,N438,'JPK_KR-1'!BG:BG,O438)),"")</f>
        <v/>
      </c>
      <c r="Q438" s="144" t="str">
        <f>IF(M438&lt;&gt;"",IF(O438="",SUMIFS('JPK_KR-1'!AM:AM,'JPK_KR-1'!W:W,N438),SUMIFS('JPK_KR-1'!BI:BI,'JPK_KR-1'!BH:BH,N438,'JPK_KR-1'!BJ:BJ,O438)),"")</f>
        <v/>
      </c>
      <c r="R438" s="117" t="str">
        <f>IF(kokpit!R438&lt;&gt;"",kokpit!R438,"")</f>
        <v/>
      </c>
      <c r="S438" s="117" t="str">
        <f>IF(kokpit!S438&lt;&gt;"",kokpit!S438,"")</f>
        <v/>
      </c>
      <c r="T438" s="117" t="str">
        <f>IF(kokpit!T438&lt;&gt;"",kokpit!T438,"")</f>
        <v/>
      </c>
      <c r="U438" s="141" t="str">
        <f>IF(R438&lt;&gt;"",SUMIFS('JPK_KR-1'!AL:AL,'JPK_KR-1'!W:W,S438),"")</f>
        <v/>
      </c>
      <c r="V438" s="144" t="str">
        <f>IF(R438&lt;&gt;"",SUMIFS('JPK_KR-1'!AM:AM,'JPK_KR-1'!W:W,S438),"")</f>
        <v/>
      </c>
    </row>
    <row r="439" spans="1:22" x14ac:dyDescent="0.3">
      <c r="A439" s="5" t="str">
        <f>IF(kokpit!A439&lt;&gt;"",kokpit!A439,"")</f>
        <v/>
      </c>
      <c r="B439" s="5" t="str">
        <f>IF(kokpit!B439&lt;&gt;"",kokpit!B439,"")</f>
        <v/>
      </c>
      <c r="C439" s="24" t="str">
        <f>IF(A439&lt;&gt;"",SUMIFS('JPK_KR-1'!AL:AL,'JPK_KR-1'!W:W,B439),"")</f>
        <v/>
      </c>
      <c r="D439" s="126" t="str">
        <f>IF(A439&lt;&gt;"",SUMIFS('JPK_KR-1'!AM:AM,'JPK_KR-1'!W:W,B439),"")</f>
        <v/>
      </c>
      <c r="E439" s="5" t="str">
        <f>IF(kokpit!E439&lt;&gt;"",kokpit!E439,"")</f>
        <v/>
      </c>
      <c r="F439" s="127" t="str">
        <f>IF(kokpit!F439&lt;&gt;"",kokpit!F439,"")</f>
        <v/>
      </c>
      <c r="G439" s="24" t="str">
        <f>IF(E439&lt;&gt;"",SUMIFS('JPK_KR-1'!AL:AL,'JPK_KR-1'!W:W,F439),"")</f>
        <v/>
      </c>
      <c r="H439" s="126" t="str">
        <f>IF(E439&lt;&gt;"",SUMIFS('JPK_KR-1'!AM:AM,'JPK_KR-1'!W:W,F439),"")</f>
        <v/>
      </c>
      <c r="I439" s="5" t="str">
        <f>IF(kokpit!I439&lt;&gt;"",kokpit!I439,"")</f>
        <v/>
      </c>
      <c r="J439" s="5" t="str">
        <f>IF(kokpit!J439&lt;&gt;"",kokpit!J439,"")</f>
        <v/>
      </c>
      <c r="K439" s="24" t="str">
        <f>IF(I439&lt;&gt;"",SUMIFS('JPK_KR-1'!AL:AL,'JPK_KR-1'!W:W,J439),"")</f>
        <v/>
      </c>
      <c r="L439" s="141" t="str">
        <f>IF(I439&lt;&gt;"",SUMIFS('JPK_KR-1'!AM:AM,'JPK_KR-1'!W:W,J439),"")</f>
        <v/>
      </c>
      <c r="M439" s="143" t="str">
        <f>IF(kokpit!M439&lt;&gt;"",kokpit!M439,"")</f>
        <v/>
      </c>
      <c r="N439" s="117" t="str">
        <f>IF(kokpit!N439&lt;&gt;"",kokpit!N439,"")</f>
        <v/>
      </c>
      <c r="O439" s="117" t="str">
        <f>IF(kokpit!O439&lt;&gt;"",kokpit!O439,"")</f>
        <v/>
      </c>
      <c r="P439" s="141" t="str">
        <f>IF(M439&lt;&gt;"",IF(O439="",SUMIFS('JPK_KR-1'!AL:AL,'JPK_KR-1'!W:W,N439),SUMIFS('JPK_KR-1'!BF:BF,'JPK_KR-1'!BE:BE,N439,'JPK_KR-1'!BG:BG,O439)),"")</f>
        <v/>
      </c>
      <c r="Q439" s="144" t="str">
        <f>IF(M439&lt;&gt;"",IF(O439="",SUMIFS('JPK_KR-1'!AM:AM,'JPK_KR-1'!W:W,N439),SUMIFS('JPK_KR-1'!BI:BI,'JPK_KR-1'!BH:BH,N439,'JPK_KR-1'!BJ:BJ,O439)),"")</f>
        <v/>
      </c>
      <c r="R439" s="117" t="str">
        <f>IF(kokpit!R439&lt;&gt;"",kokpit!R439,"")</f>
        <v/>
      </c>
      <c r="S439" s="117" t="str">
        <f>IF(kokpit!S439&lt;&gt;"",kokpit!S439,"")</f>
        <v/>
      </c>
      <c r="T439" s="117" t="str">
        <f>IF(kokpit!T439&lt;&gt;"",kokpit!T439,"")</f>
        <v/>
      </c>
      <c r="U439" s="141" t="str">
        <f>IF(R439&lt;&gt;"",SUMIFS('JPK_KR-1'!AL:AL,'JPK_KR-1'!W:W,S439),"")</f>
        <v/>
      </c>
      <c r="V439" s="144" t="str">
        <f>IF(R439&lt;&gt;"",SUMIFS('JPK_KR-1'!AM:AM,'JPK_KR-1'!W:W,S439),"")</f>
        <v/>
      </c>
    </row>
    <row r="440" spans="1:22" x14ac:dyDescent="0.3">
      <c r="A440" s="5" t="str">
        <f>IF(kokpit!A440&lt;&gt;"",kokpit!A440,"")</f>
        <v/>
      </c>
      <c r="B440" s="5" t="str">
        <f>IF(kokpit!B440&lt;&gt;"",kokpit!B440,"")</f>
        <v/>
      </c>
      <c r="C440" s="24" t="str">
        <f>IF(A440&lt;&gt;"",SUMIFS('JPK_KR-1'!AL:AL,'JPK_KR-1'!W:W,B440),"")</f>
        <v/>
      </c>
      <c r="D440" s="126" t="str">
        <f>IF(A440&lt;&gt;"",SUMIFS('JPK_KR-1'!AM:AM,'JPK_KR-1'!W:W,B440),"")</f>
        <v/>
      </c>
      <c r="E440" s="5" t="str">
        <f>IF(kokpit!E440&lt;&gt;"",kokpit!E440,"")</f>
        <v/>
      </c>
      <c r="F440" s="127" t="str">
        <f>IF(kokpit!F440&lt;&gt;"",kokpit!F440,"")</f>
        <v/>
      </c>
      <c r="G440" s="24" t="str">
        <f>IF(E440&lt;&gt;"",SUMIFS('JPK_KR-1'!AL:AL,'JPK_KR-1'!W:W,F440),"")</f>
        <v/>
      </c>
      <c r="H440" s="126" t="str">
        <f>IF(E440&lt;&gt;"",SUMIFS('JPK_KR-1'!AM:AM,'JPK_KR-1'!W:W,F440),"")</f>
        <v/>
      </c>
      <c r="I440" s="5" t="str">
        <f>IF(kokpit!I440&lt;&gt;"",kokpit!I440,"")</f>
        <v/>
      </c>
      <c r="J440" s="5" t="str">
        <f>IF(kokpit!J440&lt;&gt;"",kokpit!J440,"")</f>
        <v/>
      </c>
      <c r="K440" s="24" t="str">
        <f>IF(I440&lt;&gt;"",SUMIFS('JPK_KR-1'!AL:AL,'JPK_KR-1'!W:W,J440),"")</f>
        <v/>
      </c>
      <c r="L440" s="141" t="str">
        <f>IF(I440&lt;&gt;"",SUMIFS('JPK_KR-1'!AM:AM,'JPK_KR-1'!W:W,J440),"")</f>
        <v/>
      </c>
      <c r="M440" s="143" t="str">
        <f>IF(kokpit!M440&lt;&gt;"",kokpit!M440,"")</f>
        <v/>
      </c>
      <c r="N440" s="117" t="str">
        <f>IF(kokpit!N440&lt;&gt;"",kokpit!N440,"")</f>
        <v/>
      </c>
      <c r="O440" s="117" t="str">
        <f>IF(kokpit!O440&lt;&gt;"",kokpit!O440,"")</f>
        <v/>
      </c>
      <c r="P440" s="141" t="str">
        <f>IF(M440&lt;&gt;"",IF(O440="",SUMIFS('JPK_KR-1'!AL:AL,'JPK_KR-1'!W:W,N440),SUMIFS('JPK_KR-1'!BF:BF,'JPK_KR-1'!BE:BE,N440,'JPK_KR-1'!BG:BG,O440)),"")</f>
        <v/>
      </c>
      <c r="Q440" s="144" t="str">
        <f>IF(M440&lt;&gt;"",IF(O440="",SUMIFS('JPK_KR-1'!AM:AM,'JPK_KR-1'!W:W,N440),SUMIFS('JPK_KR-1'!BI:BI,'JPK_KR-1'!BH:BH,N440,'JPK_KR-1'!BJ:BJ,O440)),"")</f>
        <v/>
      </c>
      <c r="R440" s="117" t="str">
        <f>IF(kokpit!R440&lt;&gt;"",kokpit!R440,"")</f>
        <v/>
      </c>
      <c r="S440" s="117" t="str">
        <f>IF(kokpit!S440&lt;&gt;"",kokpit!S440,"")</f>
        <v/>
      </c>
      <c r="T440" s="117" t="str">
        <f>IF(kokpit!T440&lt;&gt;"",kokpit!T440,"")</f>
        <v/>
      </c>
      <c r="U440" s="141" t="str">
        <f>IF(R440&lt;&gt;"",SUMIFS('JPK_KR-1'!AL:AL,'JPK_KR-1'!W:W,S440),"")</f>
        <v/>
      </c>
      <c r="V440" s="144" t="str">
        <f>IF(R440&lt;&gt;"",SUMIFS('JPK_KR-1'!AM:AM,'JPK_KR-1'!W:W,S440),"")</f>
        <v/>
      </c>
    </row>
    <row r="441" spans="1:22" x14ac:dyDescent="0.3">
      <c r="A441" s="5" t="str">
        <f>IF(kokpit!A441&lt;&gt;"",kokpit!A441,"")</f>
        <v/>
      </c>
      <c r="B441" s="5" t="str">
        <f>IF(kokpit!B441&lt;&gt;"",kokpit!B441,"")</f>
        <v/>
      </c>
      <c r="C441" s="24" t="str">
        <f>IF(A441&lt;&gt;"",SUMIFS('JPK_KR-1'!AL:AL,'JPK_KR-1'!W:W,B441),"")</f>
        <v/>
      </c>
      <c r="D441" s="126" t="str">
        <f>IF(A441&lt;&gt;"",SUMIFS('JPK_KR-1'!AM:AM,'JPK_KR-1'!W:W,B441),"")</f>
        <v/>
      </c>
      <c r="E441" s="5" t="str">
        <f>IF(kokpit!E441&lt;&gt;"",kokpit!E441,"")</f>
        <v/>
      </c>
      <c r="F441" s="127" t="str">
        <f>IF(kokpit!F441&lt;&gt;"",kokpit!F441,"")</f>
        <v/>
      </c>
      <c r="G441" s="24" t="str">
        <f>IF(E441&lt;&gt;"",SUMIFS('JPK_KR-1'!AL:AL,'JPK_KR-1'!W:W,F441),"")</f>
        <v/>
      </c>
      <c r="H441" s="126" t="str">
        <f>IF(E441&lt;&gt;"",SUMIFS('JPK_KR-1'!AM:AM,'JPK_KR-1'!W:W,F441),"")</f>
        <v/>
      </c>
      <c r="I441" s="5" t="str">
        <f>IF(kokpit!I441&lt;&gt;"",kokpit!I441,"")</f>
        <v/>
      </c>
      <c r="J441" s="5" t="str">
        <f>IF(kokpit!J441&lt;&gt;"",kokpit!J441,"")</f>
        <v/>
      </c>
      <c r="K441" s="24" t="str">
        <f>IF(I441&lt;&gt;"",SUMIFS('JPK_KR-1'!AL:AL,'JPK_KR-1'!W:W,J441),"")</f>
        <v/>
      </c>
      <c r="L441" s="141" t="str">
        <f>IF(I441&lt;&gt;"",SUMIFS('JPK_KR-1'!AM:AM,'JPK_KR-1'!W:W,J441),"")</f>
        <v/>
      </c>
      <c r="M441" s="143" t="str">
        <f>IF(kokpit!M441&lt;&gt;"",kokpit!M441,"")</f>
        <v/>
      </c>
      <c r="N441" s="117" t="str">
        <f>IF(kokpit!N441&lt;&gt;"",kokpit!N441,"")</f>
        <v/>
      </c>
      <c r="O441" s="117" t="str">
        <f>IF(kokpit!O441&lt;&gt;"",kokpit!O441,"")</f>
        <v/>
      </c>
      <c r="P441" s="141" t="str">
        <f>IF(M441&lt;&gt;"",IF(O441="",SUMIFS('JPK_KR-1'!AL:AL,'JPK_KR-1'!W:W,N441),SUMIFS('JPK_KR-1'!BF:BF,'JPK_KR-1'!BE:BE,N441,'JPK_KR-1'!BG:BG,O441)),"")</f>
        <v/>
      </c>
      <c r="Q441" s="144" t="str">
        <f>IF(M441&lt;&gt;"",IF(O441="",SUMIFS('JPK_KR-1'!AM:AM,'JPK_KR-1'!W:W,N441),SUMIFS('JPK_KR-1'!BI:BI,'JPK_KR-1'!BH:BH,N441,'JPK_KR-1'!BJ:BJ,O441)),"")</f>
        <v/>
      </c>
      <c r="R441" s="117" t="str">
        <f>IF(kokpit!R441&lt;&gt;"",kokpit!R441,"")</f>
        <v/>
      </c>
      <c r="S441" s="117" t="str">
        <f>IF(kokpit!S441&lt;&gt;"",kokpit!S441,"")</f>
        <v/>
      </c>
      <c r="T441" s="117" t="str">
        <f>IF(kokpit!T441&lt;&gt;"",kokpit!T441,"")</f>
        <v/>
      </c>
      <c r="U441" s="141" t="str">
        <f>IF(R441&lt;&gt;"",SUMIFS('JPK_KR-1'!AL:AL,'JPK_KR-1'!W:W,S441),"")</f>
        <v/>
      </c>
      <c r="V441" s="144" t="str">
        <f>IF(R441&lt;&gt;"",SUMIFS('JPK_KR-1'!AM:AM,'JPK_KR-1'!W:W,S441),"")</f>
        <v/>
      </c>
    </row>
    <row r="442" spans="1:22" x14ac:dyDescent="0.3">
      <c r="A442" s="5" t="str">
        <f>IF(kokpit!A442&lt;&gt;"",kokpit!A442,"")</f>
        <v/>
      </c>
      <c r="B442" s="5" t="str">
        <f>IF(kokpit!B442&lt;&gt;"",kokpit!B442,"")</f>
        <v/>
      </c>
      <c r="C442" s="24" t="str">
        <f>IF(A442&lt;&gt;"",SUMIFS('JPK_KR-1'!AL:AL,'JPK_KR-1'!W:W,B442),"")</f>
        <v/>
      </c>
      <c r="D442" s="126" t="str">
        <f>IF(A442&lt;&gt;"",SUMIFS('JPK_KR-1'!AM:AM,'JPK_KR-1'!W:W,B442),"")</f>
        <v/>
      </c>
      <c r="E442" s="5" t="str">
        <f>IF(kokpit!E442&lt;&gt;"",kokpit!E442,"")</f>
        <v/>
      </c>
      <c r="F442" s="127" t="str">
        <f>IF(kokpit!F442&lt;&gt;"",kokpit!F442,"")</f>
        <v/>
      </c>
      <c r="G442" s="24" t="str">
        <f>IF(E442&lt;&gt;"",SUMIFS('JPK_KR-1'!AL:AL,'JPK_KR-1'!W:W,F442),"")</f>
        <v/>
      </c>
      <c r="H442" s="126" t="str">
        <f>IF(E442&lt;&gt;"",SUMIFS('JPK_KR-1'!AM:AM,'JPK_KR-1'!W:W,F442),"")</f>
        <v/>
      </c>
      <c r="I442" s="5" t="str">
        <f>IF(kokpit!I442&lt;&gt;"",kokpit!I442,"")</f>
        <v/>
      </c>
      <c r="J442" s="5" t="str">
        <f>IF(kokpit!J442&lt;&gt;"",kokpit!J442,"")</f>
        <v/>
      </c>
      <c r="K442" s="24" t="str">
        <f>IF(I442&lt;&gt;"",SUMIFS('JPK_KR-1'!AL:AL,'JPK_KR-1'!W:W,J442),"")</f>
        <v/>
      </c>
      <c r="L442" s="141" t="str">
        <f>IF(I442&lt;&gt;"",SUMIFS('JPK_KR-1'!AM:AM,'JPK_KR-1'!W:W,J442),"")</f>
        <v/>
      </c>
      <c r="M442" s="143" t="str">
        <f>IF(kokpit!M442&lt;&gt;"",kokpit!M442,"")</f>
        <v/>
      </c>
      <c r="N442" s="117" t="str">
        <f>IF(kokpit!N442&lt;&gt;"",kokpit!N442,"")</f>
        <v/>
      </c>
      <c r="O442" s="117" t="str">
        <f>IF(kokpit!O442&lt;&gt;"",kokpit!O442,"")</f>
        <v/>
      </c>
      <c r="P442" s="141" t="str">
        <f>IF(M442&lt;&gt;"",IF(O442="",SUMIFS('JPK_KR-1'!AL:AL,'JPK_KR-1'!W:W,N442),SUMIFS('JPK_KR-1'!BF:BF,'JPK_KR-1'!BE:BE,N442,'JPK_KR-1'!BG:BG,O442)),"")</f>
        <v/>
      </c>
      <c r="Q442" s="144" t="str">
        <f>IF(M442&lt;&gt;"",IF(O442="",SUMIFS('JPK_KR-1'!AM:AM,'JPK_KR-1'!W:W,N442),SUMIFS('JPK_KR-1'!BI:BI,'JPK_KR-1'!BH:BH,N442,'JPK_KR-1'!BJ:BJ,O442)),"")</f>
        <v/>
      </c>
      <c r="R442" s="117" t="str">
        <f>IF(kokpit!R442&lt;&gt;"",kokpit!R442,"")</f>
        <v/>
      </c>
      <c r="S442" s="117" t="str">
        <f>IF(kokpit!S442&lt;&gt;"",kokpit!S442,"")</f>
        <v/>
      </c>
      <c r="T442" s="117" t="str">
        <f>IF(kokpit!T442&lt;&gt;"",kokpit!T442,"")</f>
        <v/>
      </c>
      <c r="U442" s="141" t="str">
        <f>IF(R442&lt;&gt;"",SUMIFS('JPK_KR-1'!AL:AL,'JPK_KR-1'!W:W,S442),"")</f>
        <v/>
      </c>
      <c r="V442" s="144" t="str">
        <f>IF(R442&lt;&gt;"",SUMIFS('JPK_KR-1'!AM:AM,'JPK_KR-1'!W:W,S442),"")</f>
        <v/>
      </c>
    </row>
    <row r="443" spans="1:22" x14ac:dyDescent="0.3">
      <c r="A443" s="5" t="str">
        <f>IF(kokpit!A443&lt;&gt;"",kokpit!A443,"")</f>
        <v/>
      </c>
      <c r="B443" s="5" t="str">
        <f>IF(kokpit!B443&lt;&gt;"",kokpit!B443,"")</f>
        <v/>
      </c>
      <c r="C443" s="24" t="str">
        <f>IF(A443&lt;&gt;"",SUMIFS('JPK_KR-1'!AL:AL,'JPK_KR-1'!W:W,B443),"")</f>
        <v/>
      </c>
      <c r="D443" s="126" t="str">
        <f>IF(A443&lt;&gt;"",SUMIFS('JPK_KR-1'!AM:AM,'JPK_KR-1'!W:W,B443),"")</f>
        <v/>
      </c>
      <c r="E443" s="5" t="str">
        <f>IF(kokpit!E443&lt;&gt;"",kokpit!E443,"")</f>
        <v/>
      </c>
      <c r="F443" s="127" t="str">
        <f>IF(kokpit!F443&lt;&gt;"",kokpit!F443,"")</f>
        <v/>
      </c>
      <c r="G443" s="24" t="str">
        <f>IF(E443&lt;&gt;"",SUMIFS('JPK_KR-1'!AL:AL,'JPK_KR-1'!W:W,F443),"")</f>
        <v/>
      </c>
      <c r="H443" s="126" t="str">
        <f>IF(E443&lt;&gt;"",SUMIFS('JPK_KR-1'!AM:AM,'JPK_KR-1'!W:W,F443),"")</f>
        <v/>
      </c>
      <c r="I443" s="5" t="str">
        <f>IF(kokpit!I443&lt;&gt;"",kokpit!I443,"")</f>
        <v/>
      </c>
      <c r="J443" s="5" t="str">
        <f>IF(kokpit!J443&lt;&gt;"",kokpit!J443,"")</f>
        <v/>
      </c>
      <c r="K443" s="24" t="str">
        <f>IF(I443&lt;&gt;"",SUMIFS('JPK_KR-1'!AL:AL,'JPK_KR-1'!W:W,J443),"")</f>
        <v/>
      </c>
      <c r="L443" s="141" t="str">
        <f>IF(I443&lt;&gt;"",SUMIFS('JPK_KR-1'!AM:AM,'JPK_KR-1'!W:W,J443),"")</f>
        <v/>
      </c>
      <c r="M443" s="143" t="str">
        <f>IF(kokpit!M443&lt;&gt;"",kokpit!M443,"")</f>
        <v/>
      </c>
      <c r="N443" s="117" t="str">
        <f>IF(kokpit!N443&lt;&gt;"",kokpit!N443,"")</f>
        <v/>
      </c>
      <c r="O443" s="117" t="str">
        <f>IF(kokpit!O443&lt;&gt;"",kokpit!O443,"")</f>
        <v/>
      </c>
      <c r="P443" s="141" t="str">
        <f>IF(M443&lt;&gt;"",IF(O443="",SUMIFS('JPK_KR-1'!AL:AL,'JPK_KR-1'!W:W,N443),SUMIFS('JPK_KR-1'!BF:BF,'JPK_KR-1'!BE:BE,N443,'JPK_KR-1'!BG:BG,O443)),"")</f>
        <v/>
      </c>
      <c r="Q443" s="144" t="str">
        <f>IF(M443&lt;&gt;"",IF(O443="",SUMIFS('JPK_KR-1'!AM:AM,'JPK_KR-1'!W:W,N443),SUMIFS('JPK_KR-1'!BI:BI,'JPK_KR-1'!BH:BH,N443,'JPK_KR-1'!BJ:BJ,O443)),"")</f>
        <v/>
      </c>
      <c r="R443" s="117" t="str">
        <f>IF(kokpit!R443&lt;&gt;"",kokpit!R443,"")</f>
        <v/>
      </c>
      <c r="S443" s="117" t="str">
        <f>IF(kokpit!S443&lt;&gt;"",kokpit!S443,"")</f>
        <v/>
      </c>
      <c r="T443" s="117" t="str">
        <f>IF(kokpit!T443&lt;&gt;"",kokpit!T443,"")</f>
        <v/>
      </c>
      <c r="U443" s="141" t="str">
        <f>IF(R443&lt;&gt;"",SUMIFS('JPK_KR-1'!AL:AL,'JPK_KR-1'!W:W,S443),"")</f>
        <v/>
      </c>
      <c r="V443" s="144" t="str">
        <f>IF(R443&lt;&gt;"",SUMIFS('JPK_KR-1'!AM:AM,'JPK_KR-1'!W:W,S443),"")</f>
        <v/>
      </c>
    </row>
    <row r="444" spans="1:22" x14ac:dyDescent="0.3">
      <c r="A444" s="5" t="str">
        <f>IF(kokpit!A444&lt;&gt;"",kokpit!A444,"")</f>
        <v/>
      </c>
      <c r="B444" s="5" t="str">
        <f>IF(kokpit!B444&lt;&gt;"",kokpit!B444,"")</f>
        <v/>
      </c>
      <c r="C444" s="24" t="str">
        <f>IF(A444&lt;&gt;"",SUMIFS('JPK_KR-1'!AL:AL,'JPK_KR-1'!W:W,B444),"")</f>
        <v/>
      </c>
      <c r="D444" s="126" t="str">
        <f>IF(A444&lt;&gt;"",SUMIFS('JPK_KR-1'!AM:AM,'JPK_KR-1'!W:W,B444),"")</f>
        <v/>
      </c>
      <c r="E444" s="5" t="str">
        <f>IF(kokpit!E444&lt;&gt;"",kokpit!E444,"")</f>
        <v/>
      </c>
      <c r="F444" s="127" t="str">
        <f>IF(kokpit!F444&lt;&gt;"",kokpit!F444,"")</f>
        <v/>
      </c>
      <c r="G444" s="24" t="str">
        <f>IF(E444&lt;&gt;"",SUMIFS('JPK_KR-1'!AL:AL,'JPK_KR-1'!W:W,F444),"")</f>
        <v/>
      </c>
      <c r="H444" s="126" t="str">
        <f>IF(E444&lt;&gt;"",SUMIFS('JPK_KR-1'!AM:AM,'JPK_KR-1'!W:W,F444),"")</f>
        <v/>
      </c>
      <c r="I444" s="5" t="str">
        <f>IF(kokpit!I444&lt;&gt;"",kokpit!I444,"")</f>
        <v/>
      </c>
      <c r="J444" s="5" t="str">
        <f>IF(kokpit!J444&lt;&gt;"",kokpit!J444,"")</f>
        <v/>
      </c>
      <c r="K444" s="24" t="str">
        <f>IF(I444&lt;&gt;"",SUMIFS('JPK_KR-1'!AL:AL,'JPK_KR-1'!W:W,J444),"")</f>
        <v/>
      </c>
      <c r="L444" s="141" t="str">
        <f>IF(I444&lt;&gt;"",SUMIFS('JPK_KR-1'!AM:AM,'JPK_KR-1'!W:W,J444),"")</f>
        <v/>
      </c>
      <c r="M444" s="143" t="str">
        <f>IF(kokpit!M444&lt;&gt;"",kokpit!M444,"")</f>
        <v/>
      </c>
      <c r="N444" s="117" t="str">
        <f>IF(kokpit!N444&lt;&gt;"",kokpit!N444,"")</f>
        <v/>
      </c>
      <c r="O444" s="117" t="str">
        <f>IF(kokpit!O444&lt;&gt;"",kokpit!O444,"")</f>
        <v/>
      </c>
      <c r="P444" s="141" t="str">
        <f>IF(M444&lt;&gt;"",IF(O444="",SUMIFS('JPK_KR-1'!AL:AL,'JPK_KR-1'!W:W,N444),SUMIFS('JPK_KR-1'!BF:BF,'JPK_KR-1'!BE:BE,N444,'JPK_KR-1'!BG:BG,O444)),"")</f>
        <v/>
      </c>
      <c r="Q444" s="144" t="str">
        <f>IF(M444&lt;&gt;"",IF(O444="",SUMIFS('JPK_KR-1'!AM:AM,'JPK_KR-1'!W:W,N444),SUMIFS('JPK_KR-1'!BI:BI,'JPK_KR-1'!BH:BH,N444,'JPK_KR-1'!BJ:BJ,O444)),"")</f>
        <v/>
      </c>
      <c r="R444" s="117" t="str">
        <f>IF(kokpit!R444&lt;&gt;"",kokpit!R444,"")</f>
        <v/>
      </c>
      <c r="S444" s="117" t="str">
        <f>IF(kokpit!S444&lt;&gt;"",kokpit!S444,"")</f>
        <v/>
      </c>
      <c r="T444" s="117" t="str">
        <f>IF(kokpit!T444&lt;&gt;"",kokpit!T444,"")</f>
        <v/>
      </c>
      <c r="U444" s="141" t="str">
        <f>IF(R444&lt;&gt;"",SUMIFS('JPK_KR-1'!AL:AL,'JPK_KR-1'!W:W,S444),"")</f>
        <v/>
      </c>
      <c r="V444" s="144" t="str">
        <f>IF(R444&lt;&gt;"",SUMIFS('JPK_KR-1'!AM:AM,'JPK_KR-1'!W:W,S444),"")</f>
        <v/>
      </c>
    </row>
    <row r="445" spans="1:22" x14ac:dyDescent="0.3">
      <c r="A445" s="5" t="str">
        <f>IF(kokpit!A445&lt;&gt;"",kokpit!A445,"")</f>
        <v/>
      </c>
      <c r="B445" s="5" t="str">
        <f>IF(kokpit!B445&lt;&gt;"",kokpit!B445,"")</f>
        <v/>
      </c>
      <c r="C445" s="24" t="str">
        <f>IF(A445&lt;&gt;"",SUMIFS('JPK_KR-1'!AL:AL,'JPK_KR-1'!W:W,B445),"")</f>
        <v/>
      </c>
      <c r="D445" s="126" t="str">
        <f>IF(A445&lt;&gt;"",SUMIFS('JPK_KR-1'!AM:AM,'JPK_KR-1'!W:W,B445),"")</f>
        <v/>
      </c>
      <c r="E445" s="5" t="str">
        <f>IF(kokpit!E445&lt;&gt;"",kokpit!E445,"")</f>
        <v/>
      </c>
      <c r="F445" s="127" t="str">
        <f>IF(kokpit!F445&lt;&gt;"",kokpit!F445,"")</f>
        <v/>
      </c>
      <c r="G445" s="24" t="str">
        <f>IF(E445&lt;&gt;"",SUMIFS('JPK_KR-1'!AL:AL,'JPK_KR-1'!W:W,F445),"")</f>
        <v/>
      </c>
      <c r="H445" s="126" t="str">
        <f>IF(E445&lt;&gt;"",SUMIFS('JPK_KR-1'!AM:AM,'JPK_KR-1'!W:W,F445),"")</f>
        <v/>
      </c>
      <c r="I445" s="5" t="str">
        <f>IF(kokpit!I445&lt;&gt;"",kokpit!I445,"")</f>
        <v/>
      </c>
      <c r="J445" s="5" t="str">
        <f>IF(kokpit!J445&lt;&gt;"",kokpit!J445,"")</f>
        <v/>
      </c>
      <c r="K445" s="24" t="str">
        <f>IF(I445&lt;&gt;"",SUMIFS('JPK_KR-1'!AL:AL,'JPK_KR-1'!W:W,J445),"")</f>
        <v/>
      </c>
      <c r="L445" s="141" t="str">
        <f>IF(I445&lt;&gt;"",SUMIFS('JPK_KR-1'!AM:AM,'JPK_KR-1'!W:W,J445),"")</f>
        <v/>
      </c>
      <c r="M445" s="143" t="str">
        <f>IF(kokpit!M445&lt;&gt;"",kokpit!M445,"")</f>
        <v/>
      </c>
      <c r="N445" s="117" t="str">
        <f>IF(kokpit!N445&lt;&gt;"",kokpit!N445,"")</f>
        <v/>
      </c>
      <c r="O445" s="117" t="str">
        <f>IF(kokpit!O445&lt;&gt;"",kokpit!O445,"")</f>
        <v/>
      </c>
      <c r="P445" s="141" t="str">
        <f>IF(M445&lt;&gt;"",IF(O445="",SUMIFS('JPK_KR-1'!AL:AL,'JPK_KR-1'!W:W,N445),SUMIFS('JPK_KR-1'!BF:BF,'JPK_KR-1'!BE:BE,N445,'JPK_KR-1'!BG:BG,O445)),"")</f>
        <v/>
      </c>
      <c r="Q445" s="144" t="str">
        <f>IF(M445&lt;&gt;"",IF(O445="",SUMIFS('JPK_KR-1'!AM:AM,'JPK_KR-1'!W:W,N445),SUMIFS('JPK_KR-1'!BI:BI,'JPK_KR-1'!BH:BH,N445,'JPK_KR-1'!BJ:BJ,O445)),"")</f>
        <v/>
      </c>
      <c r="R445" s="117" t="str">
        <f>IF(kokpit!R445&lt;&gt;"",kokpit!R445,"")</f>
        <v/>
      </c>
      <c r="S445" s="117" t="str">
        <f>IF(kokpit!S445&lt;&gt;"",kokpit!S445,"")</f>
        <v/>
      </c>
      <c r="T445" s="117" t="str">
        <f>IF(kokpit!T445&lt;&gt;"",kokpit!T445,"")</f>
        <v/>
      </c>
      <c r="U445" s="141" t="str">
        <f>IF(R445&lt;&gt;"",SUMIFS('JPK_KR-1'!AL:AL,'JPK_KR-1'!W:W,S445),"")</f>
        <v/>
      </c>
      <c r="V445" s="144" t="str">
        <f>IF(R445&lt;&gt;"",SUMIFS('JPK_KR-1'!AM:AM,'JPK_KR-1'!W:W,S445),"")</f>
        <v/>
      </c>
    </row>
    <row r="446" spans="1:22" x14ac:dyDescent="0.3">
      <c r="A446" s="5" t="str">
        <f>IF(kokpit!A446&lt;&gt;"",kokpit!A446,"")</f>
        <v/>
      </c>
      <c r="B446" s="5" t="str">
        <f>IF(kokpit!B446&lt;&gt;"",kokpit!B446,"")</f>
        <v/>
      </c>
      <c r="C446" s="24" t="str">
        <f>IF(A446&lt;&gt;"",SUMIFS('JPK_KR-1'!AL:AL,'JPK_KR-1'!W:W,B446),"")</f>
        <v/>
      </c>
      <c r="D446" s="126" t="str">
        <f>IF(A446&lt;&gt;"",SUMIFS('JPK_KR-1'!AM:AM,'JPK_KR-1'!W:W,B446),"")</f>
        <v/>
      </c>
      <c r="E446" s="5" t="str">
        <f>IF(kokpit!E446&lt;&gt;"",kokpit!E446,"")</f>
        <v/>
      </c>
      <c r="F446" s="127" t="str">
        <f>IF(kokpit!F446&lt;&gt;"",kokpit!F446,"")</f>
        <v/>
      </c>
      <c r="G446" s="24" t="str">
        <f>IF(E446&lt;&gt;"",SUMIFS('JPK_KR-1'!AL:AL,'JPK_KR-1'!W:W,F446),"")</f>
        <v/>
      </c>
      <c r="H446" s="126" t="str">
        <f>IF(E446&lt;&gt;"",SUMIFS('JPK_KR-1'!AM:AM,'JPK_KR-1'!W:W,F446),"")</f>
        <v/>
      </c>
      <c r="I446" s="5" t="str">
        <f>IF(kokpit!I446&lt;&gt;"",kokpit!I446,"")</f>
        <v/>
      </c>
      <c r="J446" s="5" t="str">
        <f>IF(kokpit!J446&lt;&gt;"",kokpit!J446,"")</f>
        <v/>
      </c>
      <c r="K446" s="24" t="str">
        <f>IF(I446&lt;&gt;"",SUMIFS('JPK_KR-1'!AL:AL,'JPK_KR-1'!W:W,J446),"")</f>
        <v/>
      </c>
      <c r="L446" s="141" t="str">
        <f>IF(I446&lt;&gt;"",SUMIFS('JPK_KR-1'!AM:AM,'JPK_KR-1'!W:W,J446),"")</f>
        <v/>
      </c>
      <c r="M446" s="143" t="str">
        <f>IF(kokpit!M446&lt;&gt;"",kokpit!M446,"")</f>
        <v/>
      </c>
      <c r="N446" s="117" t="str">
        <f>IF(kokpit!N446&lt;&gt;"",kokpit!N446,"")</f>
        <v/>
      </c>
      <c r="O446" s="117" t="str">
        <f>IF(kokpit!O446&lt;&gt;"",kokpit!O446,"")</f>
        <v/>
      </c>
      <c r="P446" s="141" t="str">
        <f>IF(M446&lt;&gt;"",IF(O446="",SUMIFS('JPK_KR-1'!AL:AL,'JPK_KR-1'!W:W,N446),SUMIFS('JPK_KR-1'!BF:BF,'JPK_KR-1'!BE:BE,N446,'JPK_KR-1'!BG:BG,O446)),"")</f>
        <v/>
      </c>
      <c r="Q446" s="144" t="str">
        <f>IF(M446&lt;&gt;"",IF(O446="",SUMIFS('JPK_KR-1'!AM:AM,'JPK_KR-1'!W:W,N446),SUMIFS('JPK_KR-1'!BI:BI,'JPK_KR-1'!BH:BH,N446,'JPK_KR-1'!BJ:BJ,O446)),"")</f>
        <v/>
      </c>
      <c r="R446" s="117" t="str">
        <f>IF(kokpit!R446&lt;&gt;"",kokpit!R446,"")</f>
        <v/>
      </c>
      <c r="S446" s="117" t="str">
        <f>IF(kokpit!S446&lt;&gt;"",kokpit!S446,"")</f>
        <v/>
      </c>
      <c r="T446" s="117" t="str">
        <f>IF(kokpit!T446&lt;&gt;"",kokpit!T446,"")</f>
        <v/>
      </c>
      <c r="U446" s="141" t="str">
        <f>IF(R446&lt;&gt;"",SUMIFS('JPK_KR-1'!AL:AL,'JPK_KR-1'!W:W,S446),"")</f>
        <v/>
      </c>
      <c r="V446" s="144" t="str">
        <f>IF(R446&lt;&gt;"",SUMIFS('JPK_KR-1'!AM:AM,'JPK_KR-1'!W:W,S446),"")</f>
        <v/>
      </c>
    </row>
    <row r="447" spans="1:22" x14ac:dyDescent="0.3">
      <c r="A447" s="5" t="str">
        <f>IF(kokpit!A447&lt;&gt;"",kokpit!A447,"")</f>
        <v/>
      </c>
      <c r="B447" s="5" t="str">
        <f>IF(kokpit!B447&lt;&gt;"",kokpit!B447,"")</f>
        <v/>
      </c>
      <c r="C447" s="24" t="str">
        <f>IF(A447&lt;&gt;"",SUMIFS('JPK_KR-1'!AL:AL,'JPK_KR-1'!W:W,B447),"")</f>
        <v/>
      </c>
      <c r="D447" s="126" t="str">
        <f>IF(A447&lt;&gt;"",SUMIFS('JPK_KR-1'!AM:AM,'JPK_KR-1'!W:W,B447),"")</f>
        <v/>
      </c>
      <c r="E447" s="5" t="str">
        <f>IF(kokpit!E447&lt;&gt;"",kokpit!E447,"")</f>
        <v/>
      </c>
      <c r="F447" s="127" t="str">
        <f>IF(kokpit!F447&lt;&gt;"",kokpit!F447,"")</f>
        <v/>
      </c>
      <c r="G447" s="24" t="str">
        <f>IF(E447&lt;&gt;"",SUMIFS('JPK_KR-1'!AL:AL,'JPK_KR-1'!W:W,F447),"")</f>
        <v/>
      </c>
      <c r="H447" s="126" t="str">
        <f>IF(E447&lt;&gt;"",SUMIFS('JPK_KR-1'!AM:AM,'JPK_KR-1'!W:W,F447),"")</f>
        <v/>
      </c>
      <c r="I447" s="5" t="str">
        <f>IF(kokpit!I447&lt;&gt;"",kokpit!I447,"")</f>
        <v/>
      </c>
      <c r="J447" s="5" t="str">
        <f>IF(kokpit!J447&lt;&gt;"",kokpit!J447,"")</f>
        <v/>
      </c>
      <c r="K447" s="24" t="str">
        <f>IF(I447&lt;&gt;"",SUMIFS('JPK_KR-1'!AL:AL,'JPK_KR-1'!W:W,J447),"")</f>
        <v/>
      </c>
      <c r="L447" s="141" t="str">
        <f>IF(I447&lt;&gt;"",SUMIFS('JPK_KR-1'!AM:AM,'JPK_KR-1'!W:W,J447),"")</f>
        <v/>
      </c>
      <c r="M447" s="143" t="str">
        <f>IF(kokpit!M447&lt;&gt;"",kokpit!M447,"")</f>
        <v/>
      </c>
      <c r="N447" s="117" t="str">
        <f>IF(kokpit!N447&lt;&gt;"",kokpit!N447,"")</f>
        <v/>
      </c>
      <c r="O447" s="117" t="str">
        <f>IF(kokpit!O447&lt;&gt;"",kokpit!O447,"")</f>
        <v/>
      </c>
      <c r="P447" s="141" t="str">
        <f>IF(M447&lt;&gt;"",IF(O447="",SUMIFS('JPK_KR-1'!AL:AL,'JPK_KR-1'!W:W,N447),SUMIFS('JPK_KR-1'!BF:BF,'JPK_KR-1'!BE:BE,N447,'JPK_KR-1'!BG:BG,O447)),"")</f>
        <v/>
      </c>
      <c r="Q447" s="144" t="str">
        <f>IF(M447&lt;&gt;"",IF(O447="",SUMIFS('JPK_KR-1'!AM:AM,'JPK_KR-1'!W:W,N447),SUMIFS('JPK_KR-1'!BI:BI,'JPK_KR-1'!BH:BH,N447,'JPK_KR-1'!BJ:BJ,O447)),"")</f>
        <v/>
      </c>
      <c r="R447" s="117" t="str">
        <f>IF(kokpit!R447&lt;&gt;"",kokpit!R447,"")</f>
        <v/>
      </c>
      <c r="S447" s="117" t="str">
        <f>IF(kokpit!S447&lt;&gt;"",kokpit!S447,"")</f>
        <v/>
      </c>
      <c r="T447" s="117" t="str">
        <f>IF(kokpit!T447&lt;&gt;"",kokpit!T447,"")</f>
        <v/>
      </c>
      <c r="U447" s="141" t="str">
        <f>IF(R447&lt;&gt;"",SUMIFS('JPK_KR-1'!AL:AL,'JPK_KR-1'!W:W,S447),"")</f>
        <v/>
      </c>
      <c r="V447" s="144" t="str">
        <f>IF(R447&lt;&gt;"",SUMIFS('JPK_KR-1'!AM:AM,'JPK_KR-1'!W:W,S447),"")</f>
        <v/>
      </c>
    </row>
    <row r="448" spans="1:22" x14ac:dyDescent="0.3">
      <c r="A448" s="5" t="str">
        <f>IF(kokpit!A448&lt;&gt;"",kokpit!A448,"")</f>
        <v/>
      </c>
      <c r="B448" s="5" t="str">
        <f>IF(kokpit!B448&lt;&gt;"",kokpit!B448,"")</f>
        <v/>
      </c>
      <c r="C448" s="24" t="str">
        <f>IF(A448&lt;&gt;"",SUMIFS('JPK_KR-1'!AL:AL,'JPK_KR-1'!W:W,B448),"")</f>
        <v/>
      </c>
      <c r="D448" s="126" t="str">
        <f>IF(A448&lt;&gt;"",SUMIFS('JPK_KR-1'!AM:AM,'JPK_KR-1'!W:W,B448),"")</f>
        <v/>
      </c>
      <c r="E448" s="5" t="str">
        <f>IF(kokpit!E448&lt;&gt;"",kokpit!E448,"")</f>
        <v/>
      </c>
      <c r="F448" s="127" t="str">
        <f>IF(kokpit!F448&lt;&gt;"",kokpit!F448,"")</f>
        <v/>
      </c>
      <c r="G448" s="24" t="str">
        <f>IF(E448&lt;&gt;"",SUMIFS('JPK_KR-1'!AL:AL,'JPK_KR-1'!W:W,F448),"")</f>
        <v/>
      </c>
      <c r="H448" s="126" t="str">
        <f>IF(E448&lt;&gt;"",SUMIFS('JPK_KR-1'!AM:AM,'JPK_KR-1'!W:W,F448),"")</f>
        <v/>
      </c>
      <c r="I448" s="5" t="str">
        <f>IF(kokpit!I448&lt;&gt;"",kokpit!I448,"")</f>
        <v/>
      </c>
      <c r="J448" s="5" t="str">
        <f>IF(kokpit!J448&lt;&gt;"",kokpit!J448,"")</f>
        <v/>
      </c>
      <c r="K448" s="24" t="str">
        <f>IF(I448&lt;&gt;"",SUMIFS('JPK_KR-1'!AL:AL,'JPK_KR-1'!W:W,J448),"")</f>
        <v/>
      </c>
      <c r="L448" s="141" t="str">
        <f>IF(I448&lt;&gt;"",SUMIFS('JPK_KR-1'!AM:AM,'JPK_KR-1'!W:W,J448),"")</f>
        <v/>
      </c>
      <c r="M448" s="143" t="str">
        <f>IF(kokpit!M448&lt;&gt;"",kokpit!M448,"")</f>
        <v/>
      </c>
      <c r="N448" s="117" t="str">
        <f>IF(kokpit!N448&lt;&gt;"",kokpit!N448,"")</f>
        <v/>
      </c>
      <c r="O448" s="117" t="str">
        <f>IF(kokpit!O448&lt;&gt;"",kokpit!O448,"")</f>
        <v/>
      </c>
      <c r="P448" s="141" t="str">
        <f>IF(M448&lt;&gt;"",IF(O448="",SUMIFS('JPK_KR-1'!AL:AL,'JPK_KR-1'!W:W,N448),SUMIFS('JPK_KR-1'!BF:BF,'JPK_KR-1'!BE:BE,N448,'JPK_KR-1'!BG:BG,O448)),"")</f>
        <v/>
      </c>
      <c r="Q448" s="144" t="str">
        <f>IF(M448&lt;&gt;"",IF(O448="",SUMIFS('JPK_KR-1'!AM:AM,'JPK_KR-1'!W:W,N448),SUMIFS('JPK_KR-1'!BI:BI,'JPK_KR-1'!BH:BH,N448,'JPK_KR-1'!BJ:BJ,O448)),"")</f>
        <v/>
      </c>
      <c r="R448" s="117" t="str">
        <f>IF(kokpit!R448&lt;&gt;"",kokpit!R448,"")</f>
        <v/>
      </c>
      <c r="S448" s="117" t="str">
        <f>IF(kokpit!S448&lt;&gt;"",kokpit!S448,"")</f>
        <v/>
      </c>
      <c r="T448" s="117" t="str">
        <f>IF(kokpit!T448&lt;&gt;"",kokpit!T448,"")</f>
        <v/>
      </c>
      <c r="U448" s="141" t="str">
        <f>IF(R448&lt;&gt;"",SUMIFS('JPK_KR-1'!AL:AL,'JPK_KR-1'!W:W,S448),"")</f>
        <v/>
      </c>
      <c r="V448" s="144" t="str">
        <f>IF(R448&lt;&gt;"",SUMIFS('JPK_KR-1'!AM:AM,'JPK_KR-1'!W:W,S448),"")</f>
        <v/>
      </c>
    </row>
    <row r="449" spans="1:22" x14ac:dyDescent="0.3">
      <c r="A449" s="5" t="str">
        <f>IF(kokpit!A449&lt;&gt;"",kokpit!A449,"")</f>
        <v/>
      </c>
      <c r="B449" s="5" t="str">
        <f>IF(kokpit!B449&lt;&gt;"",kokpit!B449,"")</f>
        <v/>
      </c>
      <c r="C449" s="24" t="str">
        <f>IF(A449&lt;&gt;"",SUMIFS('JPK_KR-1'!AL:AL,'JPK_KR-1'!W:W,B449),"")</f>
        <v/>
      </c>
      <c r="D449" s="126" t="str">
        <f>IF(A449&lt;&gt;"",SUMIFS('JPK_KR-1'!AM:AM,'JPK_KR-1'!W:W,B449),"")</f>
        <v/>
      </c>
      <c r="E449" s="5" t="str">
        <f>IF(kokpit!E449&lt;&gt;"",kokpit!E449,"")</f>
        <v/>
      </c>
      <c r="F449" s="127" t="str">
        <f>IF(kokpit!F449&lt;&gt;"",kokpit!F449,"")</f>
        <v/>
      </c>
      <c r="G449" s="24" t="str">
        <f>IF(E449&lt;&gt;"",SUMIFS('JPK_KR-1'!AL:AL,'JPK_KR-1'!W:W,F449),"")</f>
        <v/>
      </c>
      <c r="H449" s="126" t="str">
        <f>IF(E449&lt;&gt;"",SUMIFS('JPK_KR-1'!AM:AM,'JPK_KR-1'!W:W,F449),"")</f>
        <v/>
      </c>
      <c r="I449" s="5" t="str">
        <f>IF(kokpit!I449&lt;&gt;"",kokpit!I449,"")</f>
        <v/>
      </c>
      <c r="J449" s="5" t="str">
        <f>IF(kokpit!J449&lt;&gt;"",kokpit!J449,"")</f>
        <v/>
      </c>
      <c r="K449" s="24" t="str">
        <f>IF(I449&lt;&gt;"",SUMIFS('JPK_KR-1'!AL:AL,'JPK_KR-1'!W:W,J449),"")</f>
        <v/>
      </c>
      <c r="L449" s="141" t="str">
        <f>IF(I449&lt;&gt;"",SUMIFS('JPK_KR-1'!AM:AM,'JPK_KR-1'!W:W,J449),"")</f>
        <v/>
      </c>
      <c r="M449" s="143" t="str">
        <f>IF(kokpit!M449&lt;&gt;"",kokpit!M449,"")</f>
        <v/>
      </c>
      <c r="N449" s="117" t="str">
        <f>IF(kokpit!N449&lt;&gt;"",kokpit!N449,"")</f>
        <v/>
      </c>
      <c r="O449" s="117" t="str">
        <f>IF(kokpit!O449&lt;&gt;"",kokpit!O449,"")</f>
        <v/>
      </c>
      <c r="P449" s="141" t="str">
        <f>IF(M449&lt;&gt;"",IF(O449="",SUMIFS('JPK_KR-1'!AL:AL,'JPK_KR-1'!W:W,N449),SUMIFS('JPK_KR-1'!BF:BF,'JPK_KR-1'!BE:BE,N449,'JPK_KR-1'!BG:BG,O449)),"")</f>
        <v/>
      </c>
      <c r="Q449" s="144" t="str">
        <f>IF(M449&lt;&gt;"",IF(O449="",SUMIFS('JPK_KR-1'!AM:AM,'JPK_KR-1'!W:W,N449),SUMIFS('JPK_KR-1'!BI:BI,'JPK_KR-1'!BH:BH,N449,'JPK_KR-1'!BJ:BJ,O449)),"")</f>
        <v/>
      </c>
      <c r="R449" s="117" t="str">
        <f>IF(kokpit!R449&lt;&gt;"",kokpit!R449,"")</f>
        <v/>
      </c>
      <c r="S449" s="117" t="str">
        <f>IF(kokpit!S449&lt;&gt;"",kokpit!S449,"")</f>
        <v/>
      </c>
      <c r="T449" s="117" t="str">
        <f>IF(kokpit!T449&lt;&gt;"",kokpit!T449,"")</f>
        <v/>
      </c>
      <c r="U449" s="141" t="str">
        <f>IF(R449&lt;&gt;"",SUMIFS('JPK_KR-1'!AL:AL,'JPK_KR-1'!W:W,S449),"")</f>
        <v/>
      </c>
      <c r="V449" s="144" t="str">
        <f>IF(R449&lt;&gt;"",SUMIFS('JPK_KR-1'!AM:AM,'JPK_KR-1'!W:W,S449),"")</f>
        <v/>
      </c>
    </row>
    <row r="450" spans="1:22" x14ac:dyDescent="0.3">
      <c r="A450" s="5" t="str">
        <f>IF(kokpit!A450&lt;&gt;"",kokpit!A450,"")</f>
        <v/>
      </c>
      <c r="B450" s="5" t="str">
        <f>IF(kokpit!B450&lt;&gt;"",kokpit!B450,"")</f>
        <v/>
      </c>
      <c r="C450" s="24" t="str">
        <f>IF(A450&lt;&gt;"",SUMIFS('JPK_KR-1'!AL:AL,'JPK_KR-1'!W:W,B450),"")</f>
        <v/>
      </c>
      <c r="D450" s="126" t="str">
        <f>IF(A450&lt;&gt;"",SUMIFS('JPK_KR-1'!AM:AM,'JPK_KR-1'!W:W,B450),"")</f>
        <v/>
      </c>
      <c r="E450" s="5" t="str">
        <f>IF(kokpit!E450&lt;&gt;"",kokpit!E450,"")</f>
        <v/>
      </c>
      <c r="F450" s="127" t="str">
        <f>IF(kokpit!F450&lt;&gt;"",kokpit!F450,"")</f>
        <v/>
      </c>
      <c r="G450" s="24" t="str">
        <f>IF(E450&lt;&gt;"",SUMIFS('JPK_KR-1'!AL:AL,'JPK_KR-1'!W:W,F450),"")</f>
        <v/>
      </c>
      <c r="H450" s="126" t="str">
        <f>IF(E450&lt;&gt;"",SUMIFS('JPK_KR-1'!AM:AM,'JPK_KR-1'!W:W,F450),"")</f>
        <v/>
      </c>
      <c r="I450" s="5" t="str">
        <f>IF(kokpit!I450&lt;&gt;"",kokpit!I450,"")</f>
        <v/>
      </c>
      <c r="J450" s="5" t="str">
        <f>IF(kokpit!J450&lt;&gt;"",kokpit!J450,"")</f>
        <v/>
      </c>
      <c r="K450" s="24" t="str">
        <f>IF(I450&lt;&gt;"",SUMIFS('JPK_KR-1'!AL:AL,'JPK_KR-1'!W:W,J450),"")</f>
        <v/>
      </c>
      <c r="L450" s="141" t="str">
        <f>IF(I450&lt;&gt;"",SUMIFS('JPK_KR-1'!AM:AM,'JPK_KR-1'!W:W,J450),"")</f>
        <v/>
      </c>
      <c r="M450" s="143" t="str">
        <f>IF(kokpit!M450&lt;&gt;"",kokpit!M450,"")</f>
        <v/>
      </c>
      <c r="N450" s="117" t="str">
        <f>IF(kokpit!N450&lt;&gt;"",kokpit!N450,"")</f>
        <v/>
      </c>
      <c r="O450" s="117" t="str">
        <f>IF(kokpit!O450&lt;&gt;"",kokpit!O450,"")</f>
        <v/>
      </c>
      <c r="P450" s="141" t="str">
        <f>IF(M450&lt;&gt;"",IF(O450="",SUMIFS('JPK_KR-1'!AL:AL,'JPK_KR-1'!W:W,N450),SUMIFS('JPK_KR-1'!BF:BF,'JPK_KR-1'!BE:BE,N450,'JPK_KR-1'!BG:BG,O450)),"")</f>
        <v/>
      </c>
      <c r="Q450" s="144" t="str">
        <f>IF(M450&lt;&gt;"",IF(O450="",SUMIFS('JPK_KR-1'!AM:AM,'JPK_KR-1'!W:W,N450),SUMIFS('JPK_KR-1'!BI:BI,'JPK_KR-1'!BH:BH,N450,'JPK_KR-1'!BJ:BJ,O450)),"")</f>
        <v/>
      </c>
      <c r="R450" s="117" t="str">
        <f>IF(kokpit!R450&lt;&gt;"",kokpit!R450,"")</f>
        <v/>
      </c>
      <c r="S450" s="117" t="str">
        <f>IF(kokpit!S450&lt;&gt;"",kokpit!S450,"")</f>
        <v/>
      </c>
      <c r="T450" s="117" t="str">
        <f>IF(kokpit!T450&lt;&gt;"",kokpit!T450,"")</f>
        <v/>
      </c>
      <c r="U450" s="141" t="str">
        <f>IF(R450&lt;&gt;"",SUMIFS('JPK_KR-1'!AL:AL,'JPK_KR-1'!W:W,S450),"")</f>
        <v/>
      </c>
      <c r="V450" s="144" t="str">
        <f>IF(R450&lt;&gt;"",SUMIFS('JPK_KR-1'!AM:AM,'JPK_KR-1'!W:W,S450),"")</f>
        <v/>
      </c>
    </row>
    <row r="451" spans="1:22" x14ac:dyDescent="0.3">
      <c r="A451" s="5" t="str">
        <f>IF(kokpit!A451&lt;&gt;"",kokpit!A451,"")</f>
        <v/>
      </c>
      <c r="B451" s="5" t="str">
        <f>IF(kokpit!B451&lt;&gt;"",kokpit!B451,"")</f>
        <v/>
      </c>
      <c r="C451" s="24" t="str">
        <f>IF(A451&lt;&gt;"",SUMIFS('JPK_KR-1'!AL:AL,'JPK_KR-1'!W:W,B451),"")</f>
        <v/>
      </c>
      <c r="D451" s="126" t="str">
        <f>IF(A451&lt;&gt;"",SUMIFS('JPK_KR-1'!AM:AM,'JPK_KR-1'!W:W,B451),"")</f>
        <v/>
      </c>
      <c r="E451" s="5" t="str">
        <f>IF(kokpit!E451&lt;&gt;"",kokpit!E451,"")</f>
        <v/>
      </c>
      <c r="F451" s="127" t="str">
        <f>IF(kokpit!F451&lt;&gt;"",kokpit!F451,"")</f>
        <v/>
      </c>
      <c r="G451" s="24" t="str">
        <f>IF(E451&lt;&gt;"",SUMIFS('JPK_KR-1'!AL:AL,'JPK_KR-1'!W:W,F451),"")</f>
        <v/>
      </c>
      <c r="H451" s="126" t="str">
        <f>IF(E451&lt;&gt;"",SUMIFS('JPK_KR-1'!AM:AM,'JPK_KR-1'!W:W,F451),"")</f>
        <v/>
      </c>
      <c r="I451" s="5" t="str">
        <f>IF(kokpit!I451&lt;&gt;"",kokpit!I451,"")</f>
        <v/>
      </c>
      <c r="J451" s="5" t="str">
        <f>IF(kokpit!J451&lt;&gt;"",kokpit!J451,"")</f>
        <v/>
      </c>
      <c r="K451" s="24" t="str">
        <f>IF(I451&lt;&gt;"",SUMIFS('JPK_KR-1'!AL:AL,'JPK_KR-1'!W:W,J451),"")</f>
        <v/>
      </c>
      <c r="L451" s="141" t="str">
        <f>IF(I451&lt;&gt;"",SUMIFS('JPK_KR-1'!AM:AM,'JPK_KR-1'!W:W,J451),"")</f>
        <v/>
      </c>
      <c r="M451" s="143" t="str">
        <f>IF(kokpit!M451&lt;&gt;"",kokpit!M451,"")</f>
        <v/>
      </c>
      <c r="N451" s="117" t="str">
        <f>IF(kokpit!N451&lt;&gt;"",kokpit!N451,"")</f>
        <v/>
      </c>
      <c r="O451" s="117" t="str">
        <f>IF(kokpit!O451&lt;&gt;"",kokpit!O451,"")</f>
        <v/>
      </c>
      <c r="P451" s="141" t="str">
        <f>IF(M451&lt;&gt;"",IF(O451="",SUMIFS('JPK_KR-1'!AL:AL,'JPK_KR-1'!W:W,N451),SUMIFS('JPK_KR-1'!BF:BF,'JPK_KR-1'!BE:BE,N451,'JPK_KR-1'!BG:BG,O451)),"")</f>
        <v/>
      </c>
      <c r="Q451" s="144" t="str">
        <f>IF(M451&lt;&gt;"",IF(O451="",SUMIFS('JPK_KR-1'!AM:AM,'JPK_KR-1'!W:W,N451),SUMIFS('JPK_KR-1'!BI:BI,'JPK_KR-1'!BH:BH,N451,'JPK_KR-1'!BJ:BJ,O451)),"")</f>
        <v/>
      </c>
      <c r="R451" s="117" t="str">
        <f>IF(kokpit!R451&lt;&gt;"",kokpit!R451,"")</f>
        <v/>
      </c>
      <c r="S451" s="117" t="str">
        <f>IF(kokpit!S451&lt;&gt;"",kokpit!S451,"")</f>
        <v/>
      </c>
      <c r="T451" s="117" t="str">
        <f>IF(kokpit!T451&lt;&gt;"",kokpit!T451,"")</f>
        <v/>
      </c>
      <c r="U451" s="141" t="str">
        <f>IF(R451&lt;&gt;"",SUMIFS('JPK_KR-1'!AL:AL,'JPK_KR-1'!W:W,S451),"")</f>
        <v/>
      </c>
      <c r="V451" s="144" t="str">
        <f>IF(R451&lt;&gt;"",SUMIFS('JPK_KR-1'!AM:AM,'JPK_KR-1'!W:W,S451),"")</f>
        <v/>
      </c>
    </row>
    <row r="452" spans="1:22" x14ac:dyDescent="0.3">
      <c r="A452" s="5" t="str">
        <f>IF(kokpit!A452&lt;&gt;"",kokpit!A452,"")</f>
        <v/>
      </c>
      <c r="B452" s="5" t="str">
        <f>IF(kokpit!B452&lt;&gt;"",kokpit!B452,"")</f>
        <v/>
      </c>
      <c r="C452" s="24" t="str">
        <f>IF(A452&lt;&gt;"",SUMIFS('JPK_KR-1'!AL:AL,'JPK_KR-1'!W:W,B452),"")</f>
        <v/>
      </c>
      <c r="D452" s="126" t="str">
        <f>IF(A452&lt;&gt;"",SUMIFS('JPK_KR-1'!AM:AM,'JPK_KR-1'!W:W,B452),"")</f>
        <v/>
      </c>
      <c r="E452" s="5" t="str">
        <f>IF(kokpit!E452&lt;&gt;"",kokpit!E452,"")</f>
        <v/>
      </c>
      <c r="F452" s="127" t="str">
        <f>IF(kokpit!F452&lt;&gt;"",kokpit!F452,"")</f>
        <v/>
      </c>
      <c r="G452" s="24" t="str">
        <f>IF(E452&lt;&gt;"",SUMIFS('JPK_KR-1'!AL:AL,'JPK_KR-1'!W:W,F452),"")</f>
        <v/>
      </c>
      <c r="H452" s="126" t="str">
        <f>IF(E452&lt;&gt;"",SUMIFS('JPK_KR-1'!AM:AM,'JPK_KR-1'!W:W,F452),"")</f>
        <v/>
      </c>
      <c r="I452" s="5" t="str">
        <f>IF(kokpit!I452&lt;&gt;"",kokpit!I452,"")</f>
        <v/>
      </c>
      <c r="J452" s="5" t="str">
        <f>IF(kokpit!J452&lt;&gt;"",kokpit!J452,"")</f>
        <v/>
      </c>
      <c r="K452" s="24" t="str">
        <f>IF(I452&lt;&gt;"",SUMIFS('JPK_KR-1'!AL:AL,'JPK_KR-1'!W:W,J452),"")</f>
        <v/>
      </c>
      <c r="L452" s="141" t="str">
        <f>IF(I452&lt;&gt;"",SUMIFS('JPK_KR-1'!AM:AM,'JPK_KR-1'!W:W,J452),"")</f>
        <v/>
      </c>
      <c r="M452" s="143" t="str">
        <f>IF(kokpit!M452&lt;&gt;"",kokpit!M452,"")</f>
        <v/>
      </c>
      <c r="N452" s="117" t="str">
        <f>IF(kokpit!N452&lt;&gt;"",kokpit!N452,"")</f>
        <v/>
      </c>
      <c r="O452" s="117" t="str">
        <f>IF(kokpit!O452&lt;&gt;"",kokpit!O452,"")</f>
        <v/>
      </c>
      <c r="P452" s="141" t="str">
        <f>IF(M452&lt;&gt;"",IF(O452="",SUMIFS('JPK_KR-1'!AL:AL,'JPK_KR-1'!W:W,N452),SUMIFS('JPK_KR-1'!BF:BF,'JPK_KR-1'!BE:BE,N452,'JPK_KR-1'!BG:BG,O452)),"")</f>
        <v/>
      </c>
      <c r="Q452" s="144" t="str">
        <f>IF(M452&lt;&gt;"",IF(O452="",SUMIFS('JPK_KR-1'!AM:AM,'JPK_KR-1'!W:W,N452),SUMIFS('JPK_KR-1'!BI:BI,'JPK_KR-1'!BH:BH,N452,'JPK_KR-1'!BJ:BJ,O452)),"")</f>
        <v/>
      </c>
      <c r="R452" s="117" t="str">
        <f>IF(kokpit!R452&lt;&gt;"",kokpit!R452,"")</f>
        <v/>
      </c>
      <c r="S452" s="117" t="str">
        <f>IF(kokpit!S452&lt;&gt;"",kokpit!S452,"")</f>
        <v/>
      </c>
      <c r="T452" s="117" t="str">
        <f>IF(kokpit!T452&lt;&gt;"",kokpit!T452,"")</f>
        <v/>
      </c>
      <c r="U452" s="141" t="str">
        <f>IF(R452&lt;&gt;"",SUMIFS('JPK_KR-1'!AL:AL,'JPK_KR-1'!W:W,S452),"")</f>
        <v/>
      </c>
      <c r="V452" s="144" t="str">
        <f>IF(R452&lt;&gt;"",SUMIFS('JPK_KR-1'!AM:AM,'JPK_KR-1'!W:W,S452),"")</f>
        <v/>
      </c>
    </row>
    <row r="453" spans="1:22" x14ac:dyDescent="0.3">
      <c r="A453" s="5" t="str">
        <f>IF(kokpit!A453&lt;&gt;"",kokpit!A453,"")</f>
        <v/>
      </c>
      <c r="B453" s="5" t="str">
        <f>IF(kokpit!B453&lt;&gt;"",kokpit!B453,"")</f>
        <v/>
      </c>
      <c r="C453" s="24" t="str">
        <f>IF(A453&lt;&gt;"",SUMIFS('JPK_KR-1'!AL:AL,'JPK_KR-1'!W:W,B453),"")</f>
        <v/>
      </c>
      <c r="D453" s="126" t="str">
        <f>IF(A453&lt;&gt;"",SUMIFS('JPK_KR-1'!AM:AM,'JPK_KR-1'!W:W,B453),"")</f>
        <v/>
      </c>
      <c r="E453" s="5" t="str">
        <f>IF(kokpit!E453&lt;&gt;"",kokpit!E453,"")</f>
        <v/>
      </c>
      <c r="F453" s="127" t="str">
        <f>IF(kokpit!F453&lt;&gt;"",kokpit!F453,"")</f>
        <v/>
      </c>
      <c r="G453" s="24" t="str">
        <f>IF(E453&lt;&gt;"",SUMIFS('JPK_KR-1'!AL:AL,'JPK_KR-1'!W:W,F453),"")</f>
        <v/>
      </c>
      <c r="H453" s="126" t="str">
        <f>IF(E453&lt;&gt;"",SUMIFS('JPK_KR-1'!AM:AM,'JPK_KR-1'!W:W,F453),"")</f>
        <v/>
      </c>
      <c r="I453" s="5" t="str">
        <f>IF(kokpit!I453&lt;&gt;"",kokpit!I453,"")</f>
        <v/>
      </c>
      <c r="J453" s="5" t="str">
        <f>IF(kokpit!J453&lt;&gt;"",kokpit!J453,"")</f>
        <v/>
      </c>
      <c r="K453" s="24" t="str">
        <f>IF(I453&lt;&gt;"",SUMIFS('JPK_KR-1'!AL:AL,'JPK_KR-1'!W:W,J453),"")</f>
        <v/>
      </c>
      <c r="L453" s="141" t="str">
        <f>IF(I453&lt;&gt;"",SUMIFS('JPK_KR-1'!AM:AM,'JPK_KR-1'!W:W,J453),"")</f>
        <v/>
      </c>
      <c r="M453" s="143" t="str">
        <f>IF(kokpit!M453&lt;&gt;"",kokpit!M453,"")</f>
        <v/>
      </c>
      <c r="N453" s="117" t="str">
        <f>IF(kokpit!N453&lt;&gt;"",kokpit!N453,"")</f>
        <v/>
      </c>
      <c r="O453" s="117" t="str">
        <f>IF(kokpit!O453&lt;&gt;"",kokpit!O453,"")</f>
        <v/>
      </c>
      <c r="P453" s="141" t="str">
        <f>IF(M453&lt;&gt;"",IF(O453="",SUMIFS('JPK_KR-1'!AL:AL,'JPK_KR-1'!W:W,N453),SUMIFS('JPK_KR-1'!BF:BF,'JPK_KR-1'!BE:BE,N453,'JPK_KR-1'!BG:BG,O453)),"")</f>
        <v/>
      </c>
      <c r="Q453" s="144" t="str">
        <f>IF(M453&lt;&gt;"",IF(O453="",SUMIFS('JPK_KR-1'!AM:AM,'JPK_KR-1'!W:W,N453),SUMIFS('JPK_KR-1'!BI:BI,'JPK_KR-1'!BH:BH,N453,'JPK_KR-1'!BJ:BJ,O453)),"")</f>
        <v/>
      </c>
      <c r="R453" s="117" t="str">
        <f>IF(kokpit!R453&lt;&gt;"",kokpit!R453,"")</f>
        <v/>
      </c>
      <c r="S453" s="117" t="str">
        <f>IF(kokpit!S453&lt;&gt;"",kokpit!S453,"")</f>
        <v/>
      </c>
      <c r="T453" s="117" t="str">
        <f>IF(kokpit!T453&lt;&gt;"",kokpit!T453,"")</f>
        <v/>
      </c>
      <c r="U453" s="141" t="str">
        <f>IF(R453&lt;&gt;"",SUMIFS('JPK_KR-1'!AL:AL,'JPK_KR-1'!W:W,S453),"")</f>
        <v/>
      </c>
      <c r="V453" s="144" t="str">
        <f>IF(R453&lt;&gt;"",SUMIFS('JPK_KR-1'!AM:AM,'JPK_KR-1'!W:W,S453),"")</f>
        <v/>
      </c>
    </row>
    <row r="454" spans="1:22" x14ac:dyDescent="0.3">
      <c r="A454" s="5" t="str">
        <f>IF(kokpit!A454&lt;&gt;"",kokpit!A454,"")</f>
        <v/>
      </c>
      <c r="B454" s="5" t="str">
        <f>IF(kokpit!B454&lt;&gt;"",kokpit!B454,"")</f>
        <v/>
      </c>
      <c r="C454" s="24" t="str">
        <f>IF(A454&lt;&gt;"",SUMIFS('JPK_KR-1'!AL:AL,'JPK_KR-1'!W:W,B454),"")</f>
        <v/>
      </c>
      <c r="D454" s="126" t="str">
        <f>IF(A454&lt;&gt;"",SUMIFS('JPK_KR-1'!AM:AM,'JPK_KR-1'!W:W,B454),"")</f>
        <v/>
      </c>
      <c r="E454" s="5" t="str">
        <f>IF(kokpit!E454&lt;&gt;"",kokpit!E454,"")</f>
        <v/>
      </c>
      <c r="F454" s="127" t="str">
        <f>IF(kokpit!F454&lt;&gt;"",kokpit!F454,"")</f>
        <v/>
      </c>
      <c r="G454" s="24" t="str">
        <f>IF(E454&lt;&gt;"",SUMIFS('JPK_KR-1'!AL:AL,'JPK_KR-1'!W:W,F454),"")</f>
        <v/>
      </c>
      <c r="H454" s="126" t="str">
        <f>IF(E454&lt;&gt;"",SUMIFS('JPK_KR-1'!AM:AM,'JPK_KR-1'!W:W,F454),"")</f>
        <v/>
      </c>
      <c r="I454" s="5" t="str">
        <f>IF(kokpit!I454&lt;&gt;"",kokpit!I454,"")</f>
        <v/>
      </c>
      <c r="J454" s="5" t="str">
        <f>IF(kokpit!J454&lt;&gt;"",kokpit!J454,"")</f>
        <v/>
      </c>
      <c r="K454" s="24" t="str">
        <f>IF(I454&lt;&gt;"",SUMIFS('JPK_KR-1'!AL:AL,'JPK_KR-1'!W:W,J454),"")</f>
        <v/>
      </c>
      <c r="L454" s="141" t="str">
        <f>IF(I454&lt;&gt;"",SUMIFS('JPK_KR-1'!AM:AM,'JPK_KR-1'!W:W,J454),"")</f>
        <v/>
      </c>
      <c r="M454" s="143" t="str">
        <f>IF(kokpit!M454&lt;&gt;"",kokpit!M454,"")</f>
        <v/>
      </c>
      <c r="N454" s="117" t="str">
        <f>IF(kokpit!N454&lt;&gt;"",kokpit!N454,"")</f>
        <v/>
      </c>
      <c r="O454" s="117" t="str">
        <f>IF(kokpit!O454&lt;&gt;"",kokpit!O454,"")</f>
        <v/>
      </c>
      <c r="P454" s="141" t="str">
        <f>IF(M454&lt;&gt;"",IF(O454="",SUMIFS('JPK_KR-1'!AL:AL,'JPK_KR-1'!W:W,N454),SUMIFS('JPK_KR-1'!BF:BF,'JPK_KR-1'!BE:BE,N454,'JPK_KR-1'!BG:BG,O454)),"")</f>
        <v/>
      </c>
      <c r="Q454" s="144" t="str">
        <f>IF(M454&lt;&gt;"",IF(O454="",SUMIFS('JPK_KR-1'!AM:AM,'JPK_KR-1'!W:W,N454),SUMIFS('JPK_KR-1'!BI:BI,'JPK_KR-1'!BH:BH,N454,'JPK_KR-1'!BJ:BJ,O454)),"")</f>
        <v/>
      </c>
      <c r="R454" s="117" t="str">
        <f>IF(kokpit!R454&lt;&gt;"",kokpit!R454,"")</f>
        <v/>
      </c>
      <c r="S454" s="117" t="str">
        <f>IF(kokpit!S454&lt;&gt;"",kokpit!S454,"")</f>
        <v/>
      </c>
      <c r="T454" s="117" t="str">
        <f>IF(kokpit!T454&lt;&gt;"",kokpit!T454,"")</f>
        <v/>
      </c>
      <c r="U454" s="141" t="str">
        <f>IF(R454&lt;&gt;"",SUMIFS('JPK_KR-1'!AL:AL,'JPK_KR-1'!W:W,S454),"")</f>
        <v/>
      </c>
      <c r="V454" s="144" t="str">
        <f>IF(R454&lt;&gt;"",SUMIFS('JPK_KR-1'!AM:AM,'JPK_KR-1'!W:W,S454),"")</f>
        <v/>
      </c>
    </row>
    <row r="455" spans="1:22" x14ac:dyDescent="0.3">
      <c r="A455" s="5" t="str">
        <f>IF(kokpit!A455&lt;&gt;"",kokpit!A455,"")</f>
        <v/>
      </c>
      <c r="B455" s="5" t="str">
        <f>IF(kokpit!B455&lt;&gt;"",kokpit!B455,"")</f>
        <v/>
      </c>
      <c r="C455" s="24" t="str">
        <f>IF(A455&lt;&gt;"",SUMIFS('JPK_KR-1'!AL:AL,'JPK_KR-1'!W:W,B455),"")</f>
        <v/>
      </c>
      <c r="D455" s="126" t="str">
        <f>IF(A455&lt;&gt;"",SUMIFS('JPK_KR-1'!AM:AM,'JPK_KR-1'!W:W,B455),"")</f>
        <v/>
      </c>
      <c r="E455" s="5" t="str">
        <f>IF(kokpit!E455&lt;&gt;"",kokpit!E455,"")</f>
        <v/>
      </c>
      <c r="F455" s="127" t="str">
        <f>IF(kokpit!F455&lt;&gt;"",kokpit!F455,"")</f>
        <v/>
      </c>
      <c r="G455" s="24" t="str">
        <f>IF(E455&lt;&gt;"",SUMIFS('JPK_KR-1'!AL:AL,'JPK_KR-1'!W:W,F455),"")</f>
        <v/>
      </c>
      <c r="H455" s="126" t="str">
        <f>IF(E455&lt;&gt;"",SUMIFS('JPK_KR-1'!AM:AM,'JPK_KR-1'!W:W,F455),"")</f>
        <v/>
      </c>
      <c r="I455" s="5" t="str">
        <f>IF(kokpit!I455&lt;&gt;"",kokpit!I455,"")</f>
        <v/>
      </c>
      <c r="J455" s="5" t="str">
        <f>IF(kokpit!J455&lt;&gt;"",kokpit!J455,"")</f>
        <v/>
      </c>
      <c r="K455" s="24" t="str">
        <f>IF(I455&lt;&gt;"",SUMIFS('JPK_KR-1'!AL:AL,'JPK_KR-1'!W:W,J455),"")</f>
        <v/>
      </c>
      <c r="L455" s="141" t="str">
        <f>IF(I455&lt;&gt;"",SUMIFS('JPK_KR-1'!AM:AM,'JPK_KR-1'!W:W,J455),"")</f>
        <v/>
      </c>
      <c r="M455" s="143" t="str">
        <f>IF(kokpit!M455&lt;&gt;"",kokpit!M455,"")</f>
        <v/>
      </c>
      <c r="N455" s="117" t="str">
        <f>IF(kokpit!N455&lt;&gt;"",kokpit!N455,"")</f>
        <v/>
      </c>
      <c r="O455" s="117" t="str">
        <f>IF(kokpit!O455&lt;&gt;"",kokpit!O455,"")</f>
        <v/>
      </c>
      <c r="P455" s="141" t="str">
        <f>IF(M455&lt;&gt;"",IF(O455="",SUMIFS('JPK_KR-1'!AL:AL,'JPK_KR-1'!W:W,N455),SUMIFS('JPK_KR-1'!BF:BF,'JPK_KR-1'!BE:BE,N455,'JPK_KR-1'!BG:BG,O455)),"")</f>
        <v/>
      </c>
      <c r="Q455" s="144" t="str">
        <f>IF(M455&lt;&gt;"",IF(O455="",SUMIFS('JPK_KR-1'!AM:AM,'JPK_KR-1'!W:W,N455),SUMIFS('JPK_KR-1'!BI:BI,'JPK_KR-1'!BH:BH,N455,'JPK_KR-1'!BJ:BJ,O455)),"")</f>
        <v/>
      </c>
      <c r="R455" s="117" t="str">
        <f>IF(kokpit!R455&lt;&gt;"",kokpit!R455,"")</f>
        <v/>
      </c>
      <c r="S455" s="117" t="str">
        <f>IF(kokpit!S455&lt;&gt;"",kokpit!S455,"")</f>
        <v/>
      </c>
      <c r="T455" s="117" t="str">
        <f>IF(kokpit!T455&lt;&gt;"",kokpit!T455,"")</f>
        <v/>
      </c>
      <c r="U455" s="141" t="str">
        <f>IF(R455&lt;&gt;"",SUMIFS('JPK_KR-1'!AL:AL,'JPK_KR-1'!W:W,S455),"")</f>
        <v/>
      </c>
      <c r="V455" s="144" t="str">
        <f>IF(R455&lt;&gt;"",SUMIFS('JPK_KR-1'!AM:AM,'JPK_KR-1'!W:W,S455),"")</f>
        <v/>
      </c>
    </row>
    <row r="456" spans="1:22" x14ac:dyDescent="0.3">
      <c r="A456" s="5" t="str">
        <f>IF(kokpit!A456&lt;&gt;"",kokpit!A456,"")</f>
        <v/>
      </c>
      <c r="B456" s="5" t="str">
        <f>IF(kokpit!B456&lt;&gt;"",kokpit!B456,"")</f>
        <v/>
      </c>
      <c r="C456" s="24" t="str">
        <f>IF(A456&lt;&gt;"",SUMIFS('JPK_KR-1'!AL:AL,'JPK_KR-1'!W:W,B456),"")</f>
        <v/>
      </c>
      <c r="D456" s="126" t="str">
        <f>IF(A456&lt;&gt;"",SUMIFS('JPK_KR-1'!AM:AM,'JPK_KR-1'!W:W,B456),"")</f>
        <v/>
      </c>
      <c r="E456" s="5" t="str">
        <f>IF(kokpit!E456&lt;&gt;"",kokpit!E456,"")</f>
        <v/>
      </c>
      <c r="F456" s="127" t="str">
        <f>IF(kokpit!F456&lt;&gt;"",kokpit!F456,"")</f>
        <v/>
      </c>
      <c r="G456" s="24" t="str">
        <f>IF(E456&lt;&gt;"",SUMIFS('JPK_KR-1'!AL:AL,'JPK_KR-1'!W:W,F456),"")</f>
        <v/>
      </c>
      <c r="H456" s="126" t="str">
        <f>IF(E456&lt;&gt;"",SUMIFS('JPK_KR-1'!AM:AM,'JPK_KR-1'!W:W,F456),"")</f>
        <v/>
      </c>
      <c r="I456" s="5" t="str">
        <f>IF(kokpit!I456&lt;&gt;"",kokpit!I456,"")</f>
        <v/>
      </c>
      <c r="J456" s="5" t="str">
        <f>IF(kokpit!J456&lt;&gt;"",kokpit!J456,"")</f>
        <v/>
      </c>
      <c r="K456" s="24" t="str">
        <f>IF(I456&lt;&gt;"",SUMIFS('JPK_KR-1'!AL:AL,'JPK_KR-1'!W:W,J456),"")</f>
        <v/>
      </c>
      <c r="L456" s="141" t="str">
        <f>IF(I456&lt;&gt;"",SUMIFS('JPK_KR-1'!AM:AM,'JPK_KR-1'!W:W,J456),"")</f>
        <v/>
      </c>
      <c r="M456" s="143" t="str">
        <f>IF(kokpit!M456&lt;&gt;"",kokpit!M456,"")</f>
        <v/>
      </c>
      <c r="N456" s="117" t="str">
        <f>IF(kokpit!N456&lt;&gt;"",kokpit!N456,"")</f>
        <v/>
      </c>
      <c r="O456" s="117" t="str">
        <f>IF(kokpit!O456&lt;&gt;"",kokpit!O456,"")</f>
        <v/>
      </c>
      <c r="P456" s="141" t="str">
        <f>IF(M456&lt;&gt;"",IF(O456="",SUMIFS('JPK_KR-1'!AL:AL,'JPK_KR-1'!W:W,N456),SUMIFS('JPK_KR-1'!BF:BF,'JPK_KR-1'!BE:BE,N456,'JPK_KR-1'!BG:BG,O456)),"")</f>
        <v/>
      </c>
      <c r="Q456" s="144" t="str">
        <f>IF(M456&lt;&gt;"",IF(O456="",SUMIFS('JPK_KR-1'!AM:AM,'JPK_KR-1'!W:W,N456),SUMIFS('JPK_KR-1'!BI:BI,'JPK_KR-1'!BH:BH,N456,'JPK_KR-1'!BJ:BJ,O456)),"")</f>
        <v/>
      </c>
      <c r="R456" s="117" t="str">
        <f>IF(kokpit!R456&lt;&gt;"",kokpit!R456,"")</f>
        <v/>
      </c>
      <c r="S456" s="117" t="str">
        <f>IF(kokpit!S456&lt;&gt;"",kokpit!S456,"")</f>
        <v/>
      </c>
      <c r="T456" s="117" t="str">
        <f>IF(kokpit!T456&lt;&gt;"",kokpit!T456,"")</f>
        <v/>
      </c>
      <c r="U456" s="141" t="str">
        <f>IF(R456&lt;&gt;"",SUMIFS('JPK_KR-1'!AL:AL,'JPK_KR-1'!W:W,S456),"")</f>
        <v/>
      </c>
      <c r="V456" s="144" t="str">
        <f>IF(R456&lt;&gt;"",SUMIFS('JPK_KR-1'!AM:AM,'JPK_KR-1'!W:W,S456),"")</f>
        <v/>
      </c>
    </row>
    <row r="457" spans="1:22" x14ac:dyDescent="0.3">
      <c r="A457" s="5" t="str">
        <f>IF(kokpit!A457&lt;&gt;"",kokpit!A457,"")</f>
        <v/>
      </c>
      <c r="B457" s="5" t="str">
        <f>IF(kokpit!B457&lt;&gt;"",kokpit!B457,"")</f>
        <v/>
      </c>
      <c r="C457" s="24" t="str">
        <f>IF(A457&lt;&gt;"",SUMIFS('JPK_KR-1'!AL:AL,'JPK_KR-1'!W:W,B457),"")</f>
        <v/>
      </c>
      <c r="D457" s="126" t="str">
        <f>IF(A457&lt;&gt;"",SUMIFS('JPK_KR-1'!AM:AM,'JPK_KR-1'!W:W,B457),"")</f>
        <v/>
      </c>
      <c r="E457" s="5" t="str">
        <f>IF(kokpit!E457&lt;&gt;"",kokpit!E457,"")</f>
        <v/>
      </c>
      <c r="F457" s="127" t="str">
        <f>IF(kokpit!F457&lt;&gt;"",kokpit!F457,"")</f>
        <v/>
      </c>
      <c r="G457" s="24" t="str">
        <f>IF(E457&lt;&gt;"",SUMIFS('JPK_KR-1'!AL:AL,'JPK_KR-1'!W:W,F457),"")</f>
        <v/>
      </c>
      <c r="H457" s="126" t="str">
        <f>IF(E457&lt;&gt;"",SUMIFS('JPK_KR-1'!AM:AM,'JPK_KR-1'!W:W,F457),"")</f>
        <v/>
      </c>
      <c r="I457" s="5" t="str">
        <f>IF(kokpit!I457&lt;&gt;"",kokpit!I457,"")</f>
        <v/>
      </c>
      <c r="J457" s="5" t="str">
        <f>IF(kokpit!J457&lt;&gt;"",kokpit!J457,"")</f>
        <v/>
      </c>
      <c r="K457" s="24" t="str">
        <f>IF(I457&lt;&gt;"",SUMIFS('JPK_KR-1'!AL:AL,'JPK_KR-1'!W:W,J457),"")</f>
        <v/>
      </c>
      <c r="L457" s="141" t="str">
        <f>IF(I457&lt;&gt;"",SUMIFS('JPK_KR-1'!AM:AM,'JPK_KR-1'!W:W,J457),"")</f>
        <v/>
      </c>
      <c r="M457" s="143" t="str">
        <f>IF(kokpit!M457&lt;&gt;"",kokpit!M457,"")</f>
        <v/>
      </c>
      <c r="N457" s="117" t="str">
        <f>IF(kokpit!N457&lt;&gt;"",kokpit!N457,"")</f>
        <v/>
      </c>
      <c r="O457" s="117" t="str">
        <f>IF(kokpit!O457&lt;&gt;"",kokpit!O457,"")</f>
        <v/>
      </c>
      <c r="P457" s="141" t="str">
        <f>IF(M457&lt;&gt;"",IF(O457="",SUMIFS('JPK_KR-1'!AL:AL,'JPK_KR-1'!W:W,N457),SUMIFS('JPK_KR-1'!BF:BF,'JPK_KR-1'!BE:BE,N457,'JPK_KR-1'!BG:BG,O457)),"")</f>
        <v/>
      </c>
      <c r="Q457" s="144" t="str">
        <f>IF(M457&lt;&gt;"",IF(O457="",SUMIFS('JPK_KR-1'!AM:AM,'JPK_KR-1'!W:W,N457),SUMIFS('JPK_KR-1'!BI:BI,'JPK_KR-1'!BH:BH,N457,'JPK_KR-1'!BJ:BJ,O457)),"")</f>
        <v/>
      </c>
      <c r="R457" s="117" t="str">
        <f>IF(kokpit!R457&lt;&gt;"",kokpit!R457,"")</f>
        <v/>
      </c>
      <c r="S457" s="117" t="str">
        <f>IF(kokpit!S457&lt;&gt;"",kokpit!S457,"")</f>
        <v/>
      </c>
      <c r="T457" s="117" t="str">
        <f>IF(kokpit!T457&lt;&gt;"",kokpit!T457,"")</f>
        <v/>
      </c>
      <c r="U457" s="141" t="str">
        <f>IF(R457&lt;&gt;"",SUMIFS('JPK_KR-1'!AL:AL,'JPK_KR-1'!W:W,S457),"")</f>
        <v/>
      </c>
      <c r="V457" s="144" t="str">
        <f>IF(R457&lt;&gt;"",SUMIFS('JPK_KR-1'!AM:AM,'JPK_KR-1'!W:W,S457),"")</f>
        <v/>
      </c>
    </row>
    <row r="458" spans="1:22" x14ac:dyDescent="0.3">
      <c r="A458" s="5" t="str">
        <f>IF(kokpit!A458&lt;&gt;"",kokpit!A458,"")</f>
        <v/>
      </c>
      <c r="B458" s="5" t="str">
        <f>IF(kokpit!B458&lt;&gt;"",kokpit!B458,"")</f>
        <v/>
      </c>
      <c r="C458" s="24" t="str">
        <f>IF(A458&lt;&gt;"",SUMIFS('JPK_KR-1'!AL:AL,'JPK_KR-1'!W:W,B458),"")</f>
        <v/>
      </c>
      <c r="D458" s="126" t="str">
        <f>IF(A458&lt;&gt;"",SUMIFS('JPK_KR-1'!AM:AM,'JPK_KR-1'!W:W,B458),"")</f>
        <v/>
      </c>
      <c r="E458" s="5" t="str">
        <f>IF(kokpit!E458&lt;&gt;"",kokpit!E458,"")</f>
        <v/>
      </c>
      <c r="F458" s="127" t="str">
        <f>IF(kokpit!F458&lt;&gt;"",kokpit!F458,"")</f>
        <v/>
      </c>
      <c r="G458" s="24" t="str">
        <f>IF(E458&lt;&gt;"",SUMIFS('JPK_KR-1'!AL:AL,'JPK_KR-1'!W:W,F458),"")</f>
        <v/>
      </c>
      <c r="H458" s="126" t="str">
        <f>IF(E458&lt;&gt;"",SUMIFS('JPK_KR-1'!AM:AM,'JPK_KR-1'!W:W,F458),"")</f>
        <v/>
      </c>
      <c r="I458" s="5" t="str">
        <f>IF(kokpit!I458&lt;&gt;"",kokpit!I458,"")</f>
        <v/>
      </c>
      <c r="J458" s="5" t="str">
        <f>IF(kokpit!J458&lt;&gt;"",kokpit!J458,"")</f>
        <v/>
      </c>
      <c r="K458" s="24" t="str">
        <f>IF(I458&lt;&gt;"",SUMIFS('JPK_KR-1'!AL:AL,'JPK_KR-1'!W:W,J458),"")</f>
        <v/>
      </c>
      <c r="L458" s="141" t="str">
        <f>IF(I458&lt;&gt;"",SUMIFS('JPK_KR-1'!AM:AM,'JPK_KR-1'!W:W,J458),"")</f>
        <v/>
      </c>
      <c r="M458" s="143" t="str">
        <f>IF(kokpit!M458&lt;&gt;"",kokpit!M458,"")</f>
        <v/>
      </c>
      <c r="N458" s="117" t="str">
        <f>IF(kokpit!N458&lt;&gt;"",kokpit!N458,"")</f>
        <v/>
      </c>
      <c r="O458" s="117" t="str">
        <f>IF(kokpit!O458&lt;&gt;"",kokpit!O458,"")</f>
        <v/>
      </c>
      <c r="P458" s="141" t="str">
        <f>IF(M458&lt;&gt;"",IF(O458="",SUMIFS('JPK_KR-1'!AL:AL,'JPK_KR-1'!W:W,N458),SUMIFS('JPK_KR-1'!BF:BF,'JPK_KR-1'!BE:BE,N458,'JPK_KR-1'!BG:BG,O458)),"")</f>
        <v/>
      </c>
      <c r="Q458" s="144" t="str">
        <f>IF(M458&lt;&gt;"",IF(O458="",SUMIFS('JPK_KR-1'!AM:AM,'JPK_KR-1'!W:W,N458),SUMIFS('JPK_KR-1'!BI:BI,'JPK_KR-1'!BH:BH,N458,'JPK_KR-1'!BJ:BJ,O458)),"")</f>
        <v/>
      </c>
      <c r="R458" s="117" t="str">
        <f>IF(kokpit!R458&lt;&gt;"",kokpit!R458,"")</f>
        <v/>
      </c>
      <c r="S458" s="117" t="str">
        <f>IF(kokpit!S458&lt;&gt;"",kokpit!S458,"")</f>
        <v/>
      </c>
      <c r="T458" s="117" t="str">
        <f>IF(kokpit!T458&lt;&gt;"",kokpit!T458,"")</f>
        <v/>
      </c>
      <c r="U458" s="141" t="str">
        <f>IF(R458&lt;&gt;"",SUMIFS('JPK_KR-1'!AL:AL,'JPK_KR-1'!W:W,S458),"")</f>
        <v/>
      </c>
      <c r="V458" s="144" t="str">
        <f>IF(R458&lt;&gt;"",SUMIFS('JPK_KR-1'!AM:AM,'JPK_KR-1'!W:W,S458),"")</f>
        <v/>
      </c>
    </row>
    <row r="459" spans="1:22" x14ac:dyDescent="0.3">
      <c r="A459" s="5" t="str">
        <f>IF(kokpit!A459&lt;&gt;"",kokpit!A459,"")</f>
        <v/>
      </c>
      <c r="B459" s="5" t="str">
        <f>IF(kokpit!B459&lt;&gt;"",kokpit!B459,"")</f>
        <v/>
      </c>
      <c r="C459" s="24" t="str">
        <f>IF(A459&lt;&gt;"",SUMIFS('JPK_KR-1'!AL:AL,'JPK_KR-1'!W:W,B459),"")</f>
        <v/>
      </c>
      <c r="D459" s="126" t="str">
        <f>IF(A459&lt;&gt;"",SUMIFS('JPK_KR-1'!AM:AM,'JPK_KR-1'!W:W,B459),"")</f>
        <v/>
      </c>
      <c r="E459" s="5" t="str">
        <f>IF(kokpit!E459&lt;&gt;"",kokpit!E459,"")</f>
        <v/>
      </c>
      <c r="F459" s="127" t="str">
        <f>IF(kokpit!F459&lt;&gt;"",kokpit!F459,"")</f>
        <v/>
      </c>
      <c r="G459" s="24" t="str">
        <f>IF(E459&lt;&gt;"",SUMIFS('JPK_KR-1'!AL:AL,'JPK_KR-1'!W:W,F459),"")</f>
        <v/>
      </c>
      <c r="H459" s="126" t="str">
        <f>IF(E459&lt;&gt;"",SUMIFS('JPK_KR-1'!AM:AM,'JPK_KR-1'!W:W,F459),"")</f>
        <v/>
      </c>
      <c r="I459" s="5" t="str">
        <f>IF(kokpit!I459&lt;&gt;"",kokpit!I459,"")</f>
        <v/>
      </c>
      <c r="J459" s="5" t="str">
        <f>IF(kokpit!J459&lt;&gt;"",kokpit!J459,"")</f>
        <v/>
      </c>
      <c r="K459" s="24" t="str">
        <f>IF(I459&lt;&gt;"",SUMIFS('JPK_KR-1'!AL:AL,'JPK_KR-1'!W:W,J459),"")</f>
        <v/>
      </c>
      <c r="L459" s="141" t="str">
        <f>IF(I459&lt;&gt;"",SUMIFS('JPK_KR-1'!AM:AM,'JPK_KR-1'!W:W,J459),"")</f>
        <v/>
      </c>
      <c r="M459" s="143" t="str">
        <f>IF(kokpit!M459&lt;&gt;"",kokpit!M459,"")</f>
        <v/>
      </c>
      <c r="N459" s="117" t="str">
        <f>IF(kokpit!N459&lt;&gt;"",kokpit!N459,"")</f>
        <v/>
      </c>
      <c r="O459" s="117" t="str">
        <f>IF(kokpit!O459&lt;&gt;"",kokpit!O459,"")</f>
        <v/>
      </c>
      <c r="P459" s="141" t="str">
        <f>IF(M459&lt;&gt;"",IF(O459="",SUMIFS('JPK_KR-1'!AL:AL,'JPK_KR-1'!W:W,N459),SUMIFS('JPK_KR-1'!BF:BF,'JPK_KR-1'!BE:BE,N459,'JPK_KR-1'!BG:BG,O459)),"")</f>
        <v/>
      </c>
      <c r="Q459" s="144" t="str">
        <f>IF(M459&lt;&gt;"",IF(O459="",SUMIFS('JPK_KR-1'!AM:AM,'JPK_KR-1'!W:W,N459),SUMIFS('JPK_KR-1'!BI:BI,'JPK_KR-1'!BH:BH,N459,'JPK_KR-1'!BJ:BJ,O459)),"")</f>
        <v/>
      </c>
      <c r="R459" s="117" t="str">
        <f>IF(kokpit!R459&lt;&gt;"",kokpit!R459,"")</f>
        <v/>
      </c>
      <c r="S459" s="117" t="str">
        <f>IF(kokpit!S459&lt;&gt;"",kokpit!S459,"")</f>
        <v/>
      </c>
      <c r="T459" s="117" t="str">
        <f>IF(kokpit!T459&lt;&gt;"",kokpit!T459,"")</f>
        <v/>
      </c>
      <c r="U459" s="141" t="str">
        <f>IF(R459&lt;&gt;"",SUMIFS('JPK_KR-1'!AL:AL,'JPK_KR-1'!W:W,S459),"")</f>
        <v/>
      </c>
      <c r="V459" s="144" t="str">
        <f>IF(R459&lt;&gt;"",SUMIFS('JPK_KR-1'!AM:AM,'JPK_KR-1'!W:W,S459),"")</f>
        <v/>
      </c>
    </row>
    <row r="460" spans="1:22" x14ac:dyDescent="0.3">
      <c r="A460" s="5" t="str">
        <f>IF(kokpit!A460&lt;&gt;"",kokpit!A460,"")</f>
        <v/>
      </c>
      <c r="B460" s="5" t="str">
        <f>IF(kokpit!B460&lt;&gt;"",kokpit!B460,"")</f>
        <v/>
      </c>
      <c r="C460" s="24" t="str">
        <f>IF(A460&lt;&gt;"",SUMIFS('JPK_KR-1'!AL:AL,'JPK_KR-1'!W:W,B460),"")</f>
        <v/>
      </c>
      <c r="D460" s="126" t="str">
        <f>IF(A460&lt;&gt;"",SUMIFS('JPK_KR-1'!AM:AM,'JPK_KR-1'!W:W,B460),"")</f>
        <v/>
      </c>
      <c r="E460" s="5" t="str">
        <f>IF(kokpit!E460&lt;&gt;"",kokpit!E460,"")</f>
        <v/>
      </c>
      <c r="F460" s="127" t="str">
        <f>IF(kokpit!F460&lt;&gt;"",kokpit!F460,"")</f>
        <v/>
      </c>
      <c r="G460" s="24" t="str">
        <f>IF(E460&lt;&gt;"",SUMIFS('JPK_KR-1'!AL:AL,'JPK_KR-1'!W:W,F460),"")</f>
        <v/>
      </c>
      <c r="H460" s="126" t="str">
        <f>IF(E460&lt;&gt;"",SUMIFS('JPK_KR-1'!AM:AM,'JPK_KR-1'!W:W,F460),"")</f>
        <v/>
      </c>
      <c r="I460" s="5" t="str">
        <f>IF(kokpit!I460&lt;&gt;"",kokpit!I460,"")</f>
        <v/>
      </c>
      <c r="J460" s="5" t="str">
        <f>IF(kokpit!J460&lt;&gt;"",kokpit!J460,"")</f>
        <v/>
      </c>
      <c r="K460" s="24" t="str">
        <f>IF(I460&lt;&gt;"",SUMIFS('JPK_KR-1'!AL:AL,'JPK_KR-1'!W:W,J460),"")</f>
        <v/>
      </c>
      <c r="L460" s="141" t="str">
        <f>IF(I460&lt;&gt;"",SUMIFS('JPK_KR-1'!AM:AM,'JPK_KR-1'!W:W,J460),"")</f>
        <v/>
      </c>
      <c r="M460" s="143" t="str">
        <f>IF(kokpit!M460&lt;&gt;"",kokpit!M460,"")</f>
        <v/>
      </c>
      <c r="N460" s="117" t="str">
        <f>IF(kokpit!N460&lt;&gt;"",kokpit!N460,"")</f>
        <v/>
      </c>
      <c r="O460" s="117" t="str">
        <f>IF(kokpit!O460&lt;&gt;"",kokpit!O460,"")</f>
        <v/>
      </c>
      <c r="P460" s="141" t="str">
        <f>IF(M460&lt;&gt;"",IF(O460="",SUMIFS('JPK_KR-1'!AL:AL,'JPK_KR-1'!W:W,N460),SUMIFS('JPK_KR-1'!BF:BF,'JPK_KR-1'!BE:BE,N460,'JPK_KR-1'!BG:BG,O460)),"")</f>
        <v/>
      </c>
      <c r="Q460" s="144" t="str">
        <f>IF(M460&lt;&gt;"",IF(O460="",SUMIFS('JPK_KR-1'!AM:AM,'JPK_KR-1'!W:W,N460),SUMIFS('JPK_KR-1'!BI:BI,'JPK_KR-1'!BH:BH,N460,'JPK_KR-1'!BJ:BJ,O460)),"")</f>
        <v/>
      </c>
      <c r="R460" s="117" t="str">
        <f>IF(kokpit!R460&lt;&gt;"",kokpit!R460,"")</f>
        <v/>
      </c>
      <c r="S460" s="117" t="str">
        <f>IF(kokpit!S460&lt;&gt;"",kokpit!S460,"")</f>
        <v/>
      </c>
      <c r="T460" s="117" t="str">
        <f>IF(kokpit!T460&lt;&gt;"",kokpit!T460,"")</f>
        <v/>
      </c>
      <c r="U460" s="141" t="str">
        <f>IF(R460&lt;&gt;"",SUMIFS('JPK_KR-1'!AL:AL,'JPK_KR-1'!W:W,S460),"")</f>
        <v/>
      </c>
      <c r="V460" s="144" t="str">
        <f>IF(R460&lt;&gt;"",SUMIFS('JPK_KR-1'!AM:AM,'JPK_KR-1'!W:W,S460),"")</f>
        <v/>
      </c>
    </row>
    <row r="461" spans="1:22" x14ac:dyDescent="0.3">
      <c r="A461" s="5" t="str">
        <f>IF(kokpit!A461&lt;&gt;"",kokpit!A461,"")</f>
        <v/>
      </c>
      <c r="B461" s="5" t="str">
        <f>IF(kokpit!B461&lt;&gt;"",kokpit!B461,"")</f>
        <v/>
      </c>
      <c r="C461" s="24" t="str">
        <f>IF(A461&lt;&gt;"",SUMIFS('JPK_KR-1'!AL:AL,'JPK_KR-1'!W:W,B461),"")</f>
        <v/>
      </c>
      <c r="D461" s="126" t="str">
        <f>IF(A461&lt;&gt;"",SUMIFS('JPK_KR-1'!AM:AM,'JPK_KR-1'!W:W,B461),"")</f>
        <v/>
      </c>
      <c r="E461" s="5" t="str">
        <f>IF(kokpit!E461&lt;&gt;"",kokpit!E461,"")</f>
        <v/>
      </c>
      <c r="F461" s="127" t="str">
        <f>IF(kokpit!F461&lt;&gt;"",kokpit!F461,"")</f>
        <v/>
      </c>
      <c r="G461" s="24" t="str">
        <f>IF(E461&lt;&gt;"",SUMIFS('JPK_KR-1'!AL:AL,'JPK_KR-1'!W:W,F461),"")</f>
        <v/>
      </c>
      <c r="H461" s="126" t="str">
        <f>IF(E461&lt;&gt;"",SUMIFS('JPK_KR-1'!AM:AM,'JPK_KR-1'!W:W,F461),"")</f>
        <v/>
      </c>
      <c r="I461" s="5" t="str">
        <f>IF(kokpit!I461&lt;&gt;"",kokpit!I461,"")</f>
        <v/>
      </c>
      <c r="J461" s="5" t="str">
        <f>IF(kokpit!J461&lt;&gt;"",kokpit!J461,"")</f>
        <v/>
      </c>
      <c r="K461" s="24" t="str">
        <f>IF(I461&lt;&gt;"",SUMIFS('JPK_KR-1'!AL:AL,'JPK_KR-1'!W:W,J461),"")</f>
        <v/>
      </c>
      <c r="L461" s="141" t="str">
        <f>IF(I461&lt;&gt;"",SUMIFS('JPK_KR-1'!AM:AM,'JPK_KR-1'!W:W,J461),"")</f>
        <v/>
      </c>
      <c r="M461" s="143" t="str">
        <f>IF(kokpit!M461&lt;&gt;"",kokpit!M461,"")</f>
        <v/>
      </c>
      <c r="N461" s="117" t="str">
        <f>IF(kokpit!N461&lt;&gt;"",kokpit!N461,"")</f>
        <v/>
      </c>
      <c r="O461" s="117" t="str">
        <f>IF(kokpit!O461&lt;&gt;"",kokpit!O461,"")</f>
        <v/>
      </c>
      <c r="P461" s="141" t="str">
        <f>IF(M461&lt;&gt;"",IF(O461="",SUMIFS('JPK_KR-1'!AL:AL,'JPK_KR-1'!W:W,N461),SUMIFS('JPK_KR-1'!BF:BF,'JPK_KR-1'!BE:BE,N461,'JPK_KR-1'!BG:BG,O461)),"")</f>
        <v/>
      </c>
      <c r="Q461" s="144" t="str">
        <f>IF(M461&lt;&gt;"",IF(O461="",SUMIFS('JPK_KR-1'!AM:AM,'JPK_KR-1'!W:W,N461),SUMIFS('JPK_KR-1'!BI:BI,'JPK_KR-1'!BH:BH,N461,'JPK_KR-1'!BJ:BJ,O461)),"")</f>
        <v/>
      </c>
      <c r="R461" s="117" t="str">
        <f>IF(kokpit!R461&lt;&gt;"",kokpit!R461,"")</f>
        <v/>
      </c>
      <c r="S461" s="117" t="str">
        <f>IF(kokpit!S461&lt;&gt;"",kokpit!S461,"")</f>
        <v/>
      </c>
      <c r="T461" s="117" t="str">
        <f>IF(kokpit!T461&lt;&gt;"",kokpit!T461,"")</f>
        <v/>
      </c>
      <c r="U461" s="141" t="str">
        <f>IF(R461&lt;&gt;"",SUMIFS('JPK_KR-1'!AL:AL,'JPK_KR-1'!W:W,S461),"")</f>
        <v/>
      </c>
      <c r="V461" s="144" t="str">
        <f>IF(R461&lt;&gt;"",SUMIFS('JPK_KR-1'!AM:AM,'JPK_KR-1'!W:W,S461),"")</f>
        <v/>
      </c>
    </row>
    <row r="462" spans="1:22" x14ac:dyDescent="0.3">
      <c r="A462" s="5" t="str">
        <f>IF(kokpit!A462&lt;&gt;"",kokpit!A462,"")</f>
        <v/>
      </c>
      <c r="B462" s="5" t="str">
        <f>IF(kokpit!B462&lt;&gt;"",kokpit!B462,"")</f>
        <v/>
      </c>
      <c r="C462" s="24" t="str">
        <f>IF(A462&lt;&gt;"",SUMIFS('JPK_KR-1'!AL:AL,'JPK_KR-1'!W:W,B462),"")</f>
        <v/>
      </c>
      <c r="D462" s="126" t="str">
        <f>IF(A462&lt;&gt;"",SUMIFS('JPK_KR-1'!AM:AM,'JPK_KR-1'!W:W,B462),"")</f>
        <v/>
      </c>
      <c r="E462" s="5" t="str">
        <f>IF(kokpit!E462&lt;&gt;"",kokpit!E462,"")</f>
        <v/>
      </c>
      <c r="F462" s="127" t="str">
        <f>IF(kokpit!F462&lt;&gt;"",kokpit!F462,"")</f>
        <v/>
      </c>
      <c r="G462" s="24" t="str">
        <f>IF(E462&lt;&gt;"",SUMIFS('JPK_KR-1'!AL:AL,'JPK_KR-1'!W:W,F462),"")</f>
        <v/>
      </c>
      <c r="H462" s="126" t="str">
        <f>IF(E462&lt;&gt;"",SUMIFS('JPK_KR-1'!AM:AM,'JPK_KR-1'!W:W,F462),"")</f>
        <v/>
      </c>
      <c r="I462" s="5" t="str">
        <f>IF(kokpit!I462&lt;&gt;"",kokpit!I462,"")</f>
        <v/>
      </c>
      <c r="J462" s="5" t="str">
        <f>IF(kokpit!J462&lt;&gt;"",kokpit!J462,"")</f>
        <v/>
      </c>
      <c r="K462" s="24" t="str">
        <f>IF(I462&lt;&gt;"",SUMIFS('JPK_KR-1'!AL:AL,'JPK_KR-1'!W:W,J462),"")</f>
        <v/>
      </c>
      <c r="L462" s="141" t="str">
        <f>IF(I462&lt;&gt;"",SUMIFS('JPK_KR-1'!AM:AM,'JPK_KR-1'!W:W,J462),"")</f>
        <v/>
      </c>
      <c r="M462" s="143" t="str">
        <f>IF(kokpit!M462&lt;&gt;"",kokpit!M462,"")</f>
        <v/>
      </c>
      <c r="N462" s="117" t="str">
        <f>IF(kokpit!N462&lt;&gt;"",kokpit!N462,"")</f>
        <v/>
      </c>
      <c r="O462" s="117" t="str">
        <f>IF(kokpit!O462&lt;&gt;"",kokpit!O462,"")</f>
        <v/>
      </c>
      <c r="P462" s="141" t="str">
        <f>IF(M462&lt;&gt;"",IF(O462="",SUMIFS('JPK_KR-1'!AL:AL,'JPK_KR-1'!W:W,N462),SUMIFS('JPK_KR-1'!BF:BF,'JPK_KR-1'!BE:BE,N462,'JPK_KR-1'!BG:BG,O462)),"")</f>
        <v/>
      </c>
      <c r="Q462" s="144" t="str">
        <f>IF(M462&lt;&gt;"",IF(O462="",SUMIFS('JPK_KR-1'!AM:AM,'JPK_KR-1'!W:W,N462),SUMIFS('JPK_KR-1'!BI:BI,'JPK_KR-1'!BH:BH,N462,'JPK_KR-1'!BJ:BJ,O462)),"")</f>
        <v/>
      </c>
      <c r="R462" s="117" t="str">
        <f>IF(kokpit!R462&lt;&gt;"",kokpit!R462,"")</f>
        <v/>
      </c>
      <c r="S462" s="117" t="str">
        <f>IF(kokpit!S462&lt;&gt;"",kokpit!S462,"")</f>
        <v/>
      </c>
      <c r="T462" s="117" t="str">
        <f>IF(kokpit!T462&lt;&gt;"",kokpit!T462,"")</f>
        <v/>
      </c>
      <c r="U462" s="141" t="str">
        <f>IF(R462&lt;&gt;"",SUMIFS('JPK_KR-1'!AL:AL,'JPK_KR-1'!W:W,S462),"")</f>
        <v/>
      </c>
      <c r="V462" s="144" t="str">
        <f>IF(R462&lt;&gt;"",SUMIFS('JPK_KR-1'!AM:AM,'JPK_KR-1'!W:W,S462),"")</f>
        <v/>
      </c>
    </row>
    <row r="463" spans="1:22" x14ac:dyDescent="0.3">
      <c r="A463" s="5" t="str">
        <f>IF(kokpit!A463&lt;&gt;"",kokpit!A463,"")</f>
        <v/>
      </c>
      <c r="B463" s="5" t="str">
        <f>IF(kokpit!B463&lt;&gt;"",kokpit!B463,"")</f>
        <v/>
      </c>
      <c r="C463" s="24" t="str">
        <f>IF(A463&lt;&gt;"",SUMIFS('JPK_KR-1'!AL:AL,'JPK_KR-1'!W:W,B463),"")</f>
        <v/>
      </c>
      <c r="D463" s="126" t="str">
        <f>IF(A463&lt;&gt;"",SUMIFS('JPK_KR-1'!AM:AM,'JPK_KR-1'!W:W,B463),"")</f>
        <v/>
      </c>
      <c r="E463" s="5" t="str">
        <f>IF(kokpit!E463&lt;&gt;"",kokpit!E463,"")</f>
        <v/>
      </c>
      <c r="F463" s="127" t="str">
        <f>IF(kokpit!F463&lt;&gt;"",kokpit!F463,"")</f>
        <v/>
      </c>
      <c r="G463" s="24" t="str">
        <f>IF(E463&lt;&gt;"",SUMIFS('JPK_KR-1'!AL:AL,'JPK_KR-1'!W:W,F463),"")</f>
        <v/>
      </c>
      <c r="H463" s="126" t="str">
        <f>IF(E463&lt;&gt;"",SUMIFS('JPK_KR-1'!AM:AM,'JPK_KR-1'!W:W,F463),"")</f>
        <v/>
      </c>
      <c r="I463" s="5" t="str">
        <f>IF(kokpit!I463&lt;&gt;"",kokpit!I463,"")</f>
        <v/>
      </c>
      <c r="J463" s="5" t="str">
        <f>IF(kokpit!J463&lt;&gt;"",kokpit!J463,"")</f>
        <v/>
      </c>
      <c r="K463" s="24" t="str">
        <f>IF(I463&lt;&gt;"",SUMIFS('JPK_KR-1'!AL:AL,'JPK_KR-1'!W:W,J463),"")</f>
        <v/>
      </c>
      <c r="L463" s="141" t="str">
        <f>IF(I463&lt;&gt;"",SUMIFS('JPK_KR-1'!AM:AM,'JPK_KR-1'!W:W,J463),"")</f>
        <v/>
      </c>
      <c r="M463" s="143" t="str">
        <f>IF(kokpit!M463&lt;&gt;"",kokpit!M463,"")</f>
        <v/>
      </c>
      <c r="N463" s="117" t="str">
        <f>IF(kokpit!N463&lt;&gt;"",kokpit!N463,"")</f>
        <v/>
      </c>
      <c r="O463" s="117" t="str">
        <f>IF(kokpit!O463&lt;&gt;"",kokpit!O463,"")</f>
        <v/>
      </c>
      <c r="P463" s="141" t="str">
        <f>IF(M463&lt;&gt;"",IF(O463="",SUMIFS('JPK_KR-1'!AL:AL,'JPK_KR-1'!W:W,N463),SUMIFS('JPK_KR-1'!BF:BF,'JPK_KR-1'!BE:BE,N463,'JPK_KR-1'!BG:BG,O463)),"")</f>
        <v/>
      </c>
      <c r="Q463" s="144" t="str">
        <f>IF(M463&lt;&gt;"",IF(O463="",SUMIFS('JPK_KR-1'!AM:AM,'JPK_KR-1'!W:W,N463),SUMIFS('JPK_KR-1'!BI:BI,'JPK_KR-1'!BH:BH,N463,'JPK_KR-1'!BJ:BJ,O463)),"")</f>
        <v/>
      </c>
      <c r="R463" s="117" t="str">
        <f>IF(kokpit!R463&lt;&gt;"",kokpit!R463,"")</f>
        <v/>
      </c>
      <c r="S463" s="117" t="str">
        <f>IF(kokpit!S463&lt;&gt;"",kokpit!S463,"")</f>
        <v/>
      </c>
      <c r="T463" s="117" t="str">
        <f>IF(kokpit!T463&lt;&gt;"",kokpit!T463,"")</f>
        <v/>
      </c>
      <c r="U463" s="141" t="str">
        <f>IF(R463&lt;&gt;"",SUMIFS('JPK_KR-1'!AL:AL,'JPK_KR-1'!W:W,S463),"")</f>
        <v/>
      </c>
      <c r="V463" s="144" t="str">
        <f>IF(R463&lt;&gt;"",SUMIFS('JPK_KR-1'!AM:AM,'JPK_KR-1'!W:W,S463),"")</f>
        <v/>
      </c>
    </row>
    <row r="464" spans="1:22" x14ac:dyDescent="0.3">
      <c r="A464" s="5" t="str">
        <f>IF(kokpit!A464&lt;&gt;"",kokpit!A464,"")</f>
        <v/>
      </c>
      <c r="B464" s="5" t="str">
        <f>IF(kokpit!B464&lt;&gt;"",kokpit!B464,"")</f>
        <v/>
      </c>
      <c r="C464" s="24" t="str">
        <f>IF(A464&lt;&gt;"",SUMIFS('JPK_KR-1'!AL:AL,'JPK_KR-1'!W:W,B464),"")</f>
        <v/>
      </c>
      <c r="D464" s="126" t="str">
        <f>IF(A464&lt;&gt;"",SUMIFS('JPK_KR-1'!AM:AM,'JPK_KR-1'!W:W,B464),"")</f>
        <v/>
      </c>
      <c r="E464" s="5" t="str">
        <f>IF(kokpit!E464&lt;&gt;"",kokpit!E464,"")</f>
        <v/>
      </c>
      <c r="F464" s="127" t="str">
        <f>IF(kokpit!F464&lt;&gt;"",kokpit!F464,"")</f>
        <v/>
      </c>
      <c r="G464" s="24" t="str">
        <f>IF(E464&lt;&gt;"",SUMIFS('JPK_KR-1'!AL:AL,'JPK_KR-1'!W:W,F464),"")</f>
        <v/>
      </c>
      <c r="H464" s="126" t="str">
        <f>IF(E464&lt;&gt;"",SUMIFS('JPK_KR-1'!AM:AM,'JPK_KR-1'!W:W,F464),"")</f>
        <v/>
      </c>
      <c r="I464" s="5" t="str">
        <f>IF(kokpit!I464&lt;&gt;"",kokpit!I464,"")</f>
        <v/>
      </c>
      <c r="J464" s="5" t="str">
        <f>IF(kokpit!J464&lt;&gt;"",kokpit!J464,"")</f>
        <v/>
      </c>
      <c r="K464" s="24" t="str">
        <f>IF(I464&lt;&gt;"",SUMIFS('JPK_KR-1'!AL:AL,'JPK_KR-1'!W:W,J464),"")</f>
        <v/>
      </c>
      <c r="L464" s="141" t="str">
        <f>IF(I464&lt;&gt;"",SUMIFS('JPK_KR-1'!AM:AM,'JPK_KR-1'!W:W,J464),"")</f>
        <v/>
      </c>
      <c r="M464" s="143" t="str">
        <f>IF(kokpit!M464&lt;&gt;"",kokpit!M464,"")</f>
        <v/>
      </c>
      <c r="N464" s="117" t="str">
        <f>IF(kokpit!N464&lt;&gt;"",kokpit!N464,"")</f>
        <v/>
      </c>
      <c r="O464" s="117" t="str">
        <f>IF(kokpit!O464&lt;&gt;"",kokpit!O464,"")</f>
        <v/>
      </c>
      <c r="P464" s="141" t="str">
        <f>IF(M464&lt;&gt;"",IF(O464="",SUMIFS('JPK_KR-1'!AL:AL,'JPK_KR-1'!W:W,N464),SUMIFS('JPK_KR-1'!BF:BF,'JPK_KR-1'!BE:BE,N464,'JPK_KR-1'!BG:BG,O464)),"")</f>
        <v/>
      </c>
      <c r="Q464" s="144" t="str">
        <f>IF(M464&lt;&gt;"",IF(O464="",SUMIFS('JPK_KR-1'!AM:AM,'JPK_KR-1'!W:W,N464),SUMIFS('JPK_KR-1'!BI:BI,'JPK_KR-1'!BH:BH,N464,'JPK_KR-1'!BJ:BJ,O464)),"")</f>
        <v/>
      </c>
      <c r="R464" s="117" t="str">
        <f>IF(kokpit!R464&lt;&gt;"",kokpit!R464,"")</f>
        <v/>
      </c>
      <c r="S464" s="117" t="str">
        <f>IF(kokpit!S464&lt;&gt;"",kokpit!S464,"")</f>
        <v/>
      </c>
      <c r="T464" s="117" t="str">
        <f>IF(kokpit!T464&lt;&gt;"",kokpit!T464,"")</f>
        <v/>
      </c>
      <c r="U464" s="141" t="str">
        <f>IF(R464&lt;&gt;"",SUMIFS('JPK_KR-1'!AL:AL,'JPK_KR-1'!W:W,S464),"")</f>
        <v/>
      </c>
      <c r="V464" s="144" t="str">
        <f>IF(R464&lt;&gt;"",SUMIFS('JPK_KR-1'!AM:AM,'JPK_KR-1'!W:W,S464),"")</f>
        <v/>
      </c>
    </row>
    <row r="465" spans="1:22" x14ac:dyDescent="0.3">
      <c r="A465" s="5" t="str">
        <f>IF(kokpit!A465&lt;&gt;"",kokpit!A465,"")</f>
        <v/>
      </c>
      <c r="B465" s="5" t="str">
        <f>IF(kokpit!B465&lt;&gt;"",kokpit!B465,"")</f>
        <v/>
      </c>
      <c r="C465" s="24" t="str">
        <f>IF(A465&lt;&gt;"",SUMIFS('JPK_KR-1'!AL:AL,'JPK_KR-1'!W:W,B465),"")</f>
        <v/>
      </c>
      <c r="D465" s="126" t="str">
        <f>IF(A465&lt;&gt;"",SUMIFS('JPK_KR-1'!AM:AM,'JPK_KR-1'!W:W,B465),"")</f>
        <v/>
      </c>
      <c r="E465" s="5" t="str">
        <f>IF(kokpit!E465&lt;&gt;"",kokpit!E465,"")</f>
        <v/>
      </c>
      <c r="F465" s="127" t="str">
        <f>IF(kokpit!F465&lt;&gt;"",kokpit!F465,"")</f>
        <v/>
      </c>
      <c r="G465" s="24" t="str">
        <f>IF(E465&lt;&gt;"",SUMIFS('JPK_KR-1'!AL:AL,'JPK_KR-1'!W:W,F465),"")</f>
        <v/>
      </c>
      <c r="H465" s="126" t="str">
        <f>IF(E465&lt;&gt;"",SUMIFS('JPK_KR-1'!AM:AM,'JPK_KR-1'!W:W,F465),"")</f>
        <v/>
      </c>
      <c r="I465" s="5" t="str">
        <f>IF(kokpit!I465&lt;&gt;"",kokpit!I465,"")</f>
        <v/>
      </c>
      <c r="J465" s="5" t="str">
        <f>IF(kokpit!J465&lt;&gt;"",kokpit!J465,"")</f>
        <v/>
      </c>
      <c r="K465" s="24" t="str">
        <f>IF(I465&lt;&gt;"",SUMIFS('JPK_KR-1'!AL:AL,'JPK_KR-1'!W:W,J465),"")</f>
        <v/>
      </c>
      <c r="L465" s="141" t="str">
        <f>IF(I465&lt;&gt;"",SUMIFS('JPK_KR-1'!AM:AM,'JPK_KR-1'!W:W,J465),"")</f>
        <v/>
      </c>
      <c r="M465" s="143" t="str">
        <f>IF(kokpit!M465&lt;&gt;"",kokpit!M465,"")</f>
        <v/>
      </c>
      <c r="N465" s="117" t="str">
        <f>IF(kokpit!N465&lt;&gt;"",kokpit!N465,"")</f>
        <v/>
      </c>
      <c r="O465" s="117" t="str">
        <f>IF(kokpit!O465&lt;&gt;"",kokpit!O465,"")</f>
        <v/>
      </c>
      <c r="P465" s="141" t="str">
        <f>IF(M465&lt;&gt;"",IF(O465="",SUMIFS('JPK_KR-1'!AL:AL,'JPK_KR-1'!W:W,N465),SUMIFS('JPK_KR-1'!BF:BF,'JPK_KR-1'!BE:BE,N465,'JPK_KR-1'!BG:BG,O465)),"")</f>
        <v/>
      </c>
      <c r="Q465" s="144" t="str">
        <f>IF(M465&lt;&gt;"",IF(O465="",SUMIFS('JPK_KR-1'!AM:AM,'JPK_KR-1'!W:W,N465),SUMIFS('JPK_KR-1'!BI:BI,'JPK_KR-1'!BH:BH,N465,'JPK_KR-1'!BJ:BJ,O465)),"")</f>
        <v/>
      </c>
      <c r="R465" s="117" t="str">
        <f>IF(kokpit!R465&lt;&gt;"",kokpit!R465,"")</f>
        <v/>
      </c>
      <c r="S465" s="117" t="str">
        <f>IF(kokpit!S465&lt;&gt;"",kokpit!S465,"")</f>
        <v/>
      </c>
      <c r="T465" s="117" t="str">
        <f>IF(kokpit!T465&lt;&gt;"",kokpit!T465,"")</f>
        <v/>
      </c>
      <c r="U465" s="141" t="str">
        <f>IF(R465&lt;&gt;"",SUMIFS('JPK_KR-1'!AL:AL,'JPK_KR-1'!W:W,S465),"")</f>
        <v/>
      </c>
      <c r="V465" s="144" t="str">
        <f>IF(R465&lt;&gt;"",SUMIFS('JPK_KR-1'!AM:AM,'JPK_KR-1'!W:W,S465),"")</f>
        <v/>
      </c>
    </row>
    <row r="466" spans="1:22" x14ac:dyDescent="0.3">
      <c r="A466" s="5" t="str">
        <f>IF(kokpit!A466&lt;&gt;"",kokpit!A466,"")</f>
        <v/>
      </c>
      <c r="B466" s="5" t="str">
        <f>IF(kokpit!B466&lt;&gt;"",kokpit!B466,"")</f>
        <v/>
      </c>
      <c r="C466" s="24" t="str">
        <f>IF(A466&lt;&gt;"",SUMIFS('JPK_KR-1'!AL:AL,'JPK_KR-1'!W:W,B466),"")</f>
        <v/>
      </c>
      <c r="D466" s="126" t="str">
        <f>IF(A466&lt;&gt;"",SUMIFS('JPK_KR-1'!AM:AM,'JPK_KR-1'!W:W,B466),"")</f>
        <v/>
      </c>
      <c r="E466" s="5" t="str">
        <f>IF(kokpit!E466&lt;&gt;"",kokpit!E466,"")</f>
        <v/>
      </c>
      <c r="F466" s="127" t="str">
        <f>IF(kokpit!F466&lt;&gt;"",kokpit!F466,"")</f>
        <v/>
      </c>
      <c r="G466" s="24" t="str">
        <f>IF(E466&lt;&gt;"",SUMIFS('JPK_KR-1'!AL:AL,'JPK_KR-1'!W:W,F466),"")</f>
        <v/>
      </c>
      <c r="H466" s="126" t="str">
        <f>IF(E466&lt;&gt;"",SUMIFS('JPK_KR-1'!AM:AM,'JPK_KR-1'!W:W,F466),"")</f>
        <v/>
      </c>
      <c r="I466" s="5" t="str">
        <f>IF(kokpit!I466&lt;&gt;"",kokpit!I466,"")</f>
        <v/>
      </c>
      <c r="J466" s="5" t="str">
        <f>IF(kokpit!J466&lt;&gt;"",kokpit!J466,"")</f>
        <v/>
      </c>
      <c r="K466" s="24" t="str">
        <f>IF(I466&lt;&gt;"",SUMIFS('JPK_KR-1'!AL:AL,'JPK_KR-1'!W:W,J466),"")</f>
        <v/>
      </c>
      <c r="L466" s="141" t="str">
        <f>IF(I466&lt;&gt;"",SUMIFS('JPK_KR-1'!AM:AM,'JPK_KR-1'!W:W,J466),"")</f>
        <v/>
      </c>
      <c r="M466" s="143" t="str">
        <f>IF(kokpit!M466&lt;&gt;"",kokpit!M466,"")</f>
        <v/>
      </c>
      <c r="N466" s="117" t="str">
        <f>IF(kokpit!N466&lt;&gt;"",kokpit!N466,"")</f>
        <v/>
      </c>
      <c r="O466" s="117" t="str">
        <f>IF(kokpit!O466&lt;&gt;"",kokpit!O466,"")</f>
        <v/>
      </c>
      <c r="P466" s="141" t="str">
        <f>IF(M466&lt;&gt;"",IF(O466="",SUMIFS('JPK_KR-1'!AL:AL,'JPK_KR-1'!W:W,N466),SUMIFS('JPK_KR-1'!BF:BF,'JPK_KR-1'!BE:BE,N466,'JPK_KR-1'!BG:BG,O466)),"")</f>
        <v/>
      </c>
      <c r="Q466" s="144" t="str">
        <f>IF(M466&lt;&gt;"",IF(O466="",SUMIFS('JPK_KR-1'!AM:AM,'JPK_KR-1'!W:W,N466),SUMIFS('JPK_KR-1'!BI:BI,'JPK_KR-1'!BH:BH,N466,'JPK_KR-1'!BJ:BJ,O466)),"")</f>
        <v/>
      </c>
      <c r="R466" s="117" t="str">
        <f>IF(kokpit!R466&lt;&gt;"",kokpit!R466,"")</f>
        <v/>
      </c>
      <c r="S466" s="117" t="str">
        <f>IF(kokpit!S466&lt;&gt;"",kokpit!S466,"")</f>
        <v/>
      </c>
      <c r="T466" s="117" t="str">
        <f>IF(kokpit!T466&lt;&gt;"",kokpit!T466,"")</f>
        <v/>
      </c>
      <c r="U466" s="141" t="str">
        <f>IF(R466&lt;&gt;"",SUMIFS('JPK_KR-1'!AL:AL,'JPK_KR-1'!W:W,S466),"")</f>
        <v/>
      </c>
      <c r="V466" s="144" t="str">
        <f>IF(R466&lt;&gt;"",SUMIFS('JPK_KR-1'!AM:AM,'JPK_KR-1'!W:W,S466),"")</f>
        <v/>
      </c>
    </row>
    <row r="467" spans="1:22" x14ac:dyDescent="0.3">
      <c r="A467" s="5" t="str">
        <f>IF(kokpit!A467&lt;&gt;"",kokpit!A467,"")</f>
        <v/>
      </c>
      <c r="B467" s="5" t="str">
        <f>IF(kokpit!B467&lt;&gt;"",kokpit!B467,"")</f>
        <v/>
      </c>
      <c r="C467" s="24" t="str">
        <f>IF(A467&lt;&gt;"",SUMIFS('JPK_KR-1'!AL:AL,'JPK_KR-1'!W:W,B467),"")</f>
        <v/>
      </c>
      <c r="D467" s="126" t="str">
        <f>IF(A467&lt;&gt;"",SUMIFS('JPK_KR-1'!AM:AM,'JPK_KR-1'!W:W,B467),"")</f>
        <v/>
      </c>
      <c r="E467" s="5" t="str">
        <f>IF(kokpit!E467&lt;&gt;"",kokpit!E467,"")</f>
        <v/>
      </c>
      <c r="F467" s="127" t="str">
        <f>IF(kokpit!F467&lt;&gt;"",kokpit!F467,"")</f>
        <v/>
      </c>
      <c r="G467" s="24" t="str">
        <f>IF(E467&lt;&gt;"",SUMIFS('JPK_KR-1'!AL:AL,'JPK_KR-1'!W:W,F467),"")</f>
        <v/>
      </c>
      <c r="H467" s="126" t="str">
        <f>IF(E467&lt;&gt;"",SUMIFS('JPK_KR-1'!AM:AM,'JPK_KR-1'!W:W,F467),"")</f>
        <v/>
      </c>
      <c r="I467" s="5" t="str">
        <f>IF(kokpit!I467&lt;&gt;"",kokpit!I467,"")</f>
        <v/>
      </c>
      <c r="J467" s="5" t="str">
        <f>IF(kokpit!J467&lt;&gt;"",kokpit!J467,"")</f>
        <v/>
      </c>
      <c r="K467" s="24" t="str">
        <f>IF(I467&lt;&gt;"",SUMIFS('JPK_KR-1'!AL:AL,'JPK_KR-1'!W:W,J467),"")</f>
        <v/>
      </c>
      <c r="L467" s="141" t="str">
        <f>IF(I467&lt;&gt;"",SUMIFS('JPK_KR-1'!AM:AM,'JPK_KR-1'!W:W,J467),"")</f>
        <v/>
      </c>
      <c r="M467" s="143" t="str">
        <f>IF(kokpit!M467&lt;&gt;"",kokpit!M467,"")</f>
        <v/>
      </c>
      <c r="N467" s="117" t="str">
        <f>IF(kokpit!N467&lt;&gt;"",kokpit!N467,"")</f>
        <v/>
      </c>
      <c r="O467" s="117" t="str">
        <f>IF(kokpit!O467&lt;&gt;"",kokpit!O467,"")</f>
        <v/>
      </c>
      <c r="P467" s="141" t="str">
        <f>IF(M467&lt;&gt;"",IF(O467="",SUMIFS('JPK_KR-1'!AL:AL,'JPK_KR-1'!W:W,N467),SUMIFS('JPK_KR-1'!BF:BF,'JPK_KR-1'!BE:BE,N467,'JPK_KR-1'!BG:BG,O467)),"")</f>
        <v/>
      </c>
      <c r="Q467" s="144" t="str">
        <f>IF(M467&lt;&gt;"",IF(O467="",SUMIFS('JPK_KR-1'!AM:AM,'JPK_KR-1'!W:W,N467),SUMIFS('JPK_KR-1'!BI:BI,'JPK_KR-1'!BH:BH,N467,'JPK_KR-1'!BJ:BJ,O467)),"")</f>
        <v/>
      </c>
      <c r="R467" s="117" t="str">
        <f>IF(kokpit!R467&lt;&gt;"",kokpit!R467,"")</f>
        <v/>
      </c>
      <c r="S467" s="117" t="str">
        <f>IF(kokpit!S467&lt;&gt;"",kokpit!S467,"")</f>
        <v/>
      </c>
      <c r="T467" s="117" t="str">
        <f>IF(kokpit!T467&lt;&gt;"",kokpit!T467,"")</f>
        <v/>
      </c>
      <c r="U467" s="141" t="str">
        <f>IF(R467&lt;&gt;"",SUMIFS('JPK_KR-1'!AL:AL,'JPK_KR-1'!W:W,S467),"")</f>
        <v/>
      </c>
      <c r="V467" s="144" t="str">
        <f>IF(R467&lt;&gt;"",SUMIFS('JPK_KR-1'!AM:AM,'JPK_KR-1'!W:W,S467),"")</f>
        <v/>
      </c>
    </row>
    <row r="468" spans="1:22" x14ac:dyDescent="0.3">
      <c r="A468" s="5" t="str">
        <f>IF(kokpit!A468&lt;&gt;"",kokpit!A468,"")</f>
        <v/>
      </c>
      <c r="B468" s="5" t="str">
        <f>IF(kokpit!B468&lt;&gt;"",kokpit!B468,"")</f>
        <v/>
      </c>
      <c r="C468" s="24" t="str">
        <f>IF(A468&lt;&gt;"",SUMIFS('JPK_KR-1'!AL:AL,'JPK_KR-1'!W:W,B468),"")</f>
        <v/>
      </c>
      <c r="D468" s="126" t="str">
        <f>IF(A468&lt;&gt;"",SUMIFS('JPK_KR-1'!AM:AM,'JPK_KR-1'!W:W,B468),"")</f>
        <v/>
      </c>
      <c r="E468" s="5" t="str">
        <f>IF(kokpit!E468&lt;&gt;"",kokpit!E468,"")</f>
        <v/>
      </c>
      <c r="F468" s="127" t="str">
        <f>IF(kokpit!F468&lt;&gt;"",kokpit!F468,"")</f>
        <v/>
      </c>
      <c r="G468" s="24" t="str">
        <f>IF(E468&lt;&gt;"",SUMIFS('JPK_KR-1'!AL:AL,'JPK_KR-1'!W:W,F468),"")</f>
        <v/>
      </c>
      <c r="H468" s="126" t="str">
        <f>IF(E468&lt;&gt;"",SUMIFS('JPK_KR-1'!AM:AM,'JPK_KR-1'!W:W,F468),"")</f>
        <v/>
      </c>
      <c r="I468" s="5" t="str">
        <f>IF(kokpit!I468&lt;&gt;"",kokpit!I468,"")</f>
        <v/>
      </c>
      <c r="J468" s="5" t="str">
        <f>IF(kokpit!J468&lt;&gt;"",kokpit!J468,"")</f>
        <v/>
      </c>
      <c r="K468" s="24" t="str">
        <f>IF(I468&lt;&gt;"",SUMIFS('JPK_KR-1'!AL:AL,'JPK_KR-1'!W:W,J468),"")</f>
        <v/>
      </c>
      <c r="L468" s="141" t="str">
        <f>IF(I468&lt;&gt;"",SUMIFS('JPK_KR-1'!AM:AM,'JPK_KR-1'!W:W,J468),"")</f>
        <v/>
      </c>
      <c r="M468" s="143" t="str">
        <f>IF(kokpit!M468&lt;&gt;"",kokpit!M468,"")</f>
        <v/>
      </c>
      <c r="N468" s="117" t="str">
        <f>IF(kokpit!N468&lt;&gt;"",kokpit!N468,"")</f>
        <v/>
      </c>
      <c r="O468" s="117" t="str">
        <f>IF(kokpit!O468&lt;&gt;"",kokpit!O468,"")</f>
        <v/>
      </c>
      <c r="P468" s="141" t="str">
        <f>IF(M468&lt;&gt;"",IF(O468="",SUMIFS('JPK_KR-1'!AL:AL,'JPK_KR-1'!W:W,N468),SUMIFS('JPK_KR-1'!BF:BF,'JPK_KR-1'!BE:BE,N468,'JPK_KR-1'!BG:BG,O468)),"")</f>
        <v/>
      </c>
      <c r="Q468" s="144" t="str">
        <f>IF(M468&lt;&gt;"",IF(O468="",SUMIFS('JPK_KR-1'!AM:AM,'JPK_KR-1'!W:W,N468),SUMIFS('JPK_KR-1'!BI:BI,'JPK_KR-1'!BH:BH,N468,'JPK_KR-1'!BJ:BJ,O468)),"")</f>
        <v/>
      </c>
      <c r="R468" s="117" t="str">
        <f>IF(kokpit!R468&lt;&gt;"",kokpit!R468,"")</f>
        <v/>
      </c>
      <c r="S468" s="117" t="str">
        <f>IF(kokpit!S468&lt;&gt;"",kokpit!S468,"")</f>
        <v/>
      </c>
      <c r="T468" s="117" t="str">
        <f>IF(kokpit!T468&lt;&gt;"",kokpit!T468,"")</f>
        <v/>
      </c>
      <c r="U468" s="141" t="str">
        <f>IF(R468&lt;&gt;"",SUMIFS('JPK_KR-1'!AL:AL,'JPK_KR-1'!W:W,S468),"")</f>
        <v/>
      </c>
      <c r="V468" s="144" t="str">
        <f>IF(R468&lt;&gt;"",SUMIFS('JPK_KR-1'!AM:AM,'JPK_KR-1'!W:W,S468),"")</f>
        <v/>
      </c>
    </row>
    <row r="469" spans="1:22" x14ac:dyDescent="0.3">
      <c r="A469" s="5" t="str">
        <f>IF(kokpit!A469&lt;&gt;"",kokpit!A469,"")</f>
        <v/>
      </c>
      <c r="B469" s="5" t="str">
        <f>IF(kokpit!B469&lt;&gt;"",kokpit!B469,"")</f>
        <v/>
      </c>
      <c r="C469" s="24" t="str">
        <f>IF(A469&lt;&gt;"",SUMIFS('JPK_KR-1'!AL:AL,'JPK_KR-1'!W:W,B469),"")</f>
        <v/>
      </c>
      <c r="D469" s="126" t="str">
        <f>IF(A469&lt;&gt;"",SUMIFS('JPK_KR-1'!AM:AM,'JPK_KR-1'!W:W,B469),"")</f>
        <v/>
      </c>
      <c r="E469" s="5" t="str">
        <f>IF(kokpit!E469&lt;&gt;"",kokpit!E469,"")</f>
        <v/>
      </c>
      <c r="F469" s="127" t="str">
        <f>IF(kokpit!F469&lt;&gt;"",kokpit!F469,"")</f>
        <v/>
      </c>
      <c r="G469" s="24" t="str">
        <f>IF(E469&lt;&gt;"",SUMIFS('JPK_KR-1'!AL:AL,'JPK_KR-1'!W:W,F469),"")</f>
        <v/>
      </c>
      <c r="H469" s="126" t="str">
        <f>IF(E469&lt;&gt;"",SUMIFS('JPK_KR-1'!AM:AM,'JPK_KR-1'!W:W,F469),"")</f>
        <v/>
      </c>
      <c r="I469" s="5" t="str">
        <f>IF(kokpit!I469&lt;&gt;"",kokpit!I469,"")</f>
        <v/>
      </c>
      <c r="J469" s="5" t="str">
        <f>IF(kokpit!J469&lt;&gt;"",kokpit!J469,"")</f>
        <v/>
      </c>
      <c r="K469" s="24" t="str">
        <f>IF(I469&lt;&gt;"",SUMIFS('JPK_KR-1'!AL:AL,'JPK_KR-1'!W:W,J469),"")</f>
        <v/>
      </c>
      <c r="L469" s="141" t="str">
        <f>IF(I469&lt;&gt;"",SUMIFS('JPK_KR-1'!AM:AM,'JPK_KR-1'!W:W,J469),"")</f>
        <v/>
      </c>
      <c r="M469" s="143" t="str">
        <f>IF(kokpit!M469&lt;&gt;"",kokpit!M469,"")</f>
        <v/>
      </c>
      <c r="N469" s="117" t="str">
        <f>IF(kokpit!N469&lt;&gt;"",kokpit!N469,"")</f>
        <v/>
      </c>
      <c r="O469" s="117" t="str">
        <f>IF(kokpit!O469&lt;&gt;"",kokpit!O469,"")</f>
        <v/>
      </c>
      <c r="P469" s="141" t="str">
        <f>IF(M469&lt;&gt;"",IF(O469="",SUMIFS('JPK_KR-1'!AL:AL,'JPK_KR-1'!W:W,N469),SUMIFS('JPK_KR-1'!BF:BF,'JPK_KR-1'!BE:BE,N469,'JPK_KR-1'!BG:BG,O469)),"")</f>
        <v/>
      </c>
      <c r="Q469" s="144" t="str">
        <f>IF(M469&lt;&gt;"",IF(O469="",SUMIFS('JPK_KR-1'!AM:AM,'JPK_KR-1'!W:W,N469),SUMIFS('JPK_KR-1'!BI:BI,'JPK_KR-1'!BH:BH,N469,'JPK_KR-1'!BJ:BJ,O469)),"")</f>
        <v/>
      </c>
      <c r="R469" s="117" t="str">
        <f>IF(kokpit!R469&lt;&gt;"",kokpit!R469,"")</f>
        <v/>
      </c>
      <c r="S469" s="117" t="str">
        <f>IF(kokpit!S469&lt;&gt;"",kokpit!S469,"")</f>
        <v/>
      </c>
      <c r="T469" s="117" t="str">
        <f>IF(kokpit!T469&lt;&gt;"",kokpit!T469,"")</f>
        <v/>
      </c>
      <c r="U469" s="141" t="str">
        <f>IF(R469&lt;&gt;"",SUMIFS('JPK_KR-1'!AL:AL,'JPK_KR-1'!W:W,S469),"")</f>
        <v/>
      </c>
      <c r="V469" s="144" t="str">
        <f>IF(R469&lt;&gt;"",SUMIFS('JPK_KR-1'!AM:AM,'JPK_KR-1'!W:W,S469),"")</f>
        <v/>
      </c>
    </row>
    <row r="470" spans="1:22" x14ac:dyDescent="0.3">
      <c r="A470" s="5" t="str">
        <f>IF(kokpit!A470&lt;&gt;"",kokpit!A470,"")</f>
        <v/>
      </c>
      <c r="B470" s="5" t="str">
        <f>IF(kokpit!B470&lt;&gt;"",kokpit!B470,"")</f>
        <v/>
      </c>
      <c r="C470" s="24" t="str">
        <f>IF(A470&lt;&gt;"",SUMIFS('JPK_KR-1'!AL:AL,'JPK_KR-1'!W:W,B470),"")</f>
        <v/>
      </c>
      <c r="D470" s="126" t="str">
        <f>IF(A470&lt;&gt;"",SUMIFS('JPK_KR-1'!AM:AM,'JPK_KR-1'!W:W,B470),"")</f>
        <v/>
      </c>
      <c r="E470" s="5" t="str">
        <f>IF(kokpit!E470&lt;&gt;"",kokpit!E470,"")</f>
        <v/>
      </c>
      <c r="F470" s="127" t="str">
        <f>IF(kokpit!F470&lt;&gt;"",kokpit!F470,"")</f>
        <v/>
      </c>
      <c r="G470" s="24" t="str">
        <f>IF(E470&lt;&gt;"",SUMIFS('JPK_KR-1'!AL:AL,'JPK_KR-1'!W:W,F470),"")</f>
        <v/>
      </c>
      <c r="H470" s="126" t="str">
        <f>IF(E470&lt;&gt;"",SUMIFS('JPK_KR-1'!AM:AM,'JPK_KR-1'!W:W,F470),"")</f>
        <v/>
      </c>
      <c r="I470" s="5" t="str">
        <f>IF(kokpit!I470&lt;&gt;"",kokpit!I470,"")</f>
        <v/>
      </c>
      <c r="J470" s="5" t="str">
        <f>IF(kokpit!J470&lt;&gt;"",kokpit!J470,"")</f>
        <v/>
      </c>
      <c r="K470" s="24" t="str">
        <f>IF(I470&lt;&gt;"",SUMIFS('JPK_KR-1'!AL:AL,'JPK_KR-1'!W:W,J470),"")</f>
        <v/>
      </c>
      <c r="L470" s="141" t="str">
        <f>IF(I470&lt;&gt;"",SUMIFS('JPK_KR-1'!AM:AM,'JPK_KR-1'!W:W,J470),"")</f>
        <v/>
      </c>
      <c r="M470" s="143" t="str">
        <f>IF(kokpit!M470&lt;&gt;"",kokpit!M470,"")</f>
        <v/>
      </c>
      <c r="N470" s="117" t="str">
        <f>IF(kokpit!N470&lt;&gt;"",kokpit!N470,"")</f>
        <v/>
      </c>
      <c r="O470" s="117" t="str">
        <f>IF(kokpit!O470&lt;&gt;"",kokpit!O470,"")</f>
        <v/>
      </c>
      <c r="P470" s="141" t="str">
        <f>IF(M470&lt;&gt;"",IF(O470="",SUMIFS('JPK_KR-1'!AL:AL,'JPK_KR-1'!W:W,N470),SUMIFS('JPK_KR-1'!BF:BF,'JPK_KR-1'!BE:BE,N470,'JPK_KR-1'!BG:BG,O470)),"")</f>
        <v/>
      </c>
      <c r="Q470" s="144" t="str">
        <f>IF(M470&lt;&gt;"",IF(O470="",SUMIFS('JPK_KR-1'!AM:AM,'JPK_KR-1'!W:W,N470),SUMIFS('JPK_KR-1'!BI:BI,'JPK_KR-1'!BH:BH,N470,'JPK_KR-1'!BJ:BJ,O470)),"")</f>
        <v/>
      </c>
      <c r="R470" s="117" t="str">
        <f>IF(kokpit!R470&lt;&gt;"",kokpit!R470,"")</f>
        <v/>
      </c>
      <c r="S470" s="117" t="str">
        <f>IF(kokpit!S470&lt;&gt;"",kokpit!S470,"")</f>
        <v/>
      </c>
      <c r="T470" s="117" t="str">
        <f>IF(kokpit!T470&lt;&gt;"",kokpit!T470,"")</f>
        <v/>
      </c>
      <c r="U470" s="141" t="str">
        <f>IF(R470&lt;&gt;"",SUMIFS('JPK_KR-1'!AL:AL,'JPK_KR-1'!W:W,S470),"")</f>
        <v/>
      </c>
      <c r="V470" s="144" t="str">
        <f>IF(R470&lt;&gt;"",SUMIFS('JPK_KR-1'!AM:AM,'JPK_KR-1'!W:W,S470),"")</f>
        <v/>
      </c>
    </row>
    <row r="471" spans="1:22" x14ac:dyDescent="0.3">
      <c r="A471" s="5" t="str">
        <f>IF(kokpit!A471&lt;&gt;"",kokpit!A471,"")</f>
        <v/>
      </c>
      <c r="B471" s="5" t="str">
        <f>IF(kokpit!B471&lt;&gt;"",kokpit!B471,"")</f>
        <v/>
      </c>
      <c r="C471" s="24" t="str">
        <f>IF(A471&lt;&gt;"",SUMIFS('JPK_KR-1'!AL:AL,'JPK_KR-1'!W:W,B471),"")</f>
        <v/>
      </c>
      <c r="D471" s="126" t="str">
        <f>IF(A471&lt;&gt;"",SUMIFS('JPK_KR-1'!AM:AM,'JPK_KR-1'!W:W,B471),"")</f>
        <v/>
      </c>
      <c r="E471" s="5" t="str">
        <f>IF(kokpit!E471&lt;&gt;"",kokpit!E471,"")</f>
        <v/>
      </c>
      <c r="F471" s="127" t="str">
        <f>IF(kokpit!F471&lt;&gt;"",kokpit!F471,"")</f>
        <v/>
      </c>
      <c r="G471" s="24" t="str">
        <f>IF(E471&lt;&gt;"",SUMIFS('JPK_KR-1'!AL:AL,'JPK_KR-1'!W:W,F471),"")</f>
        <v/>
      </c>
      <c r="H471" s="126" t="str">
        <f>IF(E471&lt;&gt;"",SUMIFS('JPK_KR-1'!AM:AM,'JPK_KR-1'!W:W,F471),"")</f>
        <v/>
      </c>
      <c r="I471" s="5" t="str">
        <f>IF(kokpit!I471&lt;&gt;"",kokpit!I471,"")</f>
        <v/>
      </c>
      <c r="J471" s="5" t="str">
        <f>IF(kokpit!J471&lt;&gt;"",kokpit!J471,"")</f>
        <v/>
      </c>
      <c r="K471" s="24" t="str">
        <f>IF(I471&lt;&gt;"",SUMIFS('JPK_KR-1'!AL:AL,'JPK_KR-1'!W:W,J471),"")</f>
        <v/>
      </c>
      <c r="L471" s="141" t="str">
        <f>IF(I471&lt;&gt;"",SUMIFS('JPK_KR-1'!AM:AM,'JPK_KR-1'!W:W,J471),"")</f>
        <v/>
      </c>
      <c r="M471" s="143" t="str">
        <f>IF(kokpit!M471&lt;&gt;"",kokpit!M471,"")</f>
        <v/>
      </c>
      <c r="N471" s="117" t="str">
        <f>IF(kokpit!N471&lt;&gt;"",kokpit!N471,"")</f>
        <v/>
      </c>
      <c r="O471" s="117" t="str">
        <f>IF(kokpit!O471&lt;&gt;"",kokpit!O471,"")</f>
        <v/>
      </c>
      <c r="P471" s="141" t="str">
        <f>IF(M471&lt;&gt;"",IF(O471="",SUMIFS('JPK_KR-1'!AL:AL,'JPK_KR-1'!W:W,N471),SUMIFS('JPK_KR-1'!BF:BF,'JPK_KR-1'!BE:BE,N471,'JPK_KR-1'!BG:BG,O471)),"")</f>
        <v/>
      </c>
      <c r="Q471" s="144" t="str">
        <f>IF(M471&lt;&gt;"",IF(O471="",SUMIFS('JPK_KR-1'!AM:AM,'JPK_KR-1'!W:W,N471),SUMIFS('JPK_KR-1'!BI:BI,'JPK_KR-1'!BH:BH,N471,'JPK_KR-1'!BJ:BJ,O471)),"")</f>
        <v/>
      </c>
      <c r="R471" s="117" t="str">
        <f>IF(kokpit!R471&lt;&gt;"",kokpit!R471,"")</f>
        <v/>
      </c>
      <c r="S471" s="117" t="str">
        <f>IF(kokpit!S471&lt;&gt;"",kokpit!S471,"")</f>
        <v/>
      </c>
      <c r="T471" s="117" t="str">
        <f>IF(kokpit!T471&lt;&gt;"",kokpit!T471,"")</f>
        <v/>
      </c>
      <c r="U471" s="141" t="str">
        <f>IF(R471&lt;&gt;"",SUMIFS('JPK_KR-1'!AL:AL,'JPK_KR-1'!W:W,S471),"")</f>
        <v/>
      </c>
      <c r="V471" s="144" t="str">
        <f>IF(R471&lt;&gt;"",SUMIFS('JPK_KR-1'!AM:AM,'JPK_KR-1'!W:W,S471),"")</f>
        <v/>
      </c>
    </row>
    <row r="472" spans="1:22" x14ac:dyDescent="0.3">
      <c r="A472" s="5" t="str">
        <f>IF(kokpit!A472&lt;&gt;"",kokpit!A472,"")</f>
        <v/>
      </c>
      <c r="B472" s="5" t="str">
        <f>IF(kokpit!B472&lt;&gt;"",kokpit!B472,"")</f>
        <v/>
      </c>
      <c r="C472" s="24" t="str">
        <f>IF(A472&lt;&gt;"",SUMIFS('JPK_KR-1'!AL:AL,'JPK_KR-1'!W:W,B472),"")</f>
        <v/>
      </c>
      <c r="D472" s="126" t="str">
        <f>IF(A472&lt;&gt;"",SUMIFS('JPK_KR-1'!AM:AM,'JPK_KR-1'!W:W,B472),"")</f>
        <v/>
      </c>
      <c r="E472" s="5" t="str">
        <f>IF(kokpit!E472&lt;&gt;"",kokpit!E472,"")</f>
        <v/>
      </c>
      <c r="F472" s="127" t="str">
        <f>IF(kokpit!F472&lt;&gt;"",kokpit!F472,"")</f>
        <v/>
      </c>
      <c r="G472" s="24" t="str">
        <f>IF(E472&lt;&gt;"",SUMIFS('JPK_KR-1'!AL:AL,'JPK_KR-1'!W:W,F472),"")</f>
        <v/>
      </c>
      <c r="H472" s="126" t="str">
        <f>IF(E472&lt;&gt;"",SUMIFS('JPK_KR-1'!AM:AM,'JPK_KR-1'!W:W,F472),"")</f>
        <v/>
      </c>
      <c r="I472" s="5" t="str">
        <f>IF(kokpit!I472&lt;&gt;"",kokpit!I472,"")</f>
        <v/>
      </c>
      <c r="J472" s="5" t="str">
        <f>IF(kokpit!J472&lt;&gt;"",kokpit!J472,"")</f>
        <v/>
      </c>
      <c r="K472" s="24" t="str">
        <f>IF(I472&lt;&gt;"",SUMIFS('JPK_KR-1'!AL:AL,'JPK_KR-1'!W:W,J472),"")</f>
        <v/>
      </c>
      <c r="L472" s="141" t="str">
        <f>IF(I472&lt;&gt;"",SUMIFS('JPK_KR-1'!AM:AM,'JPK_KR-1'!W:W,J472),"")</f>
        <v/>
      </c>
      <c r="M472" s="143" t="str">
        <f>IF(kokpit!M472&lt;&gt;"",kokpit!M472,"")</f>
        <v/>
      </c>
      <c r="N472" s="117" t="str">
        <f>IF(kokpit!N472&lt;&gt;"",kokpit!N472,"")</f>
        <v/>
      </c>
      <c r="O472" s="117" t="str">
        <f>IF(kokpit!O472&lt;&gt;"",kokpit!O472,"")</f>
        <v/>
      </c>
      <c r="P472" s="141" t="str">
        <f>IF(M472&lt;&gt;"",IF(O472="",SUMIFS('JPK_KR-1'!AL:AL,'JPK_KR-1'!W:W,N472),SUMIFS('JPK_KR-1'!BF:BF,'JPK_KR-1'!BE:BE,N472,'JPK_KR-1'!BG:BG,O472)),"")</f>
        <v/>
      </c>
      <c r="Q472" s="144" t="str">
        <f>IF(M472&lt;&gt;"",IF(O472="",SUMIFS('JPK_KR-1'!AM:AM,'JPK_KR-1'!W:W,N472),SUMIFS('JPK_KR-1'!BI:BI,'JPK_KR-1'!BH:BH,N472,'JPK_KR-1'!BJ:BJ,O472)),"")</f>
        <v/>
      </c>
      <c r="R472" s="117" t="str">
        <f>IF(kokpit!R472&lt;&gt;"",kokpit!R472,"")</f>
        <v/>
      </c>
      <c r="S472" s="117" t="str">
        <f>IF(kokpit!S472&lt;&gt;"",kokpit!S472,"")</f>
        <v/>
      </c>
      <c r="T472" s="117" t="str">
        <f>IF(kokpit!T472&lt;&gt;"",kokpit!T472,"")</f>
        <v/>
      </c>
      <c r="U472" s="141" t="str">
        <f>IF(R472&lt;&gt;"",SUMIFS('JPK_KR-1'!AL:AL,'JPK_KR-1'!W:W,S472),"")</f>
        <v/>
      </c>
      <c r="V472" s="144" t="str">
        <f>IF(R472&lt;&gt;"",SUMIFS('JPK_KR-1'!AM:AM,'JPK_KR-1'!W:W,S472),"")</f>
        <v/>
      </c>
    </row>
    <row r="473" spans="1:22" x14ac:dyDescent="0.3">
      <c r="A473" s="5" t="str">
        <f>IF(kokpit!A473&lt;&gt;"",kokpit!A473,"")</f>
        <v/>
      </c>
      <c r="B473" s="5" t="str">
        <f>IF(kokpit!B473&lt;&gt;"",kokpit!B473,"")</f>
        <v/>
      </c>
      <c r="C473" s="24" t="str">
        <f>IF(A473&lt;&gt;"",SUMIFS('JPK_KR-1'!AL:AL,'JPK_KR-1'!W:W,B473),"")</f>
        <v/>
      </c>
      <c r="D473" s="126" t="str">
        <f>IF(A473&lt;&gt;"",SUMIFS('JPK_KR-1'!AM:AM,'JPK_KR-1'!W:W,B473),"")</f>
        <v/>
      </c>
      <c r="E473" s="5" t="str">
        <f>IF(kokpit!E473&lt;&gt;"",kokpit!E473,"")</f>
        <v/>
      </c>
      <c r="F473" s="127" t="str">
        <f>IF(kokpit!F473&lt;&gt;"",kokpit!F473,"")</f>
        <v/>
      </c>
      <c r="G473" s="24" t="str">
        <f>IF(E473&lt;&gt;"",SUMIFS('JPK_KR-1'!AL:AL,'JPK_KR-1'!W:W,F473),"")</f>
        <v/>
      </c>
      <c r="H473" s="126" t="str">
        <f>IF(E473&lt;&gt;"",SUMIFS('JPK_KR-1'!AM:AM,'JPK_KR-1'!W:W,F473),"")</f>
        <v/>
      </c>
      <c r="I473" s="5" t="str">
        <f>IF(kokpit!I473&lt;&gt;"",kokpit!I473,"")</f>
        <v/>
      </c>
      <c r="J473" s="5" t="str">
        <f>IF(kokpit!J473&lt;&gt;"",kokpit!J473,"")</f>
        <v/>
      </c>
      <c r="K473" s="24" t="str">
        <f>IF(I473&lt;&gt;"",SUMIFS('JPK_KR-1'!AL:AL,'JPK_KR-1'!W:W,J473),"")</f>
        <v/>
      </c>
      <c r="L473" s="141" t="str">
        <f>IF(I473&lt;&gt;"",SUMIFS('JPK_KR-1'!AM:AM,'JPK_KR-1'!W:W,J473),"")</f>
        <v/>
      </c>
      <c r="M473" s="143" t="str">
        <f>IF(kokpit!M473&lt;&gt;"",kokpit!M473,"")</f>
        <v/>
      </c>
      <c r="N473" s="117" t="str">
        <f>IF(kokpit!N473&lt;&gt;"",kokpit!N473,"")</f>
        <v/>
      </c>
      <c r="O473" s="117" t="str">
        <f>IF(kokpit!O473&lt;&gt;"",kokpit!O473,"")</f>
        <v/>
      </c>
      <c r="P473" s="141" t="str">
        <f>IF(M473&lt;&gt;"",IF(O473="",SUMIFS('JPK_KR-1'!AL:AL,'JPK_KR-1'!W:W,N473),SUMIFS('JPK_KR-1'!BF:BF,'JPK_KR-1'!BE:BE,N473,'JPK_KR-1'!BG:BG,O473)),"")</f>
        <v/>
      </c>
      <c r="Q473" s="144" t="str">
        <f>IF(M473&lt;&gt;"",IF(O473="",SUMIFS('JPK_KR-1'!AM:AM,'JPK_KR-1'!W:W,N473),SUMIFS('JPK_KR-1'!BI:BI,'JPK_KR-1'!BH:BH,N473,'JPK_KR-1'!BJ:BJ,O473)),"")</f>
        <v/>
      </c>
      <c r="R473" s="117" t="str">
        <f>IF(kokpit!R473&lt;&gt;"",kokpit!R473,"")</f>
        <v/>
      </c>
      <c r="S473" s="117" t="str">
        <f>IF(kokpit!S473&lt;&gt;"",kokpit!S473,"")</f>
        <v/>
      </c>
      <c r="T473" s="117" t="str">
        <f>IF(kokpit!T473&lt;&gt;"",kokpit!T473,"")</f>
        <v/>
      </c>
      <c r="U473" s="141" t="str">
        <f>IF(R473&lt;&gt;"",SUMIFS('JPK_KR-1'!AL:AL,'JPK_KR-1'!W:W,S473),"")</f>
        <v/>
      </c>
      <c r="V473" s="144" t="str">
        <f>IF(R473&lt;&gt;"",SUMIFS('JPK_KR-1'!AM:AM,'JPK_KR-1'!W:W,S473),"")</f>
        <v/>
      </c>
    </row>
    <row r="474" spans="1:22" x14ac:dyDescent="0.3">
      <c r="A474" s="5" t="str">
        <f>IF(kokpit!A474&lt;&gt;"",kokpit!A474,"")</f>
        <v/>
      </c>
      <c r="B474" s="5" t="str">
        <f>IF(kokpit!B474&lt;&gt;"",kokpit!B474,"")</f>
        <v/>
      </c>
      <c r="C474" s="24" t="str">
        <f>IF(A474&lt;&gt;"",SUMIFS('JPK_KR-1'!AL:AL,'JPK_KR-1'!W:W,B474),"")</f>
        <v/>
      </c>
      <c r="D474" s="126" t="str">
        <f>IF(A474&lt;&gt;"",SUMIFS('JPK_KR-1'!AM:AM,'JPK_KR-1'!W:W,B474),"")</f>
        <v/>
      </c>
      <c r="E474" s="5" t="str">
        <f>IF(kokpit!E474&lt;&gt;"",kokpit!E474,"")</f>
        <v/>
      </c>
      <c r="F474" s="127" t="str">
        <f>IF(kokpit!F474&lt;&gt;"",kokpit!F474,"")</f>
        <v/>
      </c>
      <c r="G474" s="24" t="str">
        <f>IF(E474&lt;&gt;"",SUMIFS('JPK_KR-1'!AL:AL,'JPK_KR-1'!W:W,F474),"")</f>
        <v/>
      </c>
      <c r="H474" s="126" t="str">
        <f>IF(E474&lt;&gt;"",SUMIFS('JPK_KR-1'!AM:AM,'JPK_KR-1'!W:W,F474),"")</f>
        <v/>
      </c>
      <c r="I474" s="5" t="str">
        <f>IF(kokpit!I474&lt;&gt;"",kokpit!I474,"")</f>
        <v/>
      </c>
      <c r="J474" s="5" t="str">
        <f>IF(kokpit!J474&lt;&gt;"",kokpit!J474,"")</f>
        <v/>
      </c>
      <c r="K474" s="24" t="str">
        <f>IF(I474&lt;&gt;"",SUMIFS('JPK_KR-1'!AL:AL,'JPK_KR-1'!W:W,J474),"")</f>
        <v/>
      </c>
      <c r="L474" s="141" t="str">
        <f>IF(I474&lt;&gt;"",SUMIFS('JPK_KR-1'!AM:AM,'JPK_KR-1'!W:W,J474),"")</f>
        <v/>
      </c>
      <c r="M474" s="143" t="str">
        <f>IF(kokpit!M474&lt;&gt;"",kokpit!M474,"")</f>
        <v/>
      </c>
      <c r="N474" s="117" t="str">
        <f>IF(kokpit!N474&lt;&gt;"",kokpit!N474,"")</f>
        <v/>
      </c>
      <c r="O474" s="117" t="str">
        <f>IF(kokpit!O474&lt;&gt;"",kokpit!O474,"")</f>
        <v/>
      </c>
      <c r="P474" s="141" t="str">
        <f>IF(M474&lt;&gt;"",IF(O474="",SUMIFS('JPK_KR-1'!AL:AL,'JPK_KR-1'!W:W,N474),SUMIFS('JPK_KR-1'!BF:BF,'JPK_KR-1'!BE:BE,N474,'JPK_KR-1'!BG:BG,O474)),"")</f>
        <v/>
      </c>
      <c r="Q474" s="144" t="str">
        <f>IF(M474&lt;&gt;"",IF(O474="",SUMIFS('JPK_KR-1'!AM:AM,'JPK_KR-1'!W:W,N474),SUMIFS('JPK_KR-1'!BI:BI,'JPK_KR-1'!BH:BH,N474,'JPK_KR-1'!BJ:BJ,O474)),"")</f>
        <v/>
      </c>
      <c r="R474" s="117" t="str">
        <f>IF(kokpit!R474&lt;&gt;"",kokpit!R474,"")</f>
        <v/>
      </c>
      <c r="S474" s="117" t="str">
        <f>IF(kokpit!S474&lt;&gt;"",kokpit!S474,"")</f>
        <v/>
      </c>
      <c r="T474" s="117" t="str">
        <f>IF(kokpit!T474&lt;&gt;"",kokpit!T474,"")</f>
        <v/>
      </c>
      <c r="U474" s="141" t="str">
        <f>IF(R474&lt;&gt;"",SUMIFS('JPK_KR-1'!AL:AL,'JPK_KR-1'!W:W,S474),"")</f>
        <v/>
      </c>
      <c r="V474" s="144" t="str">
        <f>IF(R474&lt;&gt;"",SUMIFS('JPK_KR-1'!AM:AM,'JPK_KR-1'!W:W,S474),"")</f>
        <v/>
      </c>
    </row>
    <row r="475" spans="1:22" x14ac:dyDescent="0.3">
      <c r="A475" s="5" t="str">
        <f>IF(kokpit!A475&lt;&gt;"",kokpit!A475,"")</f>
        <v/>
      </c>
      <c r="B475" s="5" t="str">
        <f>IF(kokpit!B475&lt;&gt;"",kokpit!B475,"")</f>
        <v/>
      </c>
      <c r="C475" s="24" t="str">
        <f>IF(A475&lt;&gt;"",SUMIFS('JPK_KR-1'!AL:AL,'JPK_KR-1'!W:W,B475),"")</f>
        <v/>
      </c>
      <c r="D475" s="126" t="str">
        <f>IF(A475&lt;&gt;"",SUMIFS('JPK_KR-1'!AM:AM,'JPK_KR-1'!W:W,B475),"")</f>
        <v/>
      </c>
      <c r="E475" s="5" t="str">
        <f>IF(kokpit!E475&lt;&gt;"",kokpit!E475,"")</f>
        <v/>
      </c>
      <c r="F475" s="127" t="str">
        <f>IF(kokpit!F475&lt;&gt;"",kokpit!F475,"")</f>
        <v/>
      </c>
      <c r="G475" s="24" t="str">
        <f>IF(E475&lt;&gt;"",SUMIFS('JPK_KR-1'!AL:AL,'JPK_KR-1'!W:W,F475),"")</f>
        <v/>
      </c>
      <c r="H475" s="126" t="str">
        <f>IF(E475&lt;&gt;"",SUMIFS('JPK_KR-1'!AM:AM,'JPK_KR-1'!W:W,F475),"")</f>
        <v/>
      </c>
      <c r="I475" s="5" t="str">
        <f>IF(kokpit!I475&lt;&gt;"",kokpit!I475,"")</f>
        <v/>
      </c>
      <c r="J475" s="5" t="str">
        <f>IF(kokpit!J475&lt;&gt;"",kokpit!J475,"")</f>
        <v/>
      </c>
      <c r="K475" s="24" t="str">
        <f>IF(I475&lt;&gt;"",SUMIFS('JPK_KR-1'!AL:AL,'JPK_KR-1'!W:W,J475),"")</f>
        <v/>
      </c>
      <c r="L475" s="141" t="str">
        <f>IF(I475&lt;&gt;"",SUMIFS('JPK_KR-1'!AM:AM,'JPK_KR-1'!W:W,J475),"")</f>
        <v/>
      </c>
      <c r="M475" s="143" t="str">
        <f>IF(kokpit!M475&lt;&gt;"",kokpit!M475,"")</f>
        <v/>
      </c>
      <c r="N475" s="117" t="str">
        <f>IF(kokpit!N475&lt;&gt;"",kokpit!N475,"")</f>
        <v/>
      </c>
      <c r="O475" s="117" t="str">
        <f>IF(kokpit!O475&lt;&gt;"",kokpit!O475,"")</f>
        <v/>
      </c>
      <c r="P475" s="141" t="str">
        <f>IF(M475&lt;&gt;"",IF(O475="",SUMIFS('JPK_KR-1'!AL:AL,'JPK_KR-1'!W:W,N475),SUMIFS('JPK_KR-1'!BF:BF,'JPK_KR-1'!BE:BE,N475,'JPK_KR-1'!BG:BG,O475)),"")</f>
        <v/>
      </c>
      <c r="Q475" s="144" t="str">
        <f>IF(M475&lt;&gt;"",IF(O475="",SUMIFS('JPK_KR-1'!AM:AM,'JPK_KR-1'!W:W,N475),SUMIFS('JPK_KR-1'!BI:BI,'JPK_KR-1'!BH:BH,N475,'JPK_KR-1'!BJ:BJ,O475)),"")</f>
        <v/>
      </c>
      <c r="R475" s="117" t="str">
        <f>IF(kokpit!R475&lt;&gt;"",kokpit!R475,"")</f>
        <v/>
      </c>
      <c r="S475" s="117" t="str">
        <f>IF(kokpit!S475&lt;&gt;"",kokpit!S475,"")</f>
        <v/>
      </c>
      <c r="T475" s="117" t="str">
        <f>IF(kokpit!T475&lt;&gt;"",kokpit!T475,"")</f>
        <v/>
      </c>
      <c r="U475" s="141" t="str">
        <f>IF(R475&lt;&gt;"",SUMIFS('JPK_KR-1'!AL:AL,'JPK_KR-1'!W:W,S475),"")</f>
        <v/>
      </c>
      <c r="V475" s="144" t="str">
        <f>IF(R475&lt;&gt;"",SUMIFS('JPK_KR-1'!AM:AM,'JPK_KR-1'!W:W,S475),"")</f>
        <v/>
      </c>
    </row>
    <row r="476" spans="1:22" x14ac:dyDescent="0.3">
      <c r="A476" s="5" t="str">
        <f>IF(kokpit!A476&lt;&gt;"",kokpit!A476,"")</f>
        <v/>
      </c>
      <c r="B476" s="5" t="str">
        <f>IF(kokpit!B476&lt;&gt;"",kokpit!B476,"")</f>
        <v/>
      </c>
      <c r="C476" s="24" t="str">
        <f>IF(A476&lt;&gt;"",SUMIFS('JPK_KR-1'!AL:AL,'JPK_KR-1'!W:W,B476),"")</f>
        <v/>
      </c>
      <c r="D476" s="126" t="str">
        <f>IF(A476&lt;&gt;"",SUMIFS('JPK_KR-1'!AM:AM,'JPK_KR-1'!W:W,B476),"")</f>
        <v/>
      </c>
      <c r="E476" s="5" t="str">
        <f>IF(kokpit!E476&lt;&gt;"",kokpit!E476,"")</f>
        <v/>
      </c>
      <c r="F476" s="127" t="str">
        <f>IF(kokpit!F476&lt;&gt;"",kokpit!F476,"")</f>
        <v/>
      </c>
      <c r="G476" s="24" t="str">
        <f>IF(E476&lt;&gt;"",SUMIFS('JPK_KR-1'!AL:AL,'JPK_KR-1'!W:W,F476),"")</f>
        <v/>
      </c>
      <c r="H476" s="126" t="str">
        <f>IF(E476&lt;&gt;"",SUMIFS('JPK_KR-1'!AM:AM,'JPK_KR-1'!W:W,F476),"")</f>
        <v/>
      </c>
      <c r="I476" s="5" t="str">
        <f>IF(kokpit!I476&lt;&gt;"",kokpit!I476,"")</f>
        <v/>
      </c>
      <c r="J476" s="5" t="str">
        <f>IF(kokpit!J476&lt;&gt;"",kokpit!J476,"")</f>
        <v/>
      </c>
      <c r="K476" s="24" t="str">
        <f>IF(I476&lt;&gt;"",SUMIFS('JPK_KR-1'!AL:AL,'JPK_KR-1'!W:W,J476),"")</f>
        <v/>
      </c>
      <c r="L476" s="141" t="str">
        <f>IF(I476&lt;&gt;"",SUMIFS('JPK_KR-1'!AM:AM,'JPK_KR-1'!W:W,J476),"")</f>
        <v/>
      </c>
      <c r="M476" s="143" t="str">
        <f>IF(kokpit!M476&lt;&gt;"",kokpit!M476,"")</f>
        <v/>
      </c>
      <c r="N476" s="117" t="str">
        <f>IF(kokpit!N476&lt;&gt;"",kokpit!N476,"")</f>
        <v/>
      </c>
      <c r="O476" s="117" t="str">
        <f>IF(kokpit!O476&lt;&gt;"",kokpit!O476,"")</f>
        <v/>
      </c>
      <c r="P476" s="141" t="str">
        <f>IF(M476&lt;&gt;"",IF(O476="",SUMIFS('JPK_KR-1'!AL:AL,'JPK_KR-1'!W:W,N476),SUMIFS('JPK_KR-1'!BF:BF,'JPK_KR-1'!BE:BE,N476,'JPK_KR-1'!BG:BG,O476)),"")</f>
        <v/>
      </c>
      <c r="Q476" s="144" t="str">
        <f>IF(M476&lt;&gt;"",IF(O476="",SUMIFS('JPK_KR-1'!AM:AM,'JPK_KR-1'!W:W,N476),SUMIFS('JPK_KR-1'!BI:BI,'JPK_KR-1'!BH:BH,N476,'JPK_KR-1'!BJ:BJ,O476)),"")</f>
        <v/>
      </c>
      <c r="R476" s="117" t="str">
        <f>IF(kokpit!R476&lt;&gt;"",kokpit!R476,"")</f>
        <v/>
      </c>
      <c r="S476" s="117" t="str">
        <f>IF(kokpit!S476&lt;&gt;"",kokpit!S476,"")</f>
        <v/>
      </c>
      <c r="T476" s="117" t="str">
        <f>IF(kokpit!T476&lt;&gt;"",kokpit!T476,"")</f>
        <v/>
      </c>
      <c r="U476" s="141" t="str">
        <f>IF(R476&lt;&gt;"",SUMIFS('JPK_KR-1'!AL:AL,'JPK_KR-1'!W:W,S476),"")</f>
        <v/>
      </c>
      <c r="V476" s="144" t="str">
        <f>IF(R476&lt;&gt;"",SUMIFS('JPK_KR-1'!AM:AM,'JPK_KR-1'!W:W,S476),"")</f>
        <v/>
      </c>
    </row>
    <row r="477" spans="1:22" x14ac:dyDescent="0.3">
      <c r="A477" s="5" t="str">
        <f>IF(kokpit!A477&lt;&gt;"",kokpit!A477,"")</f>
        <v/>
      </c>
      <c r="B477" s="5" t="str">
        <f>IF(kokpit!B477&lt;&gt;"",kokpit!B477,"")</f>
        <v/>
      </c>
      <c r="C477" s="24" t="str">
        <f>IF(A477&lt;&gt;"",SUMIFS('JPK_KR-1'!AL:AL,'JPK_KR-1'!W:W,B477),"")</f>
        <v/>
      </c>
      <c r="D477" s="126" t="str">
        <f>IF(A477&lt;&gt;"",SUMIFS('JPK_KR-1'!AM:AM,'JPK_KR-1'!W:W,B477),"")</f>
        <v/>
      </c>
      <c r="E477" s="5" t="str">
        <f>IF(kokpit!E477&lt;&gt;"",kokpit!E477,"")</f>
        <v/>
      </c>
      <c r="F477" s="127" t="str">
        <f>IF(kokpit!F477&lt;&gt;"",kokpit!F477,"")</f>
        <v/>
      </c>
      <c r="G477" s="24" t="str">
        <f>IF(E477&lt;&gt;"",SUMIFS('JPK_KR-1'!AL:AL,'JPK_KR-1'!W:W,F477),"")</f>
        <v/>
      </c>
      <c r="H477" s="126" t="str">
        <f>IF(E477&lt;&gt;"",SUMIFS('JPK_KR-1'!AM:AM,'JPK_KR-1'!W:W,F477),"")</f>
        <v/>
      </c>
      <c r="I477" s="5" t="str">
        <f>IF(kokpit!I477&lt;&gt;"",kokpit!I477,"")</f>
        <v/>
      </c>
      <c r="J477" s="5" t="str">
        <f>IF(kokpit!J477&lt;&gt;"",kokpit!J477,"")</f>
        <v/>
      </c>
      <c r="K477" s="24" t="str">
        <f>IF(I477&lt;&gt;"",SUMIFS('JPK_KR-1'!AL:AL,'JPK_KR-1'!W:W,J477),"")</f>
        <v/>
      </c>
      <c r="L477" s="141" t="str">
        <f>IF(I477&lt;&gt;"",SUMIFS('JPK_KR-1'!AM:AM,'JPK_KR-1'!W:W,J477),"")</f>
        <v/>
      </c>
      <c r="M477" s="143" t="str">
        <f>IF(kokpit!M477&lt;&gt;"",kokpit!M477,"")</f>
        <v/>
      </c>
      <c r="N477" s="117" t="str">
        <f>IF(kokpit!N477&lt;&gt;"",kokpit!N477,"")</f>
        <v/>
      </c>
      <c r="O477" s="117" t="str">
        <f>IF(kokpit!O477&lt;&gt;"",kokpit!O477,"")</f>
        <v/>
      </c>
      <c r="P477" s="141" t="str">
        <f>IF(M477&lt;&gt;"",IF(O477="",SUMIFS('JPK_KR-1'!AL:AL,'JPK_KR-1'!W:W,N477),SUMIFS('JPK_KR-1'!BF:BF,'JPK_KR-1'!BE:BE,N477,'JPK_KR-1'!BG:BG,O477)),"")</f>
        <v/>
      </c>
      <c r="Q477" s="144" t="str">
        <f>IF(M477&lt;&gt;"",IF(O477="",SUMIFS('JPK_KR-1'!AM:AM,'JPK_KR-1'!W:W,N477),SUMIFS('JPK_KR-1'!BI:BI,'JPK_KR-1'!BH:BH,N477,'JPK_KR-1'!BJ:BJ,O477)),"")</f>
        <v/>
      </c>
      <c r="R477" s="117" t="str">
        <f>IF(kokpit!R477&lt;&gt;"",kokpit!R477,"")</f>
        <v/>
      </c>
      <c r="S477" s="117" t="str">
        <f>IF(kokpit!S477&lt;&gt;"",kokpit!S477,"")</f>
        <v/>
      </c>
      <c r="T477" s="117" t="str">
        <f>IF(kokpit!T477&lt;&gt;"",kokpit!T477,"")</f>
        <v/>
      </c>
      <c r="U477" s="141" t="str">
        <f>IF(R477&lt;&gt;"",SUMIFS('JPK_KR-1'!AL:AL,'JPK_KR-1'!W:W,S477),"")</f>
        <v/>
      </c>
      <c r="V477" s="144" t="str">
        <f>IF(R477&lt;&gt;"",SUMIFS('JPK_KR-1'!AM:AM,'JPK_KR-1'!W:W,S477),"")</f>
        <v/>
      </c>
    </row>
    <row r="478" spans="1:22" x14ac:dyDescent="0.3">
      <c r="A478" s="5" t="str">
        <f>IF(kokpit!A478&lt;&gt;"",kokpit!A478,"")</f>
        <v/>
      </c>
      <c r="B478" s="5" t="str">
        <f>IF(kokpit!B478&lt;&gt;"",kokpit!B478,"")</f>
        <v/>
      </c>
      <c r="C478" s="24" t="str">
        <f>IF(A478&lt;&gt;"",SUMIFS('JPK_KR-1'!AL:AL,'JPK_KR-1'!W:W,B478),"")</f>
        <v/>
      </c>
      <c r="D478" s="126" t="str">
        <f>IF(A478&lt;&gt;"",SUMIFS('JPK_KR-1'!AM:AM,'JPK_KR-1'!W:W,B478),"")</f>
        <v/>
      </c>
      <c r="E478" s="5" t="str">
        <f>IF(kokpit!E478&lt;&gt;"",kokpit!E478,"")</f>
        <v/>
      </c>
      <c r="F478" s="127" t="str">
        <f>IF(kokpit!F478&lt;&gt;"",kokpit!F478,"")</f>
        <v/>
      </c>
      <c r="G478" s="24" t="str">
        <f>IF(E478&lt;&gt;"",SUMIFS('JPK_KR-1'!AL:AL,'JPK_KR-1'!W:W,F478),"")</f>
        <v/>
      </c>
      <c r="H478" s="126" t="str">
        <f>IF(E478&lt;&gt;"",SUMIFS('JPK_KR-1'!AM:AM,'JPK_KR-1'!W:W,F478),"")</f>
        <v/>
      </c>
      <c r="I478" s="5" t="str">
        <f>IF(kokpit!I478&lt;&gt;"",kokpit!I478,"")</f>
        <v/>
      </c>
      <c r="J478" s="5" t="str">
        <f>IF(kokpit!J478&lt;&gt;"",kokpit!J478,"")</f>
        <v/>
      </c>
      <c r="K478" s="24" t="str">
        <f>IF(I478&lt;&gt;"",SUMIFS('JPK_KR-1'!AL:AL,'JPK_KR-1'!W:W,J478),"")</f>
        <v/>
      </c>
      <c r="L478" s="141" t="str">
        <f>IF(I478&lt;&gt;"",SUMIFS('JPK_KR-1'!AM:AM,'JPK_KR-1'!W:W,J478),"")</f>
        <v/>
      </c>
      <c r="M478" s="143" t="str">
        <f>IF(kokpit!M478&lt;&gt;"",kokpit!M478,"")</f>
        <v/>
      </c>
      <c r="N478" s="117" t="str">
        <f>IF(kokpit!N478&lt;&gt;"",kokpit!N478,"")</f>
        <v/>
      </c>
      <c r="O478" s="117" t="str">
        <f>IF(kokpit!O478&lt;&gt;"",kokpit!O478,"")</f>
        <v/>
      </c>
      <c r="P478" s="141" t="str">
        <f>IF(M478&lt;&gt;"",IF(O478="",SUMIFS('JPK_KR-1'!AL:AL,'JPK_KR-1'!W:W,N478),SUMIFS('JPK_KR-1'!BF:BF,'JPK_KR-1'!BE:BE,N478,'JPK_KR-1'!BG:BG,O478)),"")</f>
        <v/>
      </c>
      <c r="Q478" s="144" t="str">
        <f>IF(M478&lt;&gt;"",IF(O478="",SUMIFS('JPK_KR-1'!AM:AM,'JPK_KR-1'!W:W,N478),SUMIFS('JPK_KR-1'!BI:BI,'JPK_KR-1'!BH:BH,N478,'JPK_KR-1'!BJ:BJ,O478)),"")</f>
        <v/>
      </c>
      <c r="R478" s="117" t="str">
        <f>IF(kokpit!R478&lt;&gt;"",kokpit!R478,"")</f>
        <v/>
      </c>
      <c r="S478" s="117" t="str">
        <f>IF(kokpit!S478&lt;&gt;"",kokpit!S478,"")</f>
        <v/>
      </c>
      <c r="T478" s="117" t="str">
        <f>IF(kokpit!T478&lt;&gt;"",kokpit!T478,"")</f>
        <v/>
      </c>
      <c r="U478" s="141" t="str">
        <f>IF(R478&lt;&gt;"",SUMIFS('JPK_KR-1'!AL:AL,'JPK_KR-1'!W:W,S478),"")</f>
        <v/>
      </c>
      <c r="V478" s="144" t="str">
        <f>IF(R478&lt;&gt;"",SUMIFS('JPK_KR-1'!AM:AM,'JPK_KR-1'!W:W,S478),"")</f>
        <v/>
      </c>
    </row>
    <row r="479" spans="1:22" x14ac:dyDescent="0.3">
      <c r="A479" s="5" t="str">
        <f>IF(kokpit!A479&lt;&gt;"",kokpit!A479,"")</f>
        <v/>
      </c>
      <c r="B479" s="5" t="str">
        <f>IF(kokpit!B479&lt;&gt;"",kokpit!B479,"")</f>
        <v/>
      </c>
      <c r="C479" s="24" t="str">
        <f>IF(A479&lt;&gt;"",SUMIFS('JPK_KR-1'!AL:AL,'JPK_KR-1'!W:W,B479),"")</f>
        <v/>
      </c>
      <c r="D479" s="126" t="str">
        <f>IF(A479&lt;&gt;"",SUMIFS('JPK_KR-1'!AM:AM,'JPK_KR-1'!W:W,B479),"")</f>
        <v/>
      </c>
      <c r="E479" s="5" t="str">
        <f>IF(kokpit!E479&lt;&gt;"",kokpit!E479,"")</f>
        <v/>
      </c>
      <c r="F479" s="127" t="str">
        <f>IF(kokpit!F479&lt;&gt;"",kokpit!F479,"")</f>
        <v/>
      </c>
      <c r="G479" s="24" t="str">
        <f>IF(E479&lt;&gt;"",SUMIFS('JPK_KR-1'!AL:AL,'JPK_KR-1'!W:W,F479),"")</f>
        <v/>
      </c>
      <c r="H479" s="126" t="str">
        <f>IF(E479&lt;&gt;"",SUMIFS('JPK_KR-1'!AM:AM,'JPK_KR-1'!W:W,F479),"")</f>
        <v/>
      </c>
      <c r="I479" s="5" t="str">
        <f>IF(kokpit!I479&lt;&gt;"",kokpit!I479,"")</f>
        <v/>
      </c>
      <c r="J479" s="5" t="str">
        <f>IF(kokpit!J479&lt;&gt;"",kokpit!J479,"")</f>
        <v/>
      </c>
      <c r="K479" s="24" t="str">
        <f>IF(I479&lt;&gt;"",SUMIFS('JPK_KR-1'!AL:AL,'JPK_KR-1'!W:W,J479),"")</f>
        <v/>
      </c>
      <c r="L479" s="141" t="str">
        <f>IF(I479&lt;&gt;"",SUMIFS('JPK_KR-1'!AM:AM,'JPK_KR-1'!W:W,J479),"")</f>
        <v/>
      </c>
      <c r="M479" s="143" t="str">
        <f>IF(kokpit!M479&lt;&gt;"",kokpit!M479,"")</f>
        <v/>
      </c>
      <c r="N479" s="117" t="str">
        <f>IF(kokpit!N479&lt;&gt;"",kokpit!N479,"")</f>
        <v/>
      </c>
      <c r="O479" s="117" t="str">
        <f>IF(kokpit!O479&lt;&gt;"",kokpit!O479,"")</f>
        <v/>
      </c>
      <c r="P479" s="141" t="str">
        <f>IF(M479&lt;&gt;"",IF(O479="",SUMIFS('JPK_KR-1'!AL:AL,'JPK_KR-1'!W:W,N479),SUMIFS('JPK_KR-1'!BF:BF,'JPK_KR-1'!BE:BE,N479,'JPK_KR-1'!BG:BG,O479)),"")</f>
        <v/>
      </c>
      <c r="Q479" s="144" t="str">
        <f>IF(M479&lt;&gt;"",IF(O479="",SUMIFS('JPK_KR-1'!AM:AM,'JPK_KR-1'!W:W,N479),SUMIFS('JPK_KR-1'!BI:BI,'JPK_KR-1'!BH:BH,N479,'JPK_KR-1'!BJ:BJ,O479)),"")</f>
        <v/>
      </c>
      <c r="R479" s="117" t="str">
        <f>IF(kokpit!R479&lt;&gt;"",kokpit!R479,"")</f>
        <v/>
      </c>
      <c r="S479" s="117" t="str">
        <f>IF(kokpit!S479&lt;&gt;"",kokpit!S479,"")</f>
        <v/>
      </c>
      <c r="T479" s="117" t="str">
        <f>IF(kokpit!T479&lt;&gt;"",kokpit!T479,"")</f>
        <v/>
      </c>
      <c r="U479" s="141" t="str">
        <f>IF(R479&lt;&gt;"",SUMIFS('JPK_KR-1'!AL:AL,'JPK_KR-1'!W:W,S479),"")</f>
        <v/>
      </c>
      <c r="V479" s="144" t="str">
        <f>IF(R479&lt;&gt;"",SUMIFS('JPK_KR-1'!AM:AM,'JPK_KR-1'!W:W,S479),"")</f>
        <v/>
      </c>
    </row>
    <row r="480" spans="1:22" x14ac:dyDescent="0.3">
      <c r="A480" s="5" t="str">
        <f>IF(kokpit!A480&lt;&gt;"",kokpit!A480,"")</f>
        <v/>
      </c>
      <c r="B480" s="5" t="str">
        <f>IF(kokpit!B480&lt;&gt;"",kokpit!B480,"")</f>
        <v/>
      </c>
      <c r="C480" s="24" t="str">
        <f>IF(A480&lt;&gt;"",SUMIFS('JPK_KR-1'!AL:AL,'JPK_KR-1'!W:W,B480),"")</f>
        <v/>
      </c>
      <c r="D480" s="126" t="str">
        <f>IF(A480&lt;&gt;"",SUMIFS('JPK_KR-1'!AM:AM,'JPK_KR-1'!W:W,B480),"")</f>
        <v/>
      </c>
      <c r="E480" s="5" t="str">
        <f>IF(kokpit!E480&lt;&gt;"",kokpit!E480,"")</f>
        <v/>
      </c>
      <c r="F480" s="127" t="str">
        <f>IF(kokpit!F480&lt;&gt;"",kokpit!F480,"")</f>
        <v/>
      </c>
      <c r="G480" s="24" t="str">
        <f>IF(E480&lt;&gt;"",SUMIFS('JPK_KR-1'!AL:AL,'JPK_KR-1'!W:W,F480),"")</f>
        <v/>
      </c>
      <c r="H480" s="126" t="str">
        <f>IF(E480&lt;&gt;"",SUMIFS('JPK_KR-1'!AM:AM,'JPK_KR-1'!W:W,F480),"")</f>
        <v/>
      </c>
      <c r="I480" s="5" t="str">
        <f>IF(kokpit!I480&lt;&gt;"",kokpit!I480,"")</f>
        <v/>
      </c>
      <c r="J480" s="5" t="str">
        <f>IF(kokpit!J480&lt;&gt;"",kokpit!J480,"")</f>
        <v/>
      </c>
      <c r="K480" s="24" t="str">
        <f>IF(I480&lt;&gt;"",SUMIFS('JPK_KR-1'!AL:AL,'JPK_KR-1'!W:W,J480),"")</f>
        <v/>
      </c>
      <c r="L480" s="141" t="str">
        <f>IF(I480&lt;&gt;"",SUMIFS('JPK_KR-1'!AM:AM,'JPK_KR-1'!W:W,J480),"")</f>
        <v/>
      </c>
      <c r="M480" s="143" t="str">
        <f>IF(kokpit!M480&lt;&gt;"",kokpit!M480,"")</f>
        <v/>
      </c>
      <c r="N480" s="117" t="str">
        <f>IF(kokpit!N480&lt;&gt;"",kokpit!N480,"")</f>
        <v/>
      </c>
      <c r="O480" s="117" t="str">
        <f>IF(kokpit!O480&lt;&gt;"",kokpit!O480,"")</f>
        <v/>
      </c>
      <c r="P480" s="141" t="str">
        <f>IF(M480&lt;&gt;"",IF(O480="",SUMIFS('JPK_KR-1'!AL:AL,'JPK_KR-1'!W:W,N480),SUMIFS('JPK_KR-1'!BF:BF,'JPK_KR-1'!BE:BE,N480,'JPK_KR-1'!BG:BG,O480)),"")</f>
        <v/>
      </c>
      <c r="Q480" s="144" t="str">
        <f>IF(M480&lt;&gt;"",IF(O480="",SUMIFS('JPK_KR-1'!AM:AM,'JPK_KR-1'!W:W,N480),SUMIFS('JPK_KR-1'!BI:BI,'JPK_KR-1'!BH:BH,N480,'JPK_KR-1'!BJ:BJ,O480)),"")</f>
        <v/>
      </c>
      <c r="R480" s="117" t="str">
        <f>IF(kokpit!R480&lt;&gt;"",kokpit!R480,"")</f>
        <v/>
      </c>
      <c r="S480" s="117" t="str">
        <f>IF(kokpit!S480&lt;&gt;"",kokpit!S480,"")</f>
        <v/>
      </c>
      <c r="T480" s="117" t="str">
        <f>IF(kokpit!T480&lt;&gt;"",kokpit!T480,"")</f>
        <v/>
      </c>
      <c r="U480" s="141" t="str">
        <f>IF(R480&lt;&gt;"",SUMIFS('JPK_KR-1'!AL:AL,'JPK_KR-1'!W:W,S480),"")</f>
        <v/>
      </c>
      <c r="V480" s="144" t="str">
        <f>IF(R480&lt;&gt;"",SUMIFS('JPK_KR-1'!AM:AM,'JPK_KR-1'!W:W,S480),"")</f>
        <v/>
      </c>
    </row>
    <row r="481" spans="1:22" x14ac:dyDescent="0.3">
      <c r="A481" s="5" t="str">
        <f>IF(kokpit!A481&lt;&gt;"",kokpit!A481,"")</f>
        <v/>
      </c>
      <c r="B481" s="5" t="str">
        <f>IF(kokpit!B481&lt;&gt;"",kokpit!B481,"")</f>
        <v/>
      </c>
      <c r="C481" s="24" t="str">
        <f>IF(A481&lt;&gt;"",SUMIFS('JPK_KR-1'!AL:AL,'JPK_KR-1'!W:W,B481),"")</f>
        <v/>
      </c>
      <c r="D481" s="126" t="str">
        <f>IF(A481&lt;&gt;"",SUMIFS('JPK_KR-1'!AM:AM,'JPK_KR-1'!W:W,B481),"")</f>
        <v/>
      </c>
      <c r="E481" s="5" t="str">
        <f>IF(kokpit!E481&lt;&gt;"",kokpit!E481,"")</f>
        <v/>
      </c>
      <c r="F481" s="127" t="str">
        <f>IF(kokpit!F481&lt;&gt;"",kokpit!F481,"")</f>
        <v/>
      </c>
      <c r="G481" s="24" t="str">
        <f>IF(E481&lt;&gt;"",SUMIFS('JPK_KR-1'!AL:AL,'JPK_KR-1'!W:W,F481),"")</f>
        <v/>
      </c>
      <c r="H481" s="126" t="str">
        <f>IF(E481&lt;&gt;"",SUMIFS('JPK_KR-1'!AM:AM,'JPK_KR-1'!W:W,F481),"")</f>
        <v/>
      </c>
      <c r="I481" s="5" t="str">
        <f>IF(kokpit!I481&lt;&gt;"",kokpit!I481,"")</f>
        <v/>
      </c>
      <c r="J481" s="5" t="str">
        <f>IF(kokpit!J481&lt;&gt;"",kokpit!J481,"")</f>
        <v/>
      </c>
      <c r="K481" s="24" t="str">
        <f>IF(I481&lt;&gt;"",SUMIFS('JPK_KR-1'!AL:AL,'JPK_KR-1'!W:W,J481),"")</f>
        <v/>
      </c>
      <c r="L481" s="141" t="str">
        <f>IF(I481&lt;&gt;"",SUMIFS('JPK_KR-1'!AM:AM,'JPK_KR-1'!W:W,J481),"")</f>
        <v/>
      </c>
      <c r="M481" s="143" t="str">
        <f>IF(kokpit!M481&lt;&gt;"",kokpit!M481,"")</f>
        <v/>
      </c>
      <c r="N481" s="117" t="str">
        <f>IF(kokpit!N481&lt;&gt;"",kokpit!N481,"")</f>
        <v/>
      </c>
      <c r="O481" s="117" t="str">
        <f>IF(kokpit!O481&lt;&gt;"",kokpit!O481,"")</f>
        <v/>
      </c>
      <c r="P481" s="141" t="str">
        <f>IF(M481&lt;&gt;"",IF(O481="",SUMIFS('JPK_KR-1'!AL:AL,'JPK_KR-1'!W:W,N481),SUMIFS('JPK_KR-1'!BF:BF,'JPK_KR-1'!BE:BE,N481,'JPK_KR-1'!BG:BG,O481)),"")</f>
        <v/>
      </c>
      <c r="Q481" s="144" t="str">
        <f>IF(M481&lt;&gt;"",IF(O481="",SUMIFS('JPK_KR-1'!AM:AM,'JPK_KR-1'!W:W,N481),SUMIFS('JPK_KR-1'!BI:BI,'JPK_KR-1'!BH:BH,N481,'JPK_KR-1'!BJ:BJ,O481)),"")</f>
        <v/>
      </c>
      <c r="R481" s="117" t="str">
        <f>IF(kokpit!R481&lt;&gt;"",kokpit!R481,"")</f>
        <v/>
      </c>
      <c r="S481" s="117" t="str">
        <f>IF(kokpit!S481&lt;&gt;"",kokpit!S481,"")</f>
        <v/>
      </c>
      <c r="T481" s="117" t="str">
        <f>IF(kokpit!T481&lt;&gt;"",kokpit!T481,"")</f>
        <v/>
      </c>
      <c r="U481" s="141" t="str">
        <f>IF(R481&lt;&gt;"",SUMIFS('JPK_KR-1'!AL:AL,'JPK_KR-1'!W:W,S481),"")</f>
        <v/>
      </c>
      <c r="V481" s="144" t="str">
        <f>IF(R481&lt;&gt;"",SUMIFS('JPK_KR-1'!AM:AM,'JPK_KR-1'!W:W,S481),"")</f>
        <v/>
      </c>
    </row>
    <row r="482" spans="1:22" x14ac:dyDescent="0.3">
      <c r="A482" s="5" t="str">
        <f>IF(kokpit!A482&lt;&gt;"",kokpit!A482,"")</f>
        <v/>
      </c>
      <c r="B482" s="5" t="str">
        <f>IF(kokpit!B482&lt;&gt;"",kokpit!B482,"")</f>
        <v/>
      </c>
      <c r="C482" s="24" t="str">
        <f>IF(A482&lt;&gt;"",SUMIFS('JPK_KR-1'!AL:AL,'JPK_KR-1'!W:W,B482),"")</f>
        <v/>
      </c>
      <c r="D482" s="126" t="str">
        <f>IF(A482&lt;&gt;"",SUMIFS('JPK_KR-1'!AM:AM,'JPK_KR-1'!W:W,B482),"")</f>
        <v/>
      </c>
      <c r="E482" s="5" t="str">
        <f>IF(kokpit!E482&lt;&gt;"",kokpit!E482,"")</f>
        <v/>
      </c>
      <c r="F482" s="127" t="str">
        <f>IF(kokpit!F482&lt;&gt;"",kokpit!F482,"")</f>
        <v/>
      </c>
      <c r="G482" s="24" t="str">
        <f>IF(E482&lt;&gt;"",SUMIFS('JPK_KR-1'!AL:AL,'JPK_KR-1'!W:W,F482),"")</f>
        <v/>
      </c>
      <c r="H482" s="126" t="str">
        <f>IF(E482&lt;&gt;"",SUMIFS('JPK_KR-1'!AM:AM,'JPK_KR-1'!W:W,F482),"")</f>
        <v/>
      </c>
      <c r="I482" s="5" t="str">
        <f>IF(kokpit!I482&lt;&gt;"",kokpit!I482,"")</f>
        <v/>
      </c>
      <c r="J482" s="5" t="str">
        <f>IF(kokpit!J482&lt;&gt;"",kokpit!J482,"")</f>
        <v/>
      </c>
      <c r="K482" s="24" t="str">
        <f>IF(I482&lt;&gt;"",SUMIFS('JPK_KR-1'!AL:AL,'JPK_KR-1'!W:W,J482),"")</f>
        <v/>
      </c>
      <c r="L482" s="141" t="str">
        <f>IF(I482&lt;&gt;"",SUMIFS('JPK_KR-1'!AM:AM,'JPK_KR-1'!W:W,J482),"")</f>
        <v/>
      </c>
      <c r="M482" s="143" t="str">
        <f>IF(kokpit!M482&lt;&gt;"",kokpit!M482,"")</f>
        <v/>
      </c>
      <c r="N482" s="117" t="str">
        <f>IF(kokpit!N482&lt;&gt;"",kokpit!N482,"")</f>
        <v/>
      </c>
      <c r="O482" s="117" t="str">
        <f>IF(kokpit!O482&lt;&gt;"",kokpit!O482,"")</f>
        <v/>
      </c>
      <c r="P482" s="141" t="str">
        <f>IF(M482&lt;&gt;"",IF(O482="",SUMIFS('JPK_KR-1'!AL:AL,'JPK_KR-1'!W:W,N482),SUMIFS('JPK_KR-1'!BF:BF,'JPK_KR-1'!BE:BE,N482,'JPK_KR-1'!BG:BG,O482)),"")</f>
        <v/>
      </c>
      <c r="Q482" s="144" t="str">
        <f>IF(M482&lt;&gt;"",IF(O482="",SUMIFS('JPK_KR-1'!AM:AM,'JPK_KR-1'!W:W,N482),SUMIFS('JPK_KR-1'!BI:BI,'JPK_KR-1'!BH:BH,N482,'JPK_KR-1'!BJ:BJ,O482)),"")</f>
        <v/>
      </c>
      <c r="R482" s="117" t="str">
        <f>IF(kokpit!R482&lt;&gt;"",kokpit!R482,"")</f>
        <v/>
      </c>
      <c r="S482" s="117" t="str">
        <f>IF(kokpit!S482&lt;&gt;"",kokpit!S482,"")</f>
        <v/>
      </c>
      <c r="T482" s="117" t="str">
        <f>IF(kokpit!T482&lt;&gt;"",kokpit!T482,"")</f>
        <v/>
      </c>
      <c r="U482" s="141" t="str">
        <f>IF(R482&lt;&gt;"",SUMIFS('JPK_KR-1'!AL:AL,'JPK_KR-1'!W:W,S482),"")</f>
        <v/>
      </c>
      <c r="V482" s="144" t="str">
        <f>IF(R482&lt;&gt;"",SUMIFS('JPK_KR-1'!AM:AM,'JPK_KR-1'!W:W,S482),"")</f>
        <v/>
      </c>
    </row>
    <row r="483" spans="1:22" x14ac:dyDescent="0.3">
      <c r="A483" s="5" t="str">
        <f>IF(kokpit!A483&lt;&gt;"",kokpit!A483,"")</f>
        <v/>
      </c>
      <c r="B483" s="5" t="str">
        <f>IF(kokpit!B483&lt;&gt;"",kokpit!B483,"")</f>
        <v/>
      </c>
      <c r="C483" s="24" t="str">
        <f>IF(A483&lt;&gt;"",SUMIFS('JPK_KR-1'!AL:AL,'JPK_KR-1'!W:W,B483),"")</f>
        <v/>
      </c>
      <c r="D483" s="126" t="str">
        <f>IF(A483&lt;&gt;"",SUMIFS('JPK_KR-1'!AM:AM,'JPK_KR-1'!W:W,B483),"")</f>
        <v/>
      </c>
      <c r="E483" s="5" t="str">
        <f>IF(kokpit!E483&lt;&gt;"",kokpit!E483,"")</f>
        <v/>
      </c>
      <c r="F483" s="127" t="str">
        <f>IF(kokpit!F483&lt;&gt;"",kokpit!F483,"")</f>
        <v/>
      </c>
      <c r="G483" s="24" t="str">
        <f>IF(E483&lt;&gt;"",SUMIFS('JPK_KR-1'!AL:AL,'JPK_KR-1'!W:W,F483),"")</f>
        <v/>
      </c>
      <c r="H483" s="126" t="str">
        <f>IF(E483&lt;&gt;"",SUMIFS('JPK_KR-1'!AM:AM,'JPK_KR-1'!W:W,F483),"")</f>
        <v/>
      </c>
      <c r="I483" s="5" t="str">
        <f>IF(kokpit!I483&lt;&gt;"",kokpit!I483,"")</f>
        <v/>
      </c>
      <c r="J483" s="5" t="str">
        <f>IF(kokpit!J483&lt;&gt;"",kokpit!J483,"")</f>
        <v/>
      </c>
      <c r="K483" s="24" t="str">
        <f>IF(I483&lt;&gt;"",SUMIFS('JPK_KR-1'!AL:AL,'JPK_KR-1'!W:W,J483),"")</f>
        <v/>
      </c>
      <c r="L483" s="141" t="str">
        <f>IF(I483&lt;&gt;"",SUMIFS('JPK_KR-1'!AM:AM,'JPK_KR-1'!W:W,J483),"")</f>
        <v/>
      </c>
      <c r="M483" s="143" t="str">
        <f>IF(kokpit!M483&lt;&gt;"",kokpit!M483,"")</f>
        <v/>
      </c>
      <c r="N483" s="117" t="str">
        <f>IF(kokpit!N483&lt;&gt;"",kokpit!N483,"")</f>
        <v/>
      </c>
      <c r="O483" s="117" t="str">
        <f>IF(kokpit!O483&lt;&gt;"",kokpit!O483,"")</f>
        <v/>
      </c>
      <c r="P483" s="141" t="str">
        <f>IF(M483&lt;&gt;"",IF(O483="",SUMIFS('JPK_KR-1'!AL:AL,'JPK_KR-1'!W:W,N483),SUMIFS('JPK_KR-1'!BF:BF,'JPK_KR-1'!BE:BE,N483,'JPK_KR-1'!BG:BG,O483)),"")</f>
        <v/>
      </c>
      <c r="Q483" s="144" t="str">
        <f>IF(M483&lt;&gt;"",IF(O483="",SUMIFS('JPK_KR-1'!AM:AM,'JPK_KR-1'!W:W,N483),SUMIFS('JPK_KR-1'!BI:BI,'JPK_KR-1'!BH:BH,N483,'JPK_KR-1'!BJ:BJ,O483)),"")</f>
        <v/>
      </c>
      <c r="R483" s="117" t="str">
        <f>IF(kokpit!R483&lt;&gt;"",kokpit!R483,"")</f>
        <v/>
      </c>
      <c r="S483" s="117" t="str">
        <f>IF(kokpit!S483&lt;&gt;"",kokpit!S483,"")</f>
        <v/>
      </c>
      <c r="T483" s="117" t="str">
        <f>IF(kokpit!T483&lt;&gt;"",kokpit!T483,"")</f>
        <v/>
      </c>
      <c r="U483" s="141" t="str">
        <f>IF(R483&lt;&gt;"",SUMIFS('JPK_KR-1'!AL:AL,'JPK_KR-1'!W:W,S483),"")</f>
        <v/>
      </c>
      <c r="V483" s="144" t="str">
        <f>IF(R483&lt;&gt;"",SUMIFS('JPK_KR-1'!AM:AM,'JPK_KR-1'!W:W,S483),"")</f>
        <v/>
      </c>
    </row>
    <row r="484" spans="1:22" x14ac:dyDescent="0.3">
      <c r="A484" s="5" t="str">
        <f>IF(kokpit!A484&lt;&gt;"",kokpit!A484,"")</f>
        <v/>
      </c>
      <c r="B484" s="5" t="str">
        <f>IF(kokpit!B484&lt;&gt;"",kokpit!B484,"")</f>
        <v/>
      </c>
      <c r="C484" s="24" t="str">
        <f>IF(A484&lt;&gt;"",SUMIFS('JPK_KR-1'!AL:AL,'JPK_KR-1'!W:W,B484),"")</f>
        <v/>
      </c>
      <c r="D484" s="126" t="str">
        <f>IF(A484&lt;&gt;"",SUMIFS('JPK_KR-1'!AM:AM,'JPK_KR-1'!W:W,B484),"")</f>
        <v/>
      </c>
      <c r="E484" s="5" t="str">
        <f>IF(kokpit!E484&lt;&gt;"",kokpit!E484,"")</f>
        <v/>
      </c>
      <c r="F484" s="127" t="str">
        <f>IF(kokpit!F484&lt;&gt;"",kokpit!F484,"")</f>
        <v/>
      </c>
      <c r="G484" s="24" t="str">
        <f>IF(E484&lt;&gt;"",SUMIFS('JPK_KR-1'!AL:AL,'JPK_KR-1'!W:W,F484),"")</f>
        <v/>
      </c>
      <c r="H484" s="126" t="str">
        <f>IF(E484&lt;&gt;"",SUMIFS('JPK_KR-1'!AM:AM,'JPK_KR-1'!W:W,F484),"")</f>
        <v/>
      </c>
      <c r="I484" s="5" t="str">
        <f>IF(kokpit!I484&lt;&gt;"",kokpit!I484,"")</f>
        <v/>
      </c>
      <c r="J484" s="5" t="str">
        <f>IF(kokpit!J484&lt;&gt;"",kokpit!J484,"")</f>
        <v/>
      </c>
      <c r="K484" s="24" t="str">
        <f>IF(I484&lt;&gt;"",SUMIFS('JPK_KR-1'!AL:AL,'JPK_KR-1'!W:W,J484),"")</f>
        <v/>
      </c>
      <c r="L484" s="141" t="str">
        <f>IF(I484&lt;&gt;"",SUMIFS('JPK_KR-1'!AM:AM,'JPK_KR-1'!W:W,J484),"")</f>
        <v/>
      </c>
      <c r="M484" s="143" t="str">
        <f>IF(kokpit!M484&lt;&gt;"",kokpit!M484,"")</f>
        <v/>
      </c>
      <c r="N484" s="117" t="str">
        <f>IF(kokpit!N484&lt;&gt;"",kokpit!N484,"")</f>
        <v/>
      </c>
      <c r="O484" s="117" t="str">
        <f>IF(kokpit!O484&lt;&gt;"",kokpit!O484,"")</f>
        <v/>
      </c>
      <c r="P484" s="141" t="str">
        <f>IF(M484&lt;&gt;"",IF(O484="",SUMIFS('JPK_KR-1'!AL:AL,'JPK_KR-1'!W:W,N484),SUMIFS('JPK_KR-1'!BF:BF,'JPK_KR-1'!BE:BE,N484,'JPK_KR-1'!BG:BG,O484)),"")</f>
        <v/>
      </c>
      <c r="Q484" s="144" t="str">
        <f>IF(M484&lt;&gt;"",IF(O484="",SUMIFS('JPK_KR-1'!AM:AM,'JPK_KR-1'!W:W,N484),SUMIFS('JPK_KR-1'!BI:BI,'JPK_KR-1'!BH:BH,N484,'JPK_KR-1'!BJ:BJ,O484)),"")</f>
        <v/>
      </c>
      <c r="R484" s="117" t="str">
        <f>IF(kokpit!R484&lt;&gt;"",kokpit!R484,"")</f>
        <v/>
      </c>
      <c r="S484" s="117" t="str">
        <f>IF(kokpit!S484&lt;&gt;"",kokpit!S484,"")</f>
        <v/>
      </c>
      <c r="T484" s="117" t="str">
        <f>IF(kokpit!T484&lt;&gt;"",kokpit!T484,"")</f>
        <v/>
      </c>
      <c r="U484" s="141" t="str">
        <f>IF(R484&lt;&gt;"",SUMIFS('JPK_KR-1'!AL:AL,'JPK_KR-1'!W:W,S484),"")</f>
        <v/>
      </c>
      <c r="V484" s="144" t="str">
        <f>IF(R484&lt;&gt;"",SUMIFS('JPK_KR-1'!AM:AM,'JPK_KR-1'!W:W,S484),"")</f>
        <v/>
      </c>
    </row>
    <row r="485" spans="1:22" x14ac:dyDescent="0.3">
      <c r="A485" s="5" t="str">
        <f>IF(kokpit!A485&lt;&gt;"",kokpit!A485,"")</f>
        <v/>
      </c>
      <c r="B485" s="5" t="str">
        <f>IF(kokpit!B485&lt;&gt;"",kokpit!B485,"")</f>
        <v/>
      </c>
      <c r="C485" s="24" t="str">
        <f>IF(A485&lt;&gt;"",SUMIFS('JPK_KR-1'!AL:AL,'JPK_KR-1'!W:W,B485),"")</f>
        <v/>
      </c>
      <c r="D485" s="126" t="str">
        <f>IF(A485&lt;&gt;"",SUMIFS('JPK_KR-1'!AM:AM,'JPK_KR-1'!W:W,B485),"")</f>
        <v/>
      </c>
      <c r="E485" s="5" t="str">
        <f>IF(kokpit!E485&lt;&gt;"",kokpit!E485,"")</f>
        <v/>
      </c>
      <c r="F485" s="127" t="str">
        <f>IF(kokpit!F485&lt;&gt;"",kokpit!F485,"")</f>
        <v/>
      </c>
      <c r="G485" s="24" t="str">
        <f>IF(E485&lt;&gt;"",SUMIFS('JPK_KR-1'!AL:AL,'JPK_KR-1'!W:W,F485),"")</f>
        <v/>
      </c>
      <c r="H485" s="126" t="str">
        <f>IF(E485&lt;&gt;"",SUMIFS('JPK_KR-1'!AM:AM,'JPK_KR-1'!W:W,F485),"")</f>
        <v/>
      </c>
      <c r="I485" s="5" t="str">
        <f>IF(kokpit!I485&lt;&gt;"",kokpit!I485,"")</f>
        <v/>
      </c>
      <c r="J485" s="5" t="str">
        <f>IF(kokpit!J485&lt;&gt;"",kokpit!J485,"")</f>
        <v/>
      </c>
      <c r="K485" s="24" t="str">
        <f>IF(I485&lt;&gt;"",SUMIFS('JPK_KR-1'!AL:AL,'JPK_KR-1'!W:W,J485),"")</f>
        <v/>
      </c>
      <c r="L485" s="141" t="str">
        <f>IF(I485&lt;&gt;"",SUMIFS('JPK_KR-1'!AM:AM,'JPK_KR-1'!W:W,J485),"")</f>
        <v/>
      </c>
      <c r="M485" s="143" t="str">
        <f>IF(kokpit!M485&lt;&gt;"",kokpit!M485,"")</f>
        <v/>
      </c>
      <c r="N485" s="117" t="str">
        <f>IF(kokpit!N485&lt;&gt;"",kokpit!N485,"")</f>
        <v/>
      </c>
      <c r="O485" s="117" t="str">
        <f>IF(kokpit!O485&lt;&gt;"",kokpit!O485,"")</f>
        <v/>
      </c>
      <c r="P485" s="141" t="str">
        <f>IF(M485&lt;&gt;"",IF(O485="",SUMIFS('JPK_KR-1'!AL:AL,'JPK_KR-1'!W:W,N485),SUMIFS('JPK_KR-1'!BF:BF,'JPK_KR-1'!BE:BE,N485,'JPK_KR-1'!BG:BG,O485)),"")</f>
        <v/>
      </c>
      <c r="Q485" s="144" t="str">
        <f>IF(M485&lt;&gt;"",IF(O485="",SUMIFS('JPK_KR-1'!AM:AM,'JPK_KR-1'!W:W,N485),SUMIFS('JPK_KR-1'!BI:BI,'JPK_KR-1'!BH:BH,N485,'JPK_KR-1'!BJ:BJ,O485)),"")</f>
        <v/>
      </c>
      <c r="R485" s="117" t="str">
        <f>IF(kokpit!R485&lt;&gt;"",kokpit!R485,"")</f>
        <v/>
      </c>
      <c r="S485" s="117" t="str">
        <f>IF(kokpit!S485&lt;&gt;"",kokpit!S485,"")</f>
        <v/>
      </c>
      <c r="T485" s="117" t="str">
        <f>IF(kokpit!T485&lt;&gt;"",kokpit!T485,"")</f>
        <v/>
      </c>
      <c r="U485" s="141" t="str">
        <f>IF(R485&lt;&gt;"",SUMIFS('JPK_KR-1'!AL:AL,'JPK_KR-1'!W:W,S485),"")</f>
        <v/>
      </c>
      <c r="V485" s="144" t="str">
        <f>IF(R485&lt;&gt;"",SUMIFS('JPK_KR-1'!AM:AM,'JPK_KR-1'!W:W,S485),"")</f>
        <v/>
      </c>
    </row>
    <row r="486" spans="1:22" x14ac:dyDescent="0.3">
      <c r="A486" s="5" t="str">
        <f>IF(kokpit!A486&lt;&gt;"",kokpit!A486,"")</f>
        <v/>
      </c>
      <c r="B486" s="5" t="str">
        <f>IF(kokpit!B486&lt;&gt;"",kokpit!B486,"")</f>
        <v/>
      </c>
      <c r="C486" s="24" t="str">
        <f>IF(A486&lt;&gt;"",SUMIFS('JPK_KR-1'!AL:AL,'JPK_KR-1'!W:W,B486),"")</f>
        <v/>
      </c>
      <c r="D486" s="126" t="str">
        <f>IF(A486&lt;&gt;"",SUMIFS('JPK_KR-1'!AM:AM,'JPK_KR-1'!W:W,B486),"")</f>
        <v/>
      </c>
      <c r="E486" s="5" t="str">
        <f>IF(kokpit!E486&lt;&gt;"",kokpit!E486,"")</f>
        <v/>
      </c>
      <c r="F486" s="127" t="str">
        <f>IF(kokpit!F486&lt;&gt;"",kokpit!F486,"")</f>
        <v/>
      </c>
      <c r="G486" s="24" t="str">
        <f>IF(E486&lt;&gt;"",SUMIFS('JPK_KR-1'!AL:AL,'JPK_KR-1'!W:W,F486),"")</f>
        <v/>
      </c>
      <c r="H486" s="126" t="str">
        <f>IF(E486&lt;&gt;"",SUMIFS('JPK_KR-1'!AM:AM,'JPK_KR-1'!W:W,F486),"")</f>
        <v/>
      </c>
      <c r="I486" s="5" t="str">
        <f>IF(kokpit!I486&lt;&gt;"",kokpit!I486,"")</f>
        <v/>
      </c>
      <c r="J486" s="5" t="str">
        <f>IF(kokpit!J486&lt;&gt;"",kokpit!J486,"")</f>
        <v/>
      </c>
      <c r="K486" s="24" t="str">
        <f>IF(I486&lt;&gt;"",SUMIFS('JPK_KR-1'!AL:AL,'JPK_KR-1'!W:W,J486),"")</f>
        <v/>
      </c>
      <c r="L486" s="141" t="str">
        <f>IF(I486&lt;&gt;"",SUMIFS('JPK_KR-1'!AM:AM,'JPK_KR-1'!W:W,J486),"")</f>
        <v/>
      </c>
      <c r="M486" s="143" t="str">
        <f>IF(kokpit!M486&lt;&gt;"",kokpit!M486,"")</f>
        <v/>
      </c>
      <c r="N486" s="117" t="str">
        <f>IF(kokpit!N486&lt;&gt;"",kokpit!N486,"")</f>
        <v/>
      </c>
      <c r="O486" s="117" t="str">
        <f>IF(kokpit!O486&lt;&gt;"",kokpit!O486,"")</f>
        <v/>
      </c>
      <c r="P486" s="141" t="str">
        <f>IF(M486&lt;&gt;"",IF(O486="",SUMIFS('JPK_KR-1'!AL:AL,'JPK_KR-1'!W:W,N486),SUMIFS('JPK_KR-1'!BF:BF,'JPK_KR-1'!BE:BE,N486,'JPK_KR-1'!BG:BG,O486)),"")</f>
        <v/>
      </c>
      <c r="Q486" s="144" t="str">
        <f>IF(M486&lt;&gt;"",IF(O486="",SUMIFS('JPK_KR-1'!AM:AM,'JPK_KR-1'!W:W,N486),SUMIFS('JPK_KR-1'!BI:BI,'JPK_KR-1'!BH:BH,N486,'JPK_KR-1'!BJ:BJ,O486)),"")</f>
        <v/>
      </c>
      <c r="R486" s="117" t="str">
        <f>IF(kokpit!R486&lt;&gt;"",kokpit!R486,"")</f>
        <v/>
      </c>
      <c r="S486" s="117" t="str">
        <f>IF(kokpit!S486&lt;&gt;"",kokpit!S486,"")</f>
        <v/>
      </c>
      <c r="T486" s="117" t="str">
        <f>IF(kokpit!T486&lt;&gt;"",kokpit!T486,"")</f>
        <v/>
      </c>
      <c r="U486" s="141" t="str">
        <f>IF(R486&lt;&gt;"",SUMIFS('JPK_KR-1'!AL:AL,'JPK_KR-1'!W:W,S486),"")</f>
        <v/>
      </c>
      <c r="V486" s="144" t="str">
        <f>IF(R486&lt;&gt;"",SUMIFS('JPK_KR-1'!AM:AM,'JPK_KR-1'!W:W,S486),"")</f>
        <v/>
      </c>
    </row>
    <row r="487" spans="1:22" x14ac:dyDescent="0.3">
      <c r="A487" s="5" t="str">
        <f>IF(kokpit!A487&lt;&gt;"",kokpit!A487,"")</f>
        <v/>
      </c>
      <c r="B487" s="5" t="str">
        <f>IF(kokpit!B487&lt;&gt;"",kokpit!B487,"")</f>
        <v/>
      </c>
      <c r="C487" s="24" t="str">
        <f>IF(A487&lt;&gt;"",SUMIFS('JPK_KR-1'!AL:AL,'JPK_KR-1'!W:W,B487),"")</f>
        <v/>
      </c>
      <c r="D487" s="126" t="str">
        <f>IF(A487&lt;&gt;"",SUMIFS('JPK_KR-1'!AM:AM,'JPK_KR-1'!W:W,B487),"")</f>
        <v/>
      </c>
      <c r="E487" s="5" t="str">
        <f>IF(kokpit!E487&lt;&gt;"",kokpit!E487,"")</f>
        <v/>
      </c>
      <c r="F487" s="127" t="str">
        <f>IF(kokpit!F487&lt;&gt;"",kokpit!F487,"")</f>
        <v/>
      </c>
      <c r="G487" s="24" t="str">
        <f>IF(E487&lt;&gt;"",SUMIFS('JPK_KR-1'!AL:AL,'JPK_KR-1'!W:W,F487),"")</f>
        <v/>
      </c>
      <c r="H487" s="126" t="str">
        <f>IF(E487&lt;&gt;"",SUMIFS('JPK_KR-1'!AM:AM,'JPK_KR-1'!W:W,F487),"")</f>
        <v/>
      </c>
      <c r="I487" s="5" t="str">
        <f>IF(kokpit!I487&lt;&gt;"",kokpit!I487,"")</f>
        <v/>
      </c>
      <c r="J487" s="5" t="str">
        <f>IF(kokpit!J487&lt;&gt;"",kokpit!J487,"")</f>
        <v/>
      </c>
      <c r="K487" s="24" t="str">
        <f>IF(I487&lt;&gt;"",SUMIFS('JPK_KR-1'!AL:AL,'JPK_KR-1'!W:W,J487),"")</f>
        <v/>
      </c>
      <c r="L487" s="141" t="str">
        <f>IF(I487&lt;&gt;"",SUMIFS('JPK_KR-1'!AM:AM,'JPK_KR-1'!W:W,J487),"")</f>
        <v/>
      </c>
      <c r="M487" s="143" t="str">
        <f>IF(kokpit!M487&lt;&gt;"",kokpit!M487,"")</f>
        <v/>
      </c>
      <c r="N487" s="117" t="str">
        <f>IF(kokpit!N487&lt;&gt;"",kokpit!N487,"")</f>
        <v/>
      </c>
      <c r="O487" s="117" t="str">
        <f>IF(kokpit!O487&lt;&gt;"",kokpit!O487,"")</f>
        <v/>
      </c>
      <c r="P487" s="141" t="str">
        <f>IF(M487&lt;&gt;"",IF(O487="",SUMIFS('JPK_KR-1'!AL:AL,'JPK_KR-1'!W:W,N487),SUMIFS('JPK_KR-1'!BF:BF,'JPK_KR-1'!BE:BE,N487,'JPK_KR-1'!BG:BG,O487)),"")</f>
        <v/>
      </c>
      <c r="Q487" s="144" t="str">
        <f>IF(M487&lt;&gt;"",IF(O487="",SUMIFS('JPK_KR-1'!AM:AM,'JPK_KR-1'!W:W,N487),SUMIFS('JPK_KR-1'!BI:BI,'JPK_KR-1'!BH:BH,N487,'JPK_KR-1'!BJ:BJ,O487)),"")</f>
        <v/>
      </c>
      <c r="R487" s="117" t="str">
        <f>IF(kokpit!R487&lt;&gt;"",kokpit!R487,"")</f>
        <v/>
      </c>
      <c r="S487" s="117" t="str">
        <f>IF(kokpit!S487&lt;&gt;"",kokpit!S487,"")</f>
        <v/>
      </c>
      <c r="T487" s="117" t="str">
        <f>IF(kokpit!T487&lt;&gt;"",kokpit!T487,"")</f>
        <v/>
      </c>
      <c r="U487" s="141" t="str">
        <f>IF(R487&lt;&gt;"",SUMIFS('JPK_KR-1'!AL:AL,'JPK_KR-1'!W:W,S487),"")</f>
        <v/>
      </c>
      <c r="V487" s="144" t="str">
        <f>IF(R487&lt;&gt;"",SUMIFS('JPK_KR-1'!AM:AM,'JPK_KR-1'!W:W,S487),"")</f>
        <v/>
      </c>
    </row>
    <row r="488" spans="1:22" x14ac:dyDescent="0.3">
      <c r="A488" s="5" t="str">
        <f>IF(kokpit!A488&lt;&gt;"",kokpit!A488,"")</f>
        <v/>
      </c>
      <c r="B488" s="5" t="str">
        <f>IF(kokpit!B488&lt;&gt;"",kokpit!B488,"")</f>
        <v/>
      </c>
      <c r="C488" s="24" t="str">
        <f>IF(A488&lt;&gt;"",SUMIFS('JPK_KR-1'!AL:AL,'JPK_KR-1'!W:W,B488),"")</f>
        <v/>
      </c>
      <c r="D488" s="126" t="str">
        <f>IF(A488&lt;&gt;"",SUMIFS('JPK_KR-1'!AM:AM,'JPK_KR-1'!W:W,B488),"")</f>
        <v/>
      </c>
      <c r="E488" s="5" t="str">
        <f>IF(kokpit!E488&lt;&gt;"",kokpit!E488,"")</f>
        <v/>
      </c>
      <c r="F488" s="127" t="str">
        <f>IF(kokpit!F488&lt;&gt;"",kokpit!F488,"")</f>
        <v/>
      </c>
      <c r="G488" s="24" t="str">
        <f>IF(E488&lt;&gt;"",SUMIFS('JPK_KR-1'!AL:AL,'JPK_KR-1'!W:W,F488),"")</f>
        <v/>
      </c>
      <c r="H488" s="126" t="str">
        <f>IF(E488&lt;&gt;"",SUMIFS('JPK_KR-1'!AM:AM,'JPK_KR-1'!W:W,F488),"")</f>
        <v/>
      </c>
      <c r="I488" s="5" t="str">
        <f>IF(kokpit!I488&lt;&gt;"",kokpit!I488,"")</f>
        <v/>
      </c>
      <c r="J488" s="5" t="str">
        <f>IF(kokpit!J488&lt;&gt;"",kokpit!J488,"")</f>
        <v/>
      </c>
      <c r="K488" s="24" t="str">
        <f>IF(I488&lt;&gt;"",SUMIFS('JPK_KR-1'!AL:AL,'JPK_KR-1'!W:W,J488),"")</f>
        <v/>
      </c>
      <c r="L488" s="141" t="str">
        <f>IF(I488&lt;&gt;"",SUMIFS('JPK_KR-1'!AM:AM,'JPK_KR-1'!W:W,J488),"")</f>
        <v/>
      </c>
      <c r="M488" s="143" t="str">
        <f>IF(kokpit!M488&lt;&gt;"",kokpit!M488,"")</f>
        <v/>
      </c>
      <c r="N488" s="117" t="str">
        <f>IF(kokpit!N488&lt;&gt;"",kokpit!N488,"")</f>
        <v/>
      </c>
      <c r="O488" s="117" t="str">
        <f>IF(kokpit!O488&lt;&gt;"",kokpit!O488,"")</f>
        <v/>
      </c>
      <c r="P488" s="141" t="str">
        <f>IF(M488&lt;&gt;"",IF(O488="",SUMIFS('JPK_KR-1'!AL:AL,'JPK_KR-1'!W:W,N488),SUMIFS('JPK_KR-1'!BF:BF,'JPK_KR-1'!BE:BE,N488,'JPK_KR-1'!BG:BG,O488)),"")</f>
        <v/>
      </c>
      <c r="Q488" s="144" t="str">
        <f>IF(M488&lt;&gt;"",IF(O488="",SUMIFS('JPK_KR-1'!AM:AM,'JPK_KR-1'!W:W,N488),SUMIFS('JPK_KR-1'!BI:BI,'JPK_KR-1'!BH:BH,N488,'JPK_KR-1'!BJ:BJ,O488)),"")</f>
        <v/>
      </c>
      <c r="R488" s="117" t="str">
        <f>IF(kokpit!R488&lt;&gt;"",kokpit!R488,"")</f>
        <v/>
      </c>
      <c r="S488" s="117" t="str">
        <f>IF(kokpit!S488&lt;&gt;"",kokpit!S488,"")</f>
        <v/>
      </c>
      <c r="T488" s="117" t="str">
        <f>IF(kokpit!T488&lt;&gt;"",kokpit!T488,"")</f>
        <v/>
      </c>
      <c r="U488" s="141" t="str">
        <f>IF(R488&lt;&gt;"",SUMIFS('JPK_KR-1'!AL:AL,'JPK_KR-1'!W:W,S488),"")</f>
        <v/>
      </c>
      <c r="V488" s="144" t="str">
        <f>IF(R488&lt;&gt;"",SUMIFS('JPK_KR-1'!AM:AM,'JPK_KR-1'!W:W,S488),"")</f>
        <v/>
      </c>
    </row>
    <row r="489" spans="1:22" x14ac:dyDescent="0.3">
      <c r="A489" s="5" t="str">
        <f>IF(kokpit!A489&lt;&gt;"",kokpit!A489,"")</f>
        <v/>
      </c>
      <c r="B489" s="5" t="str">
        <f>IF(kokpit!B489&lt;&gt;"",kokpit!B489,"")</f>
        <v/>
      </c>
      <c r="C489" s="24" t="str">
        <f>IF(A489&lt;&gt;"",SUMIFS('JPK_KR-1'!AL:AL,'JPK_KR-1'!W:W,B489),"")</f>
        <v/>
      </c>
      <c r="D489" s="126" t="str">
        <f>IF(A489&lt;&gt;"",SUMIFS('JPK_KR-1'!AM:AM,'JPK_KR-1'!W:W,B489),"")</f>
        <v/>
      </c>
      <c r="E489" s="5" t="str">
        <f>IF(kokpit!E489&lt;&gt;"",kokpit!E489,"")</f>
        <v/>
      </c>
      <c r="F489" s="127" t="str">
        <f>IF(kokpit!F489&lt;&gt;"",kokpit!F489,"")</f>
        <v/>
      </c>
      <c r="G489" s="24" t="str">
        <f>IF(E489&lt;&gt;"",SUMIFS('JPK_KR-1'!AL:AL,'JPK_KR-1'!W:W,F489),"")</f>
        <v/>
      </c>
      <c r="H489" s="126" t="str">
        <f>IF(E489&lt;&gt;"",SUMIFS('JPK_KR-1'!AM:AM,'JPK_KR-1'!W:W,F489),"")</f>
        <v/>
      </c>
      <c r="I489" s="5" t="str">
        <f>IF(kokpit!I489&lt;&gt;"",kokpit!I489,"")</f>
        <v/>
      </c>
      <c r="J489" s="5" t="str">
        <f>IF(kokpit!J489&lt;&gt;"",kokpit!J489,"")</f>
        <v/>
      </c>
      <c r="K489" s="24" t="str">
        <f>IF(I489&lt;&gt;"",SUMIFS('JPK_KR-1'!AL:AL,'JPK_KR-1'!W:W,J489),"")</f>
        <v/>
      </c>
      <c r="L489" s="141" t="str">
        <f>IF(I489&lt;&gt;"",SUMIFS('JPK_KR-1'!AM:AM,'JPK_KR-1'!W:W,J489),"")</f>
        <v/>
      </c>
      <c r="M489" s="143" t="str">
        <f>IF(kokpit!M489&lt;&gt;"",kokpit!M489,"")</f>
        <v/>
      </c>
      <c r="N489" s="117" t="str">
        <f>IF(kokpit!N489&lt;&gt;"",kokpit!N489,"")</f>
        <v/>
      </c>
      <c r="O489" s="117" t="str">
        <f>IF(kokpit!O489&lt;&gt;"",kokpit!O489,"")</f>
        <v/>
      </c>
      <c r="P489" s="141" t="str">
        <f>IF(M489&lt;&gt;"",IF(O489="",SUMIFS('JPK_KR-1'!AL:AL,'JPK_KR-1'!W:W,N489),SUMIFS('JPK_KR-1'!BF:BF,'JPK_KR-1'!BE:BE,N489,'JPK_KR-1'!BG:BG,O489)),"")</f>
        <v/>
      </c>
      <c r="Q489" s="144" t="str">
        <f>IF(M489&lt;&gt;"",IF(O489="",SUMIFS('JPK_KR-1'!AM:AM,'JPK_KR-1'!W:W,N489),SUMIFS('JPK_KR-1'!BI:BI,'JPK_KR-1'!BH:BH,N489,'JPK_KR-1'!BJ:BJ,O489)),"")</f>
        <v/>
      </c>
      <c r="R489" s="117" t="str">
        <f>IF(kokpit!R489&lt;&gt;"",kokpit!R489,"")</f>
        <v/>
      </c>
      <c r="S489" s="117" t="str">
        <f>IF(kokpit!S489&lt;&gt;"",kokpit!S489,"")</f>
        <v/>
      </c>
      <c r="T489" s="117" t="str">
        <f>IF(kokpit!T489&lt;&gt;"",kokpit!T489,"")</f>
        <v/>
      </c>
      <c r="U489" s="141" t="str">
        <f>IF(R489&lt;&gt;"",SUMIFS('JPK_KR-1'!AL:AL,'JPK_KR-1'!W:W,S489),"")</f>
        <v/>
      </c>
      <c r="V489" s="144" t="str">
        <f>IF(R489&lt;&gt;"",SUMIFS('JPK_KR-1'!AM:AM,'JPK_KR-1'!W:W,S489),"")</f>
        <v/>
      </c>
    </row>
    <row r="490" spans="1:22" x14ac:dyDescent="0.3">
      <c r="A490" s="5" t="str">
        <f>IF(kokpit!A490&lt;&gt;"",kokpit!A490,"")</f>
        <v/>
      </c>
      <c r="B490" s="5" t="str">
        <f>IF(kokpit!B490&lt;&gt;"",kokpit!B490,"")</f>
        <v/>
      </c>
      <c r="C490" s="24" t="str">
        <f>IF(A490&lt;&gt;"",SUMIFS('JPK_KR-1'!AL:AL,'JPK_KR-1'!W:W,B490),"")</f>
        <v/>
      </c>
      <c r="D490" s="126" t="str">
        <f>IF(A490&lt;&gt;"",SUMIFS('JPK_KR-1'!AM:AM,'JPK_KR-1'!W:W,B490),"")</f>
        <v/>
      </c>
      <c r="E490" s="5" t="str">
        <f>IF(kokpit!E490&lt;&gt;"",kokpit!E490,"")</f>
        <v/>
      </c>
      <c r="F490" s="127" t="str">
        <f>IF(kokpit!F490&lt;&gt;"",kokpit!F490,"")</f>
        <v/>
      </c>
      <c r="G490" s="24" t="str">
        <f>IF(E490&lt;&gt;"",SUMIFS('JPK_KR-1'!AL:AL,'JPK_KR-1'!W:W,F490),"")</f>
        <v/>
      </c>
      <c r="H490" s="126" t="str">
        <f>IF(E490&lt;&gt;"",SUMIFS('JPK_KR-1'!AM:AM,'JPK_KR-1'!W:W,F490),"")</f>
        <v/>
      </c>
      <c r="I490" s="5" t="str">
        <f>IF(kokpit!I490&lt;&gt;"",kokpit!I490,"")</f>
        <v/>
      </c>
      <c r="J490" s="5" t="str">
        <f>IF(kokpit!J490&lt;&gt;"",kokpit!J490,"")</f>
        <v/>
      </c>
      <c r="K490" s="24" t="str">
        <f>IF(I490&lt;&gt;"",SUMIFS('JPK_KR-1'!AL:AL,'JPK_KR-1'!W:W,J490),"")</f>
        <v/>
      </c>
      <c r="L490" s="141" t="str">
        <f>IF(I490&lt;&gt;"",SUMIFS('JPK_KR-1'!AM:AM,'JPK_KR-1'!W:W,J490),"")</f>
        <v/>
      </c>
      <c r="M490" s="143" t="str">
        <f>IF(kokpit!M490&lt;&gt;"",kokpit!M490,"")</f>
        <v/>
      </c>
      <c r="N490" s="117" t="str">
        <f>IF(kokpit!N490&lt;&gt;"",kokpit!N490,"")</f>
        <v/>
      </c>
      <c r="O490" s="117" t="str">
        <f>IF(kokpit!O490&lt;&gt;"",kokpit!O490,"")</f>
        <v/>
      </c>
      <c r="P490" s="141" t="str">
        <f>IF(M490&lt;&gt;"",IF(O490="",SUMIFS('JPK_KR-1'!AL:AL,'JPK_KR-1'!W:W,N490),SUMIFS('JPK_KR-1'!BF:BF,'JPK_KR-1'!BE:BE,N490,'JPK_KR-1'!BG:BG,O490)),"")</f>
        <v/>
      </c>
      <c r="Q490" s="144" t="str">
        <f>IF(M490&lt;&gt;"",IF(O490="",SUMIFS('JPK_KR-1'!AM:AM,'JPK_KR-1'!W:W,N490),SUMIFS('JPK_KR-1'!BI:BI,'JPK_KR-1'!BH:BH,N490,'JPK_KR-1'!BJ:BJ,O490)),"")</f>
        <v/>
      </c>
      <c r="R490" s="117" t="str">
        <f>IF(kokpit!R490&lt;&gt;"",kokpit!R490,"")</f>
        <v/>
      </c>
      <c r="S490" s="117" t="str">
        <f>IF(kokpit!S490&lt;&gt;"",kokpit!S490,"")</f>
        <v/>
      </c>
      <c r="T490" s="117" t="str">
        <f>IF(kokpit!T490&lt;&gt;"",kokpit!T490,"")</f>
        <v/>
      </c>
      <c r="U490" s="141" t="str">
        <f>IF(R490&lt;&gt;"",SUMIFS('JPK_KR-1'!AL:AL,'JPK_KR-1'!W:W,S490),"")</f>
        <v/>
      </c>
      <c r="V490" s="144" t="str">
        <f>IF(R490&lt;&gt;"",SUMIFS('JPK_KR-1'!AM:AM,'JPK_KR-1'!W:W,S490),"")</f>
        <v/>
      </c>
    </row>
    <row r="491" spans="1:22" x14ac:dyDescent="0.3">
      <c r="A491" s="5" t="str">
        <f>IF(kokpit!A491&lt;&gt;"",kokpit!A491,"")</f>
        <v/>
      </c>
      <c r="B491" s="5" t="str">
        <f>IF(kokpit!B491&lt;&gt;"",kokpit!B491,"")</f>
        <v/>
      </c>
      <c r="C491" s="24" t="str">
        <f>IF(A491&lt;&gt;"",SUMIFS('JPK_KR-1'!AL:AL,'JPK_KR-1'!W:W,B491),"")</f>
        <v/>
      </c>
      <c r="D491" s="126" t="str">
        <f>IF(A491&lt;&gt;"",SUMIFS('JPK_KR-1'!AM:AM,'JPK_KR-1'!W:W,B491),"")</f>
        <v/>
      </c>
      <c r="E491" s="5" t="str">
        <f>IF(kokpit!E491&lt;&gt;"",kokpit!E491,"")</f>
        <v/>
      </c>
      <c r="F491" s="127" t="str">
        <f>IF(kokpit!F491&lt;&gt;"",kokpit!F491,"")</f>
        <v/>
      </c>
      <c r="G491" s="24" t="str">
        <f>IF(E491&lt;&gt;"",SUMIFS('JPK_KR-1'!AL:AL,'JPK_KR-1'!W:W,F491),"")</f>
        <v/>
      </c>
      <c r="H491" s="126" t="str">
        <f>IF(E491&lt;&gt;"",SUMIFS('JPK_KR-1'!AM:AM,'JPK_KR-1'!W:W,F491),"")</f>
        <v/>
      </c>
      <c r="I491" s="5" t="str">
        <f>IF(kokpit!I491&lt;&gt;"",kokpit!I491,"")</f>
        <v/>
      </c>
      <c r="J491" s="5" t="str">
        <f>IF(kokpit!J491&lt;&gt;"",kokpit!J491,"")</f>
        <v/>
      </c>
      <c r="K491" s="24" t="str">
        <f>IF(I491&lt;&gt;"",SUMIFS('JPK_KR-1'!AL:AL,'JPK_KR-1'!W:W,J491),"")</f>
        <v/>
      </c>
      <c r="L491" s="141" t="str">
        <f>IF(I491&lt;&gt;"",SUMIFS('JPK_KR-1'!AM:AM,'JPK_KR-1'!W:W,J491),"")</f>
        <v/>
      </c>
      <c r="M491" s="143" t="str">
        <f>IF(kokpit!M491&lt;&gt;"",kokpit!M491,"")</f>
        <v/>
      </c>
      <c r="N491" s="117" t="str">
        <f>IF(kokpit!N491&lt;&gt;"",kokpit!N491,"")</f>
        <v/>
      </c>
      <c r="O491" s="117" t="str">
        <f>IF(kokpit!O491&lt;&gt;"",kokpit!O491,"")</f>
        <v/>
      </c>
      <c r="P491" s="141" t="str">
        <f>IF(M491&lt;&gt;"",IF(O491="",SUMIFS('JPK_KR-1'!AL:AL,'JPK_KR-1'!W:W,N491),SUMIFS('JPK_KR-1'!BF:BF,'JPK_KR-1'!BE:BE,N491,'JPK_KR-1'!BG:BG,O491)),"")</f>
        <v/>
      </c>
      <c r="Q491" s="144" t="str">
        <f>IF(M491&lt;&gt;"",IF(O491="",SUMIFS('JPK_KR-1'!AM:AM,'JPK_KR-1'!W:W,N491),SUMIFS('JPK_KR-1'!BI:BI,'JPK_KR-1'!BH:BH,N491,'JPK_KR-1'!BJ:BJ,O491)),"")</f>
        <v/>
      </c>
      <c r="R491" s="117" t="str">
        <f>IF(kokpit!R491&lt;&gt;"",kokpit!R491,"")</f>
        <v/>
      </c>
      <c r="S491" s="117" t="str">
        <f>IF(kokpit!S491&lt;&gt;"",kokpit!S491,"")</f>
        <v/>
      </c>
      <c r="T491" s="117" t="str">
        <f>IF(kokpit!T491&lt;&gt;"",kokpit!T491,"")</f>
        <v/>
      </c>
      <c r="U491" s="141" t="str">
        <f>IF(R491&lt;&gt;"",SUMIFS('JPK_KR-1'!AL:AL,'JPK_KR-1'!W:W,S491),"")</f>
        <v/>
      </c>
      <c r="V491" s="144" t="str">
        <f>IF(R491&lt;&gt;"",SUMIFS('JPK_KR-1'!AM:AM,'JPK_KR-1'!W:W,S491),"")</f>
        <v/>
      </c>
    </row>
    <row r="492" spans="1:22" x14ac:dyDescent="0.3">
      <c r="A492" s="5" t="str">
        <f>IF(kokpit!A492&lt;&gt;"",kokpit!A492,"")</f>
        <v/>
      </c>
      <c r="B492" s="5" t="str">
        <f>IF(kokpit!B492&lt;&gt;"",kokpit!B492,"")</f>
        <v/>
      </c>
      <c r="C492" s="24" t="str">
        <f>IF(A492&lt;&gt;"",SUMIFS('JPK_KR-1'!AL:AL,'JPK_KR-1'!W:W,B492),"")</f>
        <v/>
      </c>
      <c r="D492" s="126" t="str">
        <f>IF(A492&lt;&gt;"",SUMIFS('JPK_KR-1'!AM:AM,'JPK_KR-1'!W:W,B492),"")</f>
        <v/>
      </c>
      <c r="E492" s="5" t="str">
        <f>IF(kokpit!E492&lt;&gt;"",kokpit!E492,"")</f>
        <v/>
      </c>
      <c r="F492" s="127" t="str">
        <f>IF(kokpit!F492&lt;&gt;"",kokpit!F492,"")</f>
        <v/>
      </c>
      <c r="G492" s="24" t="str">
        <f>IF(E492&lt;&gt;"",SUMIFS('JPK_KR-1'!AL:AL,'JPK_KR-1'!W:W,F492),"")</f>
        <v/>
      </c>
      <c r="H492" s="126" t="str">
        <f>IF(E492&lt;&gt;"",SUMIFS('JPK_KR-1'!AM:AM,'JPK_KR-1'!W:W,F492),"")</f>
        <v/>
      </c>
      <c r="I492" s="5" t="str">
        <f>IF(kokpit!I492&lt;&gt;"",kokpit!I492,"")</f>
        <v/>
      </c>
      <c r="J492" s="5" t="str">
        <f>IF(kokpit!J492&lt;&gt;"",kokpit!J492,"")</f>
        <v/>
      </c>
      <c r="K492" s="24" t="str">
        <f>IF(I492&lt;&gt;"",SUMIFS('JPK_KR-1'!AL:AL,'JPK_KR-1'!W:W,J492),"")</f>
        <v/>
      </c>
      <c r="L492" s="141" t="str">
        <f>IF(I492&lt;&gt;"",SUMIFS('JPK_KR-1'!AM:AM,'JPK_KR-1'!W:W,J492),"")</f>
        <v/>
      </c>
      <c r="M492" s="143" t="str">
        <f>IF(kokpit!M492&lt;&gt;"",kokpit!M492,"")</f>
        <v/>
      </c>
      <c r="N492" s="117" t="str">
        <f>IF(kokpit!N492&lt;&gt;"",kokpit!N492,"")</f>
        <v/>
      </c>
      <c r="O492" s="117" t="str">
        <f>IF(kokpit!O492&lt;&gt;"",kokpit!O492,"")</f>
        <v/>
      </c>
      <c r="P492" s="141" t="str">
        <f>IF(M492&lt;&gt;"",IF(O492="",SUMIFS('JPK_KR-1'!AL:AL,'JPK_KR-1'!W:W,N492),SUMIFS('JPK_KR-1'!BF:BF,'JPK_KR-1'!BE:BE,N492,'JPK_KR-1'!BG:BG,O492)),"")</f>
        <v/>
      </c>
      <c r="Q492" s="144" t="str">
        <f>IF(M492&lt;&gt;"",IF(O492="",SUMIFS('JPK_KR-1'!AM:AM,'JPK_KR-1'!W:W,N492),SUMIFS('JPK_KR-1'!BI:BI,'JPK_KR-1'!BH:BH,N492,'JPK_KR-1'!BJ:BJ,O492)),"")</f>
        <v/>
      </c>
      <c r="R492" s="117" t="str">
        <f>IF(kokpit!R492&lt;&gt;"",kokpit!R492,"")</f>
        <v/>
      </c>
      <c r="S492" s="117" t="str">
        <f>IF(kokpit!S492&lt;&gt;"",kokpit!S492,"")</f>
        <v/>
      </c>
      <c r="T492" s="117" t="str">
        <f>IF(kokpit!T492&lt;&gt;"",kokpit!T492,"")</f>
        <v/>
      </c>
      <c r="U492" s="141" t="str">
        <f>IF(R492&lt;&gt;"",SUMIFS('JPK_KR-1'!AL:AL,'JPK_KR-1'!W:W,S492),"")</f>
        <v/>
      </c>
      <c r="V492" s="144" t="str">
        <f>IF(R492&lt;&gt;"",SUMIFS('JPK_KR-1'!AM:AM,'JPK_KR-1'!W:W,S492),"")</f>
        <v/>
      </c>
    </row>
    <row r="493" spans="1:22" x14ac:dyDescent="0.3">
      <c r="A493" s="5" t="str">
        <f>IF(kokpit!A493&lt;&gt;"",kokpit!A493,"")</f>
        <v/>
      </c>
      <c r="B493" s="5" t="str">
        <f>IF(kokpit!B493&lt;&gt;"",kokpit!B493,"")</f>
        <v/>
      </c>
      <c r="C493" s="24" t="str">
        <f>IF(A493&lt;&gt;"",SUMIFS('JPK_KR-1'!AL:AL,'JPK_KR-1'!W:W,B493),"")</f>
        <v/>
      </c>
      <c r="D493" s="126" t="str">
        <f>IF(A493&lt;&gt;"",SUMIFS('JPK_KR-1'!AM:AM,'JPK_KR-1'!W:W,B493),"")</f>
        <v/>
      </c>
      <c r="E493" s="5" t="str">
        <f>IF(kokpit!E493&lt;&gt;"",kokpit!E493,"")</f>
        <v/>
      </c>
      <c r="F493" s="127" t="str">
        <f>IF(kokpit!F493&lt;&gt;"",kokpit!F493,"")</f>
        <v/>
      </c>
      <c r="G493" s="24" t="str">
        <f>IF(E493&lt;&gt;"",SUMIFS('JPK_KR-1'!AL:AL,'JPK_KR-1'!W:W,F493),"")</f>
        <v/>
      </c>
      <c r="H493" s="126" t="str">
        <f>IF(E493&lt;&gt;"",SUMIFS('JPK_KR-1'!AM:AM,'JPK_KR-1'!W:W,F493),"")</f>
        <v/>
      </c>
      <c r="I493" s="5" t="str">
        <f>IF(kokpit!I493&lt;&gt;"",kokpit!I493,"")</f>
        <v/>
      </c>
      <c r="J493" s="5" t="str">
        <f>IF(kokpit!J493&lt;&gt;"",kokpit!J493,"")</f>
        <v/>
      </c>
      <c r="K493" s="24" t="str">
        <f>IF(I493&lt;&gt;"",SUMIFS('JPK_KR-1'!AL:AL,'JPK_KR-1'!W:W,J493),"")</f>
        <v/>
      </c>
      <c r="L493" s="141" t="str">
        <f>IF(I493&lt;&gt;"",SUMIFS('JPK_KR-1'!AM:AM,'JPK_KR-1'!W:W,J493),"")</f>
        <v/>
      </c>
      <c r="M493" s="143" t="str">
        <f>IF(kokpit!M493&lt;&gt;"",kokpit!M493,"")</f>
        <v/>
      </c>
      <c r="N493" s="117" t="str">
        <f>IF(kokpit!N493&lt;&gt;"",kokpit!N493,"")</f>
        <v/>
      </c>
      <c r="O493" s="117" t="str">
        <f>IF(kokpit!O493&lt;&gt;"",kokpit!O493,"")</f>
        <v/>
      </c>
      <c r="P493" s="141" t="str">
        <f>IF(M493&lt;&gt;"",IF(O493="",SUMIFS('JPK_KR-1'!AL:AL,'JPK_KR-1'!W:W,N493),SUMIFS('JPK_KR-1'!BF:BF,'JPK_KR-1'!BE:BE,N493,'JPK_KR-1'!BG:BG,O493)),"")</f>
        <v/>
      </c>
      <c r="Q493" s="144" t="str">
        <f>IF(M493&lt;&gt;"",IF(O493="",SUMIFS('JPK_KR-1'!AM:AM,'JPK_KR-1'!W:W,N493),SUMIFS('JPK_KR-1'!BI:BI,'JPK_KR-1'!BH:BH,N493,'JPK_KR-1'!BJ:BJ,O493)),"")</f>
        <v/>
      </c>
      <c r="R493" s="117" t="str">
        <f>IF(kokpit!R493&lt;&gt;"",kokpit!R493,"")</f>
        <v/>
      </c>
      <c r="S493" s="117" t="str">
        <f>IF(kokpit!S493&lt;&gt;"",kokpit!S493,"")</f>
        <v/>
      </c>
      <c r="T493" s="117" t="str">
        <f>IF(kokpit!T493&lt;&gt;"",kokpit!T493,"")</f>
        <v/>
      </c>
      <c r="U493" s="141" t="str">
        <f>IF(R493&lt;&gt;"",SUMIFS('JPK_KR-1'!AL:AL,'JPK_KR-1'!W:W,S493),"")</f>
        <v/>
      </c>
      <c r="V493" s="144" t="str">
        <f>IF(R493&lt;&gt;"",SUMIFS('JPK_KR-1'!AM:AM,'JPK_KR-1'!W:W,S493),"")</f>
        <v/>
      </c>
    </row>
    <row r="494" spans="1:22" x14ac:dyDescent="0.3">
      <c r="A494" s="5" t="str">
        <f>IF(kokpit!A494&lt;&gt;"",kokpit!A494,"")</f>
        <v/>
      </c>
      <c r="B494" s="5" t="str">
        <f>IF(kokpit!B494&lt;&gt;"",kokpit!B494,"")</f>
        <v/>
      </c>
      <c r="C494" s="24" t="str">
        <f>IF(A494&lt;&gt;"",SUMIFS('JPK_KR-1'!AL:AL,'JPK_KR-1'!W:W,B494),"")</f>
        <v/>
      </c>
      <c r="D494" s="126" t="str">
        <f>IF(A494&lt;&gt;"",SUMIFS('JPK_KR-1'!AM:AM,'JPK_KR-1'!W:W,B494),"")</f>
        <v/>
      </c>
      <c r="E494" s="5" t="str">
        <f>IF(kokpit!E494&lt;&gt;"",kokpit!E494,"")</f>
        <v/>
      </c>
      <c r="F494" s="127" t="str">
        <f>IF(kokpit!F494&lt;&gt;"",kokpit!F494,"")</f>
        <v/>
      </c>
      <c r="G494" s="24" t="str">
        <f>IF(E494&lt;&gt;"",SUMIFS('JPK_KR-1'!AL:AL,'JPK_KR-1'!W:W,F494),"")</f>
        <v/>
      </c>
      <c r="H494" s="126" t="str">
        <f>IF(E494&lt;&gt;"",SUMIFS('JPK_KR-1'!AM:AM,'JPK_KR-1'!W:W,F494),"")</f>
        <v/>
      </c>
      <c r="I494" s="5" t="str">
        <f>IF(kokpit!I494&lt;&gt;"",kokpit!I494,"")</f>
        <v/>
      </c>
      <c r="J494" s="5" t="str">
        <f>IF(kokpit!J494&lt;&gt;"",kokpit!J494,"")</f>
        <v/>
      </c>
      <c r="K494" s="24" t="str">
        <f>IF(I494&lt;&gt;"",SUMIFS('JPK_KR-1'!AL:AL,'JPK_KR-1'!W:W,J494),"")</f>
        <v/>
      </c>
      <c r="L494" s="141" t="str">
        <f>IF(I494&lt;&gt;"",SUMIFS('JPK_KR-1'!AM:AM,'JPK_KR-1'!W:W,J494),"")</f>
        <v/>
      </c>
      <c r="M494" s="143" t="str">
        <f>IF(kokpit!M494&lt;&gt;"",kokpit!M494,"")</f>
        <v/>
      </c>
      <c r="N494" s="117" t="str">
        <f>IF(kokpit!N494&lt;&gt;"",kokpit!N494,"")</f>
        <v/>
      </c>
      <c r="O494" s="117" t="str">
        <f>IF(kokpit!O494&lt;&gt;"",kokpit!O494,"")</f>
        <v/>
      </c>
      <c r="P494" s="141" t="str">
        <f>IF(M494&lt;&gt;"",IF(O494="",SUMIFS('JPK_KR-1'!AL:AL,'JPK_KR-1'!W:W,N494),SUMIFS('JPK_KR-1'!BF:BF,'JPK_KR-1'!BE:BE,N494,'JPK_KR-1'!BG:BG,O494)),"")</f>
        <v/>
      </c>
      <c r="Q494" s="144" t="str">
        <f>IF(M494&lt;&gt;"",IF(O494="",SUMIFS('JPK_KR-1'!AM:AM,'JPK_KR-1'!W:W,N494),SUMIFS('JPK_KR-1'!BI:BI,'JPK_KR-1'!BH:BH,N494,'JPK_KR-1'!BJ:BJ,O494)),"")</f>
        <v/>
      </c>
      <c r="R494" s="117" t="str">
        <f>IF(kokpit!R494&lt;&gt;"",kokpit!R494,"")</f>
        <v/>
      </c>
      <c r="S494" s="117" t="str">
        <f>IF(kokpit!S494&lt;&gt;"",kokpit!S494,"")</f>
        <v/>
      </c>
      <c r="T494" s="117" t="str">
        <f>IF(kokpit!T494&lt;&gt;"",kokpit!T494,"")</f>
        <v/>
      </c>
      <c r="U494" s="141" t="str">
        <f>IF(R494&lt;&gt;"",SUMIFS('JPK_KR-1'!AL:AL,'JPK_KR-1'!W:W,S494),"")</f>
        <v/>
      </c>
      <c r="V494" s="144" t="str">
        <f>IF(R494&lt;&gt;"",SUMIFS('JPK_KR-1'!AM:AM,'JPK_KR-1'!W:W,S494),"")</f>
        <v/>
      </c>
    </row>
    <row r="495" spans="1:22" x14ac:dyDescent="0.3">
      <c r="A495" s="5" t="str">
        <f>IF(kokpit!A495&lt;&gt;"",kokpit!A495,"")</f>
        <v/>
      </c>
      <c r="B495" s="5" t="str">
        <f>IF(kokpit!B495&lt;&gt;"",kokpit!B495,"")</f>
        <v/>
      </c>
      <c r="C495" s="24" t="str">
        <f>IF(A495&lt;&gt;"",SUMIFS('JPK_KR-1'!AL:AL,'JPK_KR-1'!W:W,B495),"")</f>
        <v/>
      </c>
      <c r="D495" s="126" t="str">
        <f>IF(A495&lt;&gt;"",SUMIFS('JPK_KR-1'!AM:AM,'JPK_KR-1'!W:W,B495),"")</f>
        <v/>
      </c>
      <c r="E495" s="5" t="str">
        <f>IF(kokpit!E495&lt;&gt;"",kokpit!E495,"")</f>
        <v/>
      </c>
      <c r="F495" s="127" t="str">
        <f>IF(kokpit!F495&lt;&gt;"",kokpit!F495,"")</f>
        <v/>
      </c>
      <c r="G495" s="24" t="str">
        <f>IF(E495&lt;&gt;"",SUMIFS('JPK_KR-1'!AL:AL,'JPK_KR-1'!W:W,F495),"")</f>
        <v/>
      </c>
      <c r="H495" s="126" t="str">
        <f>IF(E495&lt;&gt;"",SUMIFS('JPK_KR-1'!AM:AM,'JPK_KR-1'!W:W,F495),"")</f>
        <v/>
      </c>
      <c r="I495" s="5" t="str">
        <f>IF(kokpit!I495&lt;&gt;"",kokpit!I495,"")</f>
        <v/>
      </c>
      <c r="J495" s="5" t="str">
        <f>IF(kokpit!J495&lt;&gt;"",kokpit!J495,"")</f>
        <v/>
      </c>
      <c r="K495" s="24" t="str">
        <f>IF(I495&lt;&gt;"",SUMIFS('JPK_KR-1'!AL:AL,'JPK_KR-1'!W:W,J495),"")</f>
        <v/>
      </c>
      <c r="L495" s="141" t="str">
        <f>IF(I495&lt;&gt;"",SUMIFS('JPK_KR-1'!AM:AM,'JPK_KR-1'!W:W,J495),"")</f>
        <v/>
      </c>
      <c r="M495" s="143" t="str">
        <f>IF(kokpit!M495&lt;&gt;"",kokpit!M495,"")</f>
        <v/>
      </c>
      <c r="N495" s="117" t="str">
        <f>IF(kokpit!N495&lt;&gt;"",kokpit!N495,"")</f>
        <v/>
      </c>
      <c r="O495" s="117" t="str">
        <f>IF(kokpit!O495&lt;&gt;"",kokpit!O495,"")</f>
        <v/>
      </c>
      <c r="P495" s="141" t="str">
        <f>IF(M495&lt;&gt;"",IF(O495="",SUMIFS('JPK_KR-1'!AL:AL,'JPK_KR-1'!W:W,N495),SUMIFS('JPK_KR-1'!BF:BF,'JPK_KR-1'!BE:BE,N495,'JPK_KR-1'!BG:BG,O495)),"")</f>
        <v/>
      </c>
      <c r="Q495" s="144" t="str">
        <f>IF(M495&lt;&gt;"",IF(O495="",SUMIFS('JPK_KR-1'!AM:AM,'JPK_KR-1'!W:W,N495),SUMIFS('JPK_KR-1'!BI:BI,'JPK_KR-1'!BH:BH,N495,'JPK_KR-1'!BJ:BJ,O495)),"")</f>
        <v/>
      </c>
      <c r="R495" s="117" t="str">
        <f>IF(kokpit!R495&lt;&gt;"",kokpit!R495,"")</f>
        <v/>
      </c>
      <c r="S495" s="117" t="str">
        <f>IF(kokpit!S495&lt;&gt;"",kokpit!S495,"")</f>
        <v/>
      </c>
      <c r="T495" s="117" t="str">
        <f>IF(kokpit!T495&lt;&gt;"",kokpit!T495,"")</f>
        <v/>
      </c>
      <c r="U495" s="141" t="str">
        <f>IF(R495&lt;&gt;"",SUMIFS('JPK_KR-1'!AL:AL,'JPK_KR-1'!W:W,S495),"")</f>
        <v/>
      </c>
      <c r="V495" s="144" t="str">
        <f>IF(R495&lt;&gt;"",SUMIFS('JPK_KR-1'!AM:AM,'JPK_KR-1'!W:W,S495),"")</f>
        <v/>
      </c>
    </row>
    <row r="496" spans="1:22" x14ac:dyDescent="0.3">
      <c r="A496" s="5" t="str">
        <f>IF(kokpit!A496&lt;&gt;"",kokpit!A496,"")</f>
        <v/>
      </c>
      <c r="B496" s="5" t="str">
        <f>IF(kokpit!B496&lt;&gt;"",kokpit!B496,"")</f>
        <v/>
      </c>
      <c r="C496" s="24" t="str">
        <f>IF(A496&lt;&gt;"",SUMIFS('JPK_KR-1'!AL:AL,'JPK_KR-1'!W:W,B496),"")</f>
        <v/>
      </c>
      <c r="D496" s="126" t="str">
        <f>IF(A496&lt;&gt;"",SUMIFS('JPK_KR-1'!AM:AM,'JPK_KR-1'!W:W,B496),"")</f>
        <v/>
      </c>
      <c r="E496" s="5" t="str">
        <f>IF(kokpit!E496&lt;&gt;"",kokpit!E496,"")</f>
        <v/>
      </c>
      <c r="F496" s="127" t="str">
        <f>IF(kokpit!F496&lt;&gt;"",kokpit!F496,"")</f>
        <v/>
      </c>
      <c r="G496" s="24" t="str">
        <f>IF(E496&lt;&gt;"",SUMIFS('JPK_KR-1'!AL:AL,'JPK_KR-1'!W:W,F496),"")</f>
        <v/>
      </c>
      <c r="H496" s="126" t="str">
        <f>IF(E496&lt;&gt;"",SUMIFS('JPK_KR-1'!AM:AM,'JPK_KR-1'!W:W,F496),"")</f>
        <v/>
      </c>
      <c r="I496" s="5" t="str">
        <f>IF(kokpit!I496&lt;&gt;"",kokpit!I496,"")</f>
        <v/>
      </c>
      <c r="J496" s="5" t="str">
        <f>IF(kokpit!J496&lt;&gt;"",kokpit!J496,"")</f>
        <v/>
      </c>
      <c r="K496" s="24" t="str">
        <f>IF(I496&lt;&gt;"",SUMIFS('JPK_KR-1'!AL:AL,'JPK_KR-1'!W:W,J496),"")</f>
        <v/>
      </c>
      <c r="L496" s="141" t="str">
        <f>IF(I496&lt;&gt;"",SUMIFS('JPK_KR-1'!AM:AM,'JPK_KR-1'!W:W,J496),"")</f>
        <v/>
      </c>
      <c r="M496" s="143" t="str">
        <f>IF(kokpit!M496&lt;&gt;"",kokpit!M496,"")</f>
        <v/>
      </c>
      <c r="N496" s="117" t="str">
        <f>IF(kokpit!N496&lt;&gt;"",kokpit!N496,"")</f>
        <v/>
      </c>
      <c r="O496" s="117" t="str">
        <f>IF(kokpit!O496&lt;&gt;"",kokpit!O496,"")</f>
        <v/>
      </c>
      <c r="P496" s="141" t="str">
        <f>IF(M496&lt;&gt;"",IF(O496="",SUMIFS('JPK_KR-1'!AL:AL,'JPK_KR-1'!W:W,N496),SUMIFS('JPK_KR-1'!BF:BF,'JPK_KR-1'!BE:BE,N496,'JPK_KR-1'!BG:BG,O496)),"")</f>
        <v/>
      </c>
      <c r="Q496" s="144" t="str">
        <f>IF(M496&lt;&gt;"",IF(O496="",SUMIFS('JPK_KR-1'!AM:AM,'JPK_KR-1'!W:W,N496),SUMIFS('JPK_KR-1'!BI:BI,'JPK_KR-1'!BH:BH,N496,'JPK_KR-1'!BJ:BJ,O496)),"")</f>
        <v/>
      </c>
      <c r="R496" s="117" t="str">
        <f>IF(kokpit!R496&lt;&gt;"",kokpit!R496,"")</f>
        <v/>
      </c>
      <c r="S496" s="117" t="str">
        <f>IF(kokpit!S496&lt;&gt;"",kokpit!S496,"")</f>
        <v/>
      </c>
      <c r="T496" s="117" t="str">
        <f>IF(kokpit!T496&lt;&gt;"",kokpit!T496,"")</f>
        <v/>
      </c>
      <c r="U496" s="141" t="str">
        <f>IF(R496&lt;&gt;"",SUMIFS('JPK_KR-1'!AL:AL,'JPK_KR-1'!W:W,S496),"")</f>
        <v/>
      </c>
      <c r="V496" s="144" t="str">
        <f>IF(R496&lt;&gt;"",SUMIFS('JPK_KR-1'!AM:AM,'JPK_KR-1'!W:W,S496),"")</f>
        <v/>
      </c>
    </row>
    <row r="497" spans="1:22" x14ac:dyDescent="0.3">
      <c r="A497" s="5" t="str">
        <f>IF(kokpit!A497&lt;&gt;"",kokpit!A497,"")</f>
        <v/>
      </c>
      <c r="B497" s="5" t="str">
        <f>IF(kokpit!B497&lt;&gt;"",kokpit!B497,"")</f>
        <v/>
      </c>
      <c r="C497" s="24" t="str">
        <f>IF(A497&lt;&gt;"",SUMIFS('JPK_KR-1'!AL:AL,'JPK_KR-1'!W:W,B497),"")</f>
        <v/>
      </c>
      <c r="D497" s="126" t="str">
        <f>IF(A497&lt;&gt;"",SUMIFS('JPK_KR-1'!AM:AM,'JPK_KR-1'!W:W,B497),"")</f>
        <v/>
      </c>
      <c r="E497" s="5" t="str">
        <f>IF(kokpit!E497&lt;&gt;"",kokpit!E497,"")</f>
        <v/>
      </c>
      <c r="F497" s="127" t="str">
        <f>IF(kokpit!F497&lt;&gt;"",kokpit!F497,"")</f>
        <v/>
      </c>
      <c r="G497" s="24" t="str">
        <f>IF(E497&lt;&gt;"",SUMIFS('JPK_KR-1'!AL:AL,'JPK_KR-1'!W:W,F497),"")</f>
        <v/>
      </c>
      <c r="H497" s="126" t="str">
        <f>IF(E497&lt;&gt;"",SUMIFS('JPK_KR-1'!AM:AM,'JPK_KR-1'!W:W,F497),"")</f>
        <v/>
      </c>
      <c r="I497" s="5" t="str">
        <f>IF(kokpit!I497&lt;&gt;"",kokpit!I497,"")</f>
        <v/>
      </c>
      <c r="J497" s="5" t="str">
        <f>IF(kokpit!J497&lt;&gt;"",kokpit!J497,"")</f>
        <v/>
      </c>
      <c r="K497" s="24" t="str">
        <f>IF(I497&lt;&gt;"",SUMIFS('JPK_KR-1'!AL:AL,'JPK_KR-1'!W:W,J497),"")</f>
        <v/>
      </c>
      <c r="L497" s="141" t="str">
        <f>IF(I497&lt;&gt;"",SUMIFS('JPK_KR-1'!AM:AM,'JPK_KR-1'!W:W,J497),"")</f>
        <v/>
      </c>
      <c r="M497" s="143" t="str">
        <f>IF(kokpit!M497&lt;&gt;"",kokpit!M497,"")</f>
        <v/>
      </c>
      <c r="N497" s="117" t="str">
        <f>IF(kokpit!N497&lt;&gt;"",kokpit!N497,"")</f>
        <v/>
      </c>
      <c r="O497" s="117" t="str">
        <f>IF(kokpit!O497&lt;&gt;"",kokpit!O497,"")</f>
        <v/>
      </c>
      <c r="P497" s="141" t="str">
        <f>IF(M497&lt;&gt;"",IF(O497="",SUMIFS('JPK_KR-1'!AL:AL,'JPK_KR-1'!W:W,N497),SUMIFS('JPK_KR-1'!BF:BF,'JPK_KR-1'!BE:BE,N497,'JPK_KR-1'!BG:BG,O497)),"")</f>
        <v/>
      </c>
      <c r="Q497" s="144" t="str">
        <f>IF(M497&lt;&gt;"",IF(O497="",SUMIFS('JPK_KR-1'!AM:AM,'JPK_KR-1'!W:W,N497),SUMIFS('JPK_KR-1'!BI:BI,'JPK_KR-1'!BH:BH,N497,'JPK_KR-1'!BJ:BJ,O497)),"")</f>
        <v/>
      </c>
      <c r="R497" s="117" t="str">
        <f>IF(kokpit!R497&lt;&gt;"",kokpit!R497,"")</f>
        <v/>
      </c>
      <c r="S497" s="117" t="str">
        <f>IF(kokpit!S497&lt;&gt;"",kokpit!S497,"")</f>
        <v/>
      </c>
      <c r="T497" s="117" t="str">
        <f>IF(kokpit!T497&lt;&gt;"",kokpit!T497,"")</f>
        <v/>
      </c>
      <c r="U497" s="141" t="str">
        <f>IF(R497&lt;&gt;"",SUMIFS('JPK_KR-1'!AL:AL,'JPK_KR-1'!W:W,S497),"")</f>
        <v/>
      </c>
      <c r="V497" s="144" t="str">
        <f>IF(R497&lt;&gt;"",SUMIFS('JPK_KR-1'!AM:AM,'JPK_KR-1'!W:W,S497),"")</f>
        <v/>
      </c>
    </row>
    <row r="498" spans="1:22" x14ac:dyDescent="0.3">
      <c r="A498" s="5" t="str">
        <f>IF(kokpit!A498&lt;&gt;"",kokpit!A498,"")</f>
        <v/>
      </c>
      <c r="B498" s="5" t="str">
        <f>IF(kokpit!B498&lt;&gt;"",kokpit!B498,"")</f>
        <v/>
      </c>
      <c r="C498" s="24" t="str">
        <f>IF(A498&lt;&gt;"",SUMIFS('JPK_KR-1'!AL:AL,'JPK_KR-1'!W:W,B498),"")</f>
        <v/>
      </c>
      <c r="D498" s="126" t="str">
        <f>IF(A498&lt;&gt;"",SUMIFS('JPK_KR-1'!AM:AM,'JPK_KR-1'!W:W,B498),"")</f>
        <v/>
      </c>
      <c r="E498" s="5" t="str">
        <f>IF(kokpit!E498&lt;&gt;"",kokpit!E498,"")</f>
        <v/>
      </c>
      <c r="F498" s="127" t="str">
        <f>IF(kokpit!F498&lt;&gt;"",kokpit!F498,"")</f>
        <v/>
      </c>
      <c r="G498" s="24" t="str">
        <f>IF(E498&lt;&gt;"",SUMIFS('JPK_KR-1'!AL:AL,'JPK_KR-1'!W:W,F498),"")</f>
        <v/>
      </c>
      <c r="H498" s="126" t="str">
        <f>IF(E498&lt;&gt;"",SUMIFS('JPK_KR-1'!AM:AM,'JPK_KR-1'!W:W,F498),"")</f>
        <v/>
      </c>
      <c r="I498" s="5" t="str">
        <f>IF(kokpit!I498&lt;&gt;"",kokpit!I498,"")</f>
        <v/>
      </c>
      <c r="J498" s="5" t="str">
        <f>IF(kokpit!J498&lt;&gt;"",kokpit!J498,"")</f>
        <v/>
      </c>
      <c r="K498" s="24" t="str">
        <f>IF(I498&lt;&gt;"",SUMIFS('JPK_KR-1'!AL:AL,'JPK_KR-1'!W:W,J498),"")</f>
        <v/>
      </c>
      <c r="L498" s="141" t="str">
        <f>IF(I498&lt;&gt;"",SUMIFS('JPK_KR-1'!AM:AM,'JPK_KR-1'!W:W,J498),"")</f>
        <v/>
      </c>
      <c r="M498" s="143" t="str">
        <f>IF(kokpit!M498&lt;&gt;"",kokpit!M498,"")</f>
        <v/>
      </c>
      <c r="N498" s="117" t="str">
        <f>IF(kokpit!N498&lt;&gt;"",kokpit!N498,"")</f>
        <v/>
      </c>
      <c r="O498" s="117" t="str">
        <f>IF(kokpit!O498&lt;&gt;"",kokpit!O498,"")</f>
        <v/>
      </c>
      <c r="P498" s="141" t="str">
        <f>IF(M498&lt;&gt;"",IF(O498="",SUMIFS('JPK_KR-1'!AL:AL,'JPK_KR-1'!W:W,N498),SUMIFS('JPK_KR-1'!BF:BF,'JPK_KR-1'!BE:BE,N498,'JPK_KR-1'!BG:BG,O498)),"")</f>
        <v/>
      </c>
      <c r="Q498" s="144" t="str">
        <f>IF(M498&lt;&gt;"",IF(O498="",SUMIFS('JPK_KR-1'!AM:AM,'JPK_KR-1'!W:W,N498),SUMIFS('JPK_KR-1'!BI:BI,'JPK_KR-1'!BH:BH,N498,'JPK_KR-1'!BJ:BJ,O498)),"")</f>
        <v/>
      </c>
      <c r="R498" s="117" t="str">
        <f>IF(kokpit!R498&lt;&gt;"",kokpit!R498,"")</f>
        <v/>
      </c>
      <c r="S498" s="117" t="str">
        <f>IF(kokpit!S498&lt;&gt;"",kokpit!S498,"")</f>
        <v/>
      </c>
      <c r="T498" s="117" t="str">
        <f>IF(kokpit!T498&lt;&gt;"",kokpit!T498,"")</f>
        <v/>
      </c>
      <c r="U498" s="141" t="str">
        <f>IF(R498&lt;&gt;"",SUMIFS('JPK_KR-1'!AL:AL,'JPK_KR-1'!W:W,S498),"")</f>
        <v/>
      </c>
      <c r="V498" s="144" t="str">
        <f>IF(R498&lt;&gt;"",SUMIFS('JPK_KR-1'!AM:AM,'JPK_KR-1'!W:W,S498),"")</f>
        <v/>
      </c>
    </row>
    <row r="499" spans="1:22" x14ac:dyDescent="0.3">
      <c r="A499" s="5" t="str">
        <f>IF(kokpit!A499&lt;&gt;"",kokpit!A499,"")</f>
        <v/>
      </c>
      <c r="B499" s="5" t="str">
        <f>IF(kokpit!B499&lt;&gt;"",kokpit!B499,"")</f>
        <v/>
      </c>
      <c r="C499" s="24" t="str">
        <f>IF(A499&lt;&gt;"",SUMIFS('JPK_KR-1'!AL:AL,'JPK_KR-1'!W:W,B499),"")</f>
        <v/>
      </c>
      <c r="D499" s="126" t="str">
        <f>IF(A499&lt;&gt;"",SUMIFS('JPK_KR-1'!AM:AM,'JPK_KR-1'!W:W,B499),"")</f>
        <v/>
      </c>
      <c r="E499" s="5" t="str">
        <f>IF(kokpit!E499&lt;&gt;"",kokpit!E499,"")</f>
        <v/>
      </c>
      <c r="F499" s="127" t="str">
        <f>IF(kokpit!F499&lt;&gt;"",kokpit!F499,"")</f>
        <v/>
      </c>
      <c r="G499" s="24" t="str">
        <f>IF(E499&lt;&gt;"",SUMIFS('JPK_KR-1'!AL:AL,'JPK_KR-1'!W:W,F499),"")</f>
        <v/>
      </c>
      <c r="H499" s="126" t="str">
        <f>IF(E499&lt;&gt;"",SUMIFS('JPK_KR-1'!AM:AM,'JPK_KR-1'!W:W,F499),"")</f>
        <v/>
      </c>
      <c r="I499" s="5" t="str">
        <f>IF(kokpit!I499&lt;&gt;"",kokpit!I499,"")</f>
        <v/>
      </c>
      <c r="J499" s="5" t="str">
        <f>IF(kokpit!J499&lt;&gt;"",kokpit!J499,"")</f>
        <v/>
      </c>
      <c r="K499" s="24" t="str">
        <f>IF(I499&lt;&gt;"",SUMIFS('JPK_KR-1'!AL:AL,'JPK_KR-1'!W:W,J499),"")</f>
        <v/>
      </c>
      <c r="L499" s="141" t="str">
        <f>IF(I499&lt;&gt;"",SUMIFS('JPK_KR-1'!AM:AM,'JPK_KR-1'!W:W,J499),"")</f>
        <v/>
      </c>
      <c r="M499" s="143" t="str">
        <f>IF(kokpit!M499&lt;&gt;"",kokpit!M499,"")</f>
        <v/>
      </c>
      <c r="N499" s="117" t="str">
        <f>IF(kokpit!N499&lt;&gt;"",kokpit!N499,"")</f>
        <v/>
      </c>
      <c r="O499" s="117" t="str">
        <f>IF(kokpit!O499&lt;&gt;"",kokpit!O499,"")</f>
        <v/>
      </c>
      <c r="P499" s="141" t="str">
        <f>IF(M499&lt;&gt;"",IF(O499="",SUMIFS('JPK_KR-1'!AL:AL,'JPK_KR-1'!W:W,N499),SUMIFS('JPK_KR-1'!BF:BF,'JPK_KR-1'!BE:BE,N499,'JPK_KR-1'!BG:BG,O499)),"")</f>
        <v/>
      </c>
      <c r="Q499" s="144" t="str">
        <f>IF(M499&lt;&gt;"",IF(O499="",SUMIFS('JPK_KR-1'!AM:AM,'JPK_KR-1'!W:W,N499),SUMIFS('JPK_KR-1'!BI:BI,'JPK_KR-1'!BH:BH,N499,'JPK_KR-1'!BJ:BJ,O499)),"")</f>
        <v/>
      </c>
      <c r="R499" s="117" t="str">
        <f>IF(kokpit!R499&lt;&gt;"",kokpit!R499,"")</f>
        <v/>
      </c>
      <c r="S499" s="117" t="str">
        <f>IF(kokpit!S499&lt;&gt;"",kokpit!S499,"")</f>
        <v/>
      </c>
      <c r="T499" s="117" t="str">
        <f>IF(kokpit!T499&lt;&gt;"",kokpit!T499,"")</f>
        <v/>
      </c>
      <c r="U499" s="141" t="str">
        <f>IF(R499&lt;&gt;"",SUMIFS('JPK_KR-1'!AL:AL,'JPK_KR-1'!W:W,S499),"")</f>
        <v/>
      </c>
      <c r="V499" s="144" t="str">
        <f>IF(R499&lt;&gt;"",SUMIFS('JPK_KR-1'!AM:AM,'JPK_KR-1'!W:W,S499),"")</f>
        <v/>
      </c>
    </row>
    <row r="500" spans="1:22" x14ac:dyDescent="0.3">
      <c r="A500" s="5" t="str">
        <f>IF(kokpit!A500&lt;&gt;"",kokpit!A500,"")</f>
        <v/>
      </c>
      <c r="B500" s="5" t="str">
        <f>IF(kokpit!B500&lt;&gt;"",kokpit!B500,"")</f>
        <v/>
      </c>
      <c r="C500" s="24" t="str">
        <f>IF(A500&lt;&gt;"",SUMIFS('JPK_KR-1'!AL:AL,'JPK_KR-1'!W:W,B500),"")</f>
        <v/>
      </c>
      <c r="D500" s="126" t="str">
        <f>IF(A500&lt;&gt;"",SUMIFS('JPK_KR-1'!AM:AM,'JPK_KR-1'!W:W,B500),"")</f>
        <v/>
      </c>
      <c r="E500" s="5" t="str">
        <f>IF(kokpit!E500&lt;&gt;"",kokpit!E500,"")</f>
        <v/>
      </c>
      <c r="F500" s="127" t="str">
        <f>IF(kokpit!F500&lt;&gt;"",kokpit!F500,"")</f>
        <v/>
      </c>
      <c r="G500" s="24" t="str">
        <f>IF(E500&lt;&gt;"",SUMIFS('JPK_KR-1'!AL:AL,'JPK_KR-1'!W:W,F500),"")</f>
        <v/>
      </c>
      <c r="H500" s="126" t="str">
        <f>IF(E500&lt;&gt;"",SUMIFS('JPK_KR-1'!AM:AM,'JPK_KR-1'!W:W,F500),"")</f>
        <v/>
      </c>
      <c r="I500" s="5" t="str">
        <f>IF(kokpit!I500&lt;&gt;"",kokpit!I500,"")</f>
        <v/>
      </c>
      <c r="J500" s="5" t="str">
        <f>IF(kokpit!J500&lt;&gt;"",kokpit!J500,"")</f>
        <v/>
      </c>
      <c r="K500" s="24" t="str">
        <f>IF(I500&lt;&gt;"",SUMIFS('JPK_KR-1'!AL:AL,'JPK_KR-1'!W:W,J500),"")</f>
        <v/>
      </c>
      <c r="L500" s="141" t="str">
        <f>IF(I500&lt;&gt;"",SUMIFS('JPK_KR-1'!AM:AM,'JPK_KR-1'!W:W,J500),"")</f>
        <v/>
      </c>
      <c r="M500" s="143" t="str">
        <f>IF(kokpit!M500&lt;&gt;"",kokpit!M500,"")</f>
        <v/>
      </c>
      <c r="N500" s="117" t="str">
        <f>IF(kokpit!N500&lt;&gt;"",kokpit!N500,"")</f>
        <v/>
      </c>
      <c r="O500" s="117" t="str">
        <f>IF(kokpit!O500&lt;&gt;"",kokpit!O500,"")</f>
        <v/>
      </c>
      <c r="P500" s="141" t="str">
        <f>IF(M500&lt;&gt;"",IF(O500="",SUMIFS('JPK_KR-1'!AL:AL,'JPK_KR-1'!W:W,N500),SUMIFS('JPK_KR-1'!BF:BF,'JPK_KR-1'!BE:BE,N500,'JPK_KR-1'!BG:BG,O500)),"")</f>
        <v/>
      </c>
      <c r="Q500" s="144" t="str">
        <f>IF(M500&lt;&gt;"",IF(O500="",SUMIFS('JPK_KR-1'!AM:AM,'JPK_KR-1'!W:W,N500),SUMIFS('JPK_KR-1'!BI:BI,'JPK_KR-1'!BH:BH,N500,'JPK_KR-1'!BJ:BJ,O500)),"")</f>
        <v/>
      </c>
      <c r="R500" s="117" t="str">
        <f>IF(kokpit!R500&lt;&gt;"",kokpit!R500,"")</f>
        <v/>
      </c>
      <c r="S500" s="117" t="str">
        <f>IF(kokpit!S500&lt;&gt;"",kokpit!S500,"")</f>
        <v/>
      </c>
      <c r="T500" s="117" t="str">
        <f>IF(kokpit!T500&lt;&gt;"",kokpit!T500,"")</f>
        <v/>
      </c>
      <c r="U500" s="141" t="str">
        <f>IF(R500&lt;&gt;"",SUMIFS('JPK_KR-1'!AL:AL,'JPK_KR-1'!W:W,S500),"")</f>
        <v/>
      </c>
      <c r="V500" s="144" t="str">
        <f>IF(R500&lt;&gt;"",SUMIFS('JPK_KR-1'!AM:AM,'JPK_KR-1'!W:W,S500),"")</f>
        <v/>
      </c>
    </row>
    <row r="501" spans="1:22" x14ac:dyDescent="0.3">
      <c r="A501" s="5" t="str">
        <f>IF(kokpit!A501&lt;&gt;"",kokpit!A501,"")</f>
        <v/>
      </c>
      <c r="B501" s="5" t="str">
        <f>IF(kokpit!B501&lt;&gt;"",kokpit!B501,"")</f>
        <v/>
      </c>
      <c r="C501" s="24" t="str">
        <f>IF(A501&lt;&gt;"",SUMIFS('JPK_KR-1'!AL:AL,'JPK_KR-1'!W:W,B501),"")</f>
        <v/>
      </c>
      <c r="D501" s="126" t="str">
        <f>IF(A501&lt;&gt;"",SUMIFS('JPK_KR-1'!AM:AM,'JPK_KR-1'!W:W,B501),"")</f>
        <v/>
      </c>
      <c r="E501" s="5" t="str">
        <f>IF(kokpit!E501&lt;&gt;"",kokpit!E501,"")</f>
        <v/>
      </c>
      <c r="F501" s="127" t="str">
        <f>IF(kokpit!F501&lt;&gt;"",kokpit!F501,"")</f>
        <v/>
      </c>
      <c r="G501" s="24" t="str">
        <f>IF(E501&lt;&gt;"",SUMIFS('JPK_KR-1'!AL:AL,'JPK_KR-1'!W:W,F501),"")</f>
        <v/>
      </c>
      <c r="H501" s="126" t="str">
        <f>IF(E501&lt;&gt;"",SUMIFS('JPK_KR-1'!AM:AM,'JPK_KR-1'!W:W,F501),"")</f>
        <v/>
      </c>
      <c r="I501" s="5" t="str">
        <f>IF(kokpit!I501&lt;&gt;"",kokpit!I501,"")</f>
        <v/>
      </c>
      <c r="J501" s="5" t="str">
        <f>IF(kokpit!J501&lt;&gt;"",kokpit!J501,"")</f>
        <v/>
      </c>
      <c r="K501" s="24" t="str">
        <f>IF(I501&lt;&gt;"",SUMIFS('JPK_KR-1'!AL:AL,'JPK_KR-1'!W:W,J501),"")</f>
        <v/>
      </c>
      <c r="L501" s="141" t="str">
        <f>IF(I501&lt;&gt;"",SUMIFS('JPK_KR-1'!AM:AM,'JPK_KR-1'!W:W,J501),"")</f>
        <v/>
      </c>
      <c r="M501" s="143" t="str">
        <f>IF(kokpit!M501&lt;&gt;"",kokpit!M501,"")</f>
        <v/>
      </c>
      <c r="N501" s="117" t="str">
        <f>IF(kokpit!N501&lt;&gt;"",kokpit!N501,"")</f>
        <v/>
      </c>
      <c r="O501" s="117" t="str">
        <f>IF(kokpit!O501&lt;&gt;"",kokpit!O501,"")</f>
        <v/>
      </c>
      <c r="P501" s="141" t="str">
        <f>IF(M501&lt;&gt;"",IF(O501="",SUMIFS('JPK_KR-1'!AL:AL,'JPK_KR-1'!W:W,N501),SUMIFS('JPK_KR-1'!BF:BF,'JPK_KR-1'!BE:BE,N501,'JPK_KR-1'!BG:BG,O501)),"")</f>
        <v/>
      </c>
      <c r="Q501" s="144" t="str">
        <f>IF(M501&lt;&gt;"",IF(O501="",SUMIFS('JPK_KR-1'!AM:AM,'JPK_KR-1'!W:W,N501),SUMIFS('JPK_KR-1'!BI:BI,'JPK_KR-1'!BH:BH,N501,'JPK_KR-1'!BJ:BJ,O501)),"")</f>
        <v/>
      </c>
      <c r="R501" s="117" t="str">
        <f>IF(kokpit!R501&lt;&gt;"",kokpit!R501,"")</f>
        <v/>
      </c>
      <c r="S501" s="117" t="str">
        <f>IF(kokpit!S501&lt;&gt;"",kokpit!S501,"")</f>
        <v/>
      </c>
      <c r="T501" s="117" t="str">
        <f>IF(kokpit!T501&lt;&gt;"",kokpit!T501,"")</f>
        <v/>
      </c>
      <c r="U501" s="141" t="str">
        <f>IF(R501&lt;&gt;"",SUMIFS('JPK_KR-1'!AL:AL,'JPK_KR-1'!W:W,S501),"")</f>
        <v/>
      </c>
      <c r="V501" s="144" t="str">
        <f>IF(R501&lt;&gt;"",SUMIFS('JPK_KR-1'!AM:AM,'JPK_KR-1'!W:W,S501),"")</f>
        <v/>
      </c>
    </row>
    <row r="502" spans="1:22" x14ac:dyDescent="0.3">
      <c r="A502" s="5" t="str">
        <f>IF(kokpit!A502&lt;&gt;"",kokpit!A502,"")</f>
        <v/>
      </c>
      <c r="B502" s="5" t="str">
        <f>IF(kokpit!B502&lt;&gt;"",kokpit!B502,"")</f>
        <v/>
      </c>
      <c r="C502" s="24" t="str">
        <f>IF(A502&lt;&gt;"",SUMIFS('JPK_KR-1'!AL:AL,'JPK_KR-1'!W:W,B502),"")</f>
        <v/>
      </c>
      <c r="D502" s="126" t="str">
        <f>IF(A502&lt;&gt;"",SUMIFS('JPK_KR-1'!AM:AM,'JPK_KR-1'!W:W,B502),"")</f>
        <v/>
      </c>
      <c r="E502" s="5" t="str">
        <f>IF(kokpit!E502&lt;&gt;"",kokpit!E502,"")</f>
        <v/>
      </c>
      <c r="F502" s="127" t="str">
        <f>IF(kokpit!F502&lt;&gt;"",kokpit!F502,"")</f>
        <v/>
      </c>
      <c r="G502" s="24" t="str">
        <f>IF(E502&lt;&gt;"",SUMIFS('JPK_KR-1'!AL:AL,'JPK_KR-1'!W:W,F502),"")</f>
        <v/>
      </c>
      <c r="H502" s="126" t="str">
        <f>IF(E502&lt;&gt;"",SUMIFS('JPK_KR-1'!AM:AM,'JPK_KR-1'!W:W,F502),"")</f>
        <v/>
      </c>
      <c r="I502" s="5" t="str">
        <f>IF(kokpit!I502&lt;&gt;"",kokpit!I502,"")</f>
        <v/>
      </c>
      <c r="J502" s="5" t="str">
        <f>IF(kokpit!J502&lt;&gt;"",kokpit!J502,"")</f>
        <v/>
      </c>
      <c r="K502" s="24" t="str">
        <f>IF(I502&lt;&gt;"",SUMIFS('JPK_KR-1'!AL:AL,'JPK_KR-1'!W:W,J502),"")</f>
        <v/>
      </c>
      <c r="L502" s="141" t="str">
        <f>IF(I502&lt;&gt;"",SUMIFS('JPK_KR-1'!AM:AM,'JPK_KR-1'!W:W,J502),"")</f>
        <v/>
      </c>
      <c r="M502" s="143" t="str">
        <f>IF(kokpit!M502&lt;&gt;"",kokpit!M502,"")</f>
        <v/>
      </c>
      <c r="N502" s="117" t="str">
        <f>IF(kokpit!N502&lt;&gt;"",kokpit!N502,"")</f>
        <v/>
      </c>
      <c r="O502" s="117" t="str">
        <f>IF(kokpit!O502&lt;&gt;"",kokpit!O502,"")</f>
        <v/>
      </c>
      <c r="P502" s="141" t="str">
        <f>IF(M502&lt;&gt;"",IF(O502="",SUMIFS('JPK_KR-1'!AL:AL,'JPK_KR-1'!W:W,N502),SUMIFS('JPK_KR-1'!BF:BF,'JPK_KR-1'!BE:BE,N502,'JPK_KR-1'!BG:BG,O502)),"")</f>
        <v/>
      </c>
      <c r="Q502" s="144" t="str">
        <f>IF(M502&lt;&gt;"",IF(O502="",SUMIFS('JPK_KR-1'!AM:AM,'JPK_KR-1'!W:W,N502),SUMIFS('JPK_KR-1'!BI:BI,'JPK_KR-1'!BH:BH,N502,'JPK_KR-1'!BJ:BJ,O502)),"")</f>
        <v/>
      </c>
      <c r="R502" s="117" t="str">
        <f>IF(kokpit!R502&lt;&gt;"",kokpit!R502,"")</f>
        <v/>
      </c>
      <c r="S502" s="117" t="str">
        <f>IF(kokpit!S502&lt;&gt;"",kokpit!S502,"")</f>
        <v/>
      </c>
      <c r="T502" s="117" t="str">
        <f>IF(kokpit!T502&lt;&gt;"",kokpit!T502,"")</f>
        <v/>
      </c>
      <c r="U502" s="141" t="str">
        <f>IF(R502&lt;&gt;"",SUMIFS('JPK_KR-1'!AL:AL,'JPK_KR-1'!W:W,S502),"")</f>
        <v/>
      </c>
      <c r="V502" s="144" t="str">
        <f>IF(R502&lt;&gt;"",SUMIFS('JPK_KR-1'!AM:AM,'JPK_KR-1'!W:W,S502),"")</f>
        <v/>
      </c>
    </row>
    <row r="503" spans="1:22" x14ac:dyDescent="0.3">
      <c r="A503" s="5" t="str">
        <f>IF(kokpit!A503&lt;&gt;"",kokpit!A503,"")</f>
        <v/>
      </c>
      <c r="B503" s="5" t="str">
        <f>IF(kokpit!B503&lt;&gt;"",kokpit!B503,"")</f>
        <v/>
      </c>
      <c r="C503" s="24" t="str">
        <f>IF(A503&lt;&gt;"",SUMIFS('JPK_KR-1'!AL:AL,'JPK_KR-1'!W:W,B503),"")</f>
        <v/>
      </c>
      <c r="D503" s="126" t="str">
        <f>IF(A503&lt;&gt;"",SUMIFS('JPK_KR-1'!AM:AM,'JPK_KR-1'!W:W,B503),"")</f>
        <v/>
      </c>
      <c r="E503" s="5" t="str">
        <f>IF(kokpit!E503&lt;&gt;"",kokpit!E503,"")</f>
        <v/>
      </c>
      <c r="F503" s="127" t="str">
        <f>IF(kokpit!F503&lt;&gt;"",kokpit!F503,"")</f>
        <v/>
      </c>
      <c r="G503" s="24" t="str">
        <f>IF(E503&lt;&gt;"",SUMIFS('JPK_KR-1'!AL:AL,'JPK_KR-1'!W:W,F503),"")</f>
        <v/>
      </c>
      <c r="H503" s="126" t="str">
        <f>IF(E503&lt;&gt;"",SUMIFS('JPK_KR-1'!AM:AM,'JPK_KR-1'!W:W,F503),"")</f>
        <v/>
      </c>
      <c r="I503" s="5" t="str">
        <f>IF(kokpit!I503&lt;&gt;"",kokpit!I503,"")</f>
        <v/>
      </c>
      <c r="J503" s="5" t="str">
        <f>IF(kokpit!J503&lt;&gt;"",kokpit!J503,"")</f>
        <v/>
      </c>
      <c r="K503" s="24" t="str">
        <f>IF(I503&lt;&gt;"",SUMIFS('JPK_KR-1'!AL:AL,'JPK_KR-1'!W:W,J503),"")</f>
        <v/>
      </c>
      <c r="L503" s="141" t="str">
        <f>IF(I503&lt;&gt;"",SUMIFS('JPK_KR-1'!AM:AM,'JPK_KR-1'!W:W,J503),"")</f>
        <v/>
      </c>
      <c r="M503" s="143" t="str">
        <f>IF(kokpit!M503&lt;&gt;"",kokpit!M503,"")</f>
        <v/>
      </c>
      <c r="N503" s="117" t="str">
        <f>IF(kokpit!N503&lt;&gt;"",kokpit!N503,"")</f>
        <v/>
      </c>
      <c r="O503" s="117" t="str">
        <f>IF(kokpit!O503&lt;&gt;"",kokpit!O503,"")</f>
        <v/>
      </c>
      <c r="P503" s="141" t="str">
        <f>IF(M503&lt;&gt;"",IF(O503="",SUMIFS('JPK_KR-1'!AL:AL,'JPK_KR-1'!W:W,N503),SUMIFS('JPK_KR-1'!BF:BF,'JPK_KR-1'!BE:BE,N503,'JPK_KR-1'!BG:BG,O503)),"")</f>
        <v/>
      </c>
      <c r="Q503" s="144" t="str">
        <f>IF(M503&lt;&gt;"",IF(O503="",SUMIFS('JPK_KR-1'!AM:AM,'JPK_KR-1'!W:W,N503),SUMIFS('JPK_KR-1'!BI:BI,'JPK_KR-1'!BH:BH,N503,'JPK_KR-1'!BJ:BJ,O503)),"")</f>
        <v/>
      </c>
      <c r="R503" s="117" t="str">
        <f>IF(kokpit!R503&lt;&gt;"",kokpit!R503,"")</f>
        <v/>
      </c>
      <c r="S503" s="117" t="str">
        <f>IF(kokpit!S503&lt;&gt;"",kokpit!S503,"")</f>
        <v/>
      </c>
      <c r="T503" s="117" t="str">
        <f>IF(kokpit!T503&lt;&gt;"",kokpit!T503,"")</f>
        <v/>
      </c>
      <c r="U503" s="141" t="str">
        <f>IF(R503&lt;&gt;"",SUMIFS('JPK_KR-1'!AL:AL,'JPK_KR-1'!W:W,S503),"")</f>
        <v/>
      </c>
      <c r="V503" s="144" t="str">
        <f>IF(R503&lt;&gt;"",SUMIFS('JPK_KR-1'!AM:AM,'JPK_KR-1'!W:W,S503),"")</f>
        <v/>
      </c>
    </row>
    <row r="504" spans="1:22" x14ac:dyDescent="0.3">
      <c r="A504" s="5" t="str">
        <f>IF(kokpit!A504&lt;&gt;"",kokpit!A504,"")</f>
        <v/>
      </c>
      <c r="B504" s="5" t="str">
        <f>IF(kokpit!B504&lt;&gt;"",kokpit!B504,"")</f>
        <v/>
      </c>
      <c r="C504" s="24" t="str">
        <f>IF(A504&lt;&gt;"",SUMIFS('JPK_KR-1'!AL:AL,'JPK_KR-1'!W:W,B504),"")</f>
        <v/>
      </c>
      <c r="D504" s="126" t="str">
        <f>IF(A504&lt;&gt;"",SUMIFS('JPK_KR-1'!AM:AM,'JPK_KR-1'!W:W,B504),"")</f>
        <v/>
      </c>
      <c r="E504" s="5" t="str">
        <f>IF(kokpit!E504&lt;&gt;"",kokpit!E504,"")</f>
        <v/>
      </c>
      <c r="F504" s="127" t="str">
        <f>IF(kokpit!F504&lt;&gt;"",kokpit!F504,"")</f>
        <v/>
      </c>
      <c r="G504" s="24" t="str">
        <f>IF(E504&lt;&gt;"",SUMIFS('JPK_KR-1'!AL:AL,'JPK_KR-1'!W:W,F504),"")</f>
        <v/>
      </c>
      <c r="H504" s="126" t="str">
        <f>IF(E504&lt;&gt;"",SUMIFS('JPK_KR-1'!AM:AM,'JPK_KR-1'!W:W,F504),"")</f>
        <v/>
      </c>
      <c r="I504" s="5" t="str">
        <f>IF(kokpit!I504&lt;&gt;"",kokpit!I504,"")</f>
        <v/>
      </c>
      <c r="J504" s="5" t="str">
        <f>IF(kokpit!J504&lt;&gt;"",kokpit!J504,"")</f>
        <v/>
      </c>
      <c r="K504" s="24" t="str">
        <f>IF(I504&lt;&gt;"",SUMIFS('JPK_KR-1'!AL:AL,'JPK_KR-1'!W:W,J504),"")</f>
        <v/>
      </c>
      <c r="L504" s="141" t="str">
        <f>IF(I504&lt;&gt;"",SUMIFS('JPK_KR-1'!AM:AM,'JPK_KR-1'!W:W,J504),"")</f>
        <v/>
      </c>
      <c r="M504" s="143" t="str">
        <f>IF(kokpit!M504&lt;&gt;"",kokpit!M504,"")</f>
        <v/>
      </c>
      <c r="N504" s="117" t="str">
        <f>IF(kokpit!N504&lt;&gt;"",kokpit!N504,"")</f>
        <v/>
      </c>
      <c r="O504" s="117" t="str">
        <f>IF(kokpit!O504&lt;&gt;"",kokpit!O504,"")</f>
        <v/>
      </c>
      <c r="P504" s="141" t="str">
        <f>IF(M504&lt;&gt;"",IF(O504="",SUMIFS('JPK_KR-1'!AL:AL,'JPK_KR-1'!W:W,N504),SUMIFS('JPK_KR-1'!BF:BF,'JPK_KR-1'!BE:BE,N504,'JPK_KR-1'!BG:BG,O504)),"")</f>
        <v/>
      </c>
      <c r="Q504" s="144" t="str">
        <f>IF(M504&lt;&gt;"",IF(O504="",SUMIFS('JPK_KR-1'!AM:AM,'JPK_KR-1'!W:W,N504),SUMIFS('JPK_KR-1'!BI:BI,'JPK_KR-1'!BH:BH,N504,'JPK_KR-1'!BJ:BJ,O504)),"")</f>
        <v/>
      </c>
      <c r="R504" s="117" t="str">
        <f>IF(kokpit!R504&lt;&gt;"",kokpit!R504,"")</f>
        <v/>
      </c>
      <c r="S504" s="117" t="str">
        <f>IF(kokpit!S504&lt;&gt;"",kokpit!S504,"")</f>
        <v/>
      </c>
      <c r="T504" s="117" t="str">
        <f>IF(kokpit!T504&lt;&gt;"",kokpit!T504,"")</f>
        <v/>
      </c>
      <c r="U504" s="141" t="str">
        <f>IF(R504&lt;&gt;"",SUMIFS('JPK_KR-1'!AL:AL,'JPK_KR-1'!W:W,S504),"")</f>
        <v/>
      </c>
      <c r="V504" s="144" t="str">
        <f>IF(R504&lt;&gt;"",SUMIFS('JPK_KR-1'!AM:AM,'JPK_KR-1'!W:W,S504),"")</f>
        <v/>
      </c>
    </row>
    <row r="505" spans="1:22" x14ac:dyDescent="0.3">
      <c r="A505" s="5" t="str">
        <f>IF(kokpit!A505&lt;&gt;"",kokpit!A505,"")</f>
        <v/>
      </c>
      <c r="B505" s="5" t="str">
        <f>IF(kokpit!B505&lt;&gt;"",kokpit!B505,"")</f>
        <v/>
      </c>
      <c r="C505" s="24" t="str">
        <f>IF(A505&lt;&gt;"",SUMIFS('JPK_KR-1'!AL:AL,'JPK_KR-1'!W:W,B505),"")</f>
        <v/>
      </c>
      <c r="D505" s="126" t="str">
        <f>IF(A505&lt;&gt;"",SUMIFS('JPK_KR-1'!AM:AM,'JPK_KR-1'!W:W,B505),"")</f>
        <v/>
      </c>
      <c r="E505" s="5" t="str">
        <f>IF(kokpit!E505&lt;&gt;"",kokpit!E505,"")</f>
        <v/>
      </c>
      <c r="F505" s="127" t="str">
        <f>IF(kokpit!F505&lt;&gt;"",kokpit!F505,"")</f>
        <v/>
      </c>
      <c r="G505" s="24" t="str">
        <f>IF(E505&lt;&gt;"",SUMIFS('JPK_KR-1'!AL:AL,'JPK_KR-1'!W:W,F505),"")</f>
        <v/>
      </c>
      <c r="H505" s="126" t="str">
        <f>IF(E505&lt;&gt;"",SUMIFS('JPK_KR-1'!AM:AM,'JPK_KR-1'!W:W,F505),"")</f>
        <v/>
      </c>
      <c r="I505" s="5" t="str">
        <f>IF(kokpit!I505&lt;&gt;"",kokpit!I505,"")</f>
        <v/>
      </c>
      <c r="J505" s="5" t="str">
        <f>IF(kokpit!J505&lt;&gt;"",kokpit!J505,"")</f>
        <v/>
      </c>
      <c r="K505" s="24" t="str">
        <f>IF(I505&lt;&gt;"",SUMIFS('JPK_KR-1'!AL:AL,'JPK_KR-1'!W:W,J505),"")</f>
        <v/>
      </c>
      <c r="L505" s="141" t="str">
        <f>IF(I505&lt;&gt;"",SUMIFS('JPK_KR-1'!AM:AM,'JPK_KR-1'!W:W,J505),"")</f>
        <v/>
      </c>
      <c r="M505" s="143" t="str">
        <f>IF(kokpit!M505&lt;&gt;"",kokpit!M505,"")</f>
        <v/>
      </c>
      <c r="N505" s="117" t="str">
        <f>IF(kokpit!N505&lt;&gt;"",kokpit!N505,"")</f>
        <v/>
      </c>
      <c r="O505" s="117" t="str">
        <f>IF(kokpit!O505&lt;&gt;"",kokpit!O505,"")</f>
        <v/>
      </c>
      <c r="P505" s="141" t="str">
        <f>IF(M505&lt;&gt;"",IF(O505="",SUMIFS('JPK_KR-1'!AL:AL,'JPK_KR-1'!W:W,N505),SUMIFS('JPK_KR-1'!BF:BF,'JPK_KR-1'!BE:BE,N505,'JPK_KR-1'!BG:BG,O505)),"")</f>
        <v/>
      </c>
      <c r="Q505" s="144" t="str">
        <f>IF(M505&lt;&gt;"",IF(O505="",SUMIFS('JPK_KR-1'!AM:AM,'JPK_KR-1'!W:W,N505),SUMIFS('JPK_KR-1'!BI:BI,'JPK_KR-1'!BH:BH,N505,'JPK_KR-1'!BJ:BJ,O505)),"")</f>
        <v/>
      </c>
      <c r="R505" s="117" t="str">
        <f>IF(kokpit!R505&lt;&gt;"",kokpit!R505,"")</f>
        <v/>
      </c>
      <c r="S505" s="117" t="str">
        <f>IF(kokpit!S505&lt;&gt;"",kokpit!S505,"")</f>
        <v/>
      </c>
      <c r="T505" s="117" t="str">
        <f>IF(kokpit!T505&lt;&gt;"",kokpit!T505,"")</f>
        <v/>
      </c>
      <c r="U505" s="141" t="str">
        <f>IF(R505&lt;&gt;"",SUMIFS('JPK_KR-1'!AL:AL,'JPK_KR-1'!W:W,S505),"")</f>
        <v/>
      </c>
      <c r="V505" s="144" t="str">
        <f>IF(R505&lt;&gt;"",SUMIFS('JPK_KR-1'!AM:AM,'JPK_KR-1'!W:W,S505),"")</f>
        <v/>
      </c>
    </row>
    <row r="506" spans="1:22" x14ac:dyDescent="0.3">
      <c r="A506" s="5" t="str">
        <f>IF(kokpit!A506&lt;&gt;"",kokpit!A506,"")</f>
        <v/>
      </c>
      <c r="B506" s="5" t="str">
        <f>IF(kokpit!B506&lt;&gt;"",kokpit!B506,"")</f>
        <v/>
      </c>
      <c r="C506" s="24" t="str">
        <f>IF(A506&lt;&gt;"",SUMIFS('JPK_KR-1'!AL:AL,'JPK_KR-1'!W:W,B506),"")</f>
        <v/>
      </c>
      <c r="D506" s="126" t="str">
        <f>IF(A506&lt;&gt;"",SUMIFS('JPK_KR-1'!AM:AM,'JPK_KR-1'!W:W,B506),"")</f>
        <v/>
      </c>
      <c r="E506" s="5" t="str">
        <f>IF(kokpit!E506&lt;&gt;"",kokpit!E506,"")</f>
        <v/>
      </c>
      <c r="F506" s="127" t="str">
        <f>IF(kokpit!F506&lt;&gt;"",kokpit!F506,"")</f>
        <v/>
      </c>
      <c r="G506" s="24" t="str">
        <f>IF(E506&lt;&gt;"",SUMIFS('JPK_KR-1'!AL:AL,'JPK_KR-1'!W:W,F506),"")</f>
        <v/>
      </c>
      <c r="H506" s="126" t="str">
        <f>IF(E506&lt;&gt;"",SUMIFS('JPK_KR-1'!AM:AM,'JPK_KR-1'!W:W,F506),"")</f>
        <v/>
      </c>
      <c r="I506" s="5" t="str">
        <f>IF(kokpit!I506&lt;&gt;"",kokpit!I506,"")</f>
        <v/>
      </c>
      <c r="J506" s="5" t="str">
        <f>IF(kokpit!J506&lt;&gt;"",kokpit!J506,"")</f>
        <v/>
      </c>
      <c r="K506" s="24" t="str">
        <f>IF(I506&lt;&gt;"",SUMIFS('JPK_KR-1'!AL:AL,'JPK_KR-1'!W:W,J506),"")</f>
        <v/>
      </c>
      <c r="L506" s="141" t="str">
        <f>IF(I506&lt;&gt;"",SUMIFS('JPK_KR-1'!AM:AM,'JPK_KR-1'!W:W,J506),"")</f>
        <v/>
      </c>
      <c r="M506" s="143" t="str">
        <f>IF(kokpit!M506&lt;&gt;"",kokpit!M506,"")</f>
        <v/>
      </c>
      <c r="N506" s="117" t="str">
        <f>IF(kokpit!N506&lt;&gt;"",kokpit!N506,"")</f>
        <v/>
      </c>
      <c r="O506" s="117" t="str">
        <f>IF(kokpit!O506&lt;&gt;"",kokpit!O506,"")</f>
        <v/>
      </c>
      <c r="P506" s="141" t="str">
        <f>IF(M506&lt;&gt;"",IF(O506="",SUMIFS('JPK_KR-1'!AL:AL,'JPK_KR-1'!W:W,N506),SUMIFS('JPK_KR-1'!BF:BF,'JPK_KR-1'!BE:BE,N506,'JPK_KR-1'!BG:BG,O506)),"")</f>
        <v/>
      </c>
      <c r="Q506" s="144" t="str">
        <f>IF(M506&lt;&gt;"",IF(O506="",SUMIFS('JPK_KR-1'!AM:AM,'JPK_KR-1'!W:W,N506),SUMIFS('JPK_KR-1'!BI:BI,'JPK_KR-1'!BH:BH,N506,'JPK_KR-1'!BJ:BJ,O506)),"")</f>
        <v/>
      </c>
      <c r="R506" s="117" t="str">
        <f>IF(kokpit!R506&lt;&gt;"",kokpit!R506,"")</f>
        <v/>
      </c>
      <c r="S506" s="117" t="str">
        <f>IF(kokpit!S506&lt;&gt;"",kokpit!S506,"")</f>
        <v/>
      </c>
      <c r="T506" s="117" t="str">
        <f>IF(kokpit!T506&lt;&gt;"",kokpit!T506,"")</f>
        <v/>
      </c>
      <c r="U506" s="141" t="str">
        <f>IF(R506&lt;&gt;"",SUMIFS('JPK_KR-1'!AL:AL,'JPK_KR-1'!W:W,S506),"")</f>
        <v/>
      </c>
      <c r="V506" s="144" t="str">
        <f>IF(R506&lt;&gt;"",SUMIFS('JPK_KR-1'!AM:AM,'JPK_KR-1'!W:W,S506),"")</f>
        <v/>
      </c>
    </row>
    <row r="507" spans="1:22" x14ac:dyDescent="0.3">
      <c r="A507" s="5" t="str">
        <f>IF(kokpit!A507&lt;&gt;"",kokpit!A507,"")</f>
        <v/>
      </c>
      <c r="B507" s="5" t="str">
        <f>IF(kokpit!B507&lt;&gt;"",kokpit!B507,"")</f>
        <v/>
      </c>
      <c r="C507" s="24" t="str">
        <f>IF(A507&lt;&gt;"",SUMIFS('JPK_KR-1'!AL:AL,'JPK_KR-1'!W:W,B507),"")</f>
        <v/>
      </c>
      <c r="D507" s="126" t="str">
        <f>IF(A507&lt;&gt;"",SUMIFS('JPK_KR-1'!AM:AM,'JPK_KR-1'!W:W,B507),"")</f>
        <v/>
      </c>
      <c r="E507" s="5" t="str">
        <f>IF(kokpit!E507&lt;&gt;"",kokpit!E507,"")</f>
        <v/>
      </c>
      <c r="F507" s="127" t="str">
        <f>IF(kokpit!F507&lt;&gt;"",kokpit!F507,"")</f>
        <v/>
      </c>
      <c r="G507" s="24" t="str">
        <f>IF(E507&lt;&gt;"",SUMIFS('JPK_KR-1'!AL:AL,'JPK_KR-1'!W:W,F507),"")</f>
        <v/>
      </c>
      <c r="H507" s="126" t="str">
        <f>IF(E507&lt;&gt;"",SUMIFS('JPK_KR-1'!AM:AM,'JPK_KR-1'!W:W,F507),"")</f>
        <v/>
      </c>
      <c r="I507" s="5" t="str">
        <f>IF(kokpit!I507&lt;&gt;"",kokpit!I507,"")</f>
        <v/>
      </c>
      <c r="J507" s="5" t="str">
        <f>IF(kokpit!J507&lt;&gt;"",kokpit!J507,"")</f>
        <v/>
      </c>
      <c r="K507" s="24" t="str">
        <f>IF(I507&lt;&gt;"",SUMIFS('JPK_KR-1'!AL:AL,'JPK_KR-1'!W:W,J507),"")</f>
        <v/>
      </c>
      <c r="L507" s="141" t="str">
        <f>IF(I507&lt;&gt;"",SUMIFS('JPK_KR-1'!AM:AM,'JPK_KR-1'!W:W,J507),"")</f>
        <v/>
      </c>
      <c r="M507" s="143" t="str">
        <f>IF(kokpit!M507&lt;&gt;"",kokpit!M507,"")</f>
        <v/>
      </c>
      <c r="N507" s="117" t="str">
        <f>IF(kokpit!N507&lt;&gt;"",kokpit!N507,"")</f>
        <v/>
      </c>
      <c r="O507" s="117" t="str">
        <f>IF(kokpit!O507&lt;&gt;"",kokpit!O507,"")</f>
        <v/>
      </c>
      <c r="P507" s="141" t="str">
        <f>IF(M507&lt;&gt;"",IF(O507="",SUMIFS('JPK_KR-1'!AL:AL,'JPK_KR-1'!W:W,N507),SUMIFS('JPK_KR-1'!BF:BF,'JPK_KR-1'!BE:BE,N507,'JPK_KR-1'!BG:BG,O507)),"")</f>
        <v/>
      </c>
      <c r="Q507" s="144" t="str">
        <f>IF(M507&lt;&gt;"",IF(O507="",SUMIFS('JPK_KR-1'!AM:AM,'JPK_KR-1'!W:W,N507),SUMIFS('JPK_KR-1'!BI:BI,'JPK_KR-1'!BH:BH,N507,'JPK_KR-1'!BJ:BJ,O507)),"")</f>
        <v/>
      </c>
      <c r="R507" s="117" t="str">
        <f>IF(kokpit!R507&lt;&gt;"",kokpit!R507,"")</f>
        <v/>
      </c>
      <c r="S507" s="117" t="str">
        <f>IF(kokpit!S507&lt;&gt;"",kokpit!S507,"")</f>
        <v/>
      </c>
      <c r="T507" s="117" t="str">
        <f>IF(kokpit!T507&lt;&gt;"",kokpit!T507,"")</f>
        <v/>
      </c>
      <c r="U507" s="141" t="str">
        <f>IF(R507&lt;&gt;"",SUMIFS('JPK_KR-1'!AL:AL,'JPK_KR-1'!W:W,S507),"")</f>
        <v/>
      </c>
      <c r="V507" s="144" t="str">
        <f>IF(R507&lt;&gt;"",SUMIFS('JPK_KR-1'!AM:AM,'JPK_KR-1'!W:W,S507),"")</f>
        <v/>
      </c>
    </row>
    <row r="508" spans="1:22" x14ac:dyDescent="0.3">
      <c r="A508" s="5" t="str">
        <f>IF(kokpit!A508&lt;&gt;"",kokpit!A508,"")</f>
        <v/>
      </c>
      <c r="B508" s="5" t="str">
        <f>IF(kokpit!B508&lt;&gt;"",kokpit!B508,"")</f>
        <v/>
      </c>
      <c r="C508" s="24" t="str">
        <f>IF(A508&lt;&gt;"",SUMIFS('JPK_KR-1'!AL:AL,'JPK_KR-1'!W:W,B508),"")</f>
        <v/>
      </c>
      <c r="D508" s="126" t="str">
        <f>IF(A508&lt;&gt;"",SUMIFS('JPK_KR-1'!AM:AM,'JPK_KR-1'!W:W,B508),"")</f>
        <v/>
      </c>
      <c r="E508" s="5" t="str">
        <f>IF(kokpit!E508&lt;&gt;"",kokpit!E508,"")</f>
        <v/>
      </c>
      <c r="F508" s="127" t="str">
        <f>IF(kokpit!F508&lt;&gt;"",kokpit!F508,"")</f>
        <v/>
      </c>
      <c r="G508" s="24" t="str">
        <f>IF(E508&lt;&gt;"",SUMIFS('JPK_KR-1'!AL:AL,'JPK_KR-1'!W:W,F508),"")</f>
        <v/>
      </c>
      <c r="H508" s="126" t="str">
        <f>IF(E508&lt;&gt;"",SUMIFS('JPK_KR-1'!AM:AM,'JPK_KR-1'!W:W,F508),"")</f>
        <v/>
      </c>
      <c r="I508" s="5" t="str">
        <f>IF(kokpit!I508&lt;&gt;"",kokpit!I508,"")</f>
        <v/>
      </c>
      <c r="J508" s="5" t="str">
        <f>IF(kokpit!J508&lt;&gt;"",kokpit!J508,"")</f>
        <v/>
      </c>
      <c r="K508" s="24" t="str">
        <f>IF(I508&lt;&gt;"",SUMIFS('JPK_KR-1'!AL:AL,'JPK_KR-1'!W:W,J508),"")</f>
        <v/>
      </c>
      <c r="L508" s="141" t="str">
        <f>IF(I508&lt;&gt;"",SUMIFS('JPK_KR-1'!AM:AM,'JPK_KR-1'!W:W,J508),"")</f>
        <v/>
      </c>
      <c r="M508" s="143" t="str">
        <f>IF(kokpit!M508&lt;&gt;"",kokpit!M508,"")</f>
        <v/>
      </c>
      <c r="N508" s="117" t="str">
        <f>IF(kokpit!N508&lt;&gt;"",kokpit!N508,"")</f>
        <v/>
      </c>
      <c r="O508" s="117" t="str">
        <f>IF(kokpit!O508&lt;&gt;"",kokpit!O508,"")</f>
        <v/>
      </c>
      <c r="P508" s="141" t="str">
        <f>IF(M508&lt;&gt;"",IF(O508="",SUMIFS('JPK_KR-1'!AL:AL,'JPK_KR-1'!W:W,N508),SUMIFS('JPK_KR-1'!BF:BF,'JPK_KR-1'!BE:BE,N508,'JPK_KR-1'!BG:BG,O508)),"")</f>
        <v/>
      </c>
      <c r="Q508" s="144" t="str">
        <f>IF(M508&lt;&gt;"",IF(O508="",SUMIFS('JPK_KR-1'!AM:AM,'JPK_KR-1'!W:W,N508),SUMIFS('JPK_KR-1'!BI:BI,'JPK_KR-1'!BH:BH,N508,'JPK_KR-1'!BJ:BJ,O508)),"")</f>
        <v/>
      </c>
      <c r="R508" s="117" t="str">
        <f>IF(kokpit!R508&lt;&gt;"",kokpit!R508,"")</f>
        <v/>
      </c>
      <c r="S508" s="117" t="str">
        <f>IF(kokpit!S508&lt;&gt;"",kokpit!S508,"")</f>
        <v/>
      </c>
      <c r="T508" s="117" t="str">
        <f>IF(kokpit!T508&lt;&gt;"",kokpit!T508,"")</f>
        <v/>
      </c>
      <c r="U508" s="141" t="str">
        <f>IF(R508&lt;&gt;"",SUMIFS('JPK_KR-1'!AL:AL,'JPK_KR-1'!W:W,S508),"")</f>
        <v/>
      </c>
      <c r="V508" s="144" t="str">
        <f>IF(R508&lt;&gt;"",SUMIFS('JPK_KR-1'!AM:AM,'JPK_KR-1'!W:W,S508),"")</f>
        <v/>
      </c>
    </row>
    <row r="509" spans="1:22" x14ac:dyDescent="0.3">
      <c r="A509" s="5" t="str">
        <f>IF(kokpit!A509&lt;&gt;"",kokpit!A509,"")</f>
        <v/>
      </c>
      <c r="B509" s="5" t="str">
        <f>IF(kokpit!B509&lt;&gt;"",kokpit!B509,"")</f>
        <v/>
      </c>
      <c r="C509" s="24" t="str">
        <f>IF(A509&lt;&gt;"",SUMIFS('JPK_KR-1'!AL:AL,'JPK_KR-1'!W:W,B509),"")</f>
        <v/>
      </c>
      <c r="D509" s="126" t="str">
        <f>IF(A509&lt;&gt;"",SUMIFS('JPK_KR-1'!AM:AM,'JPK_KR-1'!W:W,B509),"")</f>
        <v/>
      </c>
      <c r="E509" s="5" t="str">
        <f>IF(kokpit!E509&lt;&gt;"",kokpit!E509,"")</f>
        <v/>
      </c>
      <c r="F509" s="127" t="str">
        <f>IF(kokpit!F509&lt;&gt;"",kokpit!F509,"")</f>
        <v/>
      </c>
      <c r="G509" s="24" t="str">
        <f>IF(E509&lt;&gt;"",SUMIFS('JPK_KR-1'!AL:AL,'JPK_KR-1'!W:W,F509),"")</f>
        <v/>
      </c>
      <c r="H509" s="126" t="str">
        <f>IF(E509&lt;&gt;"",SUMIFS('JPK_KR-1'!AM:AM,'JPK_KR-1'!W:W,F509),"")</f>
        <v/>
      </c>
      <c r="I509" s="5" t="str">
        <f>IF(kokpit!I509&lt;&gt;"",kokpit!I509,"")</f>
        <v/>
      </c>
      <c r="J509" s="5" t="str">
        <f>IF(kokpit!J509&lt;&gt;"",kokpit!J509,"")</f>
        <v/>
      </c>
      <c r="K509" s="24" t="str">
        <f>IF(I509&lt;&gt;"",SUMIFS('JPK_KR-1'!AL:AL,'JPK_KR-1'!W:W,J509),"")</f>
        <v/>
      </c>
      <c r="L509" s="141" t="str">
        <f>IF(I509&lt;&gt;"",SUMIFS('JPK_KR-1'!AM:AM,'JPK_KR-1'!W:W,J509),"")</f>
        <v/>
      </c>
      <c r="M509" s="143" t="str">
        <f>IF(kokpit!M509&lt;&gt;"",kokpit!M509,"")</f>
        <v/>
      </c>
      <c r="N509" s="117" t="str">
        <f>IF(kokpit!N509&lt;&gt;"",kokpit!N509,"")</f>
        <v/>
      </c>
      <c r="O509" s="117" t="str">
        <f>IF(kokpit!O509&lt;&gt;"",kokpit!O509,"")</f>
        <v/>
      </c>
      <c r="P509" s="141" t="str">
        <f>IF(M509&lt;&gt;"",IF(O509="",SUMIFS('JPK_KR-1'!AL:AL,'JPK_KR-1'!W:W,N509),SUMIFS('JPK_KR-1'!BF:BF,'JPK_KR-1'!BE:BE,N509,'JPK_KR-1'!BG:BG,O509)),"")</f>
        <v/>
      </c>
      <c r="Q509" s="144" t="str">
        <f>IF(M509&lt;&gt;"",IF(O509="",SUMIFS('JPK_KR-1'!AM:AM,'JPK_KR-1'!W:W,N509),SUMIFS('JPK_KR-1'!BI:BI,'JPK_KR-1'!BH:BH,N509,'JPK_KR-1'!BJ:BJ,O509)),"")</f>
        <v/>
      </c>
      <c r="R509" s="117" t="str">
        <f>IF(kokpit!R509&lt;&gt;"",kokpit!R509,"")</f>
        <v/>
      </c>
      <c r="S509" s="117" t="str">
        <f>IF(kokpit!S509&lt;&gt;"",kokpit!S509,"")</f>
        <v/>
      </c>
      <c r="T509" s="117" t="str">
        <f>IF(kokpit!T509&lt;&gt;"",kokpit!T509,"")</f>
        <v/>
      </c>
      <c r="U509" s="141" t="str">
        <f>IF(R509&lt;&gt;"",SUMIFS('JPK_KR-1'!AL:AL,'JPK_KR-1'!W:W,S509),"")</f>
        <v/>
      </c>
      <c r="V509" s="144" t="str">
        <f>IF(R509&lt;&gt;"",SUMIFS('JPK_KR-1'!AM:AM,'JPK_KR-1'!W:W,S509),"")</f>
        <v/>
      </c>
    </row>
    <row r="510" spans="1:22" x14ac:dyDescent="0.3">
      <c r="A510" s="5" t="str">
        <f>IF(kokpit!A510&lt;&gt;"",kokpit!A510,"")</f>
        <v/>
      </c>
      <c r="B510" s="5" t="str">
        <f>IF(kokpit!B510&lt;&gt;"",kokpit!B510,"")</f>
        <v/>
      </c>
      <c r="C510" s="24" t="str">
        <f>IF(A510&lt;&gt;"",SUMIFS('JPK_KR-1'!AL:AL,'JPK_KR-1'!W:W,B510),"")</f>
        <v/>
      </c>
      <c r="D510" s="126" t="str">
        <f>IF(A510&lt;&gt;"",SUMIFS('JPK_KR-1'!AM:AM,'JPK_KR-1'!W:W,B510),"")</f>
        <v/>
      </c>
      <c r="E510" s="5" t="str">
        <f>IF(kokpit!E510&lt;&gt;"",kokpit!E510,"")</f>
        <v/>
      </c>
      <c r="F510" s="127" t="str">
        <f>IF(kokpit!F510&lt;&gt;"",kokpit!F510,"")</f>
        <v/>
      </c>
      <c r="G510" s="24" t="str">
        <f>IF(E510&lt;&gt;"",SUMIFS('JPK_KR-1'!AL:AL,'JPK_KR-1'!W:W,F510),"")</f>
        <v/>
      </c>
      <c r="H510" s="126" t="str">
        <f>IF(E510&lt;&gt;"",SUMIFS('JPK_KR-1'!AM:AM,'JPK_KR-1'!W:W,F510),"")</f>
        <v/>
      </c>
      <c r="I510" s="5" t="str">
        <f>IF(kokpit!I510&lt;&gt;"",kokpit!I510,"")</f>
        <v/>
      </c>
      <c r="J510" s="5" t="str">
        <f>IF(kokpit!J510&lt;&gt;"",kokpit!J510,"")</f>
        <v/>
      </c>
      <c r="K510" s="24" t="str">
        <f>IF(I510&lt;&gt;"",SUMIFS('JPK_KR-1'!AL:AL,'JPK_KR-1'!W:W,J510),"")</f>
        <v/>
      </c>
      <c r="L510" s="141" t="str">
        <f>IF(I510&lt;&gt;"",SUMIFS('JPK_KR-1'!AM:AM,'JPK_KR-1'!W:W,J510),"")</f>
        <v/>
      </c>
      <c r="M510" s="143" t="str">
        <f>IF(kokpit!M510&lt;&gt;"",kokpit!M510,"")</f>
        <v/>
      </c>
      <c r="N510" s="117" t="str">
        <f>IF(kokpit!N510&lt;&gt;"",kokpit!N510,"")</f>
        <v/>
      </c>
      <c r="O510" s="117" t="str">
        <f>IF(kokpit!O510&lt;&gt;"",kokpit!O510,"")</f>
        <v/>
      </c>
      <c r="P510" s="141" t="str">
        <f>IF(M510&lt;&gt;"",IF(O510="",SUMIFS('JPK_KR-1'!AL:AL,'JPK_KR-1'!W:W,N510),SUMIFS('JPK_KR-1'!BF:BF,'JPK_KR-1'!BE:BE,N510,'JPK_KR-1'!BG:BG,O510)),"")</f>
        <v/>
      </c>
      <c r="Q510" s="144" t="str">
        <f>IF(M510&lt;&gt;"",IF(O510="",SUMIFS('JPK_KR-1'!AM:AM,'JPK_KR-1'!W:W,N510),SUMIFS('JPK_KR-1'!BI:BI,'JPK_KR-1'!BH:BH,N510,'JPK_KR-1'!BJ:BJ,O510)),"")</f>
        <v/>
      </c>
      <c r="R510" s="117" t="str">
        <f>IF(kokpit!R510&lt;&gt;"",kokpit!R510,"")</f>
        <v/>
      </c>
      <c r="S510" s="117" t="str">
        <f>IF(kokpit!S510&lt;&gt;"",kokpit!S510,"")</f>
        <v/>
      </c>
      <c r="T510" s="117" t="str">
        <f>IF(kokpit!T510&lt;&gt;"",kokpit!T510,"")</f>
        <v/>
      </c>
      <c r="U510" s="141" t="str">
        <f>IF(R510&lt;&gt;"",SUMIFS('JPK_KR-1'!AL:AL,'JPK_KR-1'!W:W,S510),"")</f>
        <v/>
      </c>
      <c r="V510" s="144" t="str">
        <f>IF(R510&lt;&gt;"",SUMIFS('JPK_KR-1'!AM:AM,'JPK_KR-1'!W:W,S510),"")</f>
        <v/>
      </c>
    </row>
    <row r="511" spans="1:22" x14ac:dyDescent="0.3">
      <c r="A511" s="5" t="str">
        <f>IF(kokpit!A511&lt;&gt;"",kokpit!A511,"")</f>
        <v/>
      </c>
      <c r="B511" s="5" t="str">
        <f>IF(kokpit!B511&lt;&gt;"",kokpit!B511,"")</f>
        <v/>
      </c>
      <c r="C511" s="24" t="str">
        <f>IF(A511&lt;&gt;"",SUMIFS('JPK_KR-1'!AL:AL,'JPK_KR-1'!W:W,B511),"")</f>
        <v/>
      </c>
      <c r="D511" s="126" t="str">
        <f>IF(A511&lt;&gt;"",SUMIFS('JPK_KR-1'!AM:AM,'JPK_KR-1'!W:W,B511),"")</f>
        <v/>
      </c>
      <c r="E511" s="5" t="str">
        <f>IF(kokpit!E511&lt;&gt;"",kokpit!E511,"")</f>
        <v/>
      </c>
      <c r="F511" s="127" t="str">
        <f>IF(kokpit!F511&lt;&gt;"",kokpit!F511,"")</f>
        <v/>
      </c>
      <c r="G511" s="24" t="str">
        <f>IF(E511&lt;&gt;"",SUMIFS('JPK_KR-1'!AL:AL,'JPK_KR-1'!W:W,F511),"")</f>
        <v/>
      </c>
      <c r="H511" s="126" t="str">
        <f>IF(E511&lt;&gt;"",SUMIFS('JPK_KR-1'!AM:AM,'JPK_KR-1'!W:W,F511),"")</f>
        <v/>
      </c>
      <c r="I511" s="5" t="str">
        <f>IF(kokpit!I511&lt;&gt;"",kokpit!I511,"")</f>
        <v/>
      </c>
      <c r="J511" s="5" t="str">
        <f>IF(kokpit!J511&lt;&gt;"",kokpit!J511,"")</f>
        <v/>
      </c>
      <c r="K511" s="24" t="str">
        <f>IF(I511&lt;&gt;"",SUMIFS('JPK_KR-1'!AL:AL,'JPK_KR-1'!W:W,J511),"")</f>
        <v/>
      </c>
      <c r="L511" s="141" t="str">
        <f>IF(I511&lt;&gt;"",SUMIFS('JPK_KR-1'!AM:AM,'JPK_KR-1'!W:W,J511),"")</f>
        <v/>
      </c>
      <c r="M511" s="143" t="str">
        <f>IF(kokpit!M511&lt;&gt;"",kokpit!M511,"")</f>
        <v/>
      </c>
      <c r="N511" s="117" t="str">
        <f>IF(kokpit!N511&lt;&gt;"",kokpit!N511,"")</f>
        <v/>
      </c>
      <c r="O511" s="117" t="str">
        <f>IF(kokpit!O511&lt;&gt;"",kokpit!O511,"")</f>
        <v/>
      </c>
      <c r="P511" s="141" t="str">
        <f>IF(M511&lt;&gt;"",IF(O511="",SUMIFS('JPK_KR-1'!AL:AL,'JPK_KR-1'!W:W,N511),SUMIFS('JPK_KR-1'!BF:BF,'JPK_KR-1'!BE:BE,N511,'JPK_KR-1'!BG:BG,O511)),"")</f>
        <v/>
      </c>
      <c r="Q511" s="144" t="str">
        <f>IF(M511&lt;&gt;"",IF(O511="",SUMIFS('JPK_KR-1'!AM:AM,'JPK_KR-1'!W:W,N511),SUMIFS('JPK_KR-1'!BI:BI,'JPK_KR-1'!BH:BH,N511,'JPK_KR-1'!BJ:BJ,O511)),"")</f>
        <v/>
      </c>
      <c r="R511" s="117" t="str">
        <f>IF(kokpit!R511&lt;&gt;"",kokpit!R511,"")</f>
        <v/>
      </c>
      <c r="S511" s="117" t="str">
        <f>IF(kokpit!S511&lt;&gt;"",kokpit!S511,"")</f>
        <v/>
      </c>
      <c r="T511" s="117" t="str">
        <f>IF(kokpit!T511&lt;&gt;"",kokpit!T511,"")</f>
        <v/>
      </c>
      <c r="U511" s="141" t="str">
        <f>IF(R511&lt;&gt;"",SUMIFS('JPK_KR-1'!AL:AL,'JPK_KR-1'!W:W,S511),"")</f>
        <v/>
      </c>
      <c r="V511" s="144" t="str">
        <f>IF(R511&lt;&gt;"",SUMIFS('JPK_KR-1'!AM:AM,'JPK_KR-1'!W:W,S511),"")</f>
        <v/>
      </c>
    </row>
    <row r="512" spans="1:22" x14ac:dyDescent="0.3">
      <c r="A512" s="5" t="str">
        <f>IF(kokpit!A512&lt;&gt;"",kokpit!A512,"")</f>
        <v/>
      </c>
      <c r="B512" s="5" t="str">
        <f>IF(kokpit!B512&lt;&gt;"",kokpit!B512,"")</f>
        <v/>
      </c>
      <c r="C512" s="24" t="str">
        <f>IF(A512&lt;&gt;"",SUMIFS('JPK_KR-1'!AL:AL,'JPK_KR-1'!W:W,B512),"")</f>
        <v/>
      </c>
      <c r="D512" s="126" t="str">
        <f>IF(A512&lt;&gt;"",SUMIFS('JPK_KR-1'!AM:AM,'JPK_KR-1'!W:W,B512),"")</f>
        <v/>
      </c>
      <c r="E512" s="5" t="str">
        <f>IF(kokpit!E512&lt;&gt;"",kokpit!E512,"")</f>
        <v/>
      </c>
      <c r="F512" s="127" t="str">
        <f>IF(kokpit!F512&lt;&gt;"",kokpit!F512,"")</f>
        <v/>
      </c>
      <c r="G512" s="24" t="str">
        <f>IF(E512&lt;&gt;"",SUMIFS('JPK_KR-1'!AL:AL,'JPK_KR-1'!W:W,F512),"")</f>
        <v/>
      </c>
      <c r="H512" s="126" t="str">
        <f>IF(E512&lt;&gt;"",SUMIFS('JPK_KR-1'!AM:AM,'JPK_KR-1'!W:W,F512),"")</f>
        <v/>
      </c>
      <c r="I512" s="5" t="str">
        <f>IF(kokpit!I512&lt;&gt;"",kokpit!I512,"")</f>
        <v/>
      </c>
      <c r="J512" s="5" t="str">
        <f>IF(kokpit!J512&lt;&gt;"",kokpit!J512,"")</f>
        <v/>
      </c>
      <c r="K512" s="24" t="str">
        <f>IF(I512&lt;&gt;"",SUMIFS('JPK_KR-1'!AL:AL,'JPK_KR-1'!W:W,J512),"")</f>
        <v/>
      </c>
      <c r="L512" s="141" t="str">
        <f>IF(I512&lt;&gt;"",SUMIFS('JPK_KR-1'!AM:AM,'JPK_KR-1'!W:W,J512),"")</f>
        <v/>
      </c>
      <c r="M512" s="143" t="str">
        <f>IF(kokpit!M512&lt;&gt;"",kokpit!M512,"")</f>
        <v/>
      </c>
      <c r="N512" s="117" t="str">
        <f>IF(kokpit!N512&lt;&gt;"",kokpit!N512,"")</f>
        <v/>
      </c>
      <c r="O512" s="117" t="str">
        <f>IF(kokpit!O512&lt;&gt;"",kokpit!O512,"")</f>
        <v/>
      </c>
      <c r="P512" s="141" t="str">
        <f>IF(M512&lt;&gt;"",IF(O512="",SUMIFS('JPK_KR-1'!AL:AL,'JPK_KR-1'!W:W,N512),SUMIFS('JPK_KR-1'!BF:BF,'JPK_KR-1'!BE:BE,N512,'JPK_KR-1'!BG:BG,O512)),"")</f>
        <v/>
      </c>
      <c r="Q512" s="144" t="str">
        <f>IF(M512&lt;&gt;"",IF(O512="",SUMIFS('JPK_KR-1'!AM:AM,'JPK_KR-1'!W:W,N512),SUMIFS('JPK_KR-1'!BI:BI,'JPK_KR-1'!BH:BH,N512,'JPK_KR-1'!BJ:BJ,O512)),"")</f>
        <v/>
      </c>
      <c r="R512" s="117" t="str">
        <f>IF(kokpit!R512&lt;&gt;"",kokpit!R512,"")</f>
        <v/>
      </c>
      <c r="S512" s="117" t="str">
        <f>IF(kokpit!S512&lt;&gt;"",kokpit!S512,"")</f>
        <v/>
      </c>
      <c r="T512" s="117" t="str">
        <f>IF(kokpit!T512&lt;&gt;"",kokpit!T512,"")</f>
        <v/>
      </c>
      <c r="U512" s="141" t="str">
        <f>IF(R512&lt;&gt;"",SUMIFS('JPK_KR-1'!AL:AL,'JPK_KR-1'!W:W,S512),"")</f>
        <v/>
      </c>
      <c r="V512" s="144" t="str">
        <f>IF(R512&lt;&gt;"",SUMIFS('JPK_KR-1'!AM:AM,'JPK_KR-1'!W:W,S512),"")</f>
        <v/>
      </c>
    </row>
    <row r="513" spans="1:22" x14ac:dyDescent="0.3">
      <c r="A513" s="5" t="str">
        <f>IF(kokpit!A513&lt;&gt;"",kokpit!A513,"")</f>
        <v/>
      </c>
      <c r="B513" s="5" t="str">
        <f>IF(kokpit!B513&lt;&gt;"",kokpit!B513,"")</f>
        <v/>
      </c>
      <c r="C513" s="24" t="str">
        <f>IF(A513&lt;&gt;"",SUMIFS('JPK_KR-1'!AL:AL,'JPK_KR-1'!W:W,B513),"")</f>
        <v/>
      </c>
      <c r="D513" s="126" t="str">
        <f>IF(A513&lt;&gt;"",SUMIFS('JPK_KR-1'!AM:AM,'JPK_KR-1'!W:W,B513),"")</f>
        <v/>
      </c>
      <c r="E513" s="5" t="str">
        <f>IF(kokpit!E513&lt;&gt;"",kokpit!E513,"")</f>
        <v/>
      </c>
      <c r="F513" s="127" t="str">
        <f>IF(kokpit!F513&lt;&gt;"",kokpit!F513,"")</f>
        <v/>
      </c>
      <c r="G513" s="24" t="str">
        <f>IF(E513&lt;&gt;"",SUMIFS('JPK_KR-1'!AL:AL,'JPK_KR-1'!W:W,F513),"")</f>
        <v/>
      </c>
      <c r="H513" s="126" t="str">
        <f>IF(E513&lt;&gt;"",SUMIFS('JPK_KR-1'!AM:AM,'JPK_KR-1'!W:W,F513),"")</f>
        <v/>
      </c>
      <c r="I513" s="5" t="str">
        <f>IF(kokpit!I513&lt;&gt;"",kokpit!I513,"")</f>
        <v/>
      </c>
      <c r="J513" s="5" t="str">
        <f>IF(kokpit!J513&lt;&gt;"",kokpit!J513,"")</f>
        <v/>
      </c>
      <c r="K513" s="24" t="str">
        <f>IF(I513&lt;&gt;"",SUMIFS('JPK_KR-1'!AL:AL,'JPK_KR-1'!W:W,J513),"")</f>
        <v/>
      </c>
      <c r="L513" s="141" t="str">
        <f>IF(I513&lt;&gt;"",SUMIFS('JPK_KR-1'!AM:AM,'JPK_KR-1'!W:W,J513),"")</f>
        <v/>
      </c>
      <c r="M513" s="143" t="str">
        <f>IF(kokpit!M513&lt;&gt;"",kokpit!M513,"")</f>
        <v/>
      </c>
      <c r="N513" s="117" t="str">
        <f>IF(kokpit!N513&lt;&gt;"",kokpit!N513,"")</f>
        <v/>
      </c>
      <c r="O513" s="117" t="str">
        <f>IF(kokpit!O513&lt;&gt;"",kokpit!O513,"")</f>
        <v/>
      </c>
      <c r="P513" s="141" t="str">
        <f>IF(M513&lt;&gt;"",IF(O513="",SUMIFS('JPK_KR-1'!AL:AL,'JPK_KR-1'!W:W,N513),SUMIFS('JPK_KR-1'!BF:BF,'JPK_KR-1'!BE:BE,N513,'JPK_KR-1'!BG:BG,O513)),"")</f>
        <v/>
      </c>
      <c r="Q513" s="144" t="str">
        <f>IF(M513&lt;&gt;"",IF(O513="",SUMIFS('JPK_KR-1'!AM:AM,'JPK_KR-1'!W:W,N513),SUMIFS('JPK_KR-1'!BI:BI,'JPK_KR-1'!BH:BH,N513,'JPK_KR-1'!BJ:BJ,O513)),"")</f>
        <v/>
      </c>
      <c r="R513" s="117" t="str">
        <f>IF(kokpit!R513&lt;&gt;"",kokpit!R513,"")</f>
        <v/>
      </c>
      <c r="S513" s="117" t="str">
        <f>IF(kokpit!S513&lt;&gt;"",kokpit!S513,"")</f>
        <v/>
      </c>
      <c r="T513" s="117" t="str">
        <f>IF(kokpit!T513&lt;&gt;"",kokpit!T513,"")</f>
        <v/>
      </c>
      <c r="U513" s="141" t="str">
        <f>IF(R513&lt;&gt;"",SUMIFS('JPK_KR-1'!AL:AL,'JPK_KR-1'!W:W,S513),"")</f>
        <v/>
      </c>
      <c r="V513" s="144" t="str">
        <f>IF(R513&lt;&gt;"",SUMIFS('JPK_KR-1'!AM:AM,'JPK_KR-1'!W:W,S513),"")</f>
        <v/>
      </c>
    </row>
    <row r="514" spans="1:22" x14ac:dyDescent="0.3">
      <c r="A514" s="5" t="str">
        <f>IF(kokpit!A514&lt;&gt;"",kokpit!A514,"")</f>
        <v/>
      </c>
      <c r="B514" s="5" t="str">
        <f>IF(kokpit!B514&lt;&gt;"",kokpit!B514,"")</f>
        <v/>
      </c>
      <c r="C514" s="24" t="str">
        <f>IF(A514&lt;&gt;"",SUMIFS('JPK_KR-1'!AL:AL,'JPK_KR-1'!W:W,B514),"")</f>
        <v/>
      </c>
      <c r="D514" s="126" t="str">
        <f>IF(A514&lt;&gt;"",SUMIFS('JPK_KR-1'!AM:AM,'JPK_KR-1'!W:W,B514),"")</f>
        <v/>
      </c>
      <c r="E514" s="5" t="str">
        <f>IF(kokpit!E514&lt;&gt;"",kokpit!E514,"")</f>
        <v/>
      </c>
      <c r="F514" s="127" t="str">
        <f>IF(kokpit!F514&lt;&gt;"",kokpit!F514,"")</f>
        <v/>
      </c>
      <c r="G514" s="24" t="str">
        <f>IF(E514&lt;&gt;"",SUMIFS('JPK_KR-1'!AL:AL,'JPK_KR-1'!W:W,F514),"")</f>
        <v/>
      </c>
      <c r="H514" s="126" t="str">
        <f>IF(E514&lt;&gt;"",SUMIFS('JPK_KR-1'!AM:AM,'JPK_KR-1'!W:W,F514),"")</f>
        <v/>
      </c>
      <c r="I514" s="5" t="str">
        <f>IF(kokpit!I514&lt;&gt;"",kokpit!I514,"")</f>
        <v/>
      </c>
      <c r="J514" s="5" t="str">
        <f>IF(kokpit!J514&lt;&gt;"",kokpit!J514,"")</f>
        <v/>
      </c>
      <c r="K514" s="24" t="str">
        <f>IF(I514&lt;&gt;"",SUMIFS('JPK_KR-1'!AL:AL,'JPK_KR-1'!W:W,J514),"")</f>
        <v/>
      </c>
      <c r="L514" s="141" t="str">
        <f>IF(I514&lt;&gt;"",SUMIFS('JPK_KR-1'!AM:AM,'JPK_KR-1'!W:W,J514),"")</f>
        <v/>
      </c>
      <c r="M514" s="143" t="str">
        <f>IF(kokpit!M514&lt;&gt;"",kokpit!M514,"")</f>
        <v/>
      </c>
      <c r="N514" s="117" t="str">
        <f>IF(kokpit!N514&lt;&gt;"",kokpit!N514,"")</f>
        <v/>
      </c>
      <c r="O514" s="117" t="str">
        <f>IF(kokpit!O514&lt;&gt;"",kokpit!O514,"")</f>
        <v/>
      </c>
      <c r="P514" s="141" t="str">
        <f>IF(M514&lt;&gt;"",IF(O514="",SUMIFS('JPK_KR-1'!AL:AL,'JPK_KR-1'!W:W,N514),SUMIFS('JPK_KR-1'!BF:BF,'JPK_KR-1'!BE:BE,N514,'JPK_KR-1'!BG:BG,O514)),"")</f>
        <v/>
      </c>
      <c r="Q514" s="144" t="str">
        <f>IF(M514&lt;&gt;"",IF(O514="",SUMIFS('JPK_KR-1'!AM:AM,'JPK_KR-1'!W:W,N514),SUMIFS('JPK_KR-1'!BI:BI,'JPK_KR-1'!BH:BH,N514,'JPK_KR-1'!BJ:BJ,O514)),"")</f>
        <v/>
      </c>
      <c r="R514" s="117" t="str">
        <f>IF(kokpit!R514&lt;&gt;"",kokpit!R514,"")</f>
        <v/>
      </c>
      <c r="S514" s="117" t="str">
        <f>IF(kokpit!S514&lt;&gt;"",kokpit!S514,"")</f>
        <v/>
      </c>
      <c r="T514" s="117" t="str">
        <f>IF(kokpit!T514&lt;&gt;"",kokpit!T514,"")</f>
        <v/>
      </c>
      <c r="U514" s="141" t="str">
        <f>IF(R514&lt;&gt;"",SUMIFS('JPK_KR-1'!AL:AL,'JPK_KR-1'!W:W,S514),"")</f>
        <v/>
      </c>
      <c r="V514" s="144" t="str">
        <f>IF(R514&lt;&gt;"",SUMIFS('JPK_KR-1'!AM:AM,'JPK_KR-1'!W:W,S514),"")</f>
        <v/>
      </c>
    </row>
    <row r="515" spans="1:22" x14ac:dyDescent="0.3">
      <c r="A515" s="5" t="str">
        <f>IF(kokpit!A515&lt;&gt;"",kokpit!A515,"")</f>
        <v/>
      </c>
      <c r="B515" s="5" t="str">
        <f>IF(kokpit!B515&lt;&gt;"",kokpit!B515,"")</f>
        <v/>
      </c>
      <c r="C515" s="24" t="str">
        <f>IF(A515&lt;&gt;"",SUMIFS('JPK_KR-1'!AL:AL,'JPK_KR-1'!W:W,B515),"")</f>
        <v/>
      </c>
      <c r="D515" s="126" t="str">
        <f>IF(A515&lt;&gt;"",SUMIFS('JPK_KR-1'!AM:AM,'JPK_KR-1'!W:W,B515),"")</f>
        <v/>
      </c>
      <c r="E515" s="5" t="str">
        <f>IF(kokpit!E515&lt;&gt;"",kokpit!E515,"")</f>
        <v/>
      </c>
      <c r="F515" s="127" t="str">
        <f>IF(kokpit!F515&lt;&gt;"",kokpit!F515,"")</f>
        <v/>
      </c>
      <c r="G515" s="24" t="str">
        <f>IF(E515&lt;&gt;"",SUMIFS('JPK_KR-1'!AL:AL,'JPK_KR-1'!W:W,F515),"")</f>
        <v/>
      </c>
      <c r="H515" s="126" t="str">
        <f>IF(E515&lt;&gt;"",SUMIFS('JPK_KR-1'!AM:AM,'JPK_KR-1'!W:W,F515),"")</f>
        <v/>
      </c>
      <c r="I515" s="5" t="str">
        <f>IF(kokpit!I515&lt;&gt;"",kokpit!I515,"")</f>
        <v/>
      </c>
      <c r="J515" s="5" t="str">
        <f>IF(kokpit!J515&lt;&gt;"",kokpit!J515,"")</f>
        <v/>
      </c>
      <c r="K515" s="24" t="str">
        <f>IF(I515&lt;&gt;"",SUMIFS('JPK_KR-1'!AL:AL,'JPK_KR-1'!W:W,J515),"")</f>
        <v/>
      </c>
      <c r="L515" s="141" t="str">
        <f>IF(I515&lt;&gt;"",SUMIFS('JPK_KR-1'!AM:AM,'JPK_KR-1'!W:W,J515),"")</f>
        <v/>
      </c>
      <c r="M515" s="143" t="str">
        <f>IF(kokpit!M515&lt;&gt;"",kokpit!M515,"")</f>
        <v/>
      </c>
      <c r="N515" s="117" t="str">
        <f>IF(kokpit!N515&lt;&gt;"",kokpit!N515,"")</f>
        <v/>
      </c>
      <c r="O515" s="117" t="str">
        <f>IF(kokpit!O515&lt;&gt;"",kokpit!O515,"")</f>
        <v/>
      </c>
      <c r="P515" s="141" t="str">
        <f>IF(M515&lt;&gt;"",IF(O515="",SUMIFS('JPK_KR-1'!AL:AL,'JPK_KR-1'!W:W,N515),SUMIFS('JPK_KR-1'!BF:BF,'JPK_KR-1'!BE:BE,N515,'JPK_KR-1'!BG:BG,O515)),"")</f>
        <v/>
      </c>
      <c r="Q515" s="144" t="str">
        <f>IF(M515&lt;&gt;"",IF(O515="",SUMIFS('JPK_KR-1'!AM:AM,'JPK_KR-1'!W:W,N515),SUMIFS('JPK_KR-1'!BI:BI,'JPK_KR-1'!BH:BH,N515,'JPK_KR-1'!BJ:BJ,O515)),"")</f>
        <v/>
      </c>
      <c r="R515" s="117" t="str">
        <f>IF(kokpit!R515&lt;&gt;"",kokpit!R515,"")</f>
        <v/>
      </c>
      <c r="S515" s="117" t="str">
        <f>IF(kokpit!S515&lt;&gt;"",kokpit!S515,"")</f>
        <v/>
      </c>
      <c r="T515" s="117" t="str">
        <f>IF(kokpit!T515&lt;&gt;"",kokpit!T515,"")</f>
        <v/>
      </c>
      <c r="U515" s="141" t="str">
        <f>IF(R515&lt;&gt;"",SUMIFS('JPK_KR-1'!AL:AL,'JPK_KR-1'!W:W,S515),"")</f>
        <v/>
      </c>
      <c r="V515" s="144" t="str">
        <f>IF(R515&lt;&gt;"",SUMIFS('JPK_KR-1'!AM:AM,'JPK_KR-1'!W:W,S515),"")</f>
        <v/>
      </c>
    </row>
    <row r="516" spans="1:22" x14ac:dyDescent="0.3">
      <c r="A516" s="5" t="str">
        <f>IF(kokpit!A516&lt;&gt;"",kokpit!A516,"")</f>
        <v/>
      </c>
      <c r="B516" s="5" t="str">
        <f>IF(kokpit!B516&lt;&gt;"",kokpit!B516,"")</f>
        <v/>
      </c>
      <c r="C516" s="24" t="str">
        <f>IF(A516&lt;&gt;"",SUMIFS('JPK_KR-1'!AL:AL,'JPK_KR-1'!W:W,B516),"")</f>
        <v/>
      </c>
      <c r="D516" s="126" t="str">
        <f>IF(A516&lt;&gt;"",SUMIFS('JPK_KR-1'!AM:AM,'JPK_KR-1'!W:W,B516),"")</f>
        <v/>
      </c>
      <c r="E516" s="5" t="str">
        <f>IF(kokpit!E516&lt;&gt;"",kokpit!E516,"")</f>
        <v/>
      </c>
      <c r="F516" s="127" t="str">
        <f>IF(kokpit!F516&lt;&gt;"",kokpit!F516,"")</f>
        <v/>
      </c>
      <c r="G516" s="24" t="str">
        <f>IF(E516&lt;&gt;"",SUMIFS('JPK_KR-1'!AL:AL,'JPK_KR-1'!W:W,F516),"")</f>
        <v/>
      </c>
      <c r="H516" s="126" t="str">
        <f>IF(E516&lt;&gt;"",SUMIFS('JPK_KR-1'!AM:AM,'JPK_KR-1'!W:W,F516),"")</f>
        <v/>
      </c>
      <c r="I516" s="5" t="str">
        <f>IF(kokpit!I516&lt;&gt;"",kokpit!I516,"")</f>
        <v/>
      </c>
      <c r="J516" s="5" t="str">
        <f>IF(kokpit!J516&lt;&gt;"",kokpit!J516,"")</f>
        <v/>
      </c>
      <c r="K516" s="24" t="str">
        <f>IF(I516&lt;&gt;"",SUMIFS('JPK_KR-1'!AL:AL,'JPK_KR-1'!W:W,J516),"")</f>
        <v/>
      </c>
      <c r="L516" s="141" t="str">
        <f>IF(I516&lt;&gt;"",SUMIFS('JPK_KR-1'!AM:AM,'JPK_KR-1'!W:W,J516),"")</f>
        <v/>
      </c>
      <c r="M516" s="143" t="str">
        <f>IF(kokpit!M516&lt;&gt;"",kokpit!M516,"")</f>
        <v/>
      </c>
      <c r="N516" s="117" t="str">
        <f>IF(kokpit!N516&lt;&gt;"",kokpit!N516,"")</f>
        <v/>
      </c>
      <c r="O516" s="117" t="str">
        <f>IF(kokpit!O516&lt;&gt;"",kokpit!O516,"")</f>
        <v/>
      </c>
      <c r="P516" s="141" t="str">
        <f>IF(M516&lt;&gt;"",IF(O516="",SUMIFS('JPK_KR-1'!AL:AL,'JPK_KR-1'!W:W,N516),SUMIFS('JPK_KR-1'!BF:BF,'JPK_KR-1'!BE:BE,N516,'JPK_KR-1'!BG:BG,O516)),"")</f>
        <v/>
      </c>
      <c r="Q516" s="144" t="str">
        <f>IF(M516&lt;&gt;"",IF(O516="",SUMIFS('JPK_KR-1'!AM:AM,'JPK_KR-1'!W:W,N516),SUMIFS('JPK_KR-1'!BI:BI,'JPK_KR-1'!BH:BH,N516,'JPK_KR-1'!BJ:BJ,O516)),"")</f>
        <v/>
      </c>
      <c r="R516" s="117" t="str">
        <f>IF(kokpit!R516&lt;&gt;"",kokpit!R516,"")</f>
        <v/>
      </c>
      <c r="S516" s="117" t="str">
        <f>IF(kokpit!S516&lt;&gt;"",kokpit!S516,"")</f>
        <v/>
      </c>
      <c r="T516" s="117" t="str">
        <f>IF(kokpit!T516&lt;&gt;"",kokpit!T516,"")</f>
        <v/>
      </c>
      <c r="U516" s="141" t="str">
        <f>IF(R516&lt;&gt;"",SUMIFS('JPK_KR-1'!AL:AL,'JPK_KR-1'!W:W,S516),"")</f>
        <v/>
      </c>
      <c r="V516" s="144" t="str">
        <f>IF(R516&lt;&gt;"",SUMIFS('JPK_KR-1'!AM:AM,'JPK_KR-1'!W:W,S516),"")</f>
        <v/>
      </c>
    </row>
    <row r="517" spans="1:22" x14ac:dyDescent="0.3">
      <c r="A517" s="5" t="str">
        <f>IF(kokpit!A517&lt;&gt;"",kokpit!A517,"")</f>
        <v/>
      </c>
      <c r="B517" s="5" t="str">
        <f>IF(kokpit!B517&lt;&gt;"",kokpit!B517,"")</f>
        <v/>
      </c>
      <c r="C517" s="24" t="str">
        <f>IF(A517&lt;&gt;"",SUMIFS('JPK_KR-1'!AL:AL,'JPK_KR-1'!W:W,B517),"")</f>
        <v/>
      </c>
      <c r="D517" s="126" t="str">
        <f>IF(A517&lt;&gt;"",SUMIFS('JPK_KR-1'!AM:AM,'JPK_KR-1'!W:W,B517),"")</f>
        <v/>
      </c>
      <c r="E517" s="5" t="str">
        <f>IF(kokpit!E517&lt;&gt;"",kokpit!E517,"")</f>
        <v/>
      </c>
      <c r="F517" s="127" t="str">
        <f>IF(kokpit!F517&lt;&gt;"",kokpit!F517,"")</f>
        <v/>
      </c>
      <c r="G517" s="24" t="str">
        <f>IF(E517&lt;&gt;"",SUMIFS('JPK_KR-1'!AL:AL,'JPK_KR-1'!W:W,F517),"")</f>
        <v/>
      </c>
      <c r="H517" s="126" t="str">
        <f>IF(E517&lt;&gt;"",SUMIFS('JPK_KR-1'!AM:AM,'JPK_KR-1'!W:W,F517),"")</f>
        <v/>
      </c>
      <c r="I517" s="5" t="str">
        <f>IF(kokpit!I517&lt;&gt;"",kokpit!I517,"")</f>
        <v/>
      </c>
      <c r="J517" s="5" t="str">
        <f>IF(kokpit!J517&lt;&gt;"",kokpit!J517,"")</f>
        <v/>
      </c>
      <c r="K517" s="24" t="str">
        <f>IF(I517&lt;&gt;"",SUMIFS('JPK_KR-1'!AL:AL,'JPK_KR-1'!W:W,J517),"")</f>
        <v/>
      </c>
      <c r="L517" s="141" t="str">
        <f>IF(I517&lt;&gt;"",SUMIFS('JPK_KR-1'!AM:AM,'JPK_KR-1'!W:W,J517),"")</f>
        <v/>
      </c>
      <c r="M517" s="143" t="str">
        <f>IF(kokpit!M517&lt;&gt;"",kokpit!M517,"")</f>
        <v/>
      </c>
      <c r="N517" s="117" t="str">
        <f>IF(kokpit!N517&lt;&gt;"",kokpit!N517,"")</f>
        <v/>
      </c>
      <c r="O517" s="117" t="str">
        <f>IF(kokpit!O517&lt;&gt;"",kokpit!O517,"")</f>
        <v/>
      </c>
      <c r="P517" s="141" t="str">
        <f>IF(M517&lt;&gt;"",IF(O517="",SUMIFS('JPK_KR-1'!AL:AL,'JPK_KR-1'!W:W,N517),SUMIFS('JPK_KR-1'!BF:BF,'JPK_KR-1'!BE:BE,N517,'JPK_KR-1'!BG:BG,O517)),"")</f>
        <v/>
      </c>
      <c r="Q517" s="144" t="str">
        <f>IF(M517&lt;&gt;"",IF(O517="",SUMIFS('JPK_KR-1'!AM:AM,'JPK_KR-1'!W:W,N517),SUMIFS('JPK_KR-1'!BI:BI,'JPK_KR-1'!BH:BH,N517,'JPK_KR-1'!BJ:BJ,O517)),"")</f>
        <v/>
      </c>
      <c r="R517" s="117" t="str">
        <f>IF(kokpit!R517&lt;&gt;"",kokpit!R517,"")</f>
        <v/>
      </c>
      <c r="S517" s="117" t="str">
        <f>IF(kokpit!S517&lt;&gt;"",kokpit!S517,"")</f>
        <v/>
      </c>
      <c r="T517" s="117" t="str">
        <f>IF(kokpit!T517&lt;&gt;"",kokpit!T517,"")</f>
        <v/>
      </c>
      <c r="U517" s="141" t="str">
        <f>IF(R517&lt;&gt;"",SUMIFS('JPK_KR-1'!AL:AL,'JPK_KR-1'!W:W,S517),"")</f>
        <v/>
      </c>
      <c r="V517" s="144" t="str">
        <f>IF(R517&lt;&gt;"",SUMIFS('JPK_KR-1'!AM:AM,'JPK_KR-1'!W:W,S517),"")</f>
        <v/>
      </c>
    </row>
    <row r="518" spans="1:22" x14ac:dyDescent="0.3">
      <c r="A518" s="5" t="str">
        <f>IF(kokpit!A518&lt;&gt;"",kokpit!A518,"")</f>
        <v/>
      </c>
      <c r="B518" s="5" t="str">
        <f>IF(kokpit!B518&lt;&gt;"",kokpit!B518,"")</f>
        <v/>
      </c>
      <c r="C518" s="24" t="str">
        <f>IF(A518&lt;&gt;"",SUMIFS('JPK_KR-1'!AL:AL,'JPK_KR-1'!W:W,B518),"")</f>
        <v/>
      </c>
      <c r="D518" s="126" t="str">
        <f>IF(A518&lt;&gt;"",SUMIFS('JPK_KR-1'!AM:AM,'JPK_KR-1'!W:W,B518),"")</f>
        <v/>
      </c>
      <c r="E518" s="5" t="str">
        <f>IF(kokpit!E518&lt;&gt;"",kokpit!E518,"")</f>
        <v/>
      </c>
      <c r="F518" s="127" t="str">
        <f>IF(kokpit!F518&lt;&gt;"",kokpit!F518,"")</f>
        <v/>
      </c>
      <c r="G518" s="24" t="str">
        <f>IF(E518&lt;&gt;"",SUMIFS('JPK_KR-1'!AL:AL,'JPK_KR-1'!W:W,F518),"")</f>
        <v/>
      </c>
      <c r="H518" s="126" t="str">
        <f>IF(E518&lt;&gt;"",SUMIFS('JPK_KR-1'!AM:AM,'JPK_KR-1'!W:W,F518),"")</f>
        <v/>
      </c>
      <c r="I518" s="5" t="str">
        <f>IF(kokpit!I518&lt;&gt;"",kokpit!I518,"")</f>
        <v/>
      </c>
      <c r="J518" s="5" t="str">
        <f>IF(kokpit!J518&lt;&gt;"",kokpit!J518,"")</f>
        <v/>
      </c>
      <c r="K518" s="24" t="str">
        <f>IF(I518&lt;&gt;"",SUMIFS('JPK_KR-1'!AL:AL,'JPK_KR-1'!W:W,J518),"")</f>
        <v/>
      </c>
      <c r="L518" s="141" t="str">
        <f>IF(I518&lt;&gt;"",SUMIFS('JPK_KR-1'!AM:AM,'JPK_KR-1'!W:W,J518),"")</f>
        <v/>
      </c>
      <c r="M518" s="143" t="str">
        <f>IF(kokpit!M518&lt;&gt;"",kokpit!M518,"")</f>
        <v/>
      </c>
      <c r="N518" s="117" t="str">
        <f>IF(kokpit!N518&lt;&gt;"",kokpit!N518,"")</f>
        <v/>
      </c>
      <c r="O518" s="117" t="str">
        <f>IF(kokpit!O518&lt;&gt;"",kokpit!O518,"")</f>
        <v/>
      </c>
      <c r="P518" s="141" t="str">
        <f>IF(M518&lt;&gt;"",IF(O518="",SUMIFS('JPK_KR-1'!AL:AL,'JPK_KR-1'!W:W,N518),SUMIFS('JPK_KR-1'!BF:BF,'JPK_KR-1'!BE:BE,N518,'JPK_KR-1'!BG:BG,O518)),"")</f>
        <v/>
      </c>
      <c r="Q518" s="144" t="str">
        <f>IF(M518&lt;&gt;"",IF(O518="",SUMIFS('JPK_KR-1'!AM:AM,'JPK_KR-1'!W:W,N518),SUMIFS('JPK_KR-1'!BI:BI,'JPK_KR-1'!BH:BH,N518,'JPK_KR-1'!BJ:BJ,O518)),"")</f>
        <v/>
      </c>
      <c r="R518" s="117" t="str">
        <f>IF(kokpit!R518&lt;&gt;"",kokpit!R518,"")</f>
        <v/>
      </c>
      <c r="S518" s="117" t="str">
        <f>IF(kokpit!S518&lt;&gt;"",kokpit!S518,"")</f>
        <v/>
      </c>
      <c r="T518" s="117" t="str">
        <f>IF(kokpit!T518&lt;&gt;"",kokpit!T518,"")</f>
        <v/>
      </c>
      <c r="U518" s="141" t="str">
        <f>IF(R518&lt;&gt;"",SUMIFS('JPK_KR-1'!AL:AL,'JPK_KR-1'!W:W,S518),"")</f>
        <v/>
      </c>
      <c r="V518" s="144" t="str">
        <f>IF(R518&lt;&gt;"",SUMIFS('JPK_KR-1'!AM:AM,'JPK_KR-1'!W:W,S518),"")</f>
        <v/>
      </c>
    </row>
    <row r="519" spans="1:22" x14ac:dyDescent="0.3">
      <c r="A519" s="5" t="str">
        <f>IF(kokpit!A519&lt;&gt;"",kokpit!A519,"")</f>
        <v/>
      </c>
      <c r="B519" s="5" t="str">
        <f>IF(kokpit!B519&lt;&gt;"",kokpit!B519,"")</f>
        <v/>
      </c>
      <c r="C519" s="24" t="str">
        <f>IF(A519&lt;&gt;"",SUMIFS('JPK_KR-1'!AL:AL,'JPK_KR-1'!W:W,B519),"")</f>
        <v/>
      </c>
      <c r="D519" s="126" t="str">
        <f>IF(A519&lt;&gt;"",SUMIFS('JPK_KR-1'!AM:AM,'JPK_KR-1'!W:W,B519),"")</f>
        <v/>
      </c>
      <c r="E519" s="5" t="str">
        <f>IF(kokpit!E519&lt;&gt;"",kokpit!E519,"")</f>
        <v/>
      </c>
      <c r="F519" s="127" t="str">
        <f>IF(kokpit!F519&lt;&gt;"",kokpit!F519,"")</f>
        <v/>
      </c>
      <c r="G519" s="24" t="str">
        <f>IF(E519&lt;&gt;"",SUMIFS('JPK_KR-1'!AL:AL,'JPK_KR-1'!W:W,F519),"")</f>
        <v/>
      </c>
      <c r="H519" s="126" t="str">
        <f>IF(E519&lt;&gt;"",SUMIFS('JPK_KR-1'!AM:AM,'JPK_KR-1'!W:W,F519),"")</f>
        <v/>
      </c>
      <c r="I519" s="5" t="str">
        <f>IF(kokpit!I519&lt;&gt;"",kokpit!I519,"")</f>
        <v/>
      </c>
      <c r="J519" s="5" t="str">
        <f>IF(kokpit!J519&lt;&gt;"",kokpit!J519,"")</f>
        <v/>
      </c>
      <c r="K519" s="24" t="str">
        <f>IF(I519&lt;&gt;"",SUMIFS('JPK_KR-1'!AL:AL,'JPK_KR-1'!W:W,J519),"")</f>
        <v/>
      </c>
      <c r="L519" s="141" t="str">
        <f>IF(I519&lt;&gt;"",SUMIFS('JPK_KR-1'!AM:AM,'JPK_KR-1'!W:W,J519),"")</f>
        <v/>
      </c>
      <c r="M519" s="143" t="str">
        <f>IF(kokpit!M519&lt;&gt;"",kokpit!M519,"")</f>
        <v/>
      </c>
      <c r="N519" s="117" t="str">
        <f>IF(kokpit!N519&lt;&gt;"",kokpit!N519,"")</f>
        <v/>
      </c>
      <c r="O519" s="117" t="str">
        <f>IF(kokpit!O519&lt;&gt;"",kokpit!O519,"")</f>
        <v/>
      </c>
      <c r="P519" s="141" t="str">
        <f>IF(M519&lt;&gt;"",IF(O519="",SUMIFS('JPK_KR-1'!AL:AL,'JPK_KR-1'!W:W,N519),SUMIFS('JPK_KR-1'!BF:BF,'JPK_KR-1'!BE:BE,N519,'JPK_KR-1'!BG:BG,O519)),"")</f>
        <v/>
      </c>
      <c r="Q519" s="144" t="str">
        <f>IF(M519&lt;&gt;"",IF(O519="",SUMIFS('JPK_KR-1'!AM:AM,'JPK_KR-1'!W:W,N519),SUMIFS('JPK_KR-1'!BI:BI,'JPK_KR-1'!BH:BH,N519,'JPK_KR-1'!BJ:BJ,O519)),"")</f>
        <v/>
      </c>
      <c r="R519" s="117" t="str">
        <f>IF(kokpit!R519&lt;&gt;"",kokpit!R519,"")</f>
        <v/>
      </c>
      <c r="S519" s="117" t="str">
        <f>IF(kokpit!S519&lt;&gt;"",kokpit!S519,"")</f>
        <v/>
      </c>
      <c r="T519" s="117" t="str">
        <f>IF(kokpit!T519&lt;&gt;"",kokpit!T519,"")</f>
        <v/>
      </c>
      <c r="U519" s="141" t="str">
        <f>IF(R519&lt;&gt;"",SUMIFS('JPK_KR-1'!AL:AL,'JPK_KR-1'!W:W,S519),"")</f>
        <v/>
      </c>
      <c r="V519" s="144" t="str">
        <f>IF(R519&lt;&gt;"",SUMIFS('JPK_KR-1'!AM:AM,'JPK_KR-1'!W:W,S519),"")</f>
        <v/>
      </c>
    </row>
    <row r="520" spans="1:22" x14ac:dyDescent="0.3">
      <c r="A520" s="5" t="str">
        <f>IF(kokpit!A520&lt;&gt;"",kokpit!A520,"")</f>
        <v/>
      </c>
      <c r="B520" s="5" t="str">
        <f>IF(kokpit!B520&lt;&gt;"",kokpit!B520,"")</f>
        <v/>
      </c>
      <c r="C520" s="24" t="str">
        <f>IF(A520&lt;&gt;"",SUMIFS('JPK_KR-1'!AL:AL,'JPK_KR-1'!W:W,B520),"")</f>
        <v/>
      </c>
      <c r="D520" s="126" t="str">
        <f>IF(A520&lt;&gt;"",SUMIFS('JPK_KR-1'!AM:AM,'JPK_KR-1'!W:W,B520),"")</f>
        <v/>
      </c>
      <c r="E520" s="5" t="str">
        <f>IF(kokpit!E520&lt;&gt;"",kokpit!E520,"")</f>
        <v/>
      </c>
      <c r="F520" s="127" t="str">
        <f>IF(kokpit!F520&lt;&gt;"",kokpit!F520,"")</f>
        <v/>
      </c>
      <c r="G520" s="24" t="str">
        <f>IF(E520&lt;&gt;"",SUMIFS('JPK_KR-1'!AL:AL,'JPK_KR-1'!W:W,F520),"")</f>
        <v/>
      </c>
      <c r="H520" s="126" t="str">
        <f>IF(E520&lt;&gt;"",SUMIFS('JPK_KR-1'!AM:AM,'JPK_KR-1'!W:W,F520),"")</f>
        <v/>
      </c>
      <c r="I520" s="5" t="str">
        <f>IF(kokpit!I520&lt;&gt;"",kokpit!I520,"")</f>
        <v/>
      </c>
      <c r="J520" s="5" t="str">
        <f>IF(kokpit!J520&lt;&gt;"",kokpit!J520,"")</f>
        <v/>
      </c>
      <c r="K520" s="24" t="str">
        <f>IF(I520&lt;&gt;"",SUMIFS('JPK_KR-1'!AL:AL,'JPK_KR-1'!W:W,J520),"")</f>
        <v/>
      </c>
      <c r="L520" s="141" t="str">
        <f>IF(I520&lt;&gt;"",SUMIFS('JPK_KR-1'!AM:AM,'JPK_KR-1'!W:W,J520),"")</f>
        <v/>
      </c>
      <c r="M520" s="143" t="str">
        <f>IF(kokpit!M520&lt;&gt;"",kokpit!M520,"")</f>
        <v/>
      </c>
      <c r="N520" s="117" t="str">
        <f>IF(kokpit!N520&lt;&gt;"",kokpit!N520,"")</f>
        <v/>
      </c>
      <c r="O520" s="117" t="str">
        <f>IF(kokpit!O520&lt;&gt;"",kokpit!O520,"")</f>
        <v/>
      </c>
      <c r="P520" s="141" t="str">
        <f>IF(M520&lt;&gt;"",IF(O520="",SUMIFS('JPK_KR-1'!AL:AL,'JPK_KR-1'!W:W,N520),SUMIFS('JPK_KR-1'!BF:BF,'JPK_KR-1'!BE:BE,N520,'JPK_KR-1'!BG:BG,O520)),"")</f>
        <v/>
      </c>
      <c r="Q520" s="144" t="str">
        <f>IF(M520&lt;&gt;"",IF(O520="",SUMIFS('JPK_KR-1'!AM:AM,'JPK_KR-1'!W:W,N520),SUMIFS('JPK_KR-1'!BI:BI,'JPK_KR-1'!BH:BH,N520,'JPK_KR-1'!BJ:BJ,O520)),"")</f>
        <v/>
      </c>
      <c r="R520" s="117" t="str">
        <f>IF(kokpit!R520&lt;&gt;"",kokpit!R520,"")</f>
        <v/>
      </c>
      <c r="S520" s="117" t="str">
        <f>IF(kokpit!S520&lt;&gt;"",kokpit!S520,"")</f>
        <v/>
      </c>
      <c r="T520" s="117" t="str">
        <f>IF(kokpit!T520&lt;&gt;"",kokpit!T520,"")</f>
        <v/>
      </c>
      <c r="U520" s="141" t="str">
        <f>IF(R520&lt;&gt;"",SUMIFS('JPK_KR-1'!AL:AL,'JPK_KR-1'!W:W,S520),"")</f>
        <v/>
      </c>
      <c r="V520" s="144" t="str">
        <f>IF(R520&lt;&gt;"",SUMIFS('JPK_KR-1'!AM:AM,'JPK_KR-1'!W:W,S520),"")</f>
        <v/>
      </c>
    </row>
    <row r="521" spans="1:22" x14ac:dyDescent="0.3">
      <c r="A521" s="5" t="str">
        <f>IF(kokpit!A521&lt;&gt;"",kokpit!A521,"")</f>
        <v/>
      </c>
      <c r="B521" s="5" t="str">
        <f>IF(kokpit!B521&lt;&gt;"",kokpit!B521,"")</f>
        <v/>
      </c>
      <c r="C521" s="24" t="str">
        <f>IF(A521&lt;&gt;"",SUMIFS('JPK_KR-1'!AL:AL,'JPK_KR-1'!W:W,B521),"")</f>
        <v/>
      </c>
      <c r="D521" s="126" t="str">
        <f>IF(A521&lt;&gt;"",SUMIFS('JPK_KR-1'!AM:AM,'JPK_KR-1'!W:W,B521),"")</f>
        <v/>
      </c>
      <c r="E521" s="5" t="str">
        <f>IF(kokpit!E521&lt;&gt;"",kokpit!E521,"")</f>
        <v/>
      </c>
      <c r="F521" s="127" t="str">
        <f>IF(kokpit!F521&lt;&gt;"",kokpit!F521,"")</f>
        <v/>
      </c>
      <c r="G521" s="24" t="str">
        <f>IF(E521&lt;&gt;"",SUMIFS('JPK_KR-1'!AL:AL,'JPK_KR-1'!W:W,F521),"")</f>
        <v/>
      </c>
      <c r="H521" s="126" t="str">
        <f>IF(E521&lt;&gt;"",SUMIFS('JPK_KR-1'!AM:AM,'JPK_KR-1'!W:W,F521),"")</f>
        <v/>
      </c>
      <c r="I521" s="5" t="str">
        <f>IF(kokpit!I521&lt;&gt;"",kokpit!I521,"")</f>
        <v/>
      </c>
      <c r="J521" s="5" t="str">
        <f>IF(kokpit!J521&lt;&gt;"",kokpit!J521,"")</f>
        <v/>
      </c>
      <c r="K521" s="24" t="str">
        <f>IF(I521&lt;&gt;"",SUMIFS('JPK_KR-1'!AL:AL,'JPK_KR-1'!W:W,J521),"")</f>
        <v/>
      </c>
      <c r="L521" s="141" t="str">
        <f>IF(I521&lt;&gt;"",SUMIFS('JPK_KR-1'!AM:AM,'JPK_KR-1'!W:W,J521),"")</f>
        <v/>
      </c>
      <c r="M521" s="143" t="str">
        <f>IF(kokpit!M521&lt;&gt;"",kokpit!M521,"")</f>
        <v/>
      </c>
      <c r="N521" s="117" t="str">
        <f>IF(kokpit!N521&lt;&gt;"",kokpit!N521,"")</f>
        <v/>
      </c>
      <c r="O521" s="117" t="str">
        <f>IF(kokpit!O521&lt;&gt;"",kokpit!O521,"")</f>
        <v/>
      </c>
      <c r="P521" s="141" t="str">
        <f>IF(M521&lt;&gt;"",IF(O521="",SUMIFS('JPK_KR-1'!AL:AL,'JPK_KR-1'!W:W,N521),SUMIFS('JPK_KR-1'!BF:BF,'JPK_KR-1'!BE:BE,N521,'JPK_KR-1'!BG:BG,O521)),"")</f>
        <v/>
      </c>
      <c r="Q521" s="144" t="str">
        <f>IF(M521&lt;&gt;"",IF(O521="",SUMIFS('JPK_KR-1'!AM:AM,'JPK_KR-1'!W:W,N521),SUMIFS('JPK_KR-1'!BI:BI,'JPK_KR-1'!BH:BH,N521,'JPK_KR-1'!BJ:BJ,O521)),"")</f>
        <v/>
      </c>
      <c r="R521" s="117" t="str">
        <f>IF(kokpit!R521&lt;&gt;"",kokpit!R521,"")</f>
        <v/>
      </c>
      <c r="S521" s="117" t="str">
        <f>IF(kokpit!S521&lt;&gt;"",kokpit!S521,"")</f>
        <v/>
      </c>
      <c r="T521" s="117" t="str">
        <f>IF(kokpit!T521&lt;&gt;"",kokpit!T521,"")</f>
        <v/>
      </c>
      <c r="U521" s="141" t="str">
        <f>IF(R521&lt;&gt;"",SUMIFS('JPK_KR-1'!AL:AL,'JPK_KR-1'!W:W,S521),"")</f>
        <v/>
      </c>
      <c r="V521" s="144" t="str">
        <f>IF(R521&lt;&gt;"",SUMIFS('JPK_KR-1'!AM:AM,'JPK_KR-1'!W:W,S521),"")</f>
        <v/>
      </c>
    </row>
    <row r="522" spans="1:22" x14ac:dyDescent="0.3">
      <c r="A522" s="5" t="str">
        <f>IF(kokpit!A522&lt;&gt;"",kokpit!A522,"")</f>
        <v/>
      </c>
      <c r="B522" s="5" t="str">
        <f>IF(kokpit!B522&lt;&gt;"",kokpit!B522,"")</f>
        <v/>
      </c>
      <c r="C522" s="24" t="str">
        <f>IF(A522&lt;&gt;"",SUMIFS('JPK_KR-1'!AL:AL,'JPK_KR-1'!W:W,B522),"")</f>
        <v/>
      </c>
      <c r="D522" s="126" t="str">
        <f>IF(A522&lt;&gt;"",SUMIFS('JPK_KR-1'!AM:AM,'JPK_KR-1'!W:W,B522),"")</f>
        <v/>
      </c>
      <c r="E522" s="5" t="str">
        <f>IF(kokpit!E522&lt;&gt;"",kokpit!E522,"")</f>
        <v/>
      </c>
      <c r="F522" s="127" t="str">
        <f>IF(kokpit!F522&lt;&gt;"",kokpit!F522,"")</f>
        <v/>
      </c>
      <c r="G522" s="24" t="str">
        <f>IF(E522&lt;&gt;"",SUMIFS('JPK_KR-1'!AL:AL,'JPK_KR-1'!W:W,F522),"")</f>
        <v/>
      </c>
      <c r="H522" s="126" t="str">
        <f>IF(E522&lt;&gt;"",SUMIFS('JPK_KR-1'!AM:AM,'JPK_KR-1'!W:W,F522),"")</f>
        <v/>
      </c>
      <c r="I522" s="5" t="str">
        <f>IF(kokpit!I522&lt;&gt;"",kokpit!I522,"")</f>
        <v/>
      </c>
      <c r="J522" s="5" t="str">
        <f>IF(kokpit!J522&lt;&gt;"",kokpit!J522,"")</f>
        <v/>
      </c>
      <c r="K522" s="24" t="str">
        <f>IF(I522&lt;&gt;"",SUMIFS('JPK_KR-1'!AL:AL,'JPK_KR-1'!W:W,J522),"")</f>
        <v/>
      </c>
      <c r="L522" s="141" t="str">
        <f>IF(I522&lt;&gt;"",SUMIFS('JPK_KR-1'!AM:AM,'JPK_KR-1'!W:W,J522),"")</f>
        <v/>
      </c>
      <c r="M522" s="143" t="str">
        <f>IF(kokpit!M522&lt;&gt;"",kokpit!M522,"")</f>
        <v/>
      </c>
      <c r="N522" s="117" t="str">
        <f>IF(kokpit!N522&lt;&gt;"",kokpit!N522,"")</f>
        <v/>
      </c>
      <c r="O522" s="117" t="str">
        <f>IF(kokpit!O522&lt;&gt;"",kokpit!O522,"")</f>
        <v/>
      </c>
      <c r="P522" s="141" t="str">
        <f>IF(M522&lt;&gt;"",IF(O522="",SUMIFS('JPK_KR-1'!AL:AL,'JPK_KR-1'!W:W,N522),SUMIFS('JPK_KR-1'!BF:BF,'JPK_KR-1'!BE:BE,N522,'JPK_KR-1'!BG:BG,O522)),"")</f>
        <v/>
      </c>
      <c r="Q522" s="144" t="str">
        <f>IF(M522&lt;&gt;"",IF(O522="",SUMIFS('JPK_KR-1'!AM:AM,'JPK_KR-1'!W:W,N522),SUMIFS('JPK_KR-1'!BI:BI,'JPK_KR-1'!BH:BH,N522,'JPK_KR-1'!BJ:BJ,O522)),"")</f>
        <v/>
      </c>
      <c r="R522" s="117" t="str">
        <f>IF(kokpit!R522&lt;&gt;"",kokpit!R522,"")</f>
        <v/>
      </c>
      <c r="S522" s="117" t="str">
        <f>IF(kokpit!S522&lt;&gt;"",kokpit!S522,"")</f>
        <v/>
      </c>
      <c r="T522" s="117" t="str">
        <f>IF(kokpit!T522&lt;&gt;"",kokpit!T522,"")</f>
        <v/>
      </c>
      <c r="U522" s="141" t="str">
        <f>IF(R522&lt;&gt;"",SUMIFS('JPK_KR-1'!AL:AL,'JPK_KR-1'!W:W,S522),"")</f>
        <v/>
      </c>
      <c r="V522" s="144" t="str">
        <f>IF(R522&lt;&gt;"",SUMIFS('JPK_KR-1'!AM:AM,'JPK_KR-1'!W:W,S522),"")</f>
        <v/>
      </c>
    </row>
    <row r="523" spans="1:22" x14ac:dyDescent="0.3">
      <c r="A523" s="5" t="str">
        <f>IF(kokpit!A523&lt;&gt;"",kokpit!A523,"")</f>
        <v/>
      </c>
      <c r="B523" s="5" t="str">
        <f>IF(kokpit!B523&lt;&gt;"",kokpit!B523,"")</f>
        <v/>
      </c>
      <c r="C523" s="24" t="str">
        <f>IF(A523&lt;&gt;"",SUMIFS('JPK_KR-1'!AL:AL,'JPK_KR-1'!W:W,B523),"")</f>
        <v/>
      </c>
      <c r="D523" s="126" t="str">
        <f>IF(A523&lt;&gt;"",SUMIFS('JPK_KR-1'!AM:AM,'JPK_KR-1'!W:W,B523),"")</f>
        <v/>
      </c>
      <c r="E523" s="5" t="str">
        <f>IF(kokpit!E523&lt;&gt;"",kokpit!E523,"")</f>
        <v/>
      </c>
      <c r="F523" s="127" t="str">
        <f>IF(kokpit!F523&lt;&gt;"",kokpit!F523,"")</f>
        <v/>
      </c>
      <c r="G523" s="24" t="str">
        <f>IF(E523&lt;&gt;"",SUMIFS('JPK_KR-1'!AL:AL,'JPK_KR-1'!W:W,F523),"")</f>
        <v/>
      </c>
      <c r="H523" s="126" t="str">
        <f>IF(E523&lt;&gt;"",SUMIFS('JPK_KR-1'!AM:AM,'JPK_KR-1'!W:W,F523),"")</f>
        <v/>
      </c>
      <c r="I523" s="5" t="str">
        <f>IF(kokpit!I523&lt;&gt;"",kokpit!I523,"")</f>
        <v/>
      </c>
      <c r="J523" s="5" t="str">
        <f>IF(kokpit!J523&lt;&gt;"",kokpit!J523,"")</f>
        <v/>
      </c>
      <c r="K523" s="24" t="str">
        <f>IF(I523&lt;&gt;"",SUMIFS('JPK_KR-1'!AL:AL,'JPK_KR-1'!W:W,J523),"")</f>
        <v/>
      </c>
      <c r="L523" s="141" t="str">
        <f>IF(I523&lt;&gt;"",SUMIFS('JPK_KR-1'!AM:AM,'JPK_KR-1'!W:W,J523),"")</f>
        <v/>
      </c>
      <c r="M523" s="143" t="str">
        <f>IF(kokpit!M523&lt;&gt;"",kokpit!M523,"")</f>
        <v/>
      </c>
      <c r="N523" s="117" t="str">
        <f>IF(kokpit!N523&lt;&gt;"",kokpit!N523,"")</f>
        <v/>
      </c>
      <c r="O523" s="117" t="str">
        <f>IF(kokpit!O523&lt;&gt;"",kokpit!O523,"")</f>
        <v/>
      </c>
      <c r="P523" s="141" t="str">
        <f>IF(M523&lt;&gt;"",IF(O523="",SUMIFS('JPK_KR-1'!AL:AL,'JPK_KR-1'!W:W,N523),SUMIFS('JPK_KR-1'!BF:BF,'JPK_KR-1'!BE:BE,N523,'JPK_KR-1'!BG:BG,O523)),"")</f>
        <v/>
      </c>
      <c r="Q523" s="144" t="str">
        <f>IF(M523&lt;&gt;"",IF(O523="",SUMIFS('JPK_KR-1'!AM:AM,'JPK_KR-1'!W:W,N523),SUMIFS('JPK_KR-1'!BI:BI,'JPK_KR-1'!BH:BH,N523,'JPK_KR-1'!BJ:BJ,O523)),"")</f>
        <v/>
      </c>
      <c r="R523" s="117" t="str">
        <f>IF(kokpit!R523&lt;&gt;"",kokpit!R523,"")</f>
        <v/>
      </c>
      <c r="S523" s="117" t="str">
        <f>IF(kokpit!S523&lt;&gt;"",kokpit!S523,"")</f>
        <v/>
      </c>
      <c r="T523" s="117" t="str">
        <f>IF(kokpit!T523&lt;&gt;"",kokpit!T523,"")</f>
        <v/>
      </c>
      <c r="U523" s="141" t="str">
        <f>IF(R523&lt;&gt;"",SUMIFS('JPK_KR-1'!AL:AL,'JPK_KR-1'!W:W,S523),"")</f>
        <v/>
      </c>
      <c r="V523" s="144" t="str">
        <f>IF(R523&lt;&gt;"",SUMIFS('JPK_KR-1'!AM:AM,'JPK_KR-1'!W:W,S523),"")</f>
        <v/>
      </c>
    </row>
    <row r="524" spans="1:22" x14ac:dyDescent="0.3">
      <c r="A524" s="5" t="str">
        <f>IF(kokpit!A524&lt;&gt;"",kokpit!A524,"")</f>
        <v/>
      </c>
      <c r="B524" s="5" t="str">
        <f>IF(kokpit!B524&lt;&gt;"",kokpit!B524,"")</f>
        <v/>
      </c>
      <c r="C524" s="24" t="str">
        <f>IF(A524&lt;&gt;"",SUMIFS('JPK_KR-1'!AL:AL,'JPK_KR-1'!W:W,B524),"")</f>
        <v/>
      </c>
      <c r="D524" s="126" t="str">
        <f>IF(A524&lt;&gt;"",SUMIFS('JPK_KR-1'!AM:AM,'JPK_KR-1'!W:W,B524),"")</f>
        <v/>
      </c>
      <c r="E524" s="5" t="str">
        <f>IF(kokpit!E524&lt;&gt;"",kokpit!E524,"")</f>
        <v/>
      </c>
      <c r="F524" s="127" t="str">
        <f>IF(kokpit!F524&lt;&gt;"",kokpit!F524,"")</f>
        <v/>
      </c>
      <c r="G524" s="24" t="str">
        <f>IF(E524&lt;&gt;"",SUMIFS('JPK_KR-1'!AL:AL,'JPK_KR-1'!W:W,F524),"")</f>
        <v/>
      </c>
      <c r="H524" s="126" t="str">
        <f>IF(E524&lt;&gt;"",SUMIFS('JPK_KR-1'!AM:AM,'JPK_KR-1'!W:W,F524),"")</f>
        <v/>
      </c>
      <c r="I524" s="5" t="str">
        <f>IF(kokpit!I524&lt;&gt;"",kokpit!I524,"")</f>
        <v/>
      </c>
      <c r="J524" s="5" t="str">
        <f>IF(kokpit!J524&lt;&gt;"",kokpit!J524,"")</f>
        <v/>
      </c>
      <c r="K524" s="24" t="str">
        <f>IF(I524&lt;&gt;"",SUMIFS('JPK_KR-1'!AL:AL,'JPK_KR-1'!W:W,J524),"")</f>
        <v/>
      </c>
      <c r="L524" s="141" t="str">
        <f>IF(I524&lt;&gt;"",SUMIFS('JPK_KR-1'!AM:AM,'JPK_KR-1'!W:W,J524),"")</f>
        <v/>
      </c>
      <c r="M524" s="143" t="str">
        <f>IF(kokpit!M524&lt;&gt;"",kokpit!M524,"")</f>
        <v/>
      </c>
      <c r="N524" s="117" t="str">
        <f>IF(kokpit!N524&lt;&gt;"",kokpit!N524,"")</f>
        <v/>
      </c>
      <c r="O524" s="117" t="str">
        <f>IF(kokpit!O524&lt;&gt;"",kokpit!O524,"")</f>
        <v/>
      </c>
      <c r="P524" s="141" t="str">
        <f>IF(M524&lt;&gt;"",IF(O524="",SUMIFS('JPK_KR-1'!AL:AL,'JPK_KR-1'!W:W,N524),SUMIFS('JPK_KR-1'!BF:BF,'JPK_KR-1'!BE:BE,N524,'JPK_KR-1'!BG:BG,O524)),"")</f>
        <v/>
      </c>
      <c r="Q524" s="144" t="str">
        <f>IF(M524&lt;&gt;"",IF(O524="",SUMIFS('JPK_KR-1'!AM:AM,'JPK_KR-1'!W:W,N524),SUMIFS('JPK_KR-1'!BI:BI,'JPK_KR-1'!BH:BH,N524,'JPK_KR-1'!BJ:BJ,O524)),"")</f>
        <v/>
      </c>
      <c r="R524" s="117" t="str">
        <f>IF(kokpit!R524&lt;&gt;"",kokpit!R524,"")</f>
        <v/>
      </c>
      <c r="S524" s="117" t="str">
        <f>IF(kokpit!S524&lt;&gt;"",kokpit!S524,"")</f>
        <v/>
      </c>
      <c r="T524" s="117" t="str">
        <f>IF(kokpit!T524&lt;&gt;"",kokpit!T524,"")</f>
        <v/>
      </c>
      <c r="U524" s="141" t="str">
        <f>IF(R524&lt;&gt;"",SUMIFS('JPK_KR-1'!AL:AL,'JPK_KR-1'!W:W,S524),"")</f>
        <v/>
      </c>
      <c r="V524" s="144" t="str">
        <f>IF(R524&lt;&gt;"",SUMIFS('JPK_KR-1'!AM:AM,'JPK_KR-1'!W:W,S524),"")</f>
        <v/>
      </c>
    </row>
    <row r="525" spans="1:22" x14ac:dyDescent="0.3">
      <c r="A525" s="5" t="str">
        <f>IF(kokpit!A525&lt;&gt;"",kokpit!A525,"")</f>
        <v/>
      </c>
      <c r="B525" s="5" t="str">
        <f>IF(kokpit!B525&lt;&gt;"",kokpit!B525,"")</f>
        <v/>
      </c>
      <c r="C525" s="24" t="str">
        <f>IF(A525&lt;&gt;"",SUMIFS('JPK_KR-1'!AL:AL,'JPK_KR-1'!W:W,B525),"")</f>
        <v/>
      </c>
      <c r="D525" s="126" t="str">
        <f>IF(A525&lt;&gt;"",SUMIFS('JPK_KR-1'!AM:AM,'JPK_KR-1'!W:W,B525),"")</f>
        <v/>
      </c>
      <c r="E525" s="5" t="str">
        <f>IF(kokpit!E525&lt;&gt;"",kokpit!E525,"")</f>
        <v/>
      </c>
      <c r="F525" s="127" t="str">
        <f>IF(kokpit!F525&lt;&gt;"",kokpit!F525,"")</f>
        <v/>
      </c>
      <c r="G525" s="24" t="str">
        <f>IF(E525&lt;&gt;"",SUMIFS('JPK_KR-1'!AL:AL,'JPK_KR-1'!W:W,F525),"")</f>
        <v/>
      </c>
      <c r="H525" s="126" t="str">
        <f>IF(E525&lt;&gt;"",SUMIFS('JPK_KR-1'!AM:AM,'JPK_KR-1'!W:W,F525),"")</f>
        <v/>
      </c>
      <c r="I525" s="5" t="str">
        <f>IF(kokpit!I525&lt;&gt;"",kokpit!I525,"")</f>
        <v/>
      </c>
      <c r="J525" s="5" t="str">
        <f>IF(kokpit!J525&lt;&gt;"",kokpit!J525,"")</f>
        <v/>
      </c>
      <c r="K525" s="24" t="str">
        <f>IF(I525&lt;&gt;"",SUMIFS('JPK_KR-1'!AL:AL,'JPK_KR-1'!W:W,J525),"")</f>
        <v/>
      </c>
      <c r="L525" s="141" t="str">
        <f>IF(I525&lt;&gt;"",SUMIFS('JPK_KR-1'!AM:AM,'JPK_KR-1'!W:W,J525),"")</f>
        <v/>
      </c>
      <c r="M525" s="143" t="str">
        <f>IF(kokpit!M525&lt;&gt;"",kokpit!M525,"")</f>
        <v/>
      </c>
      <c r="N525" s="117" t="str">
        <f>IF(kokpit!N525&lt;&gt;"",kokpit!N525,"")</f>
        <v/>
      </c>
      <c r="O525" s="117" t="str">
        <f>IF(kokpit!O525&lt;&gt;"",kokpit!O525,"")</f>
        <v/>
      </c>
      <c r="P525" s="141" t="str">
        <f>IF(M525&lt;&gt;"",IF(O525="",SUMIFS('JPK_KR-1'!AL:AL,'JPK_KR-1'!W:W,N525),SUMIFS('JPK_KR-1'!BF:BF,'JPK_KR-1'!BE:BE,N525,'JPK_KR-1'!BG:BG,O525)),"")</f>
        <v/>
      </c>
      <c r="Q525" s="144" t="str">
        <f>IF(M525&lt;&gt;"",IF(O525="",SUMIFS('JPK_KR-1'!AM:AM,'JPK_KR-1'!W:W,N525),SUMIFS('JPK_KR-1'!BI:BI,'JPK_KR-1'!BH:BH,N525,'JPK_KR-1'!BJ:BJ,O525)),"")</f>
        <v/>
      </c>
      <c r="R525" s="117" t="str">
        <f>IF(kokpit!R525&lt;&gt;"",kokpit!R525,"")</f>
        <v/>
      </c>
      <c r="S525" s="117" t="str">
        <f>IF(kokpit!S525&lt;&gt;"",kokpit!S525,"")</f>
        <v/>
      </c>
      <c r="T525" s="117" t="str">
        <f>IF(kokpit!T525&lt;&gt;"",kokpit!T525,"")</f>
        <v/>
      </c>
      <c r="U525" s="141" t="str">
        <f>IF(R525&lt;&gt;"",SUMIFS('JPK_KR-1'!AL:AL,'JPK_KR-1'!W:W,S525),"")</f>
        <v/>
      </c>
      <c r="V525" s="144" t="str">
        <f>IF(R525&lt;&gt;"",SUMIFS('JPK_KR-1'!AM:AM,'JPK_KR-1'!W:W,S525),"")</f>
        <v/>
      </c>
    </row>
    <row r="526" spans="1:22" x14ac:dyDescent="0.3">
      <c r="A526" s="5" t="str">
        <f>IF(kokpit!A526&lt;&gt;"",kokpit!A526,"")</f>
        <v/>
      </c>
      <c r="B526" s="5" t="str">
        <f>IF(kokpit!B526&lt;&gt;"",kokpit!B526,"")</f>
        <v/>
      </c>
      <c r="C526" s="24" t="str">
        <f>IF(A526&lt;&gt;"",SUMIFS('JPK_KR-1'!AL:AL,'JPK_KR-1'!W:W,B526),"")</f>
        <v/>
      </c>
      <c r="D526" s="126" t="str">
        <f>IF(A526&lt;&gt;"",SUMIFS('JPK_KR-1'!AM:AM,'JPK_KR-1'!W:W,B526),"")</f>
        <v/>
      </c>
      <c r="E526" s="5" t="str">
        <f>IF(kokpit!E526&lt;&gt;"",kokpit!E526,"")</f>
        <v/>
      </c>
      <c r="F526" s="127" t="str">
        <f>IF(kokpit!F526&lt;&gt;"",kokpit!F526,"")</f>
        <v/>
      </c>
      <c r="G526" s="24" t="str">
        <f>IF(E526&lt;&gt;"",SUMIFS('JPK_KR-1'!AL:AL,'JPK_KR-1'!W:W,F526),"")</f>
        <v/>
      </c>
      <c r="H526" s="126" t="str">
        <f>IF(E526&lt;&gt;"",SUMIFS('JPK_KR-1'!AM:AM,'JPK_KR-1'!W:W,F526),"")</f>
        <v/>
      </c>
      <c r="I526" s="5" t="str">
        <f>IF(kokpit!I526&lt;&gt;"",kokpit!I526,"")</f>
        <v/>
      </c>
      <c r="J526" s="5" t="str">
        <f>IF(kokpit!J526&lt;&gt;"",kokpit!J526,"")</f>
        <v/>
      </c>
      <c r="K526" s="24" t="str">
        <f>IF(I526&lt;&gt;"",SUMIFS('JPK_KR-1'!AL:AL,'JPK_KR-1'!W:W,J526),"")</f>
        <v/>
      </c>
      <c r="L526" s="141" t="str">
        <f>IF(I526&lt;&gt;"",SUMIFS('JPK_KR-1'!AM:AM,'JPK_KR-1'!W:W,J526),"")</f>
        <v/>
      </c>
      <c r="M526" s="143" t="str">
        <f>IF(kokpit!M526&lt;&gt;"",kokpit!M526,"")</f>
        <v/>
      </c>
      <c r="N526" s="117" t="str">
        <f>IF(kokpit!N526&lt;&gt;"",kokpit!N526,"")</f>
        <v/>
      </c>
      <c r="O526" s="117" t="str">
        <f>IF(kokpit!O526&lt;&gt;"",kokpit!O526,"")</f>
        <v/>
      </c>
      <c r="P526" s="141" t="str">
        <f>IF(M526&lt;&gt;"",IF(O526="",SUMIFS('JPK_KR-1'!AL:AL,'JPK_KR-1'!W:W,N526),SUMIFS('JPK_KR-1'!BF:BF,'JPK_KR-1'!BE:BE,N526,'JPK_KR-1'!BG:BG,O526)),"")</f>
        <v/>
      </c>
      <c r="Q526" s="144" t="str">
        <f>IF(M526&lt;&gt;"",IF(O526="",SUMIFS('JPK_KR-1'!AM:AM,'JPK_KR-1'!W:W,N526),SUMIFS('JPK_KR-1'!BI:BI,'JPK_KR-1'!BH:BH,N526,'JPK_KR-1'!BJ:BJ,O526)),"")</f>
        <v/>
      </c>
      <c r="R526" s="117" t="str">
        <f>IF(kokpit!R526&lt;&gt;"",kokpit!R526,"")</f>
        <v/>
      </c>
      <c r="S526" s="117" t="str">
        <f>IF(kokpit!S526&lt;&gt;"",kokpit!S526,"")</f>
        <v/>
      </c>
      <c r="T526" s="117" t="str">
        <f>IF(kokpit!T526&lt;&gt;"",kokpit!T526,"")</f>
        <v/>
      </c>
      <c r="U526" s="141" t="str">
        <f>IF(R526&lt;&gt;"",SUMIFS('JPK_KR-1'!AL:AL,'JPK_KR-1'!W:W,S526),"")</f>
        <v/>
      </c>
      <c r="V526" s="144" t="str">
        <f>IF(R526&lt;&gt;"",SUMIFS('JPK_KR-1'!AM:AM,'JPK_KR-1'!W:W,S526),"")</f>
        <v/>
      </c>
    </row>
    <row r="527" spans="1:22" x14ac:dyDescent="0.3">
      <c r="A527" s="5" t="str">
        <f>IF(kokpit!A527&lt;&gt;"",kokpit!A527,"")</f>
        <v/>
      </c>
      <c r="B527" s="5" t="str">
        <f>IF(kokpit!B527&lt;&gt;"",kokpit!B527,"")</f>
        <v/>
      </c>
      <c r="C527" s="24" t="str">
        <f>IF(A527&lt;&gt;"",SUMIFS('JPK_KR-1'!AL:AL,'JPK_KR-1'!W:W,B527),"")</f>
        <v/>
      </c>
      <c r="D527" s="126" t="str">
        <f>IF(A527&lt;&gt;"",SUMIFS('JPK_KR-1'!AM:AM,'JPK_KR-1'!W:W,B527),"")</f>
        <v/>
      </c>
      <c r="E527" s="5" t="str">
        <f>IF(kokpit!E527&lt;&gt;"",kokpit!E527,"")</f>
        <v/>
      </c>
      <c r="F527" s="127" t="str">
        <f>IF(kokpit!F527&lt;&gt;"",kokpit!F527,"")</f>
        <v/>
      </c>
      <c r="G527" s="24" t="str">
        <f>IF(E527&lt;&gt;"",SUMIFS('JPK_KR-1'!AL:AL,'JPK_KR-1'!W:W,F527),"")</f>
        <v/>
      </c>
      <c r="H527" s="126" t="str">
        <f>IF(E527&lt;&gt;"",SUMIFS('JPK_KR-1'!AM:AM,'JPK_KR-1'!W:W,F527),"")</f>
        <v/>
      </c>
      <c r="I527" s="5" t="str">
        <f>IF(kokpit!I527&lt;&gt;"",kokpit!I527,"")</f>
        <v/>
      </c>
      <c r="J527" s="5" t="str">
        <f>IF(kokpit!J527&lt;&gt;"",kokpit!J527,"")</f>
        <v/>
      </c>
      <c r="K527" s="24" t="str">
        <f>IF(I527&lt;&gt;"",SUMIFS('JPK_KR-1'!AL:AL,'JPK_KR-1'!W:W,J527),"")</f>
        <v/>
      </c>
      <c r="L527" s="141" t="str">
        <f>IF(I527&lt;&gt;"",SUMIFS('JPK_KR-1'!AM:AM,'JPK_KR-1'!W:W,J527),"")</f>
        <v/>
      </c>
      <c r="M527" s="143" t="str">
        <f>IF(kokpit!M527&lt;&gt;"",kokpit!M527,"")</f>
        <v/>
      </c>
      <c r="N527" s="117" t="str">
        <f>IF(kokpit!N527&lt;&gt;"",kokpit!N527,"")</f>
        <v/>
      </c>
      <c r="O527" s="117" t="str">
        <f>IF(kokpit!O527&lt;&gt;"",kokpit!O527,"")</f>
        <v/>
      </c>
      <c r="P527" s="141" t="str">
        <f>IF(M527&lt;&gt;"",IF(O527="",SUMIFS('JPK_KR-1'!AL:AL,'JPK_KR-1'!W:W,N527),SUMIFS('JPK_KR-1'!BF:BF,'JPK_KR-1'!BE:BE,N527,'JPK_KR-1'!BG:BG,O527)),"")</f>
        <v/>
      </c>
      <c r="Q527" s="144" t="str">
        <f>IF(M527&lt;&gt;"",IF(O527="",SUMIFS('JPK_KR-1'!AM:AM,'JPK_KR-1'!W:W,N527),SUMIFS('JPK_KR-1'!BI:BI,'JPK_KR-1'!BH:BH,N527,'JPK_KR-1'!BJ:BJ,O527)),"")</f>
        <v/>
      </c>
      <c r="R527" s="117" t="str">
        <f>IF(kokpit!R527&lt;&gt;"",kokpit!R527,"")</f>
        <v/>
      </c>
      <c r="S527" s="117" t="str">
        <f>IF(kokpit!S527&lt;&gt;"",kokpit!S527,"")</f>
        <v/>
      </c>
      <c r="T527" s="117" t="str">
        <f>IF(kokpit!T527&lt;&gt;"",kokpit!T527,"")</f>
        <v/>
      </c>
      <c r="U527" s="141" t="str">
        <f>IF(R527&lt;&gt;"",SUMIFS('JPK_KR-1'!AL:AL,'JPK_KR-1'!W:W,S527),"")</f>
        <v/>
      </c>
      <c r="V527" s="144" t="str">
        <f>IF(R527&lt;&gt;"",SUMIFS('JPK_KR-1'!AM:AM,'JPK_KR-1'!W:W,S527),"")</f>
        <v/>
      </c>
    </row>
    <row r="528" spans="1:22" x14ac:dyDescent="0.3">
      <c r="A528" s="5" t="str">
        <f>IF(kokpit!A528&lt;&gt;"",kokpit!A528,"")</f>
        <v/>
      </c>
      <c r="B528" s="5" t="str">
        <f>IF(kokpit!B528&lt;&gt;"",kokpit!B528,"")</f>
        <v/>
      </c>
      <c r="C528" s="24" t="str">
        <f>IF(A528&lt;&gt;"",SUMIFS('JPK_KR-1'!AL:AL,'JPK_KR-1'!W:W,B528),"")</f>
        <v/>
      </c>
      <c r="D528" s="126" t="str">
        <f>IF(A528&lt;&gt;"",SUMIFS('JPK_KR-1'!AM:AM,'JPK_KR-1'!W:W,B528),"")</f>
        <v/>
      </c>
      <c r="E528" s="5" t="str">
        <f>IF(kokpit!E528&lt;&gt;"",kokpit!E528,"")</f>
        <v/>
      </c>
      <c r="F528" s="127" t="str">
        <f>IF(kokpit!F528&lt;&gt;"",kokpit!F528,"")</f>
        <v/>
      </c>
      <c r="G528" s="24" t="str">
        <f>IF(E528&lt;&gt;"",SUMIFS('JPK_KR-1'!AL:AL,'JPK_KR-1'!W:W,F528),"")</f>
        <v/>
      </c>
      <c r="H528" s="126" t="str">
        <f>IF(E528&lt;&gt;"",SUMIFS('JPK_KR-1'!AM:AM,'JPK_KR-1'!W:W,F528),"")</f>
        <v/>
      </c>
      <c r="I528" s="5" t="str">
        <f>IF(kokpit!I528&lt;&gt;"",kokpit!I528,"")</f>
        <v/>
      </c>
      <c r="J528" s="5" t="str">
        <f>IF(kokpit!J528&lt;&gt;"",kokpit!J528,"")</f>
        <v/>
      </c>
      <c r="K528" s="24" t="str">
        <f>IF(I528&lt;&gt;"",SUMIFS('JPK_KR-1'!AL:AL,'JPK_KR-1'!W:W,J528),"")</f>
        <v/>
      </c>
      <c r="L528" s="141" t="str">
        <f>IF(I528&lt;&gt;"",SUMIFS('JPK_KR-1'!AM:AM,'JPK_KR-1'!W:W,J528),"")</f>
        <v/>
      </c>
      <c r="M528" s="143" t="str">
        <f>IF(kokpit!M528&lt;&gt;"",kokpit!M528,"")</f>
        <v/>
      </c>
      <c r="N528" s="117" t="str">
        <f>IF(kokpit!N528&lt;&gt;"",kokpit!N528,"")</f>
        <v/>
      </c>
      <c r="O528" s="117" t="str">
        <f>IF(kokpit!O528&lt;&gt;"",kokpit!O528,"")</f>
        <v/>
      </c>
      <c r="P528" s="141" t="str">
        <f>IF(M528&lt;&gt;"",IF(O528="",SUMIFS('JPK_KR-1'!AL:AL,'JPK_KR-1'!W:W,N528),SUMIFS('JPK_KR-1'!BF:BF,'JPK_KR-1'!BE:BE,N528,'JPK_KR-1'!BG:BG,O528)),"")</f>
        <v/>
      </c>
      <c r="Q528" s="144" t="str">
        <f>IF(M528&lt;&gt;"",IF(O528="",SUMIFS('JPK_KR-1'!AM:AM,'JPK_KR-1'!W:W,N528),SUMIFS('JPK_KR-1'!BI:BI,'JPK_KR-1'!BH:BH,N528,'JPK_KR-1'!BJ:BJ,O528)),"")</f>
        <v/>
      </c>
      <c r="R528" s="117" t="str">
        <f>IF(kokpit!R528&lt;&gt;"",kokpit!R528,"")</f>
        <v/>
      </c>
      <c r="S528" s="117" t="str">
        <f>IF(kokpit!S528&lt;&gt;"",kokpit!S528,"")</f>
        <v/>
      </c>
      <c r="T528" s="117" t="str">
        <f>IF(kokpit!T528&lt;&gt;"",kokpit!T528,"")</f>
        <v/>
      </c>
      <c r="U528" s="141" t="str">
        <f>IF(R528&lt;&gt;"",SUMIFS('JPK_KR-1'!AL:AL,'JPK_KR-1'!W:W,S528),"")</f>
        <v/>
      </c>
      <c r="V528" s="144" t="str">
        <f>IF(R528&lt;&gt;"",SUMIFS('JPK_KR-1'!AM:AM,'JPK_KR-1'!W:W,S528),"")</f>
        <v/>
      </c>
    </row>
    <row r="529" spans="1:22" x14ac:dyDescent="0.3">
      <c r="A529" s="5" t="str">
        <f>IF(kokpit!A529&lt;&gt;"",kokpit!A529,"")</f>
        <v/>
      </c>
      <c r="B529" s="5" t="str">
        <f>IF(kokpit!B529&lt;&gt;"",kokpit!B529,"")</f>
        <v/>
      </c>
      <c r="C529" s="24" t="str">
        <f>IF(A529&lt;&gt;"",SUMIFS('JPK_KR-1'!AL:AL,'JPK_KR-1'!W:W,B529),"")</f>
        <v/>
      </c>
      <c r="D529" s="126" t="str">
        <f>IF(A529&lt;&gt;"",SUMIFS('JPK_KR-1'!AM:AM,'JPK_KR-1'!W:W,B529),"")</f>
        <v/>
      </c>
      <c r="E529" s="5" t="str">
        <f>IF(kokpit!E529&lt;&gt;"",kokpit!E529,"")</f>
        <v/>
      </c>
      <c r="F529" s="127" t="str">
        <f>IF(kokpit!F529&lt;&gt;"",kokpit!F529,"")</f>
        <v/>
      </c>
      <c r="G529" s="24" t="str">
        <f>IF(E529&lt;&gt;"",SUMIFS('JPK_KR-1'!AL:AL,'JPK_KR-1'!W:W,F529),"")</f>
        <v/>
      </c>
      <c r="H529" s="126" t="str">
        <f>IF(E529&lt;&gt;"",SUMIFS('JPK_KR-1'!AM:AM,'JPK_KR-1'!W:W,F529),"")</f>
        <v/>
      </c>
      <c r="I529" s="5" t="str">
        <f>IF(kokpit!I529&lt;&gt;"",kokpit!I529,"")</f>
        <v/>
      </c>
      <c r="J529" s="5" t="str">
        <f>IF(kokpit!J529&lt;&gt;"",kokpit!J529,"")</f>
        <v/>
      </c>
      <c r="K529" s="24" t="str">
        <f>IF(I529&lt;&gt;"",SUMIFS('JPK_KR-1'!AL:AL,'JPK_KR-1'!W:W,J529),"")</f>
        <v/>
      </c>
      <c r="L529" s="141" t="str">
        <f>IF(I529&lt;&gt;"",SUMIFS('JPK_KR-1'!AM:AM,'JPK_KR-1'!W:W,J529),"")</f>
        <v/>
      </c>
      <c r="M529" s="143" t="str">
        <f>IF(kokpit!M529&lt;&gt;"",kokpit!M529,"")</f>
        <v/>
      </c>
      <c r="N529" s="117" t="str">
        <f>IF(kokpit!N529&lt;&gt;"",kokpit!N529,"")</f>
        <v/>
      </c>
      <c r="O529" s="117" t="str">
        <f>IF(kokpit!O529&lt;&gt;"",kokpit!O529,"")</f>
        <v/>
      </c>
      <c r="P529" s="141" t="str">
        <f>IF(M529&lt;&gt;"",IF(O529="",SUMIFS('JPK_KR-1'!AL:AL,'JPK_KR-1'!W:W,N529),SUMIFS('JPK_KR-1'!BF:BF,'JPK_KR-1'!BE:BE,N529,'JPK_KR-1'!BG:BG,O529)),"")</f>
        <v/>
      </c>
      <c r="Q529" s="144" t="str">
        <f>IF(M529&lt;&gt;"",IF(O529="",SUMIFS('JPK_KR-1'!AM:AM,'JPK_KR-1'!W:W,N529),SUMIFS('JPK_KR-1'!BI:BI,'JPK_KR-1'!BH:BH,N529,'JPK_KR-1'!BJ:BJ,O529)),"")</f>
        <v/>
      </c>
      <c r="R529" s="117" t="str">
        <f>IF(kokpit!R529&lt;&gt;"",kokpit!R529,"")</f>
        <v/>
      </c>
      <c r="S529" s="117" t="str">
        <f>IF(kokpit!S529&lt;&gt;"",kokpit!S529,"")</f>
        <v/>
      </c>
      <c r="T529" s="117" t="str">
        <f>IF(kokpit!T529&lt;&gt;"",kokpit!T529,"")</f>
        <v/>
      </c>
      <c r="U529" s="141" t="str">
        <f>IF(R529&lt;&gt;"",SUMIFS('JPK_KR-1'!AL:AL,'JPK_KR-1'!W:W,S529),"")</f>
        <v/>
      </c>
      <c r="V529" s="144" t="str">
        <f>IF(R529&lt;&gt;"",SUMIFS('JPK_KR-1'!AM:AM,'JPK_KR-1'!W:W,S529),"")</f>
        <v/>
      </c>
    </row>
    <row r="530" spans="1:22" x14ac:dyDescent="0.3">
      <c r="A530" s="5" t="str">
        <f>IF(kokpit!A530&lt;&gt;"",kokpit!A530,"")</f>
        <v/>
      </c>
      <c r="B530" s="5" t="str">
        <f>IF(kokpit!B530&lt;&gt;"",kokpit!B530,"")</f>
        <v/>
      </c>
      <c r="C530" s="24" t="str">
        <f>IF(A530&lt;&gt;"",SUMIFS('JPK_KR-1'!AL:AL,'JPK_KR-1'!W:W,B530),"")</f>
        <v/>
      </c>
      <c r="D530" s="126" t="str">
        <f>IF(A530&lt;&gt;"",SUMIFS('JPK_KR-1'!AM:AM,'JPK_KR-1'!W:W,B530),"")</f>
        <v/>
      </c>
      <c r="E530" s="5" t="str">
        <f>IF(kokpit!E530&lt;&gt;"",kokpit!E530,"")</f>
        <v/>
      </c>
      <c r="F530" s="127" t="str">
        <f>IF(kokpit!F530&lt;&gt;"",kokpit!F530,"")</f>
        <v/>
      </c>
      <c r="G530" s="24" t="str">
        <f>IF(E530&lt;&gt;"",SUMIFS('JPK_KR-1'!AL:AL,'JPK_KR-1'!W:W,F530),"")</f>
        <v/>
      </c>
      <c r="H530" s="126" t="str">
        <f>IF(E530&lt;&gt;"",SUMIFS('JPK_KR-1'!AM:AM,'JPK_KR-1'!W:W,F530),"")</f>
        <v/>
      </c>
      <c r="I530" s="5" t="str">
        <f>IF(kokpit!I530&lt;&gt;"",kokpit!I530,"")</f>
        <v/>
      </c>
      <c r="J530" s="5" t="str">
        <f>IF(kokpit!J530&lt;&gt;"",kokpit!J530,"")</f>
        <v/>
      </c>
      <c r="K530" s="24" t="str">
        <f>IF(I530&lt;&gt;"",SUMIFS('JPK_KR-1'!AL:AL,'JPK_KR-1'!W:W,J530),"")</f>
        <v/>
      </c>
      <c r="L530" s="141" t="str">
        <f>IF(I530&lt;&gt;"",SUMIFS('JPK_KR-1'!AM:AM,'JPK_KR-1'!W:W,J530),"")</f>
        <v/>
      </c>
      <c r="M530" s="143" t="str">
        <f>IF(kokpit!M530&lt;&gt;"",kokpit!M530,"")</f>
        <v/>
      </c>
      <c r="N530" s="117" t="str">
        <f>IF(kokpit!N530&lt;&gt;"",kokpit!N530,"")</f>
        <v/>
      </c>
      <c r="O530" s="117" t="str">
        <f>IF(kokpit!O530&lt;&gt;"",kokpit!O530,"")</f>
        <v/>
      </c>
      <c r="P530" s="141" t="str">
        <f>IF(M530&lt;&gt;"",IF(O530="",SUMIFS('JPK_KR-1'!AL:AL,'JPK_KR-1'!W:W,N530),SUMIFS('JPK_KR-1'!BF:BF,'JPK_KR-1'!BE:BE,N530,'JPK_KR-1'!BG:BG,O530)),"")</f>
        <v/>
      </c>
      <c r="Q530" s="144" t="str">
        <f>IF(M530&lt;&gt;"",IF(O530="",SUMIFS('JPK_KR-1'!AM:AM,'JPK_KR-1'!W:W,N530),SUMIFS('JPK_KR-1'!BI:BI,'JPK_KR-1'!BH:BH,N530,'JPK_KR-1'!BJ:BJ,O530)),"")</f>
        <v/>
      </c>
      <c r="R530" s="117" t="str">
        <f>IF(kokpit!R530&lt;&gt;"",kokpit!R530,"")</f>
        <v/>
      </c>
      <c r="S530" s="117" t="str">
        <f>IF(kokpit!S530&lt;&gt;"",kokpit!S530,"")</f>
        <v/>
      </c>
      <c r="T530" s="117" t="str">
        <f>IF(kokpit!T530&lt;&gt;"",kokpit!T530,"")</f>
        <v/>
      </c>
      <c r="U530" s="141" t="str">
        <f>IF(R530&lt;&gt;"",SUMIFS('JPK_KR-1'!AL:AL,'JPK_KR-1'!W:W,S530),"")</f>
        <v/>
      </c>
      <c r="V530" s="144" t="str">
        <f>IF(R530&lt;&gt;"",SUMIFS('JPK_KR-1'!AM:AM,'JPK_KR-1'!W:W,S530),"")</f>
        <v/>
      </c>
    </row>
    <row r="531" spans="1:22" x14ac:dyDescent="0.3">
      <c r="A531" s="5" t="str">
        <f>IF(kokpit!A531&lt;&gt;"",kokpit!A531,"")</f>
        <v/>
      </c>
      <c r="B531" s="5" t="str">
        <f>IF(kokpit!B531&lt;&gt;"",kokpit!B531,"")</f>
        <v/>
      </c>
      <c r="C531" s="24" t="str">
        <f>IF(A531&lt;&gt;"",SUMIFS('JPK_KR-1'!AL:AL,'JPK_KR-1'!W:W,B531),"")</f>
        <v/>
      </c>
      <c r="D531" s="126" t="str">
        <f>IF(A531&lt;&gt;"",SUMIFS('JPK_KR-1'!AM:AM,'JPK_KR-1'!W:W,B531),"")</f>
        <v/>
      </c>
      <c r="E531" s="5" t="str">
        <f>IF(kokpit!E531&lt;&gt;"",kokpit!E531,"")</f>
        <v/>
      </c>
      <c r="F531" s="127" t="str">
        <f>IF(kokpit!F531&lt;&gt;"",kokpit!F531,"")</f>
        <v/>
      </c>
      <c r="G531" s="24" t="str">
        <f>IF(E531&lt;&gt;"",SUMIFS('JPK_KR-1'!AL:AL,'JPK_KR-1'!W:W,F531),"")</f>
        <v/>
      </c>
      <c r="H531" s="126" t="str">
        <f>IF(E531&lt;&gt;"",SUMIFS('JPK_KR-1'!AM:AM,'JPK_KR-1'!W:W,F531),"")</f>
        <v/>
      </c>
      <c r="I531" s="5" t="str">
        <f>IF(kokpit!I531&lt;&gt;"",kokpit!I531,"")</f>
        <v/>
      </c>
      <c r="J531" s="5" t="str">
        <f>IF(kokpit!J531&lt;&gt;"",kokpit!J531,"")</f>
        <v/>
      </c>
      <c r="K531" s="24" t="str">
        <f>IF(I531&lt;&gt;"",SUMIFS('JPK_KR-1'!AL:AL,'JPK_KR-1'!W:W,J531),"")</f>
        <v/>
      </c>
      <c r="L531" s="141" t="str">
        <f>IF(I531&lt;&gt;"",SUMIFS('JPK_KR-1'!AM:AM,'JPK_KR-1'!W:W,J531),"")</f>
        <v/>
      </c>
      <c r="M531" s="143" t="str">
        <f>IF(kokpit!M531&lt;&gt;"",kokpit!M531,"")</f>
        <v/>
      </c>
      <c r="N531" s="117" t="str">
        <f>IF(kokpit!N531&lt;&gt;"",kokpit!N531,"")</f>
        <v/>
      </c>
      <c r="O531" s="117" t="str">
        <f>IF(kokpit!O531&lt;&gt;"",kokpit!O531,"")</f>
        <v/>
      </c>
      <c r="P531" s="141" t="str">
        <f>IF(M531&lt;&gt;"",IF(O531="",SUMIFS('JPK_KR-1'!AL:AL,'JPK_KR-1'!W:W,N531),SUMIFS('JPK_KR-1'!BF:BF,'JPK_KR-1'!BE:BE,N531,'JPK_KR-1'!BG:BG,O531)),"")</f>
        <v/>
      </c>
      <c r="Q531" s="144" t="str">
        <f>IF(M531&lt;&gt;"",IF(O531="",SUMIFS('JPK_KR-1'!AM:AM,'JPK_KR-1'!W:W,N531),SUMIFS('JPK_KR-1'!BI:BI,'JPK_KR-1'!BH:BH,N531,'JPK_KR-1'!BJ:BJ,O531)),"")</f>
        <v/>
      </c>
      <c r="R531" s="117" t="str">
        <f>IF(kokpit!R531&lt;&gt;"",kokpit!R531,"")</f>
        <v/>
      </c>
      <c r="S531" s="117" t="str">
        <f>IF(kokpit!S531&lt;&gt;"",kokpit!S531,"")</f>
        <v/>
      </c>
      <c r="T531" s="117" t="str">
        <f>IF(kokpit!T531&lt;&gt;"",kokpit!T531,"")</f>
        <v/>
      </c>
      <c r="U531" s="141" t="str">
        <f>IF(R531&lt;&gt;"",SUMIFS('JPK_KR-1'!AL:AL,'JPK_KR-1'!W:W,S531),"")</f>
        <v/>
      </c>
      <c r="V531" s="144" t="str">
        <f>IF(R531&lt;&gt;"",SUMIFS('JPK_KR-1'!AM:AM,'JPK_KR-1'!W:W,S531),"")</f>
        <v/>
      </c>
    </row>
    <row r="532" spans="1:22" x14ac:dyDescent="0.3">
      <c r="A532" s="5" t="str">
        <f>IF(kokpit!A532&lt;&gt;"",kokpit!A532,"")</f>
        <v/>
      </c>
      <c r="B532" s="5" t="str">
        <f>IF(kokpit!B532&lt;&gt;"",kokpit!B532,"")</f>
        <v/>
      </c>
      <c r="C532" s="24" t="str">
        <f>IF(A532&lt;&gt;"",SUMIFS('JPK_KR-1'!AL:AL,'JPK_KR-1'!W:W,B532),"")</f>
        <v/>
      </c>
      <c r="D532" s="126" t="str">
        <f>IF(A532&lt;&gt;"",SUMIFS('JPK_KR-1'!AM:AM,'JPK_KR-1'!W:W,B532),"")</f>
        <v/>
      </c>
      <c r="E532" s="5" t="str">
        <f>IF(kokpit!E532&lt;&gt;"",kokpit!E532,"")</f>
        <v/>
      </c>
      <c r="F532" s="127" t="str">
        <f>IF(kokpit!F532&lt;&gt;"",kokpit!F532,"")</f>
        <v/>
      </c>
      <c r="G532" s="24" t="str">
        <f>IF(E532&lt;&gt;"",SUMIFS('JPK_KR-1'!AL:AL,'JPK_KR-1'!W:W,F532),"")</f>
        <v/>
      </c>
      <c r="H532" s="126" t="str">
        <f>IF(E532&lt;&gt;"",SUMIFS('JPK_KR-1'!AM:AM,'JPK_KR-1'!W:W,F532),"")</f>
        <v/>
      </c>
      <c r="I532" s="5" t="str">
        <f>IF(kokpit!I532&lt;&gt;"",kokpit!I532,"")</f>
        <v/>
      </c>
      <c r="J532" s="5" t="str">
        <f>IF(kokpit!J532&lt;&gt;"",kokpit!J532,"")</f>
        <v/>
      </c>
      <c r="K532" s="24" t="str">
        <f>IF(I532&lt;&gt;"",SUMIFS('JPK_KR-1'!AL:AL,'JPK_KR-1'!W:W,J532),"")</f>
        <v/>
      </c>
      <c r="L532" s="141" t="str">
        <f>IF(I532&lt;&gt;"",SUMIFS('JPK_KR-1'!AM:AM,'JPK_KR-1'!W:W,J532),"")</f>
        <v/>
      </c>
      <c r="M532" s="143" t="str">
        <f>IF(kokpit!M532&lt;&gt;"",kokpit!M532,"")</f>
        <v/>
      </c>
      <c r="N532" s="117" t="str">
        <f>IF(kokpit!N532&lt;&gt;"",kokpit!N532,"")</f>
        <v/>
      </c>
      <c r="O532" s="117" t="str">
        <f>IF(kokpit!O532&lt;&gt;"",kokpit!O532,"")</f>
        <v/>
      </c>
      <c r="P532" s="141" t="str">
        <f>IF(M532&lt;&gt;"",IF(O532="",SUMIFS('JPK_KR-1'!AL:AL,'JPK_KR-1'!W:W,N532),SUMIFS('JPK_KR-1'!BF:BF,'JPK_KR-1'!BE:BE,N532,'JPK_KR-1'!BG:BG,O532)),"")</f>
        <v/>
      </c>
      <c r="Q532" s="144" t="str">
        <f>IF(M532&lt;&gt;"",IF(O532="",SUMIFS('JPK_KR-1'!AM:AM,'JPK_KR-1'!W:W,N532),SUMIFS('JPK_KR-1'!BI:BI,'JPK_KR-1'!BH:BH,N532,'JPK_KR-1'!BJ:BJ,O532)),"")</f>
        <v/>
      </c>
      <c r="R532" s="117" t="str">
        <f>IF(kokpit!R532&lt;&gt;"",kokpit!R532,"")</f>
        <v/>
      </c>
      <c r="S532" s="117" t="str">
        <f>IF(kokpit!S532&lt;&gt;"",kokpit!S532,"")</f>
        <v/>
      </c>
      <c r="T532" s="117" t="str">
        <f>IF(kokpit!T532&lt;&gt;"",kokpit!T532,"")</f>
        <v/>
      </c>
      <c r="U532" s="141" t="str">
        <f>IF(R532&lt;&gt;"",SUMIFS('JPK_KR-1'!AL:AL,'JPK_KR-1'!W:W,S532),"")</f>
        <v/>
      </c>
      <c r="V532" s="144" t="str">
        <f>IF(R532&lt;&gt;"",SUMIFS('JPK_KR-1'!AM:AM,'JPK_KR-1'!W:W,S532),"")</f>
        <v/>
      </c>
    </row>
    <row r="533" spans="1:22" x14ac:dyDescent="0.3">
      <c r="A533" s="5" t="str">
        <f>IF(kokpit!A533&lt;&gt;"",kokpit!A533,"")</f>
        <v/>
      </c>
      <c r="B533" s="5" t="str">
        <f>IF(kokpit!B533&lt;&gt;"",kokpit!B533,"")</f>
        <v/>
      </c>
      <c r="C533" s="24" t="str">
        <f>IF(A533&lt;&gt;"",SUMIFS('JPK_KR-1'!AL:AL,'JPK_KR-1'!W:W,B533),"")</f>
        <v/>
      </c>
      <c r="D533" s="126" t="str">
        <f>IF(A533&lt;&gt;"",SUMIFS('JPK_KR-1'!AM:AM,'JPK_KR-1'!W:W,B533),"")</f>
        <v/>
      </c>
      <c r="E533" s="5" t="str">
        <f>IF(kokpit!E533&lt;&gt;"",kokpit!E533,"")</f>
        <v/>
      </c>
      <c r="F533" s="127" t="str">
        <f>IF(kokpit!F533&lt;&gt;"",kokpit!F533,"")</f>
        <v/>
      </c>
      <c r="G533" s="24" t="str">
        <f>IF(E533&lt;&gt;"",SUMIFS('JPK_KR-1'!AL:AL,'JPK_KR-1'!W:W,F533),"")</f>
        <v/>
      </c>
      <c r="H533" s="126" t="str">
        <f>IF(E533&lt;&gt;"",SUMIFS('JPK_KR-1'!AM:AM,'JPK_KR-1'!W:W,F533),"")</f>
        <v/>
      </c>
      <c r="I533" s="5" t="str">
        <f>IF(kokpit!I533&lt;&gt;"",kokpit!I533,"")</f>
        <v/>
      </c>
      <c r="J533" s="5" t="str">
        <f>IF(kokpit!J533&lt;&gt;"",kokpit!J533,"")</f>
        <v/>
      </c>
      <c r="K533" s="24" t="str">
        <f>IF(I533&lt;&gt;"",SUMIFS('JPK_KR-1'!AL:AL,'JPK_KR-1'!W:W,J533),"")</f>
        <v/>
      </c>
      <c r="L533" s="141" t="str">
        <f>IF(I533&lt;&gt;"",SUMIFS('JPK_KR-1'!AM:AM,'JPK_KR-1'!W:W,J533),"")</f>
        <v/>
      </c>
      <c r="M533" s="143" t="str">
        <f>IF(kokpit!M533&lt;&gt;"",kokpit!M533,"")</f>
        <v/>
      </c>
      <c r="N533" s="117" t="str">
        <f>IF(kokpit!N533&lt;&gt;"",kokpit!N533,"")</f>
        <v/>
      </c>
      <c r="O533" s="117" t="str">
        <f>IF(kokpit!O533&lt;&gt;"",kokpit!O533,"")</f>
        <v/>
      </c>
      <c r="P533" s="141" t="str">
        <f>IF(M533&lt;&gt;"",IF(O533="",SUMIFS('JPK_KR-1'!AL:AL,'JPK_KR-1'!W:W,N533),SUMIFS('JPK_KR-1'!BF:BF,'JPK_KR-1'!BE:BE,N533,'JPK_KR-1'!BG:BG,O533)),"")</f>
        <v/>
      </c>
      <c r="Q533" s="144" t="str">
        <f>IF(M533&lt;&gt;"",IF(O533="",SUMIFS('JPK_KR-1'!AM:AM,'JPK_KR-1'!W:W,N533),SUMIFS('JPK_KR-1'!BI:BI,'JPK_KR-1'!BH:BH,N533,'JPK_KR-1'!BJ:BJ,O533)),"")</f>
        <v/>
      </c>
      <c r="R533" s="117" t="str">
        <f>IF(kokpit!R533&lt;&gt;"",kokpit!R533,"")</f>
        <v/>
      </c>
      <c r="S533" s="117" t="str">
        <f>IF(kokpit!S533&lt;&gt;"",kokpit!S533,"")</f>
        <v/>
      </c>
      <c r="T533" s="117" t="str">
        <f>IF(kokpit!T533&lt;&gt;"",kokpit!T533,"")</f>
        <v/>
      </c>
      <c r="U533" s="141" t="str">
        <f>IF(R533&lt;&gt;"",SUMIFS('JPK_KR-1'!AL:AL,'JPK_KR-1'!W:W,S533),"")</f>
        <v/>
      </c>
      <c r="V533" s="144" t="str">
        <f>IF(R533&lt;&gt;"",SUMIFS('JPK_KR-1'!AM:AM,'JPK_KR-1'!W:W,S533),"")</f>
        <v/>
      </c>
    </row>
    <row r="534" spans="1:22" x14ac:dyDescent="0.3">
      <c r="A534" s="5" t="str">
        <f>IF(kokpit!A534&lt;&gt;"",kokpit!A534,"")</f>
        <v/>
      </c>
      <c r="B534" s="5" t="str">
        <f>IF(kokpit!B534&lt;&gt;"",kokpit!B534,"")</f>
        <v/>
      </c>
      <c r="C534" s="24" t="str">
        <f>IF(A534&lt;&gt;"",SUMIFS('JPK_KR-1'!AL:AL,'JPK_KR-1'!W:W,B534),"")</f>
        <v/>
      </c>
      <c r="D534" s="126" t="str">
        <f>IF(A534&lt;&gt;"",SUMIFS('JPK_KR-1'!AM:AM,'JPK_KR-1'!W:W,B534),"")</f>
        <v/>
      </c>
      <c r="E534" s="5" t="str">
        <f>IF(kokpit!E534&lt;&gt;"",kokpit!E534,"")</f>
        <v/>
      </c>
      <c r="F534" s="127" t="str">
        <f>IF(kokpit!F534&lt;&gt;"",kokpit!F534,"")</f>
        <v/>
      </c>
      <c r="G534" s="24" t="str">
        <f>IF(E534&lt;&gt;"",SUMIFS('JPK_KR-1'!AL:AL,'JPK_KR-1'!W:W,F534),"")</f>
        <v/>
      </c>
      <c r="H534" s="126" t="str">
        <f>IF(E534&lt;&gt;"",SUMIFS('JPK_KR-1'!AM:AM,'JPK_KR-1'!W:W,F534),"")</f>
        <v/>
      </c>
      <c r="I534" s="5" t="str">
        <f>IF(kokpit!I534&lt;&gt;"",kokpit!I534,"")</f>
        <v/>
      </c>
      <c r="J534" s="5" t="str">
        <f>IF(kokpit!J534&lt;&gt;"",kokpit!J534,"")</f>
        <v/>
      </c>
      <c r="K534" s="24" t="str">
        <f>IF(I534&lt;&gt;"",SUMIFS('JPK_KR-1'!AL:AL,'JPK_KR-1'!W:W,J534),"")</f>
        <v/>
      </c>
      <c r="L534" s="141" t="str">
        <f>IF(I534&lt;&gt;"",SUMIFS('JPK_KR-1'!AM:AM,'JPK_KR-1'!W:W,J534),"")</f>
        <v/>
      </c>
      <c r="M534" s="143" t="str">
        <f>IF(kokpit!M534&lt;&gt;"",kokpit!M534,"")</f>
        <v/>
      </c>
      <c r="N534" s="117" t="str">
        <f>IF(kokpit!N534&lt;&gt;"",kokpit!N534,"")</f>
        <v/>
      </c>
      <c r="O534" s="117" t="str">
        <f>IF(kokpit!O534&lt;&gt;"",kokpit!O534,"")</f>
        <v/>
      </c>
      <c r="P534" s="141" t="str">
        <f>IF(M534&lt;&gt;"",IF(O534="",SUMIFS('JPK_KR-1'!AL:AL,'JPK_KR-1'!W:W,N534),SUMIFS('JPK_KR-1'!BF:BF,'JPK_KR-1'!BE:BE,N534,'JPK_KR-1'!BG:BG,O534)),"")</f>
        <v/>
      </c>
      <c r="Q534" s="144" t="str">
        <f>IF(M534&lt;&gt;"",IF(O534="",SUMIFS('JPK_KR-1'!AM:AM,'JPK_KR-1'!W:W,N534),SUMIFS('JPK_KR-1'!BI:BI,'JPK_KR-1'!BH:BH,N534,'JPK_KR-1'!BJ:BJ,O534)),"")</f>
        <v/>
      </c>
      <c r="R534" s="117" t="str">
        <f>IF(kokpit!R534&lt;&gt;"",kokpit!R534,"")</f>
        <v/>
      </c>
      <c r="S534" s="117" t="str">
        <f>IF(kokpit!S534&lt;&gt;"",kokpit!S534,"")</f>
        <v/>
      </c>
      <c r="T534" s="117" t="str">
        <f>IF(kokpit!T534&lt;&gt;"",kokpit!T534,"")</f>
        <v/>
      </c>
      <c r="U534" s="141" t="str">
        <f>IF(R534&lt;&gt;"",SUMIFS('JPK_KR-1'!AL:AL,'JPK_KR-1'!W:W,S534),"")</f>
        <v/>
      </c>
      <c r="V534" s="144" t="str">
        <f>IF(R534&lt;&gt;"",SUMIFS('JPK_KR-1'!AM:AM,'JPK_KR-1'!W:W,S534),"")</f>
        <v/>
      </c>
    </row>
    <row r="535" spans="1:22" x14ac:dyDescent="0.3">
      <c r="A535" s="5" t="str">
        <f>IF(kokpit!A535&lt;&gt;"",kokpit!A535,"")</f>
        <v/>
      </c>
      <c r="B535" s="5" t="str">
        <f>IF(kokpit!B535&lt;&gt;"",kokpit!B535,"")</f>
        <v/>
      </c>
      <c r="C535" s="24" t="str">
        <f>IF(A535&lt;&gt;"",SUMIFS('JPK_KR-1'!AL:AL,'JPK_KR-1'!W:W,B535),"")</f>
        <v/>
      </c>
      <c r="D535" s="126" t="str">
        <f>IF(A535&lt;&gt;"",SUMIFS('JPK_KR-1'!AM:AM,'JPK_KR-1'!W:W,B535),"")</f>
        <v/>
      </c>
      <c r="E535" s="5" t="str">
        <f>IF(kokpit!E535&lt;&gt;"",kokpit!E535,"")</f>
        <v/>
      </c>
      <c r="F535" s="127" t="str">
        <f>IF(kokpit!F535&lt;&gt;"",kokpit!F535,"")</f>
        <v/>
      </c>
      <c r="G535" s="24" t="str">
        <f>IF(E535&lt;&gt;"",SUMIFS('JPK_KR-1'!AL:AL,'JPK_KR-1'!W:W,F535),"")</f>
        <v/>
      </c>
      <c r="H535" s="126" t="str">
        <f>IF(E535&lt;&gt;"",SUMIFS('JPK_KR-1'!AM:AM,'JPK_KR-1'!W:W,F535),"")</f>
        <v/>
      </c>
      <c r="I535" s="5" t="str">
        <f>IF(kokpit!I535&lt;&gt;"",kokpit!I535,"")</f>
        <v/>
      </c>
      <c r="J535" s="5" t="str">
        <f>IF(kokpit!J535&lt;&gt;"",kokpit!J535,"")</f>
        <v/>
      </c>
      <c r="K535" s="24" t="str">
        <f>IF(I535&lt;&gt;"",SUMIFS('JPK_KR-1'!AL:AL,'JPK_KR-1'!W:W,J535),"")</f>
        <v/>
      </c>
      <c r="L535" s="141" t="str">
        <f>IF(I535&lt;&gt;"",SUMIFS('JPK_KR-1'!AM:AM,'JPK_KR-1'!W:W,J535),"")</f>
        <v/>
      </c>
      <c r="M535" s="143" t="str">
        <f>IF(kokpit!M535&lt;&gt;"",kokpit!M535,"")</f>
        <v/>
      </c>
      <c r="N535" s="117" t="str">
        <f>IF(kokpit!N535&lt;&gt;"",kokpit!N535,"")</f>
        <v/>
      </c>
      <c r="O535" s="117" t="str">
        <f>IF(kokpit!O535&lt;&gt;"",kokpit!O535,"")</f>
        <v/>
      </c>
      <c r="P535" s="141" t="str">
        <f>IF(M535&lt;&gt;"",IF(O535="",SUMIFS('JPK_KR-1'!AL:AL,'JPK_KR-1'!W:W,N535),SUMIFS('JPK_KR-1'!BF:BF,'JPK_KR-1'!BE:BE,N535,'JPK_KR-1'!BG:BG,O535)),"")</f>
        <v/>
      </c>
      <c r="Q535" s="144" t="str">
        <f>IF(M535&lt;&gt;"",IF(O535="",SUMIFS('JPK_KR-1'!AM:AM,'JPK_KR-1'!W:W,N535),SUMIFS('JPK_KR-1'!BI:BI,'JPK_KR-1'!BH:BH,N535,'JPK_KR-1'!BJ:BJ,O535)),"")</f>
        <v/>
      </c>
      <c r="R535" s="117" t="str">
        <f>IF(kokpit!R535&lt;&gt;"",kokpit!R535,"")</f>
        <v/>
      </c>
      <c r="S535" s="117" t="str">
        <f>IF(kokpit!S535&lt;&gt;"",kokpit!S535,"")</f>
        <v/>
      </c>
      <c r="T535" s="117" t="str">
        <f>IF(kokpit!T535&lt;&gt;"",kokpit!T535,"")</f>
        <v/>
      </c>
      <c r="U535" s="141" t="str">
        <f>IF(R535&lt;&gt;"",SUMIFS('JPK_KR-1'!AL:AL,'JPK_KR-1'!W:W,S535),"")</f>
        <v/>
      </c>
      <c r="V535" s="144" t="str">
        <f>IF(R535&lt;&gt;"",SUMIFS('JPK_KR-1'!AM:AM,'JPK_KR-1'!W:W,S535),"")</f>
        <v/>
      </c>
    </row>
    <row r="536" spans="1:22" x14ac:dyDescent="0.3">
      <c r="A536" s="5" t="str">
        <f>IF(kokpit!A536&lt;&gt;"",kokpit!A536,"")</f>
        <v/>
      </c>
      <c r="B536" s="5" t="str">
        <f>IF(kokpit!B536&lt;&gt;"",kokpit!B536,"")</f>
        <v/>
      </c>
      <c r="C536" s="24" t="str">
        <f>IF(A536&lt;&gt;"",SUMIFS('JPK_KR-1'!AL:AL,'JPK_KR-1'!W:W,B536),"")</f>
        <v/>
      </c>
      <c r="D536" s="126" t="str">
        <f>IF(A536&lt;&gt;"",SUMIFS('JPK_KR-1'!AM:AM,'JPK_KR-1'!W:W,B536),"")</f>
        <v/>
      </c>
      <c r="E536" s="5" t="str">
        <f>IF(kokpit!E536&lt;&gt;"",kokpit!E536,"")</f>
        <v/>
      </c>
      <c r="F536" s="127" t="str">
        <f>IF(kokpit!F536&lt;&gt;"",kokpit!F536,"")</f>
        <v/>
      </c>
      <c r="G536" s="24" t="str">
        <f>IF(E536&lt;&gt;"",SUMIFS('JPK_KR-1'!AL:AL,'JPK_KR-1'!W:W,F536),"")</f>
        <v/>
      </c>
      <c r="H536" s="126" t="str">
        <f>IF(E536&lt;&gt;"",SUMIFS('JPK_KR-1'!AM:AM,'JPK_KR-1'!W:W,F536),"")</f>
        <v/>
      </c>
      <c r="I536" s="5" t="str">
        <f>IF(kokpit!I536&lt;&gt;"",kokpit!I536,"")</f>
        <v/>
      </c>
      <c r="J536" s="5" t="str">
        <f>IF(kokpit!J536&lt;&gt;"",kokpit!J536,"")</f>
        <v/>
      </c>
      <c r="K536" s="24" t="str">
        <f>IF(I536&lt;&gt;"",SUMIFS('JPK_KR-1'!AL:AL,'JPK_KR-1'!W:W,J536),"")</f>
        <v/>
      </c>
      <c r="L536" s="141" t="str">
        <f>IF(I536&lt;&gt;"",SUMIFS('JPK_KR-1'!AM:AM,'JPK_KR-1'!W:W,J536),"")</f>
        <v/>
      </c>
      <c r="M536" s="143" t="str">
        <f>IF(kokpit!M536&lt;&gt;"",kokpit!M536,"")</f>
        <v/>
      </c>
      <c r="N536" s="117" t="str">
        <f>IF(kokpit!N536&lt;&gt;"",kokpit!N536,"")</f>
        <v/>
      </c>
      <c r="O536" s="117" t="str">
        <f>IF(kokpit!O536&lt;&gt;"",kokpit!O536,"")</f>
        <v/>
      </c>
      <c r="P536" s="141" t="str">
        <f>IF(M536&lt;&gt;"",IF(O536="",SUMIFS('JPK_KR-1'!AL:AL,'JPK_KR-1'!W:W,N536),SUMIFS('JPK_KR-1'!BF:BF,'JPK_KR-1'!BE:BE,N536,'JPK_KR-1'!BG:BG,O536)),"")</f>
        <v/>
      </c>
      <c r="Q536" s="144" t="str">
        <f>IF(M536&lt;&gt;"",IF(O536="",SUMIFS('JPK_KR-1'!AM:AM,'JPK_KR-1'!W:W,N536),SUMIFS('JPK_KR-1'!BI:BI,'JPK_KR-1'!BH:BH,N536,'JPK_KR-1'!BJ:BJ,O536)),"")</f>
        <v/>
      </c>
      <c r="R536" s="117" t="str">
        <f>IF(kokpit!R536&lt;&gt;"",kokpit!R536,"")</f>
        <v/>
      </c>
      <c r="S536" s="117" t="str">
        <f>IF(kokpit!S536&lt;&gt;"",kokpit!S536,"")</f>
        <v/>
      </c>
      <c r="T536" s="117" t="str">
        <f>IF(kokpit!T536&lt;&gt;"",kokpit!T536,"")</f>
        <v/>
      </c>
      <c r="U536" s="141" t="str">
        <f>IF(R536&lt;&gt;"",SUMIFS('JPK_KR-1'!AL:AL,'JPK_KR-1'!W:W,S536),"")</f>
        <v/>
      </c>
      <c r="V536" s="144" t="str">
        <f>IF(R536&lt;&gt;"",SUMIFS('JPK_KR-1'!AM:AM,'JPK_KR-1'!W:W,S536),"")</f>
        <v/>
      </c>
    </row>
    <row r="537" spans="1:22" x14ac:dyDescent="0.3">
      <c r="A537" s="5" t="str">
        <f>IF(kokpit!A537&lt;&gt;"",kokpit!A537,"")</f>
        <v/>
      </c>
      <c r="B537" s="5" t="str">
        <f>IF(kokpit!B537&lt;&gt;"",kokpit!B537,"")</f>
        <v/>
      </c>
      <c r="C537" s="24" t="str">
        <f>IF(A537&lt;&gt;"",SUMIFS('JPK_KR-1'!AL:AL,'JPK_KR-1'!W:W,B537),"")</f>
        <v/>
      </c>
      <c r="D537" s="126" t="str">
        <f>IF(A537&lt;&gt;"",SUMIFS('JPK_KR-1'!AM:AM,'JPK_KR-1'!W:W,B537),"")</f>
        <v/>
      </c>
      <c r="E537" s="5" t="str">
        <f>IF(kokpit!E537&lt;&gt;"",kokpit!E537,"")</f>
        <v/>
      </c>
      <c r="F537" s="127" t="str">
        <f>IF(kokpit!F537&lt;&gt;"",kokpit!F537,"")</f>
        <v/>
      </c>
      <c r="G537" s="24" t="str">
        <f>IF(E537&lt;&gt;"",SUMIFS('JPK_KR-1'!AL:AL,'JPK_KR-1'!W:W,F537),"")</f>
        <v/>
      </c>
      <c r="H537" s="126" t="str">
        <f>IF(E537&lt;&gt;"",SUMIFS('JPK_KR-1'!AM:AM,'JPK_KR-1'!W:W,F537),"")</f>
        <v/>
      </c>
      <c r="I537" s="5" t="str">
        <f>IF(kokpit!I537&lt;&gt;"",kokpit!I537,"")</f>
        <v/>
      </c>
      <c r="J537" s="5" t="str">
        <f>IF(kokpit!J537&lt;&gt;"",kokpit!J537,"")</f>
        <v/>
      </c>
      <c r="K537" s="24" t="str">
        <f>IF(I537&lt;&gt;"",SUMIFS('JPK_KR-1'!AL:AL,'JPK_KR-1'!W:W,J537),"")</f>
        <v/>
      </c>
      <c r="L537" s="141" t="str">
        <f>IF(I537&lt;&gt;"",SUMIFS('JPK_KR-1'!AM:AM,'JPK_KR-1'!W:W,J537),"")</f>
        <v/>
      </c>
      <c r="M537" s="143" t="str">
        <f>IF(kokpit!M537&lt;&gt;"",kokpit!M537,"")</f>
        <v/>
      </c>
      <c r="N537" s="117" t="str">
        <f>IF(kokpit!N537&lt;&gt;"",kokpit!N537,"")</f>
        <v/>
      </c>
      <c r="O537" s="117" t="str">
        <f>IF(kokpit!O537&lt;&gt;"",kokpit!O537,"")</f>
        <v/>
      </c>
      <c r="P537" s="141" t="str">
        <f>IF(M537&lt;&gt;"",IF(O537="",SUMIFS('JPK_KR-1'!AL:AL,'JPK_KR-1'!W:W,N537),SUMIFS('JPK_KR-1'!BF:BF,'JPK_KR-1'!BE:BE,N537,'JPK_KR-1'!BG:BG,O537)),"")</f>
        <v/>
      </c>
      <c r="Q537" s="144" t="str">
        <f>IF(M537&lt;&gt;"",IF(O537="",SUMIFS('JPK_KR-1'!AM:AM,'JPK_KR-1'!W:W,N537),SUMIFS('JPK_KR-1'!BI:BI,'JPK_KR-1'!BH:BH,N537,'JPK_KR-1'!BJ:BJ,O537)),"")</f>
        <v/>
      </c>
      <c r="R537" s="117" t="str">
        <f>IF(kokpit!R537&lt;&gt;"",kokpit!R537,"")</f>
        <v/>
      </c>
      <c r="S537" s="117" t="str">
        <f>IF(kokpit!S537&lt;&gt;"",kokpit!S537,"")</f>
        <v/>
      </c>
      <c r="T537" s="117" t="str">
        <f>IF(kokpit!T537&lt;&gt;"",kokpit!T537,"")</f>
        <v/>
      </c>
      <c r="U537" s="141" t="str">
        <f>IF(R537&lt;&gt;"",SUMIFS('JPK_KR-1'!AL:AL,'JPK_KR-1'!W:W,S537),"")</f>
        <v/>
      </c>
      <c r="V537" s="144" t="str">
        <f>IF(R537&lt;&gt;"",SUMIFS('JPK_KR-1'!AM:AM,'JPK_KR-1'!W:W,S537),"")</f>
        <v/>
      </c>
    </row>
    <row r="538" spans="1:22" x14ac:dyDescent="0.3">
      <c r="A538" s="5" t="str">
        <f>IF(kokpit!A538&lt;&gt;"",kokpit!A538,"")</f>
        <v/>
      </c>
      <c r="B538" s="5" t="str">
        <f>IF(kokpit!B538&lt;&gt;"",kokpit!B538,"")</f>
        <v/>
      </c>
      <c r="C538" s="24" t="str">
        <f>IF(A538&lt;&gt;"",SUMIFS('JPK_KR-1'!AL:AL,'JPK_KR-1'!W:W,B538),"")</f>
        <v/>
      </c>
      <c r="D538" s="126" t="str">
        <f>IF(A538&lt;&gt;"",SUMIFS('JPK_KR-1'!AM:AM,'JPK_KR-1'!W:W,B538),"")</f>
        <v/>
      </c>
      <c r="E538" s="5" t="str">
        <f>IF(kokpit!E538&lt;&gt;"",kokpit!E538,"")</f>
        <v/>
      </c>
      <c r="F538" s="127" t="str">
        <f>IF(kokpit!F538&lt;&gt;"",kokpit!F538,"")</f>
        <v/>
      </c>
      <c r="G538" s="24" t="str">
        <f>IF(E538&lt;&gt;"",SUMIFS('JPK_KR-1'!AL:AL,'JPK_KR-1'!W:W,F538),"")</f>
        <v/>
      </c>
      <c r="H538" s="126" t="str">
        <f>IF(E538&lt;&gt;"",SUMIFS('JPK_KR-1'!AM:AM,'JPK_KR-1'!W:W,F538),"")</f>
        <v/>
      </c>
      <c r="I538" s="5" t="str">
        <f>IF(kokpit!I538&lt;&gt;"",kokpit!I538,"")</f>
        <v/>
      </c>
      <c r="J538" s="5" t="str">
        <f>IF(kokpit!J538&lt;&gt;"",kokpit!J538,"")</f>
        <v/>
      </c>
      <c r="K538" s="24" t="str">
        <f>IF(I538&lt;&gt;"",SUMIFS('JPK_KR-1'!AL:AL,'JPK_KR-1'!W:W,J538),"")</f>
        <v/>
      </c>
      <c r="L538" s="141" t="str">
        <f>IF(I538&lt;&gt;"",SUMIFS('JPK_KR-1'!AM:AM,'JPK_KR-1'!W:W,J538),"")</f>
        <v/>
      </c>
      <c r="M538" s="143" t="str">
        <f>IF(kokpit!M538&lt;&gt;"",kokpit!M538,"")</f>
        <v/>
      </c>
      <c r="N538" s="117" t="str">
        <f>IF(kokpit!N538&lt;&gt;"",kokpit!N538,"")</f>
        <v/>
      </c>
      <c r="O538" s="117" t="str">
        <f>IF(kokpit!O538&lt;&gt;"",kokpit!O538,"")</f>
        <v/>
      </c>
      <c r="P538" s="141" t="str">
        <f>IF(M538&lt;&gt;"",IF(O538="",SUMIFS('JPK_KR-1'!AL:AL,'JPK_KR-1'!W:W,N538),SUMIFS('JPK_KR-1'!BF:BF,'JPK_KR-1'!BE:BE,N538,'JPK_KR-1'!BG:BG,O538)),"")</f>
        <v/>
      </c>
      <c r="Q538" s="144" t="str">
        <f>IF(M538&lt;&gt;"",IF(O538="",SUMIFS('JPK_KR-1'!AM:AM,'JPK_KR-1'!W:W,N538),SUMIFS('JPK_KR-1'!BI:BI,'JPK_KR-1'!BH:BH,N538,'JPK_KR-1'!BJ:BJ,O538)),"")</f>
        <v/>
      </c>
      <c r="R538" s="117" t="str">
        <f>IF(kokpit!R538&lt;&gt;"",kokpit!R538,"")</f>
        <v/>
      </c>
      <c r="S538" s="117" t="str">
        <f>IF(kokpit!S538&lt;&gt;"",kokpit!S538,"")</f>
        <v/>
      </c>
      <c r="T538" s="117" t="str">
        <f>IF(kokpit!T538&lt;&gt;"",kokpit!T538,"")</f>
        <v/>
      </c>
      <c r="U538" s="141" t="str">
        <f>IF(R538&lt;&gt;"",SUMIFS('JPK_KR-1'!AL:AL,'JPK_KR-1'!W:W,S538),"")</f>
        <v/>
      </c>
      <c r="V538" s="144" t="str">
        <f>IF(R538&lt;&gt;"",SUMIFS('JPK_KR-1'!AM:AM,'JPK_KR-1'!W:W,S538),"")</f>
        <v/>
      </c>
    </row>
    <row r="539" spans="1:22" x14ac:dyDescent="0.3">
      <c r="A539" s="5" t="str">
        <f>IF(kokpit!A539&lt;&gt;"",kokpit!A539,"")</f>
        <v/>
      </c>
      <c r="B539" s="5" t="str">
        <f>IF(kokpit!B539&lt;&gt;"",kokpit!B539,"")</f>
        <v/>
      </c>
      <c r="C539" s="24" t="str">
        <f>IF(A539&lt;&gt;"",SUMIFS('JPK_KR-1'!AL:AL,'JPK_KR-1'!W:W,B539),"")</f>
        <v/>
      </c>
      <c r="D539" s="126" t="str">
        <f>IF(A539&lt;&gt;"",SUMIFS('JPK_KR-1'!AM:AM,'JPK_KR-1'!W:W,B539),"")</f>
        <v/>
      </c>
      <c r="E539" s="5" t="str">
        <f>IF(kokpit!E539&lt;&gt;"",kokpit!E539,"")</f>
        <v/>
      </c>
      <c r="F539" s="127" t="str">
        <f>IF(kokpit!F539&lt;&gt;"",kokpit!F539,"")</f>
        <v/>
      </c>
      <c r="G539" s="24" t="str">
        <f>IF(E539&lt;&gt;"",SUMIFS('JPK_KR-1'!AL:AL,'JPK_KR-1'!W:W,F539),"")</f>
        <v/>
      </c>
      <c r="H539" s="126" t="str">
        <f>IF(E539&lt;&gt;"",SUMIFS('JPK_KR-1'!AM:AM,'JPK_KR-1'!W:W,F539),"")</f>
        <v/>
      </c>
      <c r="I539" s="5" t="str">
        <f>IF(kokpit!I539&lt;&gt;"",kokpit!I539,"")</f>
        <v/>
      </c>
      <c r="J539" s="5" t="str">
        <f>IF(kokpit!J539&lt;&gt;"",kokpit!J539,"")</f>
        <v/>
      </c>
      <c r="K539" s="24" t="str">
        <f>IF(I539&lt;&gt;"",SUMIFS('JPK_KR-1'!AL:AL,'JPK_KR-1'!W:W,J539),"")</f>
        <v/>
      </c>
      <c r="L539" s="141" t="str">
        <f>IF(I539&lt;&gt;"",SUMIFS('JPK_KR-1'!AM:AM,'JPK_KR-1'!W:W,J539),"")</f>
        <v/>
      </c>
      <c r="M539" s="143" t="str">
        <f>IF(kokpit!M539&lt;&gt;"",kokpit!M539,"")</f>
        <v/>
      </c>
      <c r="N539" s="117" t="str">
        <f>IF(kokpit!N539&lt;&gt;"",kokpit!N539,"")</f>
        <v/>
      </c>
      <c r="O539" s="117" t="str">
        <f>IF(kokpit!O539&lt;&gt;"",kokpit!O539,"")</f>
        <v/>
      </c>
      <c r="P539" s="141" t="str">
        <f>IF(M539&lt;&gt;"",IF(O539="",SUMIFS('JPK_KR-1'!AL:AL,'JPK_KR-1'!W:W,N539),SUMIFS('JPK_KR-1'!BF:BF,'JPK_KR-1'!BE:BE,N539,'JPK_KR-1'!BG:BG,O539)),"")</f>
        <v/>
      </c>
      <c r="Q539" s="144" t="str">
        <f>IF(M539&lt;&gt;"",IF(O539="",SUMIFS('JPK_KR-1'!AM:AM,'JPK_KR-1'!W:W,N539),SUMIFS('JPK_KR-1'!BI:BI,'JPK_KR-1'!BH:BH,N539,'JPK_KR-1'!BJ:BJ,O539)),"")</f>
        <v/>
      </c>
      <c r="R539" s="117" t="str">
        <f>IF(kokpit!R539&lt;&gt;"",kokpit!R539,"")</f>
        <v/>
      </c>
      <c r="S539" s="117" t="str">
        <f>IF(kokpit!S539&lt;&gt;"",kokpit!S539,"")</f>
        <v/>
      </c>
      <c r="T539" s="117" t="str">
        <f>IF(kokpit!T539&lt;&gt;"",kokpit!T539,"")</f>
        <v/>
      </c>
      <c r="U539" s="141" t="str">
        <f>IF(R539&lt;&gt;"",SUMIFS('JPK_KR-1'!AL:AL,'JPK_KR-1'!W:W,S539),"")</f>
        <v/>
      </c>
      <c r="V539" s="144" t="str">
        <f>IF(R539&lt;&gt;"",SUMIFS('JPK_KR-1'!AM:AM,'JPK_KR-1'!W:W,S539),"")</f>
        <v/>
      </c>
    </row>
    <row r="540" spans="1:22" x14ac:dyDescent="0.3">
      <c r="A540" s="5" t="str">
        <f>IF(kokpit!A540&lt;&gt;"",kokpit!A540,"")</f>
        <v/>
      </c>
      <c r="B540" s="5" t="str">
        <f>IF(kokpit!B540&lt;&gt;"",kokpit!B540,"")</f>
        <v/>
      </c>
      <c r="C540" s="24" t="str">
        <f>IF(A540&lt;&gt;"",SUMIFS('JPK_KR-1'!AL:AL,'JPK_KR-1'!W:W,B540),"")</f>
        <v/>
      </c>
      <c r="D540" s="126" t="str">
        <f>IF(A540&lt;&gt;"",SUMIFS('JPK_KR-1'!AM:AM,'JPK_KR-1'!W:W,B540),"")</f>
        <v/>
      </c>
      <c r="E540" s="5" t="str">
        <f>IF(kokpit!E540&lt;&gt;"",kokpit!E540,"")</f>
        <v/>
      </c>
      <c r="F540" s="127" t="str">
        <f>IF(kokpit!F540&lt;&gt;"",kokpit!F540,"")</f>
        <v/>
      </c>
      <c r="G540" s="24" t="str">
        <f>IF(E540&lt;&gt;"",SUMIFS('JPK_KR-1'!AL:AL,'JPK_KR-1'!W:W,F540),"")</f>
        <v/>
      </c>
      <c r="H540" s="126" t="str">
        <f>IF(E540&lt;&gt;"",SUMIFS('JPK_KR-1'!AM:AM,'JPK_KR-1'!W:W,F540),"")</f>
        <v/>
      </c>
      <c r="I540" s="5" t="str">
        <f>IF(kokpit!I540&lt;&gt;"",kokpit!I540,"")</f>
        <v/>
      </c>
      <c r="J540" s="5" t="str">
        <f>IF(kokpit!J540&lt;&gt;"",kokpit!J540,"")</f>
        <v/>
      </c>
      <c r="K540" s="24" t="str">
        <f>IF(I540&lt;&gt;"",SUMIFS('JPK_KR-1'!AL:AL,'JPK_KR-1'!W:W,J540),"")</f>
        <v/>
      </c>
      <c r="L540" s="141" t="str">
        <f>IF(I540&lt;&gt;"",SUMIFS('JPK_KR-1'!AM:AM,'JPK_KR-1'!W:W,J540),"")</f>
        <v/>
      </c>
      <c r="M540" s="143" t="str">
        <f>IF(kokpit!M540&lt;&gt;"",kokpit!M540,"")</f>
        <v/>
      </c>
      <c r="N540" s="117" t="str">
        <f>IF(kokpit!N540&lt;&gt;"",kokpit!N540,"")</f>
        <v/>
      </c>
      <c r="O540" s="117" t="str">
        <f>IF(kokpit!O540&lt;&gt;"",kokpit!O540,"")</f>
        <v/>
      </c>
      <c r="P540" s="141" t="str">
        <f>IF(M540&lt;&gt;"",IF(O540="",SUMIFS('JPK_KR-1'!AL:AL,'JPK_KR-1'!W:W,N540),SUMIFS('JPK_KR-1'!BF:BF,'JPK_KR-1'!BE:BE,N540,'JPK_KR-1'!BG:BG,O540)),"")</f>
        <v/>
      </c>
      <c r="Q540" s="144" t="str">
        <f>IF(M540&lt;&gt;"",IF(O540="",SUMIFS('JPK_KR-1'!AM:AM,'JPK_KR-1'!W:W,N540),SUMIFS('JPK_KR-1'!BI:BI,'JPK_KR-1'!BH:BH,N540,'JPK_KR-1'!BJ:BJ,O540)),"")</f>
        <v/>
      </c>
      <c r="R540" s="117" t="str">
        <f>IF(kokpit!R540&lt;&gt;"",kokpit!R540,"")</f>
        <v/>
      </c>
      <c r="S540" s="117" t="str">
        <f>IF(kokpit!S540&lt;&gt;"",kokpit!S540,"")</f>
        <v/>
      </c>
      <c r="T540" s="117" t="str">
        <f>IF(kokpit!T540&lt;&gt;"",kokpit!T540,"")</f>
        <v/>
      </c>
      <c r="U540" s="141" t="str">
        <f>IF(R540&lt;&gt;"",SUMIFS('JPK_KR-1'!AL:AL,'JPK_KR-1'!W:W,S540),"")</f>
        <v/>
      </c>
      <c r="V540" s="144" t="str">
        <f>IF(R540&lt;&gt;"",SUMIFS('JPK_KR-1'!AM:AM,'JPK_KR-1'!W:W,S540),"")</f>
        <v/>
      </c>
    </row>
    <row r="541" spans="1:22" x14ac:dyDescent="0.3">
      <c r="A541" s="5" t="str">
        <f>IF(kokpit!A541&lt;&gt;"",kokpit!A541,"")</f>
        <v/>
      </c>
      <c r="B541" s="5" t="str">
        <f>IF(kokpit!B541&lt;&gt;"",kokpit!B541,"")</f>
        <v/>
      </c>
      <c r="C541" s="24" t="str">
        <f>IF(A541&lt;&gt;"",SUMIFS('JPK_KR-1'!AL:AL,'JPK_KR-1'!W:W,B541),"")</f>
        <v/>
      </c>
      <c r="D541" s="126" t="str">
        <f>IF(A541&lt;&gt;"",SUMIFS('JPK_KR-1'!AM:AM,'JPK_KR-1'!W:W,B541),"")</f>
        <v/>
      </c>
      <c r="E541" s="5" t="str">
        <f>IF(kokpit!E541&lt;&gt;"",kokpit!E541,"")</f>
        <v/>
      </c>
      <c r="F541" s="127" t="str">
        <f>IF(kokpit!F541&lt;&gt;"",kokpit!F541,"")</f>
        <v/>
      </c>
      <c r="G541" s="24" t="str">
        <f>IF(E541&lt;&gt;"",SUMIFS('JPK_KR-1'!AL:AL,'JPK_KR-1'!W:W,F541),"")</f>
        <v/>
      </c>
      <c r="H541" s="126" t="str">
        <f>IF(E541&lt;&gt;"",SUMIFS('JPK_KR-1'!AM:AM,'JPK_KR-1'!W:W,F541),"")</f>
        <v/>
      </c>
      <c r="I541" s="5" t="str">
        <f>IF(kokpit!I541&lt;&gt;"",kokpit!I541,"")</f>
        <v/>
      </c>
      <c r="J541" s="5" t="str">
        <f>IF(kokpit!J541&lt;&gt;"",kokpit!J541,"")</f>
        <v/>
      </c>
      <c r="K541" s="24" t="str">
        <f>IF(I541&lt;&gt;"",SUMIFS('JPK_KR-1'!AL:AL,'JPK_KR-1'!W:W,J541),"")</f>
        <v/>
      </c>
      <c r="L541" s="141" t="str">
        <f>IF(I541&lt;&gt;"",SUMIFS('JPK_KR-1'!AM:AM,'JPK_KR-1'!W:W,J541),"")</f>
        <v/>
      </c>
      <c r="M541" s="143" t="str">
        <f>IF(kokpit!M541&lt;&gt;"",kokpit!M541,"")</f>
        <v/>
      </c>
      <c r="N541" s="117" t="str">
        <f>IF(kokpit!N541&lt;&gt;"",kokpit!N541,"")</f>
        <v/>
      </c>
      <c r="O541" s="117" t="str">
        <f>IF(kokpit!O541&lt;&gt;"",kokpit!O541,"")</f>
        <v/>
      </c>
      <c r="P541" s="141" t="str">
        <f>IF(M541&lt;&gt;"",IF(O541="",SUMIFS('JPK_KR-1'!AL:AL,'JPK_KR-1'!W:W,N541),SUMIFS('JPK_KR-1'!BF:BF,'JPK_KR-1'!BE:BE,N541,'JPK_KR-1'!BG:BG,O541)),"")</f>
        <v/>
      </c>
      <c r="Q541" s="144" t="str">
        <f>IF(M541&lt;&gt;"",IF(O541="",SUMIFS('JPK_KR-1'!AM:AM,'JPK_KR-1'!W:W,N541),SUMIFS('JPK_KR-1'!BI:BI,'JPK_KR-1'!BH:BH,N541,'JPK_KR-1'!BJ:BJ,O541)),"")</f>
        <v/>
      </c>
      <c r="R541" s="117" t="str">
        <f>IF(kokpit!R541&lt;&gt;"",kokpit!R541,"")</f>
        <v/>
      </c>
      <c r="S541" s="117" t="str">
        <f>IF(kokpit!S541&lt;&gt;"",kokpit!S541,"")</f>
        <v/>
      </c>
      <c r="T541" s="117" t="str">
        <f>IF(kokpit!T541&lt;&gt;"",kokpit!T541,"")</f>
        <v/>
      </c>
      <c r="U541" s="141" t="str">
        <f>IF(R541&lt;&gt;"",SUMIFS('JPK_KR-1'!AL:AL,'JPK_KR-1'!W:W,S541),"")</f>
        <v/>
      </c>
      <c r="V541" s="144" t="str">
        <f>IF(R541&lt;&gt;"",SUMIFS('JPK_KR-1'!AM:AM,'JPK_KR-1'!W:W,S541),"")</f>
        <v/>
      </c>
    </row>
    <row r="542" spans="1:22" x14ac:dyDescent="0.3">
      <c r="A542" s="5" t="str">
        <f>IF(kokpit!A542&lt;&gt;"",kokpit!A542,"")</f>
        <v/>
      </c>
      <c r="B542" s="5" t="str">
        <f>IF(kokpit!B542&lt;&gt;"",kokpit!B542,"")</f>
        <v/>
      </c>
      <c r="C542" s="24" t="str">
        <f>IF(A542&lt;&gt;"",SUMIFS('JPK_KR-1'!AL:AL,'JPK_KR-1'!W:W,B542),"")</f>
        <v/>
      </c>
      <c r="D542" s="126" t="str">
        <f>IF(A542&lt;&gt;"",SUMIFS('JPK_KR-1'!AM:AM,'JPK_KR-1'!W:W,B542),"")</f>
        <v/>
      </c>
      <c r="E542" s="5" t="str">
        <f>IF(kokpit!E542&lt;&gt;"",kokpit!E542,"")</f>
        <v/>
      </c>
      <c r="F542" s="127" t="str">
        <f>IF(kokpit!F542&lt;&gt;"",kokpit!F542,"")</f>
        <v/>
      </c>
      <c r="G542" s="24" t="str">
        <f>IF(E542&lt;&gt;"",SUMIFS('JPK_KR-1'!AL:AL,'JPK_KR-1'!W:W,F542),"")</f>
        <v/>
      </c>
      <c r="H542" s="126" t="str">
        <f>IF(E542&lt;&gt;"",SUMIFS('JPK_KR-1'!AM:AM,'JPK_KR-1'!W:W,F542),"")</f>
        <v/>
      </c>
      <c r="I542" s="5" t="str">
        <f>IF(kokpit!I542&lt;&gt;"",kokpit!I542,"")</f>
        <v/>
      </c>
      <c r="J542" s="5" t="str">
        <f>IF(kokpit!J542&lt;&gt;"",kokpit!J542,"")</f>
        <v/>
      </c>
      <c r="K542" s="24" t="str">
        <f>IF(I542&lt;&gt;"",SUMIFS('JPK_KR-1'!AL:AL,'JPK_KR-1'!W:W,J542),"")</f>
        <v/>
      </c>
      <c r="L542" s="141" t="str">
        <f>IF(I542&lt;&gt;"",SUMIFS('JPK_KR-1'!AM:AM,'JPK_KR-1'!W:W,J542),"")</f>
        <v/>
      </c>
      <c r="M542" s="143" t="str">
        <f>IF(kokpit!M542&lt;&gt;"",kokpit!M542,"")</f>
        <v/>
      </c>
      <c r="N542" s="117" t="str">
        <f>IF(kokpit!N542&lt;&gt;"",kokpit!N542,"")</f>
        <v/>
      </c>
      <c r="O542" s="117" t="str">
        <f>IF(kokpit!O542&lt;&gt;"",kokpit!O542,"")</f>
        <v/>
      </c>
      <c r="P542" s="141" t="str">
        <f>IF(M542&lt;&gt;"",IF(O542="",SUMIFS('JPK_KR-1'!AL:AL,'JPK_KR-1'!W:W,N542),SUMIFS('JPK_KR-1'!BF:BF,'JPK_KR-1'!BE:BE,N542,'JPK_KR-1'!BG:BG,O542)),"")</f>
        <v/>
      </c>
      <c r="Q542" s="144" t="str">
        <f>IF(M542&lt;&gt;"",IF(O542="",SUMIFS('JPK_KR-1'!AM:AM,'JPK_KR-1'!W:W,N542),SUMIFS('JPK_KR-1'!BI:BI,'JPK_KR-1'!BH:BH,N542,'JPK_KR-1'!BJ:BJ,O542)),"")</f>
        <v/>
      </c>
      <c r="R542" s="117" t="str">
        <f>IF(kokpit!R542&lt;&gt;"",kokpit!R542,"")</f>
        <v/>
      </c>
      <c r="S542" s="117" t="str">
        <f>IF(kokpit!S542&lt;&gt;"",kokpit!S542,"")</f>
        <v/>
      </c>
      <c r="T542" s="117" t="str">
        <f>IF(kokpit!T542&lt;&gt;"",kokpit!T542,"")</f>
        <v/>
      </c>
      <c r="U542" s="141" t="str">
        <f>IF(R542&lt;&gt;"",SUMIFS('JPK_KR-1'!AL:AL,'JPK_KR-1'!W:W,S542),"")</f>
        <v/>
      </c>
      <c r="V542" s="144" t="str">
        <f>IF(R542&lt;&gt;"",SUMIFS('JPK_KR-1'!AM:AM,'JPK_KR-1'!W:W,S542),"")</f>
        <v/>
      </c>
    </row>
    <row r="543" spans="1:22" x14ac:dyDescent="0.3">
      <c r="A543" s="5" t="str">
        <f>IF(kokpit!A543&lt;&gt;"",kokpit!A543,"")</f>
        <v/>
      </c>
      <c r="B543" s="5" t="str">
        <f>IF(kokpit!B543&lt;&gt;"",kokpit!B543,"")</f>
        <v/>
      </c>
      <c r="C543" s="24" t="str">
        <f>IF(A543&lt;&gt;"",SUMIFS('JPK_KR-1'!AL:AL,'JPK_KR-1'!W:W,B543),"")</f>
        <v/>
      </c>
      <c r="D543" s="126" t="str">
        <f>IF(A543&lt;&gt;"",SUMIFS('JPK_KR-1'!AM:AM,'JPK_KR-1'!W:W,B543),"")</f>
        <v/>
      </c>
      <c r="E543" s="5" t="str">
        <f>IF(kokpit!E543&lt;&gt;"",kokpit!E543,"")</f>
        <v/>
      </c>
      <c r="F543" s="127" t="str">
        <f>IF(kokpit!F543&lt;&gt;"",kokpit!F543,"")</f>
        <v/>
      </c>
      <c r="G543" s="24" t="str">
        <f>IF(E543&lt;&gt;"",SUMIFS('JPK_KR-1'!AL:AL,'JPK_KR-1'!W:W,F543),"")</f>
        <v/>
      </c>
      <c r="H543" s="126" t="str">
        <f>IF(E543&lt;&gt;"",SUMIFS('JPK_KR-1'!AM:AM,'JPK_KR-1'!W:W,F543),"")</f>
        <v/>
      </c>
      <c r="I543" s="5" t="str">
        <f>IF(kokpit!I543&lt;&gt;"",kokpit!I543,"")</f>
        <v/>
      </c>
      <c r="J543" s="5" t="str">
        <f>IF(kokpit!J543&lt;&gt;"",kokpit!J543,"")</f>
        <v/>
      </c>
      <c r="K543" s="24" t="str">
        <f>IF(I543&lt;&gt;"",SUMIFS('JPK_KR-1'!AL:AL,'JPK_KR-1'!W:W,J543),"")</f>
        <v/>
      </c>
      <c r="L543" s="141" t="str">
        <f>IF(I543&lt;&gt;"",SUMIFS('JPK_KR-1'!AM:AM,'JPK_KR-1'!W:W,J543),"")</f>
        <v/>
      </c>
      <c r="M543" s="143" t="str">
        <f>IF(kokpit!M543&lt;&gt;"",kokpit!M543,"")</f>
        <v/>
      </c>
      <c r="N543" s="117" t="str">
        <f>IF(kokpit!N543&lt;&gt;"",kokpit!N543,"")</f>
        <v/>
      </c>
      <c r="O543" s="117" t="str">
        <f>IF(kokpit!O543&lt;&gt;"",kokpit!O543,"")</f>
        <v/>
      </c>
      <c r="P543" s="141" t="str">
        <f>IF(M543&lt;&gt;"",IF(O543="",SUMIFS('JPK_KR-1'!AL:AL,'JPK_KR-1'!W:W,N543),SUMIFS('JPK_KR-1'!BF:BF,'JPK_KR-1'!BE:BE,N543,'JPK_KR-1'!BG:BG,O543)),"")</f>
        <v/>
      </c>
      <c r="Q543" s="144" t="str">
        <f>IF(M543&lt;&gt;"",IF(O543="",SUMIFS('JPK_KR-1'!AM:AM,'JPK_KR-1'!W:W,N543),SUMIFS('JPK_KR-1'!BI:BI,'JPK_KR-1'!BH:BH,N543,'JPK_KR-1'!BJ:BJ,O543)),"")</f>
        <v/>
      </c>
      <c r="R543" s="117" t="str">
        <f>IF(kokpit!R543&lt;&gt;"",kokpit!R543,"")</f>
        <v/>
      </c>
      <c r="S543" s="117" t="str">
        <f>IF(kokpit!S543&lt;&gt;"",kokpit!S543,"")</f>
        <v/>
      </c>
      <c r="T543" s="117" t="str">
        <f>IF(kokpit!T543&lt;&gt;"",kokpit!T543,"")</f>
        <v/>
      </c>
      <c r="U543" s="141" t="str">
        <f>IF(R543&lt;&gt;"",SUMIFS('JPK_KR-1'!AL:AL,'JPK_KR-1'!W:W,S543),"")</f>
        <v/>
      </c>
      <c r="V543" s="144" t="str">
        <f>IF(R543&lt;&gt;"",SUMIFS('JPK_KR-1'!AM:AM,'JPK_KR-1'!W:W,S543),"")</f>
        <v/>
      </c>
    </row>
    <row r="544" spans="1:22" x14ac:dyDescent="0.3">
      <c r="A544" s="5" t="str">
        <f>IF(kokpit!A544&lt;&gt;"",kokpit!A544,"")</f>
        <v/>
      </c>
      <c r="B544" s="5" t="str">
        <f>IF(kokpit!B544&lt;&gt;"",kokpit!B544,"")</f>
        <v/>
      </c>
      <c r="C544" s="24" t="str">
        <f>IF(A544&lt;&gt;"",SUMIFS('JPK_KR-1'!AL:AL,'JPK_KR-1'!W:W,B544),"")</f>
        <v/>
      </c>
      <c r="D544" s="126" t="str">
        <f>IF(A544&lt;&gt;"",SUMIFS('JPK_KR-1'!AM:AM,'JPK_KR-1'!W:W,B544),"")</f>
        <v/>
      </c>
      <c r="E544" s="5" t="str">
        <f>IF(kokpit!E544&lt;&gt;"",kokpit!E544,"")</f>
        <v/>
      </c>
      <c r="F544" s="127" t="str">
        <f>IF(kokpit!F544&lt;&gt;"",kokpit!F544,"")</f>
        <v/>
      </c>
      <c r="G544" s="24" t="str">
        <f>IF(E544&lt;&gt;"",SUMIFS('JPK_KR-1'!AL:AL,'JPK_KR-1'!W:W,F544),"")</f>
        <v/>
      </c>
      <c r="H544" s="126" t="str">
        <f>IF(E544&lt;&gt;"",SUMIFS('JPK_KR-1'!AM:AM,'JPK_KR-1'!W:W,F544),"")</f>
        <v/>
      </c>
      <c r="I544" s="5" t="str">
        <f>IF(kokpit!I544&lt;&gt;"",kokpit!I544,"")</f>
        <v/>
      </c>
      <c r="J544" s="5" t="str">
        <f>IF(kokpit!J544&lt;&gt;"",kokpit!J544,"")</f>
        <v/>
      </c>
      <c r="K544" s="24" t="str">
        <f>IF(I544&lt;&gt;"",SUMIFS('JPK_KR-1'!AL:AL,'JPK_KR-1'!W:W,J544),"")</f>
        <v/>
      </c>
      <c r="L544" s="141" t="str">
        <f>IF(I544&lt;&gt;"",SUMIFS('JPK_KR-1'!AM:AM,'JPK_KR-1'!W:W,J544),"")</f>
        <v/>
      </c>
      <c r="M544" s="143" t="str">
        <f>IF(kokpit!M544&lt;&gt;"",kokpit!M544,"")</f>
        <v/>
      </c>
      <c r="N544" s="117" t="str">
        <f>IF(kokpit!N544&lt;&gt;"",kokpit!N544,"")</f>
        <v/>
      </c>
      <c r="O544" s="117" t="str">
        <f>IF(kokpit!O544&lt;&gt;"",kokpit!O544,"")</f>
        <v/>
      </c>
      <c r="P544" s="141" t="str">
        <f>IF(M544&lt;&gt;"",IF(O544="",SUMIFS('JPK_KR-1'!AL:AL,'JPK_KR-1'!W:W,N544),SUMIFS('JPK_KR-1'!BF:BF,'JPK_KR-1'!BE:BE,N544,'JPK_KR-1'!BG:BG,O544)),"")</f>
        <v/>
      </c>
      <c r="Q544" s="144" t="str">
        <f>IF(M544&lt;&gt;"",IF(O544="",SUMIFS('JPK_KR-1'!AM:AM,'JPK_KR-1'!W:W,N544),SUMIFS('JPK_KR-1'!BI:BI,'JPK_KR-1'!BH:BH,N544,'JPK_KR-1'!BJ:BJ,O544)),"")</f>
        <v/>
      </c>
      <c r="R544" s="117" t="str">
        <f>IF(kokpit!R544&lt;&gt;"",kokpit!R544,"")</f>
        <v/>
      </c>
      <c r="S544" s="117" t="str">
        <f>IF(kokpit!S544&lt;&gt;"",kokpit!S544,"")</f>
        <v/>
      </c>
      <c r="T544" s="117" t="str">
        <f>IF(kokpit!T544&lt;&gt;"",kokpit!T544,"")</f>
        <v/>
      </c>
      <c r="U544" s="141" t="str">
        <f>IF(R544&lt;&gt;"",SUMIFS('JPK_KR-1'!AL:AL,'JPK_KR-1'!W:W,S544),"")</f>
        <v/>
      </c>
      <c r="V544" s="144" t="str">
        <f>IF(R544&lt;&gt;"",SUMIFS('JPK_KR-1'!AM:AM,'JPK_KR-1'!W:W,S544),"")</f>
        <v/>
      </c>
    </row>
    <row r="545" spans="1:22" x14ac:dyDescent="0.3">
      <c r="A545" s="5" t="str">
        <f>IF(kokpit!A545&lt;&gt;"",kokpit!A545,"")</f>
        <v/>
      </c>
      <c r="B545" s="5" t="str">
        <f>IF(kokpit!B545&lt;&gt;"",kokpit!B545,"")</f>
        <v/>
      </c>
      <c r="C545" s="24" t="str">
        <f>IF(A545&lt;&gt;"",SUMIFS('JPK_KR-1'!AL:AL,'JPK_KR-1'!W:W,B545),"")</f>
        <v/>
      </c>
      <c r="D545" s="126" t="str">
        <f>IF(A545&lt;&gt;"",SUMIFS('JPK_KR-1'!AM:AM,'JPK_KR-1'!W:W,B545),"")</f>
        <v/>
      </c>
      <c r="E545" s="5" t="str">
        <f>IF(kokpit!E545&lt;&gt;"",kokpit!E545,"")</f>
        <v/>
      </c>
      <c r="F545" s="127" t="str">
        <f>IF(kokpit!F545&lt;&gt;"",kokpit!F545,"")</f>
        <v/>
      </c>
      <c r="G545" s="24" t="str">
        <f>IF(E545&lt;&gt;"",SUMIFS('JPK_KR-1'!AL:AL,'JPK_KR-1'!W:W,F545),"")</f>
        <v/>
      </c>
      <c r="H545" s="126" t="str">
        <f>IF(E545&lt;&gt;"",SUMIFS('JPK_KR-1'!AM:AM,'JPK_KR-1'!W:W,F545),"")</f>
        <v/>
      </c>
      <c r="I545" s="5" t="str">
        <f>IF(kokpit!I545&lt;&gt;"",kokpit!I545,"")</f>
        <v/>
      </c>
      <c r="J545" s="5" t="str">
        <f>IF(kokpit!J545&lt;&gt;"",kokpit!J545,"")</f>
        <v/>
      </c>
      <c r="K545" s="24" t="str">
        <f>IF(I545&lt;&gt;"",SUMIFS('JPK_KR-1'!AL:AL,'JPK_KR-1'!W:W,J545),"")</f>
        <v/>
      </c>
      <c r="L545" s="141" t="str">
        <f>IF(I545&lt;&gt;"",SUMIFS('JPK_KR-1'!AM:AM,'JPK_KR-1'!W:W,J545),"")</f>
        <v/>
      </c>
      <c r="M545" s="143" t="str">
        <f>IF(kokpit!M545&lt;&gt;"",kokpit!M545,"")</f>
        <v/>
      </c>
      <c r="N545" s="117" t="str">
        <f>IF(kokpit!N545&lt;&gt;"",kokpit!N545,"")</f>
        <v/>
      </c>
      <c r="O545" s="117" t="str">
        <f>IF(kokpit!O545&lt;&gt;"",kokpit!O545,"")</f>
        <v/>
      </c>
      <c r="P545" s="141" t="str">
        <f>IF(M545&lt;&gt;"",IF(O545="",SUMIFS('JPK_KR-1'!AL:AL,'JPK_KR-1'!W:W,N545),SUMIFS('JPK_KR-1'!BF:BF,'JPK_KR-1'!BE:BE,N545,'JPK_KR-1'!BG:BG,O545)),"")</f>
        <v/>
      </c>
      <c r="Q545" s="144" t="str">
        <f>IF(M545&lt;&gt;"",IF(O545="",SUMIFS('JPK_KR-1'!AM:AM,'JPK_KR-1'!W:W,N545),SUMIFS('JPK_KR-1'!BI:BI,'JPK_KR-1'!BH:BH,N545,'JPK_KR-1'!BJ:BJ,O545)),"")</f>
        <v/>
      </c>
      <c r="R545" s="117" t="str">
        <f>IF(kokpit!R545&lt;&gt;"",kokpit!R545,"")</f>
        <v/>
      </c>
      <c r="S545" s="117" t="str">
        <f>IF(kokpit!S545&lt;&gt;"",kokpit!S545,"")</f>
        <v/>
      </c>
      <c r="T545" s="117" t="str">
        <f>IF(kokpit!T545&lt;&gt;"",kokpit!T545,"")</f>
        <v/>
      </c>
      <c r="U545" s="141" t="str">
        <f>IF(R545&lt;&gt;"",SUMIFS('JPK_KR-1'!AL:AL,'JPK_KR-1'!W:W,S545),"")</f>
        <v/>
      </c>
      <c r="V545" s="144" t="str">
        <f>IF(R545&lt;&gt;"",SUMIFS('JPK_KR-1'!AM:AM,'JPK_KR-1'!W:W,S545),"")</f>
        <v/>
      </c>
    </row>
    <row r="546" spans="1:22" x14ac:dyDescent="0.3">
      <c r="A546" s="5" t="str">
        <f>IF(kokpit!A546&lt;&gt;"",kokpit!A546,"")</f>
        <v/>
      </c>
      <c r="B546" s="5" t="str">
        <f>IF(kokpit!B546&lt;&gt;"",kokpit!B546,"")</f>
        <v/>
      </c>
      <c r="C546" s="24" t="str">
        <f>IF(A546&lt;&gt;"",SUMIFS('JPK_KR-1'!AL:AL,'JPK_KR-1'!W:W,B546),"")</f>
        <v/>
      </c>
      <c r="D546" s="126" t="str">
        <f>IF(A546&lt;&gt;"",SUMIFS('JPK_KR-1'!AM:AM,'JPK_KR-1'!W:W,B546),"")</f>
        <v/>
      </c>
      <c r="E546" s="5" t="str">
        <f>IF(kokpit!E546&lt;&gt;"",kokpit!E546,"")</f>
        <v/>
      </c>
      <c r="F546" s="127" t="str">
        <f>IF(kokpit!F546&lt;&gt;"",kokpit!F546,"")</f>
        <v/>
      </c>
      <c r="G546" s="24" t="str">
        <f>IF(E546&lt;&gt;"",SUMIFS('JPK_KR-1'!AL:AL,'JPK_KR-1'!W:W,F546),"")</f>
        <v/>
      </c>
      <c r="H546" s="126" t="str">
        <f>IF(E546&lt;&gt;"",SUMIFS('JPK_KR-1'!AM:AM,'JPK_KR-1'!W:W,F546),"")</f>
        <v/>
      </c>
      <c r="I546" s="5" t="str">
        <f>IF(kokpit!I546&lt;&gt;"",kokpit!I546,"")</f>
        <v/>
      </c>
      <c r="J546" s="5" t="str">
        <f>IF(kokpit!J546&lt;&gt;"",kokpit!J546,"")</f>
        <v/>
      </c>
      <c r="K546" s="24" t="str">
        <f>IF(I546&lt;&gt;"",SUMIFS('JPK_KR-1'!AL:AL,'JPK_KR-1'!W:W,J546),"")</f>
        <v/>
      </c>
      <c r="L546" s="141" t="str">
        <f>IF(I546&lt;&gt;"",SUMIFS('JPK_KR-1'!AM:AM,'JPK_KR-1'!W:W,J546),"")</f>
        <v/>
      </c>
      <c r="M546" s="143" t="str">
        <f>IF(kokpit!M546&lt;&gt;"",kokpit!M546,"")</f>
        <v/>
      </c>
      <c r="N546" s="117" t="str">
        <f>IF(kokpit!N546&lt;&gt;"",kokpit!N546,"")</f>
        <v/>
      </c>
      <c r="O546" s="117" t="str">
        <f>IF(kokpit!O546&lt;&gt;"",kokpit!O546,"")</f>
        <v/>
      </c>
      <c r="P546" s="141" t="str">
        <f>IF(M546&lt;&gt;"",IF(O546="",SUMIFS('JPK_KR-1'!AL:AL,'JPK_KR-1'!W:W,N546),SUMIFS('JPK_KR-1'!BF:BF,'JPK_KR-1'!BE:BE,N546,'JPK_KR-1'!BG:BG,O546)),"")</f>
        <v/>
      </c>
      <c r="Q546" s="144" t="str">
        <f>IF(M546&lt;&gt;"",IF(O546="",SUMIFS('JPK_KR-1'!AM:AM,'JPK_KR-1'!W:W,N546),SUMIFS('JPK_KR-1'!BI:BI,'JPK_KR-1'!BH:BH,N546,'JPK_KR-1'!BJ:BJ,O546)),"")</f>
        <v/>
      </c>
      <c r="R546" s="117" t="str">
        <f>IF(kokpit!R546&lt;&gt;"",kokpit!R546,"")</f>
        <v/>
      </c>
      <c r="S546" s="117" t="str">
        <f>IF(kokpit!S546&lt;&gt;"",kokpit!S546,"")</f>
        <v/>
      </c>
      <c r="T546" s="117" t="str">
        <f>IF(kokpit!T546&lt;&gt;"",kokpit!T546,"")</f>
        <v/>
      </c>
      <c r="U546" s="141" t="str">
        <f>IF(R546&lt;&gt;"",SUMIFS('JPK_KR-1'!AL:AL,'JPK_KR-1'!W:W,S546),"")</f>
        <v/>
      </c>
      <c r="V546" s="144" t="str">
        <f>IF(R546&lt;&gt;"",SUMIFS('JPK_KR-1'!AM:AM,'JPK_KR-1'!W:W,S546),"")</f>
        <v/>
      </c>
    </row>
    <row r="547" spans="1:22" x14ac:dyDescent="0.3">
      <c r="A547" s="5" t="str">
        <f>IF(kokpit!A547&lt;&gt;"",kokpit!A547,"")</f>
        <v/>
      </c>
      <c r="B547" s="5" t="str">
        <f>IF(kokpit!B547&lt;&gt;"",kokpit!B547,"")</f>
        <v/>
      </c>
      <c r="C547" s="24" t="str">
        <f>IF(A547&lt;&gt;"",SUMIFS('JPK_KR-1'!AL:AL,'JPK_KR-1'!W:W,B547),"")</f>
        <v/>
      </c>
      <c r="D547" s="126" t="str">
        <f>IF(A547&lt;&gt;"",SUMIFS('JPK_KR-1'!AM:AM,'JPK_KR-1'!W:W,B547),"")</f>
        <v/>
      </c>
      <c r="E547" s="5" t="str">
        <f>IF(kokpit!E547&lt;&gt;"",kokpit!E547,"")</f>
        <v/>
      </c>
      <c r="F547" s="127" t="str">
        <f>IF(kokpit!F547&lt;&gt;"",kokpit!F547,"")</f>
        <v/>
      </c>
      <c r="G547" s="24" t="str">
        <f>IF(E547&lt;&gt;"",SUMIFS('JPK_KR-1'!AL:AL,'JPK_KR-1'!W:W,F547),"")</f>
        <v/>
      </c>
      <c r="H547" s="126" t="str">
        <f>IF(E547&lt;&gt;"",SUMIFS('JPK_KR-1'!AM:AM,'JPK_KR-1'!W:W,F547),"")</f>
        <v/>
      </c>
      <c r="I547" s="5" t="str">
        <f>IF(kokpit!I547&lt;&gt;"",kokpit!I547,"")</f>
        <v/>
      </c>
      <c r="J547" s="5" t="str">
        <f>IF(kokpit!J547&lt;&gt;"",kokpit!J547,"")</f>
        <v/>
      </c>
      <c r="K547" s="24" t="str">
        <f>IF(I547&lt;&gt;"",SUMIFS('JPK_KR-1'!AL:AL,'JPK_KR-1'!W:W,J547),"")</f>
        <v/>
      </c>
      <c r="L547" s="141" t="str">
        <f>IF(I547&lt;&gt;"",SUMIFS('JPK_KR-1'!AM:AM,'JPK_KR-1'!W:W,J547),"")</f>
        <v/>
      </c>
      <c r="M547" s="143" t="str">
        <f>IF(kokpit!M547&lt;&gt;"",kokpit!M547,"")</f>
        <v/>
      </c>
      <c r="N547" s="117" t="str">
        <f>IF(kokpit!N547&lt;&gt;"",kokpit!N547,"")</f>
        <v/>
      </c>
      <c r="O547" s="117" t="str">
        <f>IF(kokpit!O547&lt;&gt;"",kokpit!O547,"")</f>
        <v/>
      </c>
      <c r="P547" s="141" t="str">
        <f>IF(M547&lt;&gt;"",IF(O547="",SUMIFS('JPK_KR-1'!AL:AL,'JPK_KR-1'!W:W,N547),SUMIFS('JPK_KR-1'!BF:BF,'JPK_KR-1'!BE:BE,N547,'JPK_KR-1'!BG:BG,O547)),"")</f>
        <v/>
      </c>
      <c r="Q547" s="144" t="str">
        <f>IF(M547&lt;&gt;"",IF(O547="",SUMIFS('JPK_KR-1'!AM:AM,'JPK_KR-1'!W:W,N547),SUMIFS('JPK_KR-1'!BI:BI,'JPK_KR-1'!BH:BH,N547,'JPK_KR-1'!BJ:BJ,O547)),"")</f>
        <v/>
      </c>
      <c r="R547" s="117" t="str">
        <f>IF(kokpit!R547&lt;&gt;"",kokpit!R547,"")</f>
        <v/>
      </c>
      <c r="S547" s="117" t="str">
        <f>IF(kokpit!S547&lt;&gt;"",kokpit!S547,"")</f>
        <v/>
      </c>
      <c r="T547" s="117" t="str">
        <f>IF(kokpit!T547&lt;&gt;"",kokpit!T547,"")</f>
        <v/>
      </c>
      <c r="U547" s="141" t="str">
        <f>IF(R547&lt;&gt;"",SUMIFS('JPK_KR-1'!AL:AL,'JPK_KR-1'!W:W,S547),"")</f>
        <v/>
      </c>
      <c r="V547" s="144" t="str">
        <f>IF(R547&lt;&gt;"",SUMIFS('JPK_KR-1'!AM:AM,'JPK_KR-1'!W:W,S547),"")</f>
        <v/>
      </c>
    </row>
    <row r="548" spans="1:22" x14ac:dyDescent="0.3">
      <c r="A548" s="5" t="str">
        <f>IF(kokpit!A548&lt;&gt;"",kokpit!A548,"")</f>
        <v/>
      </c>
      <c r="B548" s="5" t="str">
        <f>IF(kokpit!B548&lt;&gt;"",kokpit!B548,"")</f>
        <v/>
      </c>
      <c r="C548" s="24" t="str">
        <f>IF(A548&lt;&gt;"",SUMIFS('JPK_KR-1'!AL:AL,'JPK_KR-1'!W:W,B548),"")</f>
        <v/>
      </c>
      <c r="D548" s="126" t="str">
        <f>IF(A548&lt;&gt;"",SUMIFS('JPK_KR-1'!AM:AM,'JPK_KR-1'!W:W,B548),"")</f>
        <v/>
      </c>
      <c r="E548" s="5" t="str">
        <f>IF(kokpit!E548&lt;&gt;"",kokpit!E548,"")</f>
        <v/>
      </c>
      <c r="F548" s="127" t="str">
        <f>IF(kokpit!F548&lt;&gt;"",kokpit!F548,"")</f>
        <v/>
      </c>
      <c r="G548" s="24" t="str">
        <f>IF(E548&lt;&gt;"",SUMIFS('JPK_KR-1'!AL:AL,'JPK_KR-1'!W:W,F548),"")</f>
        <v/>
      </c>
      <c r="H548" s="126" t="str">
        <f>IF(E548&lt;&gt;"",SUMIFS('JPK_KR-1'!AM:AM,'JPK_KR-1'!W:W,F548),"")</f>
        <v/>
      </c>
      <c r="I548" s="5" t="str">
        <f>IF(kokpit!I548&lt;&gt;"",kokpit!I548,"")</f>
        <v/>
      </c>
      <c r="J548" s="5" t="str">
        <f>IF(kokpit!J548&lt;&gt;"",kokpit!J548,"")</f>
        <v/>
      </c>
      <c r="K548" s="24" t="str">
        <f>IF(I548&lt;&gt;"",SUMIFS('JPK_KR-1'!AL:AL,'JPK_KR-1'!W:W,J548),"")</f>
        <v/>
      </c>
      <c r="L548" s="141" t="str">
        <f>IF(I548&lt;&gt;"",SUMIFS('JPK_KR-1'!AM:AM,'JPK_KR-1'!W:W,J548),"")</f>
        <v/>
      </c>
      <c r="M548" s="143" t="str">
        <f>IF(kokpit!M548&lt;&gt;"",kokpit!M548,"")</f>
        <v/>
      </c>
      <c r="N548" s="117" t="str">
        <f>IF(kokpit!N548&lt;&gt;"",kokpit!N548,"")</f>
        <v/>
      </c>
      <c r="O548" s="117" t="str">
        <f>IF(kokpit!O548&lt;&gt;"",kokpit!O548,"")</f>
        <v/>
      </c>
      <c r="P548" s="141" t="str">
        <f>IF(M548&lt;&gt;"",IF(O548="",SUMIFS('JPK_KR-1'!AL:AL,'JPK_KR-1'!W:W,N548),SUMIFS('JPK_KR-1'!BF:BF,'JPK_KR-1'!BE:BE,N548,'JPK_KR-1'!BG:BG,O548)),"")</f>
        <v/>
      </c>
      <c r="Q548" s="144" t="str">
        <f>IF(M548&lt;&gt;"",IF(O548="",SUMIFS('JPK_KR-1'!AM:AM,'JPK_KR-1'!W:W,N548),SUMIFS('JPK_KR-1'!BI:BI,'JPK_KR-1'!BH:BH,N548,'JPK_KR-1'!BJ:BJ,O548)),"")</f>
        <v/>
      </c>
      <c r="R548" s="117" t="str">
        <f>IF(kokpit!R548&lt;&gt;"",kokpit!R548,"")</f>
        <v/>
      </c>
      <c r="S548" s="117" t="str">
        <f>IF(kokpit!S548&lt;&gt;"",kokpit!S548,"")</f>
        <v/>
      </c>
      <c r="T548" s="117" t="str">
        <f>IF(kokpit!T548&lt;&gt;"",kokpit!T548,"")</f>
        <v/>
      </c>
      <c r="U548" s="141" t="str">
        <f>IF(R548&lt;&gt;"",SUMIFS('JPK_KR-1'!AL:AL,'JPK_KR-1'!W:W,S548),"")</f>
        <v/>
      </c>
      <c r="V548" s="144" t="str">
        <f>IF(R548&lt;&gt;"",SUMIFS('JPK_KR-1'!AM:AM,'JPK_KR-1'!W:W,S548),"")</f>
        <v/>
      </c>
    </row>
    <row r="549" spans="1:22" x14ac:dyDescent="0.3">
      <c r="A549" s="5" t="str">
        <f>IF(kokpit!A549&lt;&gt;"",kokpit!A549,"")</f>
        <v/>
      </c>
      <c r="B549" s="5" t="str">
        <f>IF(kokpit!B549&lt;&gt;"",kokpit!B549,"")</f>
        <v/>
      </c>
      <c r="C549" s="24" t="str">
        <f>IF(A549&lt;&gt;"",SUMIFS('JPK_KR-1'!AL:AL,'JPK_KR-1'!W:W,B549),"")</f>
        <v/>
      </c>
      <c r="D549" s="126" t="str">
        <f>IF(A549&lt;&gt;"",SUMIFS('JPK_KR-1'!AM:AM,'JPK_KR-1'!W:W,B549),"")</f>
        <v/>
      </c>
      <c r="E549" s="5" t="str">
        <f>IF(kokpit!E549&lt;&gt;"",kokpit!E549,"")</f>
        <v/>
      </c>
      <c r="F549" s="127" t="str">
        <f>IF(kokpit!F549&lt;&gt;"",kokpit!F549,"")</f>
        <v/>
      </c>
      <c r="G549" s="24" t="str">
        <f>IF(E549&lt;&gt;"",SUMIFS('JPK_KR-1'!AL:AL,'JPK_KR-1'!W:W,F549),"")</f>
        <v/>
      </c>
      <c r="H549" s="126" t="str">
        <f>IF(E549&lt;&gt;"",SUMIFS('JPK_KR-1'!AM:AM,'JPK_KR-1'!W:W,F549),"")</f>
        <v/>
      </c>
      <c r="I549" s="5" t="str">
        <f>IF(kokpit!I549&lt;&gt;"",kokpit!I549,"")</f>
        <v/>
      </c>
      <c r="J549" s="5" t="str">
        <f>IF(kokpit!J549&lt;&gt;"",kokpit!J549,"")</f>
        <v/>
      </c>
      <c r="K549" s="24" t="str">
        <f>IF(I549&lt;&gt;"",SUMIFS('JPK_KR-1'!AL:AL,'JPK_KR-1'!W:W,J549),"")</f>
        <v/>
      </c>
      <c r="L549" s="141" t="str">
        <f>IF(I549&lt;&gt;"",SUMIFS('JPK_KR-1'!AM:AM,'JPK_KR-1'!W:W,J549),"")</f>
        <v/>
      </c>
      <c r="M549" s="143" t="str">
        <f>IF(kokpit!M549&lt;&gt;"",kokpit!M549,"")</f>
        <v/>
      </c>
      <c r="N549" s="117" t="str">
        <f>IF(kokpit!N549&lt;&gt;"",kokpit!N549,"")</f>
        <v/>
      </c>
      <c r="O549" s="117" t="str">
        <f>IF(kokpit!O549&lt;&gt;"",kokpit!O549,"")</f>
        <v/>
      </c>
      <c r="P549" s="141" t="str">
        <f>IF(M549&lt;&gt;"",IF(O549="",SUMIFS('JPK_KR-1'!AL:AL,'JPK_KR-1'!W:W,N549),SUMIFS('JPK_KR-1'!BF:BF,'JPK_KR-1'!BE:BE,N549,'JPK_KR-1'!BG:BG,O549)),"")</f>
        <v/>
      </c>
      <c r="Q549" s="144" t="str">
        <f>IF(M549&lt;&gt;"",IF(O549="",SUMIFS('JPK_KR-1'!AM:AM,'JPK_KR-1'!W:W,N549),SUMIFS('JPK_KR-1'!BI:BI,'JPK_KR-1'!BH:BH,N549,'JPK_KR-1'!BJ:BJ,O549)),"")</f>
        <v/>
      </c>
      <c r="R549" s="117" t="str">
        <f>IF(kokpit!R549&lt;&gt;"",kokpit!R549,"")</f>
        <v/>
      </c>
      <c r="S549" s="117" t="str">
        <f>IF(kokpit!S549&lt;&gt;"",kokpit!S549,"")</f>
        <v/>
      </c>
      <c r="T549" s="117" t="str">
        <f>IF(kokpit!T549&lt;&gt;"",kokpit!T549,"")</f>
        <v/>
      </c>
      <c r="U549" s="141" t="str">
        <f>IF(R549&lt;&gt;"",SUMIFS('JPK_KR-1'!AL:AL,'JPK_KR-1'!W:W,S549),"")</f>
        <v/>
      </c>
      <c r="V549" s="144" t="str">
        <f>IF(R549&lt;&gt;"",SUMIFS('JPK_KR-1'!AM:AM,'JPK_KR-1'!W:W,S549),"")</f>
        <v/>
      </c>
    </row>
    <row r="550" spans="1:22" x14ac:dyDescent="0.3">
      <c r="A550" s="5" t="str">
        <f>IF(kokpit!A550&lt;&gt;"",kokpit!A550,"")</f>
        <v/>
      </c>
      <c r="B550" s="5" t="str">
        <f>IF(kokpit!B550&lt;&gt;"",kokpit!B550,"")</f>
        <v/>
      </c>
      <c r="C550" s="24" t="str">
        <f>IF(A550&lt;&gt;"",SUMIFS('JPK_KR-1'!AL:AL,'JPK_KR-1'!W:W,B550),"")</f>
        <v/>
      </c>
      <c r="D550" s="126" t="str">
        <f>IF(A550&lt;&gt;"",SUMIFS('JPK_KR-1'!AM:AM,'JPK_KR-1'!W:W,B550),"")</f>
        <v/>
      </c>
      <c r="E550" s="5" t="str">
        <f>IF(kokpit!E550&lt;&gt;"",kokpit!E550,"")</f>
        <v/>
      </c>
      <c r="F550" s="127" t="str">
        <f>IF(kokpit!F550&lt;&gt;"",kokpit!F550,"")</f>
        <v/>
      </c>
      <c r="G550" s="24" t="str">
        <f>IF(E550&lt;&gt;"",SUMIFS('JPK_KR-1'!AL:AL,'JPK_KR-1'!W:W,F550),"")</f>
        <v/>
      </c>
      <c r="H550" s="126" t="str">
        <f>IF(E550&lt;&gt;"",SUMIFS('JPK_KR-1'!AM:AM,'JPK_KR-1'!W:W,F550),"")</f>
        <v/>
      </c>
      <c r="I550" s="5" t="str">
        <f>IF(kokpit!I550&lt;&gt;"",kokpit!I550,"")</f>
        <v/>
      </c>
      <c r="J550" s="5" t="str">
        <f>IF(kokpit!J550&lt;&gt;"",kokpit!J550,"")</f>
        <v/>
      </c>
      <c r="K550" s="24" t="str">
        <f>IF(I550&lt;&gt;"",SUMIFS('JPK_KR-1'!AL:AL,'JPK_KR-1'!W:W,J550),"")</f>
        <v/>
      </c>
      <c r="L550" s="141" t="str">
        <f>IF(I550&lt;&gt;"",SUMIFS('JPK_KR-1'!AM:AM,'JPK_KR-1'!W:W,J550),"")</f>
        <v/>
      </c>
      <c r="M550" s="143" t="str">
        <f>IF(kokpit!M550&lt;&gt;"",kokpit!M550,"")</f>
        <v/>
      </c>
      <c r="N550" s="117" t="str">
        <f>IF(kokpit!N550&lt;&gt;"",kokpit!N550,"")</f>
        <v/>
      </c>
      <c r="O550" s="117" t="str">
        <f>IF(kokpit!O550&lt;&gt;"",kokpit!O550,"")</f>
        <v/>
      </c>
      <c r="P550" s="141" t="str">
        <f>IF(M550&lt;&gt;"",IF(O550="",SUMIFS('JPK_KR-1'!AL:AL,'JPK_KR-1'!W:W,N550),SUMIFS('JPK_KR-1'!BF:BF,'JPK_KR-1'!BE:BE,N550,'JPK_KR-1'!BG:BG,O550)),"")</f>
        <v/>
      </c>
      <c r="Q550" s="144" t="str">
        <f>IF(M550&lt;&gt;"",IF(O550="",SUMIFS('JPK_KR-1'!AM:AM,'JPK_KR-1'!W:W,N550),SUMIFS('JPK_KR-1'!BI:BI,'JPK_KR-1'!BH:BH,N550,'JPK_KR-1'!BJ:BJ,O550)),"")</f>
        <v/>
      </c>
      <c r="R550" s="117" t="str">
        <f>IF(kokpit!R550&lt;&gt;"",kokpit!R550,"")</f>
        <v/>
      </c>
      <c r="S550" s="117" t="str">
        <f>IF(kokpit!S550&lt;&gt;"",kokpit!S550,"")</f>
        <v/>
      </c>
      <c r="T550" s="117" t="str">
        <f>IF(kokpit!T550&lt;&gt;"",kokpit!T550,"")</f>
        <v/>
      </c>
      <c r="U550" s="141" t="str">
        <f>IF(R550&lt;&gt;"",SUMIFS('JPK_KR-1'!AL:AL,'JPK_KR-1'!W:W,S550),"")</f>
        <v/>
      </c>
      <c r="V550" s="144" t="str">
        <f>IF(R550&lt;&gt;"",SUMIFS('JPK_KR-1'!AM:AM,'JPK_KR-1'!W:W,S550),"")</f>
        <v/>
      </c>
    </row>
    <row r="551" spans="1:22" x14ac:dyDescent="0.3">
      <c r="A551" s="5" t="str">
        <f>IF(kokpit!A551&lt;&gt;"",kokpit!A551,"")</f>
        <v/>
      </c>
      <c r="B551" s="5" t="str">
        <f>IF(kokpit!B551&lt;&gt;"",kokpit!B551,"")</f>
        <v/>
      </c>
      <c r="C551" s="24" t="str">
        <f>IF(A551&lt;&gt;"",SUMIFS('JPK_KR-1'!AL:AL,'JPK_KR-1'!W:W,B551),"")</f>
        <v/>
      </c>
      <c r="D551" s="126" t="str">
        <f>IF(A551&lt;&gt;"",SUMIFS('JPK_KR-1'!AM:AM,'JPK_KR-1'!W:W,B551),"")</f>
        <v/>
      </c>
      <c r="E551" s="5" t="str">
        <f>IF(kokpit!E551&lt;&gt;"",kokpit!E551,"")</f>
        <v/>
      </c>
      <c r="F551" s="127" t="str">
        <f>IF(kokpit!F551&lt;&gt;"",kokpit!F551,"")</f>
        <v/>
      </c>
      <c r="G551" s="24" t="str">
        <f>IF(E551&lt;&gt;"",SUMIFS('JPK_KR-1'!AL:AL,'JPK_KR-1'!W:W,F551),"")</f>
        <v/>
      </c>
      <c r="H551" s="126" t="str">
        <f>IF(E551&lt;&gt;"",SUMIFS('JPK_KR-1'!AM:AM,'JPK_KR-1'!W:W,F551),"")</f>
        <v/>
      </c>
      <c r="I551" s="5" t="str">
        <f>IF(kokpit!I551&lt;&gt;"",kokpit!I551,"")</f>
        <v/>
      </c>
      <c r="J551" s="5" t="str">
        <f>IF(kokpit!J551&lt;&gt;"",kokpit!J551,"")</f>
        <v/>
      </c>
      <c r="K551" s="24" t="str">
        <f>IF(I551&lt;&gt;"",SUMIFS('JPK_KR-1'!AL:AL,'JPK_KR-1'!W:W,J551),"")</f>
        <v/>
      </c>
      <c r="L551" s="141" t="str">
        <f>IF(I551&lt;&gt;"",SUMIFS('JPK_KR-1'!AM:AM,'JPK_KR-1'!W:W,J551),"")</f>
        <v/>
      </c>
      <c r="M551" s="143" t="str">
        <f>IF(kokpit!M551&lt;&gt;"",kokpit!M551,"")</f>
        <v/>
      </c>
      <c r="N551" s="117" t="str">
        <f>IF(kokpit!N551&lt;&gt;"",kokpit!N551,"")</f>
        <v/>
      </c>
      <c r="O551" s="117" t="str">
        <f>IF(kokpit!O551&lt;&gt;"",kokpit!O551,"")</f>
        <v/>
      </c>
      <c r="P551" s="141" t="str">
        <f>IF(M551&lt;&gt;"",IF(O551="",SUMIFS('JPK_KR-1'!AL:AL,'JPK_KR-1'!W:W,N551),SUMIFS('JPK_KR-1'!BF:BF,'JPK_KR-1'!BE:BE,N551,'JPK_KR-1'!BG:BG,O551)),"")</f>
        <v/>
      </c>
      <c r="Q551" s="144" t="str">
        <f>IF(M551&lt;&gt;"",IF(O551="",SUMIFS('JPK_KR-1'!AM:AM,'JPK_KR-1'!W:W,N551),SUMIFS('JPK_KR-1'!BI:BI,'JPK_KR-1'!BH:BH,N551,'JPK_KR-1'!BJ:BJ,O551)),"")</f>
        <v/>
      </c>
      <c r="R551" s="117" t="str">
        <f>IF(kokpit!R551&lt;&gt;"",kokpit!R551,"")</f>
        <v/>
      </c>
      <c r="S551" s="117" t="str">
        <f>IF(kokpit!S551&lt;&gt;"",kokpit!S551,"")</f>
        <v/>
      </c>
      <c r="T551" s="117" t="str">
        <f>IF(kokpit!T551&lt;&gt;"",kokpit!T551,"")</f>
        <v/>
      </c>
      <c r="U551" s="141" t="str">
        <f>IF(R551&lt;&gt;"",SUMIFS('JPK_KR-1'!AL:AL,'JPK_KR-1'!W:W,S551),"")</f>
        <v/>
      </c>
      <c r="V551" s="144" t="str">
        <f>IF(R551&lt;&gt;"",SUMIFS('JPK_KR-1'!AM:AM,'JPK_KR-1'!W:W,S551),"")</f>
        <v/>
      </c>
    </row>
    <row r="552" spans="1:22" x14ac:dyDescent="0.3">
      <c r="A552" s="5" t="str">
        <f>IF(kokpit!A552&lt;&gt;"",kokpit!A552,"")</f>
        <v/>
      </c>
      <c r="B552" s="5" t="str">
        <f>IF(kokpit!B552&lt;&gt;"",kokpit!B552,"")</f>
        <v/>
      </c>
      <c r="C552" s="24" t="str">
        <f>IF(A552&lt;&gt;"",SUMIFS('JPK_KR-1'!AL:AL,'JPK_KR-1'!W:W,B552),"")</f>
        <v/>
      </c>
      <c r="D552" s="126" t="str">
        <f>IF(A552&lt;&gt;"",SUMIFS('JPK_KR-1'!AM:AM,'JPK_KR-1'!W:W,B552),"")</f>
        <v/>
      </c>
      <c r="E552" s="5" t="str">
        <f>IF(kokpit!E552&lt;&gt;"",kokpit!E552,"")</f>
        <v/>
      </c>
      <c r="F552" s="127" t="str">
        <f>IF(kokpit!F552&lt;&gt;"",kokpit!F552,"")</f>
        <v/>
      </c>
      <c r="G552" s="24" t="str">
        <f>IF(E552&lt;&gt;"",SUMIFS('JPK_KR-1'!AL:AL,'JPK_KR-1'!W:W,F552),"")</f>
        <v/>
      </c>
      <c r="H552" s="126" t="str">
        <f>IF(E552&lt;&gt;"",SUMIFS('JPK_KR-1'!AM:AM,'JPK_KR-1'!W:W,F552),"")</f>
        <v/>
      </c>
      <c r="I552" s="5" t="str">
        <f>IF(kokpit!I552&lt;&gt;"",kokpit!I552,"")</f>
        <v/>
      </c>
      <c r="J552" s="5" t="str">
        <f>IF(kokpit!J552&lt;&gt;"",kokpit!J552,"")</f>
        <v/>
      </c>
      <c r="K552" s="24" t="str">
        <f>IF(I552&lt;&gt;"",SUMIFS('JPK_KR-1'!AL:AL,'JPK_KR-1'!W:W,J552),"")</f>
        <v/>
      </c>
      <c r="L552" s="141" t="str">
        <f>IF(I552&lt;&gt;"",SUMIFS('JPK_KR-1'!AM:AM,'JPK_KR-1'!W:W,J552),"")</f>
        <v/>
      </c>
      <c r="M552" s="143" t="str">
        <f>IF(kokpit!M552&lt;&gt;"",kokpit!M552,"")</f>
        <v/>
      </c>
      <c r="N552" s="117" t="str">
        <f>IF(kokpit!N552&lt;&gt;"",kokpit!N552,"")</f>
        <v/>
      </c>
      <c r="O552" s="117" t="str">
        <f>IF(kokpit!O552&lt;&gt;"",kokpit!O552,"")</f>
        <v/>
      </c>
      <c r="P552" s="141" t="str">
        <f>IF(M552&lt;&gt;"",IF(O552="",SUMIFS('JPK_KR-1'!AL:AL,'JPK_KR-1'!W:W,N552),SUMIFS('JPK_KR-1'!BF:BF,'JPK_KR-1'!BE:BE,N552,'JPK_KR-1'!BG:BG,O552)),"")</f>
        <v/>
      </c>
      <c r="Q552" s="144" t="str">
        <f>IF(M552&lt;&gt;"",IF(O552="",SUMIFS('JPK_KR-1'!AM:AM,'JPK_KR-1'!W:W,N552),SUMIFS('JPK_KR-1'!BI:BI,'JPK_KR-1'!BH:BH,N552,'JPK_KR-1'!BJ:BJ,O552)),"")</f>
        <v/>
      </c>
      <c r="R552" s="117" t="str">
        <f>IF(kokpit!R552&lt;&gt;"",kokpit!R552,"")</f>
        <v/>
      </c>
      <c r="S552" s="117" t="str">
        <f>IF(kokpit!S552&lt;&gt;"",kokpit!S552,"")</f>
        <v/>
      </c>
      <c r="T552" s="117" t="str">
        <f>IF(kokpit!T552&lt;&gt;"",kokpit!T552,"")</f>
        <v/>
      </c>
      <c r="U552" s="141" t="str">
        <f>IF(R552&lt;&gt;"",SUMIFS('JPK_KR-1'!AL:AL,'JPK_KR-1'!W:W,S552),"")</f>
        <v/>
      </c>
      <c r="V552" s="144" t="str">
        <f>IF(R552&lt;&gt;"",SUMIFS('JPK_KR-1'!AM:AM,'JPK_KR-1'!W:W,S552),"")</f>
        <v/>
      </c>
    </row>
    <row r="553" spans="1:22" x14ac:dyDescent="0.3">
      <c r="A553" s="5" t="str">
        <f>IF(kokpit!A553&lt;&gt;"",kokpit!A553,"")</f>
        <v/>
      </c>
      <c r="B553" s="5" t="str">
        <f>IF(kokpit!B553&lt;&gt;"",kokpit!B553,"")</f>
        <v/>
      </c>
      <c r="C553" s="24" t="str">
        <f>IF(A553&lt;&gt;"",SUMIFS('JPK_KR-1'!AL:AL,'JPK_KR-1'!W:W,B553),"")</f>
        <v/>
      </c>
      <c r="D553" s="126" t="str">
        <f>IF(A553&lt;&gt;"",SUMIFS('JPK_KR-1'!AM:AM,'JPK_KR-1'!W:W,B553),"")</f>
        <v/>
      </c>
      <c r="E553" s="5" t="str">
        <f>IF(kokpit!E553&lt;&gt;"",kokpit!E553,"")</f>
        <v/>
      </c>
      <c r="F553" s="127" t="str">
        <f>IF(kokpit!F553&lt;&gt;"",kokpit!F553,"")</f>
        <v/>
      </c>
      <c r="G553" s="24" t="str">
        <f>IF(E553&lt;&gt;"",SUMIFS('JPK_KR-1'!AL:AL,'JPK_KR-1'!W:W,F553),"")</f>
        <v/>
      </c>
      <c r="H553" s="126" t="str">
        <f>IF(E553&lt;&gt;"",SUMIFS('JPK_KR-1'!AM:AM,'JPK_KR-1'!W:W,F553),"")</f>
        <v/>
      </c>
      <c r="I553" s="5" t="str">
        <f>IF(kokpit!I553&lt;&gt;"",kokpit!I553,"")</f>
        <v/>
      </c>
      <c r="J553" s="5" t="str">
        <f>IF(kokpit!J553&lt;&gt;"",kokpit!J553,"")</f>
        <v/>
      </c>
      <c r="K553" s="24" t="str">
        <f>IF(I553&lt;&gt;"",SUMIFS('JPK_KR-1'!AL:AL,'JPK_KR-1'!W:W,J553),"")</f>
        <v/>
      </c>
      <c r="L553" s="141" t="str">
        <f>IF(I553&lt;&gt;"",SUMIFS('JPK_KR-1'!AM:AM,'JPK_KR-1'!W:W,J553),"")</f>
        <v/>
      </c>
      <c r="M553" s="143" t="str">
        <f>IF(kokpit!M553&lt;&gt;"",kokpit!M553,"")</f>
        <v/>
      </c>
      <c r="N553" s="117" t="str">
        <f>IF(kokpit!N553&lt;&gt;"",kokpit!N553,"")</f>
        <v/>
      </c>
      <c r="O553" s="117" t="str">
        <f>IF(kokpit!O553&lt;&gt;"",kokpit!O553,"")</f>
        <v/>
      </c>
      <c r="P553" s="141" t="str">
        <f>IF(M553&lt;&gt;"",IF(O553="",SUMIFS('JPK_KR-1'!AL:AL,'JPK_KR-1'!W:W,N553),SUMIFS('JPK_KR-1'!BF:BF,'JPK_KR-1'!BE:BE,N553,'JPK_KR-1'!BG:BG,O553)),"")</f>
        <v/>
      </c>
      <c r="Q553" s="144" t="str">
        <f>IF(M553&lt;&gt;"",IF(O553="",SUMIFS('JPK_KR-1'!AM:AM,'JPK_KR-1'!W:W,N553),SUMIFS('JPK_KR-1'!BI:BI,'JPK_KR-1'!BH:BH,N553,'JPK_KR-1'!BJ:BJ,O553)),"")</f>
        <v/>
      </c>
      <c r="R553" s="117" t="str">
        <f>IF(kokpit!R553&lt;&gt;"",kokpit!R553,"")</f>
        <v/>
      </c>
      <c r="S553" s="117" t="str">
        <f>IF(kokpit!S553&lt;&gt;"",kokpit!S553,"")</f>
        <v/>
      </c>
      <c r="T553" s="117" t="str">
        <f>IF(kokpit!T553&lt;&gt;"",kokpit!T553,"")</f>
        <v/>
      </c>
      <c r="U553" s="141" t="str">
        <f>IF(R553&lt;&gt;"",SUMIFS('JPK_KR-1'!AL:AL,'JPK_KR-1'!W:W,S553),"")</f>
        <v/>
      </c>
      <c r="V553" s="144" t="str">
        <f>IF(R553&lt;&gt;"",SUMIFS('JPK_KR-1'!AM:AM,'JPK_KR-1'!W:W,S553),"")</f>
        <v/>
      </c>
    </row>
    <row r="554" spans="1:22" x14ac:dyDescent="0.3">
      <c r="A554" s="5" t="str">
        <f>IF(kokpit!A554&lt;&gt;"",kokpit!A554,"")</f>
        <v/>
      </c>
      <c r="B554" s="5" t="str">
        <f>IF(kokpit!B554&lt;&gt;"",kokpit!B554,"")</f>
        <v/>
      </c>
      <c r="C554" s="24" t="str">
        <f>IF(A554&lt;&gt;"",SUMIFS('JPK_KR-1'!AL:AL,'JPK_KR-1'!W:W,B554),"")</f>
        <v/>
      </c>
      <c r="D554" s="126" t="str">
        <f>IF(A554&lt;&gt;"",SUMIFS('JPK_KR-1'!AM:AM,'JPK_KR-1'!W:W,B554),"")</f>
        <v/>
      </c>
      <c r="E554" s="5" t="str">
        <f>IF(kokpit!E554&lt;&gt;"",kokpit!E554,"")</f>
        <v/>
      </c>
      <c r="F554" s="127" t="str">
        <f>IF(kokpit!F554&lt;&gt;"",kokpit!F554,"")</f>
        <v/>
      </c>
      <c r="G554" s="24" t="str">
        <f>IF(E554&lt;&gt;"",SUMIFS('JPK_KR-1'!AL:AL,'JPK_KR-1'!W:W,F554),"")</f>
        <v/>
      </c>
      <c r="H554" s="126" t="str">
        <f>IF(E554&lt;&gt;"",SUMIFS('JPK_KR-1'!AM:AM,'JPK_KR-1'!W:W,F554),"")</f>
        <v/>
      </c>
      <c r="I554" s="5" t="str">
        <f>IF(kokpit!I554&lt;&gt;"",kokpit!I554,"")</f>
        <v/>
      </c>
      <c r="J554" s="5" t="str">
        <f>IF(kokpit!J554&lt;&gt;"",kokpit!J554,"")</f>
        <v/>
      </c>
      <c r="K554" s="24" t="str">
        <f>IF(I554&lt;&gt;"",SUMIFS('JPK_KR-1'!AL:AL,'JPK_KR-1'!W:W,J554),"")</f>
        <v/>
      </c>
      <c r="L554" s="141" t="str">
        <f>IF(I554&lt;&gt;"",SUMIFS('JPK_KR-1'!AM:AM,'JPK_KR-1'!W:W,J554),"")</f>
        <v/>
      </c>
      <c r="M554" s="143" t="str">
        <f>IF(kokpit!M554&lt;&gt;"",kokpit!M554,"")</f>
        <v/>
      </c>
      <c r="N554" s="117" t="str">
        <f>IF(kokpit!N554&lt;&gt;"",kokpit!N554,"")</f>
        <v/>
      </c>
      <c r="O554" s="117" t="str">
        <f>IF(kokpit!O554&lt;&gt;"",kokpit!O554,"")</f>
        <v/>
      </c>
      <c r="P554" s="141" t="str">
        <f>IF(M554&lt;&gt;"",IF(O554="",SUMIFS('JPK_KR-1'!AL:AL,'JPK_KR-1'!W:W,N554),SUMIFS('JPK_KR-1'!BF:BF,'JPK_KR-1'!BE:BE,N554,'JPK_KR-1'!BG:BG,O554)),"")</f>
        <v/>
      </c>
      <c r="Q554" s="144" t="str">
        <f>IF(M554&lt;&gt;"",IF(O554="",SUMIFS('JPK_KR-1'!AM:AM,'JPK_KR-1'!W:W,N554),SUMIFS('JPK_KR-1'!BI:BI,'JPK_KR-1'!BH:BH,N554,'JPK_KR-1'!BJ:BJ,O554)),"")</f>
        <v/>
      </c>
      <c r="R554" s="117" t="str">
        <f>IF(kokpit!R554&lt;&gt;"",kokpit!R554,"")</f>
        <v/>
      </c>
      <c r="S554" s="117" t="str">
        <f>IF(kokpit!S554&lt;&gt;"",kokpit!S554,"")</f>
        <v/>
      </c>
      <c r="T554" s="117" t="str">
        <f>IF(kokpit!T554&lt;&gt;"",kokpit!T554,"")</f>
        <v/>
      </c>
      <c r="U554" s="141" t="str">
        <f>IF(R554&lt;&gt;"",SUMIFS('JPK_KR-1'!AL:AL,'JPK_KR-1'!W:W,S554),"")</f>
        <v/>
      </c>
      <c r="V554" s="144" t="str">
        <f>IF(R554&lt;&gt;"",SUMIFS('JPK_KR-1'!AM:AM,'JPK_KR-1'!W:W,S554),"")</f>
        <v/>
      </c>
    </row>
    <row r="555" spans="1:22" x14ac:dyDescent="0.3">
      <c r="A555" s="5" t="str">
        <f>IF(kokpit!A555&lt;&gt;"",kokpit!A555,"")</f>
        <v/>
      </c>
      <c r="B555" s="5" t="str">
        <f>IF(kokpit!B555&lt;&gt;"",kokpit!B555,"")</f>
        <v/>
      </c>
      <c r="C555" s="24" t="str">
        <f>IF(A555&lt;&gt;"",SUMIFS('JPK_KR-1'!AL:AL,'JPK_KR-1'!W:W,B555),"")</f>
        <v/>
      </c>
      <c r="D555" s="126" t="str">
        <f>IF(A555&lt;&gt;"",SUMIFS('JPK_KR-1'!AM:AM,'JPK_KR-1'!W:W,B555),"")</f>
        <v/>
      </c>
      <c r="E555" s="5" t="str">
        <f>IF(kokpit!E555&lt;&gt;"",kokpit!E555,"")</f>
        <v/>
      </c>
      <c r="F555" s="127" t="str">
        <f>IF(kokpit!F555&lt;&gt;"",kokpit!F555,"")</f>
        <v/>
      </c>
      <c r="G555" s="24" t="str">
        <f>IF(E555&lt;&gt;"",SUMIFS('JPK_KR-1'!AL:AL,'JPK_KR-1'!W:W,F555),"")</f>
        <v/>
      </c>
      <c r="H555" s="126" t="str">
        <f>IF(E555&lt;&gt;"",SUMIFS('JPK_KR-1'!AM:AM,'JPK_KR-1'!W:W,F555),"")</f>
        <v/>
      </c>
      <c r="I555" s="5" t="str">
        <f>IF(kokpit!I555&lt;&gt;"",kokpit!I555,"")</f>
        <v/>
      </c>
      <c r="J555" s="5" t="str">
        <f>IF(kokpit!J555&lt;&gt;"",kokpit!J555,"")</f>
        <v/>
      </c>
      <c r="K555" s="24" t="str">
        <f>IF(I555&lt;&gt;"",SUMIFS('JPK_KR-1'!AL:AL,'JPK_KR-1'!W:W,J555),"")</f>
        <v/>
      </c>
      <c r="L555" s="141" t="str">
        <f>IF(I555&lt;&gt;"",SUMIFS('JPK_KR-1'!AM:AM,'JPK_KR-1'!W:W,J555),"")</f>
        <v/>
      </c>
      <c r="M555" s="143" t="str">
        <f>IF(kokpit!M555&lt;&gt;"",kokpit!M555,"")</f>
        <v/>
      </c>
      <c r="N555" s="117" t="str">
        <f>IF(kokpit!N555&lt;&gt;"",kokpit!N555,"")</f>
        <v/>
      </c>
      <c r="O555" s="117" t="str">
        <f>IF(kokpit!O555&lt;&gt;"",kokpit!O555,"")</f>
        <v/>
      </c>
      <c r="P555" s="141" t="str">
        <f>IF(M555&lt;&gt;"",IF(O555="",SUMIFS('JPK_KR-1'!AL:AL,'JPK_KR-1'!W:W,N555),SUMIFS('JPK_KR-1'!BF:BF,'JPK_KR-1'!BE:BE,N555,'JPK_KR-1'!BG:BG,O555)),"")</f>
        <v/>
      </c>
      <c r="Q555" s="144" t="str">
        <f>IF(M555&lt;&gt;"",IF(O555="",SUMIFS('JPK_KR-1'!AM:AM,'JPK_KR-1'!W:W,N555),SUMIFS('JPK_KR-1'!BI:BI,'JPK_KR-1'!BH:BH,N555,'JPK_KR-1'!BJ:BJ,O555)),"")</f>
        <v/>
      </c>
      <c r="R555" s="117" t="str">
        <f>IF(kokpit!R555&lt;&gt;"",kokpit!R555,"")</f>
        <v/>
      </c>
      <c r="S555" s="117" t="str">
        <f>IF(kokpit!S555&lt;&gt;"",kokpit!S555,"")</f>
        <v/>
      </c>
      <c r="T555" s="117" t="str">
        <f>IF(kokpit!T555&lt;&gt;"",kokpit!T555,"")</f>
        <v/>
      </c>
      <c r="U555" s="141" t="str">
        <f>IF(R555&lt;&gt;"",SUMIFS('JPK_KR-1'!AL:AL,'JPK_KR-1'!W:W,S555),"")</f>
        <v/>
      </c>
      <c r="V555" s="144" t="str">
        <f>IF(R555&lt;&gt;"",SUMIFS('JPK_KR-1'!AM:AM,'JPK_KR-1'!W:W,S555),"")</f>
        <v/>
      </c>
    </row>
    <row r="556" spans="1:22" x14ac:dyDescent="0.3">
      <c r="A556" s="5" t="str">
        <f>IF(kokpit!A556&lt;&gt;"",kokpit!A556,"")</f>
        <v/>
      </c>
      <c r="B556" s="5" t="str">
        <f>IF(kokpit!B556&lt;&gt;"",kokpit!B556,"")</f>
        <v/>
      </c>
      <c r="C556" s="24" t="str">
        <f>IF(A556&lt;&gt;"",SUMIFS('JPK_KR-1'!AL:AL,'JPK_KR-1'!W:W,B556),"")</f>
        <v/>
      </c>
      <c r="D556" s="126" t="str">
        <f>IF(A556&lt;&gt;"",SUMIFS('JPK_KR-1'!AM:AM,'JPK_KR-1'!W:W,B556),"")</f>
        <v/>
      </c>
      <c r="E556" s="5" t="str">
        <f>IF(kokpit!E556&lt;&gt;"",kokpit!E556,"")</f>
        <v/>
      </c>
      <c r="F556" s="127" t="str">
        <f>IF(kokpit!F556&lt;&gt;"",kokpit!F556,"")</f>
        <v/>
      </c>
      <c r="G556" s="24" t="str">
        <f>IF(E556&lt;&gt;"",SUMIFS('JPK_KR-1'!AL:AL,'JPK_KR-1'!W:W,F556),"")</f>
        <v/>
      </c>
      <c r="H556" s="126" t="str">
        <f>IF(E556&lt;&gt;"",SUMIFS('JPK_KR-1'!AM:AM,'JPK_KR-1'!W:W,F556),"")</f>
        <v/>
      </c>
      <c r="I556" s="5" t="str">
        <f>IF(kokpit!I556&lt;&gt;"",kokpit!I556,"")</f>
        <v/>
      </c>
      <c r="J556" s="5" t="str">
        <f>IF(kokpit!J556&lt;&gt;"",kokpit!J556,"")</f>
        <v/>
      </c>
      <c r="K556" s="24" t="str">
        <f>IF(I556&lt;&gt;"",SUMIFS('JPK_KR-1'!AL:AL,'JPK_KR-1'!W:W,J556),"")</f>
        <v/>
      </c>
      <c r="L556" s="141" t="str">
        <f>IF(I556&lt;&gt;"",SUMIFS('JPK_KR-1'!AM:AM,'JPK_KR-1'!W:W,J556),"")</f>
        <v/>
      </c>
      <c r="M556" s="143" t="str">
        <f>IF(kokpit!M556&lt;&gt;"",kokpit!M556,"")</f>
        <v/>
      </c>
      <c r="N556" s="117" t="str">
        <f>IF(kokpit!N556&lt;&gt;"",kokpit!N556,"")</f>
        <v/>
      </c>
      <c r="O556" s="117" t="str">
        <f>IF(kokpit!O556&lt;&gt;"",kokpit!O556,"")</f>
        <v/>
      </c>
      <c r="P556" s="141" t="str">
        <f>IF(M556&lt;&gt;"",IF(O556="",SUMIFS('JPK_KR-1'!AL:AL,'JPK_KR-1'!W:W,N556),SUMIFS('JPK_KR-1'!BF:BF,'JPK_KR-1'!BE:BE,N556,'JPK_KR-1'!BG:BG,O556)),"")</f>
        <v/>
      </c>
      <c r="Q556" s="144" t="str">
        <f>IF(M556&lt;&gt;"",IF(O556="",SUMIFS('JPK_KR-1'!AM:AM,'JPK_KR-1'!W:W,N556),SUMIFS('JPK_KR-1'!BI:BI,'JPK_KR-1'!BH:BH,N556,'JPK_KR-1'!BJ:BJ,O556)),"")</f>
        <v/>
      </c>
      <c r="R556" s="117" t="str">
        <f>IF(kokpit!R556&lt;&gt;"",kokpit!R556,"")</f>
        <v/>
      </c>
      <c r="S556" s="117" t="str">
        <f>IF(kokpit!S556&lt;&gt;"",kokpit!S556,"")</f>
        <v/>
      </c>
      <c r="T556" s="117" t="str">
        <f>IF(kokpit!T556&lt;&gt;"",kokpit!T556,"")</f>
        <v/>
      </c>
      <c r="U556" s="141" t="str">
        <f>IF(R556&lt;&gt;"",SUMIFS('JPK_KR-1'!AL:AL,'JPK_KR-1'!W:W,S556),"")</f>
        <v/>
      </c>
      <c r="V556" s="144" t="str">
        <f>IF(R556&lt;&gt;"",SUMIFS('JPK_KR-1'!AM:AM,'JPK_KR-1'!W:W,S556),"")</f>
        <v/>
      </c>
    </row>
    <row r="557" spans="1:22" x14ac:dyDescent="0.3">
      <c r="A557" s="5" t="str">
        <f>IF(kokpit!A557&lt;&gt;"",kokpit!A557,"")</f>
        <v/>
      </c>
      <c r="B557" s="5" t="str">
        <f>IF(kokpit!B557&lt;&gt;"",kokpit!B557,"")</f>
        <v/>
      </c>
      <c r="C557" s="24" t="str">
        <f>IF(A557&lt;&gt;"",SUMIFS('JPK_KR-1'!AL:AL,'JPK_KR-1'!W:W,B557),"")</f>
        <v/>
      </c>
      <c r="D557" s="126" t="str">
        <f>IF(A557&lt;&gt;"",SUMIFS('JPK_KR-1'!AM:AM,'JPK_KR-1'!W:W,B557),"")</f>
        <v/>
      </c>
      <c r="E557" s="5" t="str">
        <f>IF(kokpit!E557&lt;&gt;"",kokpit!E557,"")</f>
        <v/>
      </c>
      <c r="F557" s="127" t="str">
        <f>IF(kokpit!F557&lt;&gt;"",kokpit!F557,"")</f>
        <v/>
      </c>
      <c r="G557" s="24" t="str">
        <f>IF(E557&lt;&gt;"",SUMIFS('JPK_KR-1'!AL:AL,'JPK_KR-1'!W:W,F557),"")</f>
        <v/>
      </c>
      <c r="H557" s="126" t="str">
        <f>IF(E557&lt;&gt;"",SUMIFS('JPK_KR-1'!AM:AM,'JPK_KR-1'!W:W,F557),"")</f>
        <v/>
      </c>
      <c r="I557" s="5" t="str">
        <f>IF(kokpit!I557&lt;&gt;"",kokpit!I557,"")</f>
        <v/>
      </c>
      <c r="J557" s="5" t="str">
        <f>IF(kokpit!J557&lt;&gt;"",kokpit!J557,"")</f>
        <v/>
      </c>
      <c r="K557" s="24" t="str">
        <f>IF(I557&lt;&gt;"",SUMIFS('JPK_KR-1'!AL:AL,'JPK_KR-1'!W:W,J557),"")</f>
        <v/>
      </c>
      <c r="L557" s="141" t="str">
        <f>IF(I557&lt;&gt;"",SUMIFS('JPK_KR-1'!AM:AM,'JPK_KR-1'!W:W,J557),"")</f>
        <v/>
      </c>
      <c r="M557" s="143" t="str">
        <f>IF(kokpit!M557&lt;&gt;"",kokpit!M557,"")</f>
        <v/>
      </c>
      <c r="N557" s="117" t="str">
        <f>IF(kokpit!N557&lt;&gt;"",kokpit!N557,"")</f>
        <v/>
      </c>
      <c r="O557" s="117" t="str">
        <f>IF(kokpit!O557&lt;&gt;"",kokpit!O557,"")</f>
        <v/>
      </c>
      <c r="P557" s="141" t="str">
        <f>IF(M557&lt;&gt;"",IF(O557="",SUMIFS('JPK_KR-1'!AL:AL,'JPK_KR-1'!W:W,N557),SUMIFS('JPK_KR-1'!BF:BF,'JPK_KR-1'!BE:BE,N557,'JPK_KR-1'!BG:BG,O557)),"")</f>
        <v/>
      </c>
      <c r="Q557" s="144" t="str">
        <f>IF(M557&lt;&gt;"",IF(O557="",SUMIFS('JPK_KR-1'!AM:AM,'JPK_KR-1'!W:W,N557),SUMIFS('JPK_KR-1'!BI:BI,'JPK_KR-1'!BH:BH,N557,'JPK_KR-1'!BJ:BJ,O557)),"")</f>
        <v/>
      </c>
      <c r="R557" s="117" t="str">
        <f>IF(kokpit!R557&lt;&gt;"",kokpit!R557,"")</f>
        <v/>
      </c>
      <c r="S557" s="117" t="str">
        <f>IF(kokpit!S557&lt;&gt;"",kokpit!S557,"")</f>
        <v/>
      </c>
      <c r="T557" s="117" t="str">
        <f>IF(kokpit!T557&lt;&gt;"",kokpit!T557,"")</f>
        <v/>
      </c>
      <c r="U557" s="141" t="str">
        <f>IF(R557&lt;&gt;"",SUMIFS('JPK_KR-1'!AL:AL,'JPK_KR-1'!W:W,S557),"")</f>
        <v/>
      </c>
      <c r="V557" s="144" t="str">
        <f>IF(R557&lt;&gt;"",SUMIFS('JPK_KR-1'!AM:AM,'JPK_KR-1'!W:W,S557),"")</f>
        <v/>
      </c>
    </row>
    <row r="558" spans="1:22" x14ac:dyDescent="0.3">
      <c r="A558" s="5" t="str">
        <f>IF(kokpit!A558&lt;&gt;"",kokpit!A558,"")</f>
        <v/>
      </c>
      <c r="B558" s="5" t="str">
        <f>IF(kokpit!B558&lt;&gt;"",kokpit!B558,"")</f>
        <v/>
      </c>
      <c r="C558" s="24" t="str">
        <f>IF(A558&lt;&gt;"",SUMIFS('JPK_KR-1'!AL:AL,'JPK_KR-1'!W:W,B558),"")</f>
        <v/>
      </c>
      <c r="D558" s="126" t="str">
        <f>IF(A558&lt;&gt;"",SUMIFS('JPK_KR-1'!AM:AM,'JPK_KR-1'!W:W,B558),"")</f>
        <v/>
      </c>
      <c r="E558" s="5" t="str">
        <f>IF(kokpit!E558&lt;&gt;"",kokpit!E558,"")</f>
        <v/>
      </c>
      <c r="F558" s="127" t="str">
        <f>IF(kokpit!F558&lt;&gt;"",kokpit!F558,"")</f>
        <v/>
      </c>
      <c r="G558" s="24" t="str">
        <f>IF(E558&lt;&gt;"",SUMIFS('JPK_KR-1'!AL:AL,'JPK_KR-1'!W:W,F558),"")</f>
        <v/>
      </c>
      <c r="H558" s="126" t="str">
        <f>IF(E558&lt;&gt;"",SUMIFS('JPK_KR-1'!AM:AM,'JPK_KR-1'!W:W,F558),"")</f>
        <v/>
      </c>
      <c r="I558" s="5" t="str">
        <f>IF(kokpit!I558&lt;&gt;"",kokpit!I558,"")</f>
        <v/>
      </c>
      <c r="J558" s="5" t="str">
        <f>IF(kokpit!J558&lt;&gt;"",kokpit!J558,"")</f>
        <v/>
      </c>
      <c r="K558" s="24" t="str">
        <f>IF(I558&lt;&gt;"",SUMIFS('JPK_KR-1'!AL:AL,'JPK_KR-1'!W:W,J558),"")</f>
        <v/>
      </c>
      <c r="L558" s="141" t="str">
        <f>IF(I558&lt;&gt;"",SUMIFS('JPK_KR-1'!AM:AM,'JPK_KR-1'!W:W,J558),"")</f>
        <v/>
      </c>
      <c r="M558" s="143" t="str">
        <f>IF(kokpit!M558&lt;&gt;"",kokpit!M558,"")</f>
        <v/>
      </c>
      <c r="N558" s="117" t="str">
        <f>IF(kokpit!N558&lt;&gt;"",kokpit!N558,"")</f>
        <v/>
      </c>
      <c r="O558" s="117" t="str">
        <f>IF(kokpit!O558&lt;&gt;"",kokpit!O558,"")</f>
        <v/>
      </c>
      <c r="P558" s="141" t="str">
        <f>IF(M558&lt;&gt;"",IF(O558="",SUMIFS('JPK_KR-1'!AL:AL,'JPK_KR-1'!W:W,N558),SUMIFS('JPK_KR-1'!BF:BF,'JPK_KR-1'!BE:BE,N558,'JPK_KR-1'!BG:BG,O558)),"")</f>
        <v/>
      </c>
      <c r="Q558" s="144" t="str">
        <f>IF(M558&lt;&gt;"",IF(O558="",SUMIFS('JPK_KR-1'!AM:AM,'JPK_KR-1'!W:W,N558),SUMIFS('JPK_KR-1'!BI:BI,'JPK_KR-1'!BH:BH,N558,'JPK_KR-1'!BJ:BJ,O558)),"")</f>
        <v/>
      </c>
      <c r="R558" s="117" t="str">
        <f>IF(kokpit!R558&lt;&gt;"",kokpit!R558,"")</f>
        <v/>
      </c>
      <c r="S558" s="117" t="str">
        <f>IF(kokpit!S558&lt;&gt;"",kokpit!S558,"")</f>
        <v/>
      </c>
      <c r="T558" s="117" t="str">
        <f>IF(kokpit!T558&lt;&gt;"",kokpit!T558,"")</f>
        <v/>
      </c>
      <c r="U558" s="141" t="str">
        <f>IF(R558&lt;&gt;"",SUMIFS('JPK_KR-1'!AL:AL,'JPK_KR-1'!W:W,S558),"")</f>
        <v/>
      </c>
      <c r="V558" s="144" t="str">
        <f>IF(R558&lt;&gt;"",SUMIFS('JPK_KR-1'!AM:AM,'JPK_KR-1'!W:W,S558),"")</f>
        <v/>
      </c>
    </row>
    <row r="559" spans="1:22" x14ac:dyDescent="0.3">
      <c r="A559" s="5" t="str">
        <f>IF(kokpit!A559&lt;&gt;"",kokpit!A559,"")</f>
        <v/>
      </c>
      <c r="B559" s="5" t="str">
        <f>IF(kokpit!B559&lt;&gt;"",kokpit!B559,"")</f>
        <v/>
      </c>
      <c r="C559" s="24" t="str">
        <f>IF(A559&lt;&gt;"",SUMIFS('JPK_KR-1'!AL:AL,'JPK_KR-1'!W:W,B559),"")</f>
        <v/>
      </c>
      <c r="D559" s="126" t="str">
        <f>IF(A559&lt;&gt;"",SUMIFS('JPK_KR-1'!AM:AM,'JPK_KR-1'!W:W,B559),"")</f>
        <v/>
      </c>
      <c r="E559" s="5" t="str">
        <f>IF(kokpit!E559&lt;&gt;"",kokpit!E559,"")</f>
        <v/>
      </c>
      <c r="F559" s="127" t="str">
        <f>IF(kokpit!F559&lt;&gt;"",kokpit!F559,"")</f>
        <v/>
      </c>
      <c r="G559" s="24" t="str">
        <f>IF(E559&lt;&gt;"",SUMIFS('JPK_KR-1'!AL:AL,'JPK_KR-1'!W:W,F559),"")</f>
        <v/>
      </c>
      <c r="H559" s="126" t="str">
        <f>IF(E559&lt;&gt;"",SUMIFS('JPK_KR-1'!AM:AM,'JPK_KR-1'!W:W,F559),"")</f>
        <v/>
      </c>
      <c r="I559" s="5" t="str">
        <f>IF(kokpit!I559&lt;&gt;"",kokpit!I559,"")</f>
        <v/>
      </c>
      <c r="J559" s="5" t="str">
        <f>IF(kokpit!J559&lt;&gt;"",kokpit!J559,"")</f>
        <v/>
      </c>
      <c r="K559" s="24" t="str">
        <f>IF(I559&lt;&gt;"",SUMIFS('JPK_KR-1'!AL:AL,'JPK_KR-1'!W:W,J559),"")</f>
        <v/>
      </c>
      <c r="L559" s="141" t="str">
        <f>IF(I559&lt;&gt;"",SUMIFS('JPK_KR-1'!AM:AM,'JPK_KR-1'!W:W,J559),"")</f>
        <v/>
      </c>
      <c r="M559" s="143" t="str">
        <f>IF(kokpit!M559&lt;&gt;"",kokpit!M559,"")</f>
        <v/>
      </c>
      <c r="N559" s="117" t="str">
        <f>IF(kokpit!N559&lt;&gt;"",kokpit!N559,"")</f>
        <v/>
      </c>
      <c r="O559" s="117" t="str">
        <f>IF(kokpit!O559&lt;&gt;"",kokpit!O559,"")</f>
        <v/>
      </c>
      <c r="P559" s="141" t="str">
        <f>IF(M559&lt;&gt;"",IF(O559="",SUMIFS('JPK_KR-1'!AL:AL,'JPK_KR-1'!W:W,N559),SUMIFS('JPK_KR-1'!BF:BF,'JPK_KR-1'!BE:BE,N559,'JPK_KR-1'!BG:BG,O559)),"")</f>
        <v/>
      </c>
      <c r="Q559" s="144" t="str">
        <f>IF(M559&lt;&gt;"",IF(O559="",SUMIFS('JPK_KR-1'!AM:AM,'JPK_KR-1'!W:W,N559),SUMIFS('JPK_KR-1'!BI:BI,'JPK_KR-1'!BH:BH,N559,'JPK_KR-1'!BJ:BJ,O559)),"")</f>
        <v/>
      </c>
      <c r="R559" s="117" t="str">
        <f>IF(kokpit!R559&lt;&gt;"",kokpit!R559,"")</f>
        <v/>
      </c>
      <c r="S559" s="117" t="str">
        <f>IF(kokpit!S559&lt;&gt;"",kokpit!S559,"")</f>
        <v/>
      </c>
      <c r="T559" s="117" t="str">
        <f>IF(kokpit!T559&lt;&gt;"",kokpit!T559,"")</f>
        <v/>
      </c>
      <c r="U559" s="141" t="str">
        <f>IF(R559&lt;&gt;"",SUMIFS('JPK_KR-1'!AL:AL,'JPK_KR-1'!W:W,S559),"")</f>
        <v/>
      </c>
      <c r="V559" s="144" t="str">
        <f>IF(R559&lt;&gt;"",SUMIFS('JPK_KR-1'!AM:AM,'JPK_KR-1'!W:W,S559),"")</f>
        <v/>
      </c>
    </row>
    <row r="560" spans="1:22" x14ac:dyDescent="0.3">
      <c r="A560" s="5" t="str">
        <f>IF(kokpit!A560&lt;&gt;"",kokpit!A560,"")</f>
        <v/>
      </c>
      <c r="B560" s="5" t="str">
        <f>IF(kokpit!B560&lt;&gt;"",kokpit!B560,"")</f>
        <v/>
      </c>
      <c r="C560" s="24" t="str">
        <f>IF(A560&lt;&gt;"",SUMIFS('JPK_KR-1'!AL:AL,'JPK_KR-1'!W:W,B560),"")</f>
        <v/>
      </c>
      <c r="D560" s="126" t="str">
        <f>IF(A560&lt;&gt;"",SUMIFS('JPK_KR-1'!AM:AM,'JPK_KR-1'!W:W,B560),"")</f>
        <v/>
      </c>
      <c r="E560" s="5" t="str">
        <f>IF(kokpit!E560&lt;&gt;"",kokpit!E560,"")</f>
        <v/>
      </c>
      <c r="F560" s="127" t="str">
        <f>IF(kokpit!F560&lt;&gt;"",kokpit!F560,"")</f>
        <v/>
      </c>
      <c r="G560" s="24" t="str">
        <f>IF(E560&lt;&gt;"",SUMIFS('JPK_KR-1'!AL:AL,'JPK_KR-1'!W:W,F560),"")</f>
        <v/>
      </c>
      <c r="H560" s="126" t="str">
        <f>IF(E560&lt;&gt;"",SUMIFS('JPK_KR-1'!AM:AM,'JPK_KR-1'!W:W,F560),"")</f>
        <v/>
      </c>
      <c r="I560" s="5" t="str">
        <f>IF(kokpit!I560&lt;&gt;"",kokpit!I560,"")</f>
        <v/>
      </c>
      <c r="J560" s="5" t="str">
        <f>IF(kokpit!J560&lt;&gt;"",kokpit!J560,"")</f>
        <v/>
      </c>
      <c r="K560" s="24" t="str">
        <f>IF(I560&lt;&gt;"",SUMIFS('JPK_KR-1'!AL:AL,'JPK_KR-1'!W:W,J560),"")</f>
        <v/>
      </c>
      <c r="L560" s="141" t="str">
        <f>IF(I560&lt;&gt;"",SUMIFS('JPK_KR-1'!AM:AM,'JPK_KR-1'!W:W,J560),"")</f>
        <v/>
      </c>
      <c r="M560" s="143" t="str">
        <f>IF(kokpit!M560&lt;&gt;"",kokpit!M560,"")</f>
        <v/>
      </c>
      <c r="N560" s="117" t="str">
        <f>IF(kokpit!N560&lt;&gt;"",kokpit!N560,"")</f>
        <v/>
      </c>
      <c r="O560" s="117" t="str">
        <f>IF(kokpit!O560&lt;&gt;"",kokpit!O560,"")</f>
        <v/>
      </c>
      <c r="P560" s="141" t="str">
        <f>IF(M560&lt;&gt;"",IF(O560="",SUMIFS('JPK_KR-1'!AL:AL,'JPK_KR-1'!W:W,N560),SUMIFS('JPK_KR-1'!BF:BF,'JPK_KR-1'!BE:BE,N560,'JPK_KR-1'!BG:BG,O560)),"")</f>
        <v/>
      </c>
      <c r="Q560" s="144" t="str">
        <f>IF(M560&lt;&gt;"",IF(O560="",SUMIFS('JPK_KR-1'!AM:AM,'JPK_KR-1'!W:W,N560),SUMIFS('JPK_KR-1'!BI:BI,'JPK_KR-1'!BH:BH,N560,'JPK_KR-1'!BJ:BJ,O560)),"")</f>
        <v/>
      </c>
      <c r="R560" s="117" t="str">
        <f>IF(kokpit!R560&lt;&gt;"",kokpit!R560,"")</f>
        <v/>
      </c>
      <c r="S560" s="117" t="str">
        <f>IF(kokpit!S560&lt;&gt;"",kokpit!S560,"")</f>
        <v/>
      </c>
      <c r="T560" s="117" t="str">
        <f>IF(kokpit!T560&lt;&gt;"",kokpit!T560,"")</f>
        <v/>
      </c>
      <c r="U560" s="141" t="str">
        <f>IF(R560&lt;&gt;"",SUMIFS('JPK_KR-1'!AL:AL,'JPK_KR-1'!W:W,S560),"")</f>
        <v/>
      </c>
      <c r="V560" s="144" t="str">
        <f>IF(R560&lt;&gt;"",SUMIFS('JPK_KR-1'!AM:AM,'JPK_KR-1'!W:W,S560),"")</f>
        <v/>
      </c>
    </row>
    <row r="561" spans="1:22" x14ac:dyDescent="0.3">
      <c r="A561" s="5" t="str">
        <f>IF(kokpit!A561&lt;&gt;"",kokpit!A561,"")</f>
        <v/>
      </c>
      <c r="B561" s="5" t="str">
        <f>IF(kokpit!B561&lt;&gt;"",kokpit!B561,"")</f>
        <v/>
      </c>
      <c r="C561" s="24" t="str">
        <f>IF(A561&lt;&gt;"",SUMIFS('JPK_KR-1'!AL:AL,'JPK_KR-1'!W:W,B561),"")</f>
        <v/>
      </c>
      <c r="D561" s="126" t="str">
        <f>IF(A561&lt;&gt;"",SUMIFS('JPK_KR-1'!AM:AM,'JPK_KR-1'!W:W,B561),"")</f>
        <v/>
      </c>
      <c r="E561" s="5" t="str">
        <f>IF(kokpit!E561&lt;&gt;"",kokpit!E561,"")</f>
        <v/>
      </c>
      <c r="F561" s="127" t="str">
        <f>IF(kokpit!F561&lt;&gt;"",kokpit!F561,"")</f>
        <v/>
      </c>
      <c r="G561" s="24" t="str">
        <f>IF(E561&lt;&gt;"",SUMIFS('JPK_KR-1'!AL:AL,'JPK_KR-1'!W:W,F561),"")</f>
        <v/>
      </c>
      <c r="H561" s="126" t="str">
        <f>IF(E561&lt;&gt;"",SUMIFS('JPK_KR-1'!AM:AM,'JPK_KR-1'!W:W,F561),"")</f>
        <v/>
      </c>
      <c r="I561" s="5" t="str">
        <f>IF(kokpit!I561&lt;&gt;"",kokpit!I561,"")</f>
        <v/>
      </c>
      <c r="J561" s="5" t="str">
        <f>IF(kokpit!J561&lt;&gt;"",kokpit!J561,"")</f>
        <v/>
      </c>
      <c r="K561" s="24" t="str">
        <f>IF(I561&lt;&gt;"",SUMIFS('JPK_KR-1'!AL:AL,'JPK_KR-1'!W:W,J561),"")</f>
        <v/>
      </c>
      <c r="L561" s="141" t="str">
        <f>IF(I561&lt;&gt;"",SUMIFS('JPK_KR-1'!AM:AM,'JPK_KR-1'!W:W,J561),"")</f>
        <v/>
      </c>
      <c r="M561" s="143" t="str">
        <f>IF(kokpit!M561&lt;&gt;"",kokpit!M561,"")</f>
        <v/>
      </c>
      <c r="N561" s="117" t="str">
        <f>IF(kokpit!N561&lt;&gt;"",kokpit!N561,"")</f>
        <v/>
      </c>
      <c r="O561" s="117" t="str">
        <f>IF(kokpit!O561&lt;&gt;"",kokpit!O561,"")</f>
        <v/>
      </c>
      <c r="P561" s="141" t="str">
        <f>IF(M561&lt;&gt;"",IF(O561="",SUMIFS('JPK_KR-1'!AL:AL,'JPK_KR-1'!W:W,N561),SUMIFS('JPK_KR-1'!BF:BF,'JPK_KR-1'!BE:BE,N561,'JPK_KR-1'!BG:BG,O561)),"")</f>
        <v/>
      </c>
      <c r="Q561" s="144" t="str">
        <f>IF(M561&lt;&gt;"",IF(O561="",SUMIFS('JPK_KR-1'!AM:AM,'JPK_KR-1'!W:W,N561),SUMIFS('JPK_KR-1'!BI:BI,'JPK_KR-1'!BH:BH,N561,'JPK_KR-1'!BJ:BJ,O561)),"")</f>
        <v/>
      </c>
      <c r="R561" s="117" t="str">
        <f>IF(kokpit!R561&lt;&gt;"",kokpit!R561,"")</f>
        <v/>
      </c>
      <c r="S561" s="117" t="str">
        <f>IF(kokpit!S561&lt;&gt;"",kokpit!S561,"")</f>
        <v/>
      </c>
      <c r="T561" s="117" t="str">
        <f>IF(kokpit!T561&lt;&gt;"",kokpit!T561,"")</f>
        <v/>
      </c>
      <c r="U561" s="141" t="str">
        <f>IF(R561&lt;&gt;"",SUMIFS('JPK_KR-1'!AL:AL,'JPK_KR-1'!W:W,S561),"")</f>
        <v/>
      </c>
      <c r="V561" s="144" t="str">
        <f>IF(R561&lt;&gt;"",SUMIFS('JPK_KR-1'!AM:AM,'JPK_KR-1'!W:W,S561),"")</f>
        <v/>
      </c>
    </row>
    <row r="562" spans="1:22" x14ac:dyDescent="0.3">
      <c r="A562" s="5" t="str">
        <f>IF(kokpit!A562&lt;&gt;"",kokpit!A562,"")</f>
        <v/>
      </c>
      <c r="B562" s="5" t="str">
        <f>IF(kokpit!B562&lt;&gt;"",kokpit!B562,"")</f>
        <v/>
      </c>
      <c r="C562" s="24" t="str">
        <f>IF(A562&lt;&gt;"",SUMIFS('JPK_KR-1'!AL:AL,'JPK_KR-1'!W:W,B562),"")</f>
        <v/>
      </c>
      <c r="D562" s="126" t="str">
        <f>IF(A562&lt;&gt;"",SUMIFS('JPK_KR-1'!AM:AM,'JPK_KR-1'!W:W,B562),"")</f>
        <v/>
      </c>
      <c r="E562" s="5" t="str">
        <f>IF(kokpit!E562&lt;&gt;"",kokpit!E562,"")</f>
        <v/>
      </c>
      <c r="F562" s="127" t="str">
        <f>IF(kokpit!F562&lt;&gt;"",kokpit!F562,"")</f>
        <v/>
      </c>
      <c r="G562" s="24" t="str">
        <f>IF(E562&lt;&gt;"",SUMIFS('JPK_KR-1'!AL:AL,'JPK_KR-1'!W:W,F562),"")</f>
        <v/>
      </c>
      <c r="H562" s="126" t="str">
        <f>IF(E562&lt;&gt;"",SUMIFS('JPK_KR-1'!AM:AM,'JPK_KR-1'!W:W,F562),"")</f>
        <v/>
      </c>
      <c r="I562" s="5" t="str">
        <f>IF(kokpit!I562&lt;&gt;"",kokpit!I562,"")</f>
        <v/>
      </c>
      <c r="J562" s="5" t="str">
        <f>IF(kokpit!J562&lt;&gt;"",kokpit!J562,"")</f>
        <v/>
      </c>
      <c r="K562" s="24" t="str">
        <f>IF(I562&lt;&gt;"",SUMIFS('JPK_KR-1'!AL:AL,'JPK_KR-1'!W:W,J562),"")</f>
        <v/>
      </c>
      <c r="L562" s="141" t="str">
        <f>IF(I562&lt;&gt;"",SUMIFS('JPK_KR-1'!AM:AM,'JPK_KR-1'!W:W,J562),"")</f>
        <v/>
      </c>
      <c r="M562" s="143" t="str">
        <f>IF(kokpit!M562&lt;&gt;"",kokpit!M562,"")</f>
        <v/>
      </c>
      <c r="N562" s="117" t="str">
        <f>IF(kokpit!N562&lt;&gt;"",kokpit!N562,"")</f>
        <v/>
      </c>
      <c r="O562" s="117" t="str">
        <f>IF(kokpit!O562&lt;&gt;"",kokpit!O562,"")</f>
        <v/>
      </c>
      <c r="P562" s="141" t="str">
        <f>IF(M562&lt;&gt;"",IF(O562="",SUMIFS('JPK_KR-1'!AL:AL,'JPK_KR-1'!W:W,N562),SUMIFS('JPK_KR-1'!BF:BF,'JPK_KR-1'!BE:BE,N562,'JPK_KR-1'!BG:BG,O562)),"")</f>
        <v/>
      </c>
      <c r="Q562" s="144" t="str">
        <f>IF(M562&lt;&gt;"",IF(O562="",SUMIFS('JPK_KR-1'!AM:AM,'JPK_KR-1'!W:W,N562),SUMIFS('JPK_KR-1'!BI:BI,'JPK_KR-1'!BH:BH,N562,'JPK_KR-1'!BJ:BJ,O562)),"")</f>
        <v/>
      </c>
      <c r="R562" s="117" t="str">
        <f>IF(kokpit!R562&lt;&gt;"",kokpit!R562,"")</f>
        <v/>
      </c>
      <c r="S562" s="117" t="str">
        <f>IF(kokpit!S562&lt;&gt;"",kokpit!S562,"")</f>
        <v/>
      </c>
      <c r="T562" s="117" t="str">
        <f>IF(kokpit!T562&lt;&gt;"",kokpit!T562,"")</f>
        <v/>
      </c>
      <c r="U562" s="141" t="str">
        <f>IF(R562&lt;&gt;"",SUMIFS('JPK_KR-1'!AL:AL,'JPK_KR-1'!W:W,S562),"")</f>
        <v/>
      </c>
      <c r="V562" s="144" t="str">
        <f>IF(R562&lt;&gt;"",SUMIFS('JPK_KR-1'!AM:AM,'JPK_KR-1'!W:W,S562),"")</f>
        <v/>
      </c>
    </row>
    <row r="563" spans="1:22" x14ac:dyDescent="0.3">
      <c r="A563" s="5" t="str">
        <f>IF(kokpit!A563&lt;&gt;"",kokpit!A563,"")</f>
        <v/>
      </c>
      <c r="B563" s="5" t="str">
        <f>IF(kokpit!B563&lt;&gt;"",kokpit!B563,"")</f>
        <v/>
      </c>
      <c r="C563" s="24" t="str">
        <f>IF(A563&lt;&gt;"",SUMIFS('JPK_KR-1'!AL:AL,'JPK_KR-1'!W:W,B563),"")</f>
        <v/>
      </c>
      <c r="D563" s="126" t="str">
        <f>IF(A563&lt;&gt;"",SUMIFS('JPK_KR-1'!AM:AM,'JPK_KR-1'!W:W,B563),"")</f>
        <v/>
      </c>
      <c r="E563" s="5" t="str">
        <f>IF(kokpit!E563&lt;&gt;"",kokpit!E563,"")</f>
        <v/>
      </c>
      <c r="F563" s="127" t="str">
        <f>IF(kokpit!F563&lt;&gt;"",kokpit!F563,"")</f>
        <v/>
      </c>
      <c r="G563" s="24" t="str">
        <f>IF(E563&lt;&gt;"",SUMIFS('JPK_KR-1'!AL:AL,'JPK_KR-1'!W:W,F563),"")</f>
        <v/>
      </c>
      <c r="H563" s="126" t="str">
        <f>IF(E563&lt;&gt;"",SUMIFS('JPK_KR-1'!AM:AM,'JPK_KR-1'!W:W,F563),"")</f>
        <v/>
      </c>
      <c r="I563" s="5" t="str">
        <f>IF(kokpit!I563&lt;&gt;"",kokpit!I563,"")</f>
        <v/>
      </c>
      <c r="J563" s="5" t="str">
        <f>IF(kokpit!J563&lt;&gt;"",kokpit!J563,"")</f>
        <v/>
      </c>
      <c r="K563" s="24" t="str">
        <f>IF(I563&lt;&gt;"",SUMIFS('JPK_KR-1'!AL:AL,'JPK_KR-1'!W:W,J563),"")</f>
        <v/>
      </c>
      <c r="L563" s="141" t="str">
        <f>IF(I563&lt;&gt;"",SUMIFS('JPK_KR-1'!AM:AM,'JPK_KR-1'!W:W,J563),"")</f>
        <v/>
      </c>
      <c r="M563" s="143" t="str">
        <f>IF(kokpit!M563&lt;&gt;"",kokpit!M563,"")</f>
        <v/>
      </c>
      <c r="N563" s="117" t="str">
        <f>IF(kokpit!N563&lt;&gt;"",kokpit!N563,"")</f>
        <v/>
      </c>
      <c r="O563" s="117" t="str">
        <f>IF(kokpit!O563&lt;&gt;"",kokpit!O563,"")</f>
        <v/>
      </c>
      <c r="P563" s="141" t="str">
        <f>IF(M563&lt;&gt;"",IF(O563="",SUMIFS('JPK_KR-1'!AL:AL,'JPK_KR-1'!W:W,N563),SUMIFS('JPK_KR-1'!BF:BF,'JPK_KR-1'!BE:BE,N563,'JPK_KR-1'!BG:BG,O563)),"")</f>
        <v/>
      </c>
      <c r="Q563" s="144" t="str">
        <f>IF(M563&lt;&gt;"",IF(O563="",SUMIFS('JPK_KR-1'!AM:AM,'JPK_KR-1'!W:W,N563),SUMIFS('JPK_KR-1'!BI:BI,'JPK_KR-1'!BH:BH,N563,'JPK_KR-1'!BJ:BJ,O563)),"")</f>
        <v/>
      </c>
      <c r="R563" s="117" t="str">
        <f>IF(kokpit!R563&lt;&gt;"",kokpit!R563,"")</f>
        <v/>
      </c>
      <c r="S563" s="117" t="str">
        <f>IF(kokpit!S563&lt;&gt;"",kokpit!S563,"")</f>
        <v/>
      </c>
      <c r="T563" s="117" t="str">
        <f>IF(kokpit!T563&lt;&gt;"",kokpit!T563,"")</f>
        <v/>
      </c>
      <c r="U563" s="141" t="str">
        <f>IF(R563&lt;&gt;"",SUMIFS('JPK_KR-1'!AL:AL,'JPK_KR-1'!W:W,S563),"")</f>
        <v/>
      </c>
      <c r="V563" s="144" t="str">
        <f>IF(R563&lt;&gt;"",SUMIFS('JPK_KR-1'!AM:AM,'JPK_KR-1'!W:W,S563),"")</f>
        <v/>
      </c>
    </row>
    <row r="564" spans="1:22" x14ac:dyDescent="0.3">
      <c r="A564" s="5" t="str">
        <f>IF(kokpit!A564&lt;&gt;"",kokpit!A564,"")</f>
        <v/>
      </c>
      <c r="B564" s="5" t="str">
        <f>IF(kokpit!B564&lt;&gt;"",kokpit!B564,"")</f>
        <v/>
      </c>
      <c r="C564" s="24" t="str">
        <f>IF(A564&lt;&gt;"",SUMIFS('JPK_KR-1'!AL:AL,'JPK_KR-1'!W:W,B564),"")</f>
        <v/>
      </c>
      <c r="D564" s="126" t="str">
        <f>IF(A564&lt;&gt;"",SUMIFS('JPK_KR-1'!AM:AM,'JPK_KR-1'!W:W,B564),"")</f>
        <v/>
      </c>
      <c r="E564" s="5" t="str">
        <f>IF(kokpit!E564&lt;&gt;"",kokpit!E564,"")</f>
        <v/>
      </c>
      <c r="F564" s="127" t="str">
        <f>IF(kokpit!F564&lt;&gt;"",kokpit!F564,"")</f>
        <v/>
      </c>
      <c r="G564" s="24" t="str">
        <f>IF(E564&lt;&gt;"",SUMIFS('JPK_KR-1'!AL:AL,'JPK_KR-1'!W:W,F564),"")</f>
        <v/>
      </c>
      <c r="H564" s="126" t="str">
        <f>IF(E564&lt;&gt;"",SUMIFS('JPK_KR-1'!AM:AM,'JPK_KR-1'!W:W,F564),"")</f>
        <v/>
      </c>
      <c r="I564" s="5" t="str">
        <f>IF(kokpit!I564&lt;&gt;"",kokpit!I564,"")</f>
        <v/>
      </c>
      <c r="J564" s="5" t="str">
        <f>IF(kokpit!J564&lt;&gt;"",kokpit!J564,"")</f>
        <v/>
      </c>
      <c r="K564" s="24" t="str">
        <f>IF(I564&lt;&gt;"",SUMIFS('JPK_KR-1'!AL:AL,'JPK_KR-1'!W:W,J564),"")</f>
        <v/>
      </c>
      <c r="L564" s="141" t="str">
        <f>IF(I564&lt;&gt;"",SUMIFS('JPK_KR-1'!AM:AM,'JPK_KR-1'!W:W,J564),"")</f>
        <v/>
      </c>
      <c r="M564" s="143" t="str">
        <f>IF(kokpit!M564&lt;&gt;"",kokpit!M564,"")</f>
        <v/>
      </c>
      <c r="N564" s="117" t="str">
        <f>IF(kokpit!N564&lt;&gt;"",kokpit!N564,"")</f>
        <v/>
      </c>
      <c r="O564" s="117" t="str">
        <f>IF(kokpit!O564&lt;&gt;"",kokpit!O564,"")</f>
        <v/>
      </c>
      <c r="P564" s="141" t="str">
        <f>IF(M564&lt;&gt;"",IF(O564="",SUMIFS('JPK_KR-1'!AL:AL,'JPK_KR-1'!W:W,N564),SUMIFS('JPK_KR-1'!BF:BF,'JPK_KR-1'!BE:BE,N564,'JPK_KR-1'!BG:BG,O564)),"")</f>
        <v/>
      </c>
      <c r="Q564" s="144" t="str">
        <f>IF(M564&lt;&gt;"",IF(O564="",SUMIFS('JPK_KR-1'!AM:AM,'JPK_KR-1'!W:W,N564),SUMIFS('JPK_KR-1'!BI:BI,'JPK_KR-1'!BH:BH,N564,'JPK_KR-1'!BJ:BJ,O564)),"")</f>
        <v/>
      </c>
      <c r="R564" s="117" t="str">
        <f>IF(kokpit!R564&lt;&gt;"",kokpit!R564,"")</f>
        <v/>
      </c>
      <c r="S564" s="117" t="str">
        <f>IF(kokpit!S564&lt;&gt;"",kokpit!S564,"")</f>
        <v/>
      </c>
      <c r="T564" s="117" t="str">
        <f>IF(kokpit!T564&lt;&gt;"",kokpit!T564,"")</f>
        <v/>
      </c>
      <c r="U564" s="141" t="str">
        <f>IF(R564&lt;&gt;"",SUMIFS('JPK_KR-1'!AL:AL,'JPK_KR-1'!W:W,S564),"")</f>
        <v/>
      </c>
      <c r="V564" s="144" t="str">
        <f>IF(R564&lt;&gt;"",SUMIFS('JPK_KR-1'!AM:AM,'JPK_KR-1'!W:W,S564),"")</f>
        <v/>
      </c>
    </row>
    <row r="565" spans="1:22" x14ac:dyDescent="0.3">
      <c r="A565" s="5" t="str">
        <f>IF(kokpit!A565&lt;&gt;"",kokpit!A565,"")</f>
        <v/>
      </c>
      <c r="B565" s="5" t="str">
        <f>IF(kokpit!B565&lt;&gt;"",kokpit!B565,"")</f>
        <v/>
      </c>
      <c r="C565" s="24" t="str">
        <f>IF(A565&lt;&gt;"",SUMIFS('JPK_KR-1'!AL:AL,'JPK_KR-1'!W:W,B565),"")</f>
        <v/>
      </c>
      <c r="D565" s="126" t="str">
        <f>IF(A565&lt;&gt;"",SUMIFS('JPK_KR-1'!AM:AM,'JPK_KR-1'!W:W,B565),"")</f>
        <v/>
      </c>
      <c r="E565" s="5" t="str">
        <f>IF(kokpit!E565&lt;&gt;"",kokpit!E565,"")</f>
        <v/>
      </c>
      <c r="F565" s="127" t="str">
        <f>IF(kokpit!F565&lt;&gt;"",kokpit!F565,"")</f>
        <v/>
      </c>
      <c r="G565" s="24" t="str">
        <f>IF(E565&lt;&gt;"",SUMIFS('JPK_KR-1'!AL:AL,'JPK_KR-1'!W:W,F565),"")</f>
        <v/>
      </c>
      <c r="H565" s="126" t="str">
        <f>IF(E565&lt;&gt;"",SUMIFS('JPK_KR-1'!AM:AM,'JPK_KR-1'!W:W,F565),"")</f>
        <v/>
      </c>
      <c r="I565" s="5" t="str">
        <f>IF(kokpit!I565&lt;&gt;"",kokpit!I565,"")</f>
        <v/>
      </c>
      <c r="J565" s="5" t="str">
        <f>IF(kokpit!J565&lt;&gt;"",kokpit!J565,"")</f>
        <v/>
      </c>
      <c r="K565" s="24" t="str">
        <f>IF(I565&lt;&gt;"",SUMIFS('JPK_KR-1'!AL:AL,'JPK_KR-1'!W:W,J565),"")</f>
        <v/>
      </c>
      <c r="L565" s="141" t="str">
        <f>IF(I565&lt;&gt;"",SUMIFS('JPK_KR-1'!AM:AM,'JPK_KR-1'!W:W,J565),"")</f>
        <v/>
      </c>
      <c r="M565" s="143" t="str">
        <f>IF(kokpit!M565&lt;&gt;"",kokpit!M565,"")</f>
        <v/>
      </c>
      <c r="N565" s="117" t="str">
        <f>IF(kokpit!N565&lt;&gt;"",kokpit!N565,"")</f>
        <v/>
      </c>
      <c r="O565" s="117" t="str">
        <f>IF(kokpit!O565&lt;&gt;"",kokpit!O565,"")</f>
        <v/>
      </c>
      <c r="P565" s="141" t="str">
        <f>IF(M565&lt;&gt;"",IF(O565="",SUMIFS('JPK_KR-1'!AL:AL,'JPK_KR-1'!W:W,N565),SUMIFS('JPK_KR-1'!BF:BF,'JPK_KR-1'!BE:BE,N565,'JPK_KR-1'!BG:BG,O565)),"")</f>
        <v/>
      </c>
      <c r="Q565" s="144" t="str">
        <f>IF(M565&lt;&gt;"",IF(O565="",SUMIFS('JPK_KR-1'!AM:AM,'JPK_KR-1'!W:W,N565),SUMIFS('JPK_KR-1'!BI:BI,'JPK_KR-1'!BH:BH,N565,'JPK_KR-1'!BJ:BJ,O565)),"")</f>
        <v/>
      </c>
      <c r="R565" s="117" t="str">
        <f>IF(kokpit!R565&lt;&gt;"",kokpit!R565,"")</f>
        <v/>
      </c>
      <c r="S565" s="117" t="str">
        <f>IF(kokpit!S565&lt;&gt;"",kokpit!S565,"")</f>
        <v/>
      </c>
      <c r="T565" s="117" t="str">
        <f>IF(kokpit!T565&lt;&gt;"",kokpit!T565,"")</f>
        <v/>
      </c>
      <c r="U565" s="141" t="str">
        <f>IF(R565&lt;&gt;"",SUMIFS('JPK_KR-1'!AL:AL,'JPK_KR-1'!W:W,S565),"")</f>
        <v/>
      </c>
      <c r="V565" s="144" t="str">
        <f>IF(R565&lt;&gt;"",SUMIFS('JPK_KR-1'!AM:AM,'JPK_KR-1'!W:W,S565),"")</f>
        <v/>
      </c>
    </row>
    <row r="566" spans="1:22" x14ac:dyDescent="0.3">
      <c r="A566" s="5" t="str">
        <f>IF(kokpit!A566&lt;&gt;"",kokpit!A566,"")</f>
        <v/>
      </c>
      <c r="B566" s="5" t="str">
        <f>IF(kokpit!B566&lt;&gt;"",kokpit!B566,"")</f>
        <v/>
      </c>
      <c r="C566" s="24" t="str">
        <f>IF(A566&lt;&gt;"",SUMIFS('JPK_KR-1'!AL:AL,'JPK_KR-1'!W:W,B566),"")</f>
        <v/>
      </c>
      <c r="D566" s="126" t="str">
        <f>IF(A566&lt;&gt;"",SUMIFS('JPK_KR-1'!AM:AM,'JPK_KR-1'!W:W,B566),"")</f>
        <v/>
      </c>
      <c r="E566" s="5" t="str">
        <f>IF(kokpit!E566&lt;&gt;"",kokpit!E566,"")</f>
        <v/>
      </c>
      <c r="F566" s="127" t="str">
        <f>IF(kokpit!F566&lt;&gt;"",kokpit!F566,"")</f>
        <v/>
      </c>
      <c r="G566" s="24" t="str">
        <f>IF(E566&lt;&gt;"",SUMIFS('JPK_KR-1'!AL:AL,'JPK_KR-1'!W:W,F566),"")</f>
        <v/>
      </c>
      <c r="H566" s="126" t="str">
        <f>IF(E566&lt;&gt;"",SUMIFS('JPK_KR-1'!AM:AM,'JPK_KR-1'!W:W,F566),"")</f>
        <v/>
      </c>
      <c r="I566" s="5" t="str">
        <f>IF(kokpit!I566&lt;&gt;"",kokpit!I566,"")</f>
        <v/>
      </c>
      <c r="J566" s="5" t="str">
        <f>IF(kokpit!J566&lt;&gt;"",kokpit!J566,"")</f>
        <v/>
      </c>
      <c r="K566" s="24" t="str">
        <f>IF(I566&lt;&gt;"",SUMIFS('JPK_KR-1'!AL:AL,'JPK_KR-1'!W:W,J566),"")</f>
        <v/>
      </c>
      <c r="L566" s="141" t="str">
        <f>IF(I566&lt;&gt;"",SUMIFS('JPK_KR-1'!AM:AM,'JPK_KR-1'!W:W,J566),"")</f>
        <v/>
      </c>
      <c r="M566" s="143" t="str">
        <f>IF(kokpit!M566&lt;&gt;"",kokpit!M566,"")</f>
        <v/>
      </c>
      <c r="N566" s="117" t="str">
        <f>IF(kokpit!N566&lt;&gt;"",kokpit!N566,"")</f>
        <v/>
      </c>
      <c r="O566" s="117" t="str">
        <f>IF(kokpit!O566&lt;&gt;"",kokpit!O566,"")</f>
        <v/>
      </c>
      <c r="P566" s="141" t="str">
        <f>IF(M566&lt;&gt;"",IF(O566="",SUMIFS('JPK_KR-1'!AL:AL,'JPK_KR-1'!W:W,N566),SUMIFS('JPK_KR-1'!BF:BF,'JPK_KR-1'!BE:BE,N566,'JPK_KR-1'!BG:BG,O566)),"")</f>
        <v/>
      </c>
      <c r="Q566" s="144" t="str">
        <f>IF(M566&lt;&gt;"",IF(O566="",SUMIFS('JPK_KR-1'!AM:AM,'JPK_KR-1'!W:W,N566),SUMIFS('JPK_KR-1'!BI:BI,'JPK_KR-1'!BH:BH,N566,'JPK_KR-1'!BJ:BJ,O566)),"")</f>
        <v/>
      </c>
      <c r="R566" s="117" t="str">
        <f>IF(kokpit!R566&lt;&gt;"",kokpit!R566,"")</f>
        <v/>
      </c>
      <c r="S566" s="117" t="str">
        <f>IF(kokpit!S566&lt;&gt;"",kokpit!S566,"")</f>
        <v/>
      </c>
      <c r="T566" s="117" t="str">
        <f>IF(kokpit!T566&lt;&gt;"",kokpit!T566,"")</f>
        <v/>
      </c>
      <c r="U566" s="141" t="str">
        <f>IF(R566&lt;&gt;"",SUMIFS('JPK_KR-1'!AL:AL,'JPK_KR-1'!W:W,S566),"")</f>
        <v/>
      </c>
      <c r="V566" s="144" t="str">
        <f>IF(R566&lt;&gt;"",SUMIFS('JPK_KR-1'!AM:AM,'JPK_KR-1'!W:W,S566),"")</f>
        <v/>
      </c>
    </row>
    <row r="567" spans="1:22" x14ac:dyDescent="0.3">
      <c r="A567" s="5" t="str">
        <f>IF(kokpit!A567&lt;&gt;"",kokpit!A567,"")</f>
        <v/>
      </c>
      <c r="B567" s="5" t="str">
        <f>IF(kokpit!B567&lt;&gt;"",kokpit!B567,"")</f>
        <v/>
      </c>
      <c r="C567" s="24" t="str">
        <f>IF(A567&lt;&gt;"",SUMIFS('JPK_KR-1'!AL:AL,'JPK_KR-1'!W:W,B567),"")</f>
        <v/>
      </c>
      <c r="D567" s="126" t="str">
        <f>IF(A567&lt;&gt;"",SUMIFS('JPK_KR-1'!AM:AM,'JPK_KR-1'!W:W,B567),"")</f>
        <v/>
      </c>
      <c r="E567" s="5" t="str">
        <f>IF(kokpit!E567&lt;&gt;"",kokpit!E567,"")</f>
        <v/>
      </c>
      <c r="F567" s="127" t="str">
        <f>IF(kokpit!F567&lt;&gt;"",kokpit!F567,"")</f>
        <v/>
      </c>
      <c r="G567" s="24" t="str">
        <f>IF(E567&lt;&gt;"",SUMIFS('JPK_KR-1'!AL:AL,'JPK_KR-1'!W:W,F567),"")</f>
        <v/>
      </c>
      <c r="H567" s="126" t="str">
        <f>IF(E567&lt;&gt;"",SUMIFS('JPK_KR-1'!AM:AM,'JPK_KR-1'!W:W,F567),"")</f>
        <v/>
      </c>
      <c r="I567" s="5" t="str">
        <f>IF(kokpit!I567&lt;&gt;"",kokpit!I567,"")</f>
        <v/>
      </c>
      <c r="J567" s="5" t="str">
        <f>IF(kokpit!J567&lt;&gt;"",kokpit!J567,"")</f>
        <v/>
      </c>
      <c r="K567" s="24" t="str">
        <f>IF(I567&lt;&gt;"",SUMIFS('JPK_KR-1'!AL:AL,'JPK_KR-1'!W:W,J567),"")</f>
        <v/>
      </c>
      <c r="L567" s="141" t="str">
        <f>IF(I567&lt;&gt;"",SUMIFS('JPK_KR-1'!AM:AM,'JPK_KR-1'!W:W,J567),"")</f>
        <v/>
      </c>
      <c r="M567" s="143" t="str">
        <f>IF(kokpit!M567&lt;&gt;"",kokpit!M567,"")</f>
        <v/>
      </c>
      <c r="N567" s="117" t="str">
        <f>IF(kokpit!N567&lt;&gt;"",kokpit!N567,"")</f>
        <v/>
      </c>
      <c r="O567" s="117" t="str">
        <f>IF(kokpit!O567&lt;&gt;"",kokpit!O567,"")</f>
        <v/>
      </c>
      <c r="P567" s="141" t="str">
        <f>IF(M567&lt;&gt;"",IF(O567="",SUMIFS('JPK_KR-1'!AL:AL,'JPK_KR-1'!W:W,N567),SUMIFS('JPK_KR-1'!BF:BF,'JPK_KR-1'!BE:BE,N567,'JPK_KR-1'!BG:BG,O567)),"")</f>
        <v/>
      </c>
      <c r="Q567" s="144" t="str">
        <f>IF(M567&lt;&gt;"",IF(O567="",SUMIFS('JPK_KR-1'!AM:AM,'JPK_KR-1'!W:W,N567),SUMIFS('JPK_KR-1'!BI:BI,'JPK_KR-1'!BH:BH,N567,'JPK_KR-1'!BJ:BJ,O567)),"")</f>
        <v/>
      </c>
      <c r="R567" s="117" t="str">
        <f>IF(kokpit!R567&lt;&gt;"",kokpit!R567,"")</f>
        <v/>
      </c>
      <c r="S567" s="117" t="str">
        <f>IF(kokpit!S567&lt;&gt;"",kokpit!S567,"")</f>
        <v/>
      </c>
      <c r="T567" s="117" t="str">
        <f>IF(kokpit!T567&lt;&gt;"",kokpit!T567,"")</f>
        <v/>
      </c>
      <c r="U567" s="141" t="str">
        <f>IF(R567&lt;&gt;"",SUMIFS('JPK_KR-1'!AL:AL,'JPK_KR-1'!W:W,S567),"")</f>
        <v/>
      </c>
      <c r="V567" s="144" t="str">
        <f>IF(R567&lt;&gt;"",SUMIFS('JPK_KR-1'!AM:AM,'JPK_KR-1'!W:W,S567),"")</f>
        <v/>
      </c>
    </row>
    <row r="568" spans="1:22" x14ac:dyDescent="0.3">
      <c r="A568" s="5" t="str">
        <f>IF(kokpit!A568&lt;&gt;"",kokpit!A568,"")</f>
        <v/>
      </c>
      <c r="B568" s="5" t="str">
        <f>IF(kokpit!B568&lt;&gt;"",kokpit!B568,"")</f>
        <v/>
      </c>
      <c r="C568" s="24" t="str">
        <f>IF(A568&lt;&gt;"",SUMIFS('JPK_KR-1'!AL:AL,'JPK_KR-1'!W:W,B568),"")</f>
        <v/>
      </c>
      <c r="D568" s="126" t="str">
        <f>IF(A568&lt;&gt;"",SUMIFS('JPK_KR-1'!AM:AM,'JPK_KR-1'!W:W,B568),"")</f>
        <v/>
      </c>
      <c r="E568" s="5" t="str">
        <f>IF(kokpit!E568&lt;&gt;"",kokpit!E568,"")</f>
        <v/>
      </c>
      <c r="F568" s="127" t="str">
        <f>IF(kokpit!F568&lt;&gt;"",kokpit!F568,"")</f>
        <v/>
      </c>
      <c r="G568" s="24" t="str">
        <f>IF(E568&lt;&gt;"",SUMIFS('JPK_KR-1'!AL:AL,'JPK_KR-1'!W:W,F568),"")</f>
        <v/>
      </c>
      <c r="H568" s="126" t="str">
        <f>IF(E568&lt;&gt;"",SUMIFS('JPK_KR-1'!AM:AM,'JPK_KR-1'!W:W,F568),"")</f>
        <v/>
      </c>
      <c r="I568" s="5" t="str">
        <f>IF(kokpit!I568&lt;&gt;"",kokpit!I568,"")</f>
        <v/>
      </c>
      <c r="J568" s="5" t="str">
        <f>IF(kokpit!J568&lt;&gt;"",kokpit!J568,"")</f>
        <v/>
      </c>
      <c r="K568" s="24" t="str">
        <f>IF(I568&lt;&gt;"",SUMIFS('JPK_KR-1'!AL:AL,'JPK_KR-1'!W:W,J568),"")</f>
        <v/>
      </c>
      <c r="L568" s="141" t="str">
        <f>IF(I568&lt;&gt;"",SUMIFS('JPK_KR-1'!AM:AM,'JPK_KR-1'!W:W,J568),"")</f>
        <v/>
      </c>
      <c r="M568" s="143" t="str">
        <f>IF(kokpit!M568&lt;&gt;"",kokpit!M568,"")</f>
        <v/>
      </c>
      <c r="N568" s="117" t="str">
        <f>IF(kokpit!N568&lt;&gt;"",kokpit!N568,"")</f>
        <v/>
      </c>
      <c r="O568" s="117" t="str">
        <f>IF(kokpit!O568&lt;&gt;"",kokpit!O568,"")</f>
        <v/>
      </c>
      <c r="P568" s="141" t="str">
        <f>IF(M568&lt;&gt;"",IF(O568="",SUMIFS('JPK_KR-1'!AL:AL,'JPK_KR-1'!W:W,N568),SUMIFS('JPK_KR-1'!BF:BF,'JPK_KR-1'!BE:BE,N568,'JPK_KR-1'!BG:BG,O568)),"")</f>
        <v/>
      </c>
      <c r="Q568" s="144" t="str">
        <f>IF(M568&lt;&gt;"",IF(O568="",SUMIFS('JPK_KR-1'!AM:AM,'JPK_KR-1'!W:W,N568),SUMIFS('JPK_KR-1'!BI:BI,'JPK_KR-1'!BH:BH,N568,'JPK_KR-1'!BJ:BJ,O568)),"")</f>
        <v/>
      </c>
      <c r="R568" s="117" t="str">
        <f>IF(kokpit!R568&lt;&gt;"",kokpit!R568,"")</f>
        <v/>
      </c>
      <c r="S568" s="117" t="str">
        <f>IF(kokpit!S568&lt;&gt;"",kokpit!S568,"")</f>
        <v/>
      </c>
      <c r="T568" s="117" t="str">
        <f>IF(kokpit!T568&lt;&gt;"",kokpit!T568,"")</f>
        <v/>
      </c>
      <c r="U568" s="141" t="str">
        <f>IF(R568&lt;&gt;"",SUMIFS('JPK_KR-1'!AL:AL,'JPK_KR-1'!W:W,S568),"")</f>
        <v/>
      </c>
      <c r="V568" s="144" t="str">
        <f>IF(R568&lt;&gt;"",SUMIFS('JPK_KR-1'!AM:AM,'JPK_KR-1'!W:W,S568),"")</f>
        <v/>
      </c>
    </row>
    <row r="569" spans="1:22" x14ac:dyDescent="0.3">
      <c r="A569" s="5" t="str">
        <f>IF(kokpit!A569&lt;&gt;"",kokpit!A569,"")</f>
        <v/>
      </c>
      <c r="B569" s="5" t="str">
        <f>IF(kokpit!B569&lt;&gt;"",kokpit!B569,"")</f>
        <v/>
      </c>
      <c r="C569" s="24" t="str">
        <f>IF(A569&lt;&gt;"",SUMIFS('JPK_KR-1'!AL:AL,'JPK_KR-1'!W:W,B569),"")</f>
        <v/>
      </c>
      <c r="D569" s="126" t="str">
        <f>IF(A569&lt;&gt;"",SUMIFS('JPK_KR-1'!AM:AM,'JPK_KR-1'!W:W,B569),"")</f>
        <v/>
      </c>
      <c r="E569" s="5" t="str">
        <f>IF(kokpit!E569&lt;&gt;"",kokpit!E569,"")</f>
        <v/>
      </c>
      <c r="F569" s="127" t="str">
        <f>IF(kokpit!F569&lt;&gt;"",kokpit!F569,"")</f>
        <v/>
      </c>
      <c r="G569" s="24" t="str">
        <f>IF(E569&lt;&gt;"",SUMIFS('JPK_KR-1'!AL:AL,'JPK_KR-1'!W:W,F569),"")</f>
        <v/>
      </c>
      <c r="H569" s="126" t="str">
        <f>IF(E569&lt;&gt;"",SUMIFS('JPK_KR-1'!AM:AM,'JPK_KR-1'!W:W,F569),"")</f>
        <v/>
      </c>
      <c r="I569" s="5" t="str">
        <f>IF(kokpit!I569&lt;&gt;"",kokpit!I569,"")</f>
        <v/>
      </c>
      <c r="J569" s="5" t="str">
        <f>IF(kokpit!J569&lt;&gt;"",kokpit!J569,"")</f>
        <v/>
      </c>
      <c r="K569" s="24" t="str">
        <f>IF(I569&lt;&gt;"",SUMIFS('JPK_KR-1'!AL:AL,'JPK_KR-1'!W:W,J569),"")</f>
        <v/>
      </c>
      <c r="L569" s="141" t="str">
        <f>IF(I569&lt;&gt;"",SUMIFS('JPK_KR-1'!AM:AM,'JPK_KR-1'!W:W,J569),"")</f>
        <v/>
      </c>
      <c r="M569" s="143" t="str">
        <f>IF(kokpit!M569&lt;&gt;"",kokpit!M569,"")</f>
        <v/>
      </c>
      <c r="N569" s="117" t="str">
        <f>IF(kokpit!N569&lt;&gt;"",kokpit!N569,"")</f>
        <v/>
      </c>
      <c r="O569" s="117" t="str">
        <f>IF(kokpit!O569&lt;&gt;"",kokpit!O569,"")</f>
        <v/>
      </c>
      <c r="P569" s="141" t="str">
        <f>IF(M569&lt;&gt;"",IF(O569="",SUMIFS('JPK_KR-1'!AL:AL,'JPK_KR-1'!W:W,N569),SUMIFS('JPK_KR-1'!BF:BF,'JPK_KR-1'!BE:BE,N569,'JPK_KR-1'!BG:BG,O569)),"")</f>
        <v/>
      </c>
      <c r="Q569" s="144" t="str">
        <f>IF(M569&lt;&gt;"",IF(O569="",SUMIFS('JPK_KR-1'!AM:AM,'JPK_KR-1'!W:W,N569),SUMIFS('JPK_KR-1'!BI:BI,'JPK_KR-1'!BH:BH,N569,'JPK_KR-1'!BJ:BJ,O569)),"")</f>
        <v/>
      </c>
      <c r="R569" s="117" t="str">
        <f>IF(kokpit!R569&lt;&gt;"",kokpit!R569,"")</f>
        <v/>
      </c>
      <c r="S569" s="117" t="str">
        <f>IF(kokpit!S569&lt;&gt;"",kokpit!S569,"")</f>
        <v/>
      </c>
      <c r="T569" s="117" t="str">
        <f>IF(kokpit!T569&lt;&gt;"",kokpit!T569,"")</f>
        <v/>
      </c>
      <c r="U569" s="141" t="str">
        <f>IF(R569&lt;&gt;"",SUMIFS('JPK_KR-1'!AL:AL,'JPK_KR-1'!W:W,S569),"")</f>
        <v/>
      </c>
      <c r="V569" s="144" t="str">
        <f>IF(R569&lt;&gt;"",SUMIFS('JPK_KR-1'!AM:AM,'JPK_KR-1'!W:W,S569),"")</f>
        <v/>
      </c>
    </row>
    <row r="570" spans="1:22" x14ac:dyDescent="0.3">
      <c r="A570" s="5" t="str">
        <f>IF(kokpit!A570&lt;&gt;"",kokpit!A570,"")</f>
        <v/>
      </c>
      <c r="B570" s="5" t="str">
        <f>IF(kokpit!B570&lt;&gt;"",kokpit!B570,"")</f>
        <v/>
      </c>
      <c r="C570" s="24" t="str">
        <f>IF(A570&lt;&gt;"",SUMIFS('JPK_KR-1'!AL:AL,'JPK_KR-1'!W:W,B570),"")</f>
        <v/>
      </c>
      <c r="D570" s="126" t="str">
        <f>IF(A570&lt;&gt;"",SUMIFS('JPK_KR-1'!AM:AM,'JPK_KR-1'!W:W,B570),"")</f>
        <v/>
      </c>
      <c r="E570" s="5" t="str">
        <f>IF(kokpit!E570&lt;&gt;"",kokpit!E570,"")</f>
        <v/>
      </c>
      <c r="F570" s="127" t="str">
        <f>IF(kokpit!F570&lt;&gt;"",kokpit!F570,"")</f>
        <v/>
      </c>
      <c r="G570" s="24" t="str">
        <f>IF(E570&lt;&gt;"",SUMIFS('JPK_KR-1'!AL:AL,'JPK_KR-1'!W:W,F570),"")</f>
        <v/>
      </c>
      <c r="H570" s="126" t="str">
        <f>IF(E570&lt;&gt;"",SUMIFS('JPK_KR-1'!AM:AM,'JPK_KR-1'!W:W,F570),"")</f>
        <v/>
      </c>
      <c r="I570" s="5" t="str">
        <f>IF(kokpit!I570&lt;&gt;"",kokpit!I570,"")</f>
        <v/>
      </c>
      <c r="J570" s="5" t="str">
        <f>IF(kokpit!J570&lt;&gt;"",kokpit!J570,"")</f>
        <v/>
      </c>
      <c r="K570" s="24" t="str">
        <f>IF(I570&lt;&gt;"",SUMIFS('JPK_KR-1'!AL:AL,'JPK_KR-1'!W:W,J570),"")</f>
        <v/>
      </c>
      <c r="L570" s="141" t="str">
        <f>IF(I570&lt;&gt;"",SUMIFS('JPK_KR-1'!AM:AM,'JPK_KR-1'!W:W,J570),"")</f>
        <v/>
      </c>
      <c r="M570" s="143" t="str">
        <f>IF(kokpit!M570&lt;&gt;"",kokpit!M570,"")</f>
        <v/>
      </c>
      <c r="N570" s="117" t="str">
        <f>IF(kokpit!N570&lt;&gt;"",kokpit!N570,"")</f>
        <v/>
      </c>
      <c r="O570" s="117" t="str">
        <f>IF(kokpit!O570&lt;&gt;"",kokpit!O570,"")</f>
        <v/>
      </c>
      <c r="P570" s="141" t="str">
        <f>IF(M570&lt;&gt;"",IF(O570="",SUMIFS('JPK_KR-1'!AL:AL,'JPK_KR-1'!W:W,N570),SUMIFS('JPK_KR-1'!BF:BF,'JPK_KR-1'!BE:BE,N570,'JPK_KR-1'!BG:BG,O570)),"")</f>
        <v/>
      </c>
      <c r="Q570" s="144" t="str">
        <f>IF(M570&lt;&gt;"",IF(O570="",SUMIFS('JPK_KR-1'!AM:AM,'JPK_KR-1'!W:W,N570),SUMIFS('JPK_KR-1'!BI:BI,'JPK_KR-1'!BH:BH,N570,'JPK_KR-1'!BJ:BJ,O570)),"")</f>
        <v/>
      </c>
      <c r="R570" s="117" t="str">
        <f>IF(kokpit!R570&lt;&gt;"",kokpit!R570,"")</f>
        <v/>
      </c>
      <c r="S570" s="117" t="str">
        <f>IF(kokpit!S570&lt;&gt;"",kokpit!S570,"")</f>
        <v/>
      </c>
      <c r="T570" s="117" t="str">
        <f>IF(kokpit!T570&lt;&gt;"",kokpit!T570,"")</f>
        <v/>
      </c>
      <c r="U570" s="141" t="str">
        <f>IF(R570&lt;&gt;"",SUMIFS('JPK_KR-1'!AL:AL,'JPK_KR-1'!W:W,S570),"")</f>
        <v/>
      </c>
      <c r="V570" s="144" t="str">
        <f>IF(R570&lt;&gt;"",SUMIFS('JPK_KR-1'!AM:AM,'JPK_KR-1'!W:W,S570),"")</f>
        <v/>
      </c>
    </row>
    <row r="571" spans="1:22" x14ac:dyDescent="0.3">
      <c r="A571" s="5" t="str">
        <f>IF(kokpit!A571&lt;&gt;"",kokpit!A571,"")</f>
        <v/>
      </c>
      <c r="B571" s="5" t="str">
        <f>IF(kokpit!B571&lt;&gt;"",kokpit!B571,"")</f>
        <v/>
      </c>
      <c r="C571" s="24" t="str">
        <f>IF(A571&lt;&gt;"",SUMIFS('JPK_KR-1'!AL:AL,'JPK_KR-1'!W:W,B571),"")</f>
        <v/>
      </c>
      <c r="D571" s="126" t="str">
        <f>IF(A571&lt;&gt;"",SUMIFS('JPK_KR-1'!AM:AM,'JPK_KR-1'!W:W,B571),"")</f>
        <v/>
      </c>
      <c r="E571" s="5" t="str">
        <f>IF(kokpit!E571&lt;&gt;"",kokpit!E571,"")</f>
        <v/>
      </c>
      <c r="F571" s="127" t="str">
        <f>IF(kokpit!F571&lt;&gt;"",kokpit!F571,"")</f>
        <v/>
      </c>
      <c r="G571" s="24" t="str">
        <f>IF(E571&lt;&gt;"",SUMIFS('JPK_KR-1'!AL:AL,'JPK_KR-1'!W:W,F571),"")</f>
        <v/>
      </c>
      <c r="H571" s="126" t="str">
        <f>IF(E571&lt;&gt;"",SUMIFS('JPK_KR-1'!AM:AM,'JPK_KR-1'!W:W,F571),"")</f>
        <v/>
      </c>
      <c r="I571" s="5" t="str">
        <f>IF(kokpit!I571&lt;&gt;"",kokpit!I571,"")</f>
        <v/>
      </c>
      <c r="J571" s="5" t="str">
        <f>IF(kokpit!J571&lt;&gt;"",kokpit!J571,"")</f>
        <v/>
      </c>
      <c r="K571" s="24" t="str">
        <f>IF(I571&lt;&gt;"",SUMIFS('JPK_KR-1'!AL:AL,'JPK_KR-1'!W:W,J571),"")</f>
        <v/>
      </c>
      <c r="L571" s="141" t="str">
        <f>IF(I571&lt;&gt;"",SUMIFS('JPK_KR-1'!AM:AM,'JPK_KR-1'!W:W,J571),"")</f>
        <v/>
      </c>
      <c r="M571" s="143" t="str">
        <f>IF(kokpit!M571&lt;&gt;"",kokpit!M571,"")</f>
        <v/>
      </c>
      <c r="N571" s="117" t="str">
        <f>IF(kokpit!N571&lt;&gt;"",kokpit!N571,"")</f>
        <v/>
      </c>
      <c r="O571" s="117" t="str">
        <f>IF(kokpit!O571&lt;&gt;"",kokpit!O571,"")</f>
        <v/>
      </c>
      <c r="P571" s="141" t="str">
        <f>IF(M571&lt;&gt;"",IF(O571="",SUMIFS('JPK_KR-1'!AL:AL,'JPK_KR-1'!W:W,N571),SUMIFS('JPK_KR-1'!BF:BF,'JPK_KR-1'!BE:BE,N571,'JPK_KR-1'!BG:BG,O571)),"")</f>
        <v/>
      </c>
      <c r="Q571" s="144" t="str">
        <f>IF(M571&lt;&gt;"",IF(O571="",SUMIFS('JPK_KR-1'!AM:AM,'JPK_KR-1'!W:W,N571),SUMIFS('JPK_KR-1'!BI:BI,'JPK_KR-1'!BH:BH,N571,'JPK_KR-1'!BJ:BJ,O571)),"")</f>
        <v/>
      </c>
      <c r="R571" s="117" t="str">
        <f>IF(kokpit!R571&lt;&gt;"",kokpit!R571,"")</f>
        <v/>
      </c>
      <c r="S571" s="117" t="str">
        <f>IF(kokpit!S571&lt;&gt;"",kokpit!S571,"")</f>
        <v/>
      </c>
      <c r="T571" s="117" t="str">
        <f>IF(kokpit!T571&lt;&gt;"",kokpit!T571,"")</f>
        <v/>
      </c>
      <c r="U571" s="141" t="str">
        <f>IF(R571&lt;&gt;"",SUMIFS('JPK_KR-1'!AL:AL,'JPK_KR-1'!W:W,S571),"")</f>
        <v/>
      </c>
      <c r="V571" s="144" t="str">
        <f>IF(R571&lt;&gt;"",SUMIFS('JPK_KR-1'!AM:AM,'JPK_KR-1'!W:W,S571),"")</f>
        <v/>
      </c>
    </row>
    <row r="572" spans="1:22" x14ac:dyDescent="0.3">
      <c r="A572" s="5" t="str">
        <f>IF(kokpit!A572&lt;&gt;"",kokpit!A572,"")</f>
        <v/>
      </c>
      <c r="B572" s="5" t="str">
        <f>IF(kokpit!B572&lt;&gt;"",kokpit!B572,"")</f>
        <v/>
      </c>
      <c r="C572" s="24" t="str">
        <f>IF(A572&lt;&gt;"",SUMIFS('JPK_KR-1'!AL:AL,'JPK_KR-1'!W:W,B572),"")</f>
        <v/>
      </c>
      <c r="D572" s="126" t="str">
        <f>IF(A572&lt;&gt;"",SUMIFS('JPK_KR-1'!AM:AM,'JPK_KR-1'!W:W,B572),"")</f>
        <v/>
      </c>
      <c r="E572" s="5" t="str">
        <f>IF(kokpit!E572&lt;&gt;"",kokpit!E572,"")</f>
        <v/>
      </c>
      <c r="F572" s="127" t="str">
        <f>IF(kokpit!F572&lt;&gt;"",kokpit!F572,"")</f>
        <v/>
      </c>
      <c r="G572" s="24" t="str">
        <f>IF(E572&lt;&gt;"",SUMIFS('JPK_KR-1'!AL:AL,'JPK_KR-1'!W:W,F572),"")</f>
        <v/>
      </c>
      <c r="H572" s="126" t="str">
        <f>IF(E572&lt;&gt;"",SUMIFS('JPK_KR-1'!AM:AM,'JPK_KR-1'!W:W,F572),"")</f>
        <v/>
      </c>
      <c r="I572" s="5" t="str">
        <f>IF(kokpit!I572&lt;&gt;"",kokpit!I572,"")</f>
        <v/>
      </c>
      <c r="J572" s="5" t="str">
        <f>IF(kokpit!J572&lt;&gt;"",kokpit!J572,"")</f>
        <v/>
      </c>
      <c r="K572" s="24" t="str">
        <f>IF(I572&lt;&gt;"",SUMIFS('JPK_KR-1'!AL:AL,'JPK_KR-1'!W:W,J572),"")</f>
        <v/>
      </c>
      <c r="L572" s="141" t="str">
        <f>IF(I572&lt;&gt;"",SUMIFS('JPK_KR-1'!AM:AM,'JPK_KR-1'!W:W,J572),"")</f>
        <v/>
      </c>
      <c r="M572" s="143" t="str">
        <f>IF(kokpit!M572&lt;&gt;"",kokpit!M572,"")</f>
        <v/>
      </c>
      <c r="N572" s="117" t="str">
        <f>IF(kokpit!N572&lt;&gt;"",kokpit!N572,"")</f>
        <v/>
      </c>
      <c r="O572" s="117" t="str">
        <f>IF(kokpit!O572&lt;&gt;"",kokpit!O572,"")</f>
        <v/>
      </c>
      <c r="P572" s="141" t="str">
        <f>IF(M572&lt;&gt;"",IF(O572="",SUMIFS('JPK_KR-1'!AL:AL,'JPK_KR-1'!W:W,N572),SUMIFS('JPK_KR-1'!BF:BF,'JPK_KR-1'!BE:BE,N572,'JPK_KR-1'!BG:BG,O572)),"")</f>
        <v/>
      </c>
      <c r="Q572" s="144" t="str">
        <f>IF(M572&lt;&gt;"",IF(O572="",SUMIFS('JPK_KR-1'!AM:AM,'JPK_KR-1'!W:W,N572),SUMIFS('JPK_KR-1'!BI:BI,'JPK_KR-1'!BH:BH,N572,'JPK_KR-1'!BJ:BJ,O572)),"")</f>
        <v/>
      </c>
      <c r="R572" s="117" t="str">
        <f>IF(kokpit!R572&lt;&gt;"",kokpit!R572,"")</f>
        <v/>
      </c>
      <c r="S572" s="117" t="str">
        <f>IF(kokpit!S572&lt;&gt;"",kokpit!S572,"")</f>
        <v/>
      </c>
      <c r="T572" s="117" t="str">
        <f>IF(kokpit!T572&lt;&gt;"",kokpit!T572,"")</f>
        <v/>
      </c>
      <c r="U572" s="141" t="str">
        <f>IF(R572&lt;&gt;"",SUMIFS('JPK_KR-1'!AL:AL,'JPK_KR-1'!W:W,S572),"")</f>
        <v/>
      </c>
      <c r="V572" s="144" t="str">
        <f>IF(R572&lt;&gt;"",SUMIFS('JPK_KR-1'!AM:AM,'JPK_KR-1'!W:W,S572),"")</f>
        <v/>
      </c>
    </row>
    <row r="573" spans="1:22" x14ac:dyDescent="0.3">
      <c r="A573" s="5" t="str">
        <f>IF(kokpit!A573&lt;&gt;"",kokpit!A573,"")</f>
        <v/>
      </c>
      <c r="B573" s="5" t="str">
        <f>IF(kokpit!B573&lt;&gt;"",kokpit!B573,"")</f>
        <v/>
      </c>
      <c r="C573" s="24" t="str">
        <f>IF(A573&lt;&gt;"",SUMIFS('JPK_KR-1'!AL:AL,'JPK_KR-1'!W:W,B573),"")</f>
        <v/>
      </c>
      <c r="D573" s="126" t="str">
        <f>IF(A573&lt;&gt;"",SUMIFS('JPK_KR-1'!AM:AM,'JPK_KR-1'!W:W,B573),"")</f>
        <v/>
      </c>
      <c r="E573" s="5" t="str">
        <f>IF(kokpit!E573&lt;&gt;"",kokpit!E573,"")</f>
        <v/>
      </c>
      <c r="F573" s="127" t="str">
        <f>IF(kokpit!F573&lt;&gt;"",kokpit!F573,"")</f>
        <v/>
      </c>
      <c r="G573" s="24" t="str">
        <f>IF(E573&lt;&gt;"",SUMIFS('JPK_KR-1'!AL:AL,'JPK_KR-1'!W:W,F573),"")</f>
        <v/>
      </c>
      <c r="H573" s="126" t="str">
        <f>IF(E573&lt;&gt;"",SUMIFS('JPK_KR-1'!AM:AM,'JPK_KR-1'!W:W,F573),"")</f>
        <v/>
      </c>
      <c r="I573" s="5" t="str">
        <f>IF(kokpit!I573&lt;&gt;"",kokpit!I573,"")</f>
        <v/>
      </c>
      <c r="J573" s="5" t="str">
        <f>IF(kokpit!J573&lt;&gt;"",kokpit!J573,"")</f>
        <v/>
      </c>
      <c r="K573" s="24" t="str">
        <f>IF(I573&lt;&gt;"",SUMIFS('JPK_KR-1'!AL:AL,'JPK_KR-1'!W:W,J573),"")</f>
        <v/>
      </c>
      <c r="L573" s="141" t="str">
        <f>IF(I573&lt;&gt;"",SUMIFS('JPK_KR-1'!AM:AM,'JPK_KR-1'!W:W,J573),"")</f>
        <v/>
      </c>
      <c r="M573" s="143" t="str">
        <f>IF(kokpit!M573&lt;&gt;"",kokpit!M573,"")</f>
        <v/>
      </c>
      <c r="N573" s="117" t="str">
        <f>IF(kokpit!N573&lt;&gt;"",kokpit!N573,"")</f>
        <v/>
      </c>
      <c r="O573" s="117" t="str">
        <f>IF(kokpit!O573&lt;&gt;"",kokpit!O573,"")</f>
        <v/>
      </c>
      <c r="P573" s="141" t="str">
        <f>IF(M573&lt;&gt;"",IF(O573="",SUMIFS('JPK_KR-1'!AL:AL,'JPK_KR-1'!W:W,N573),SUMIFS('JPK_KR-1'!BF:BF,'JPK_KR-1'!BE:BE,N573,'JPK_KR-1'!BG:BG,O573)),"")</f>
        <v/>
      </c>
      <c r="Q573" s="144" t="str">
        <f>IF(M573&lt;&gt;"",IF(O573="",SUMIFS('JPK_KR-1'!AM:AM,'JPK_KR-1'!W:W,N573),SUMIFS('JPK_KR-1'!BI:BI,'JPK_KR-1'!BH:BH,N573,'JPK_KR-1'!BJ:BJ,O573)),"")</f>
        <v/>
      </c>
      <c r="R573" s="117" t="str">
        <f>IF(kokpit!R573&lt;&gt;"",kokpit!R573,"")</f>
        <v/>
      </c>
      <c r="S573" s="117" t="str">
        <f>IF(kokpit!S573&lt;&gt;"",kokpit!S573,"")</f>
        <v/>
      </c>
      <c r="T573" s="117" t="str">
        <f>IF(kokpit!T573&lt;&gt;"",kokpit!T573,"")</f>
        <v/>
      </c>
      <c r="U573" s="141" t="str">
        <f>IF(R573&lt;&gt;"",SUMIFS('JPK_KR-1'!AL:AL,'JPK_KR-1'!W:W,S573),"")</f>
        <v/>
      </c>
      <c r="V573" s="144" t="str">
        <f>IF(R573&lt;&gt;"",SUMIFS('JPK_KR-1'!AM:AM,'JPK_KR-1'!W:W,S573),"")</f>
        <v/>
      </c>
    </row>
    <row r="574" spans="1:22" x14ac:dyDescent="0.3">
      <c r="A574" s="5" t="str">
        <f>IF(kokpit!A574&lt;&gt;"",kokpit!A574,"")</f>
        <v/>
      </c>
      <c r="B574" s="5" t="str">
        <f>IF(kokpit!B574&lt;&gt;"",kokpit!B574,"")</f>
        <v/>
      </c>
      <c r="C574" s="24" t="str">
        <f>IF(A574&lt;&gt;"",SUMIFS('JPK_KR-1'!AL:AL,'JPK_KR-1'!W:W,B574),"")</f>
        <v/>
      </c>
      <c r="D574" s="126" t="str">
        <f>IF(A574&lt;&gt;"",SUMIFS('JPK_KR-1'!AM:AM,'JPK_KR-1'!W:W,B574),"")</f>
        <v/>
      </c>
      <c r="E574" s="5" t="str">
        <f>IF(kokpit!E574&lt;&gt;"",kokpit!E574,"")</f>
        <v/>
      </c>
      <c r="F574" s="127" t="str">
        <f>IF(kokpit!F574&lt;&gt;"",kokpit!F574,"")</f>
        <v/>
      </c>
      <c r="G574" s="24" t="str">
        <f>IF(E574&lt;&gt;"",SUMIFS('JPK_KR-1'!AL:AL,'JPK_KR-1'!W:W,F574),"")</f>
        <v/>
      </c>
      <c r="H574" s="126" t="str">
        <f>IF(E574&lt;&gt;"",SUMIFS('JPK_KR-1'!AM:AM,'JPK_KR-1'!W:W,F574),"")</f>
        <v/>
      </c>
      <c r="I574" s="5" t="str">
        <f>IF(kokpit!I574&lt;&gt;"",kokpit!I574,"")</f>
        <v/>
      </c>
      <c r="J574" s="5" t="str">
        <f>IF(kokpit!J574&lt;&gt;"",kokpit!J574,"")</f>
        <v/>
      </c>
      <c r="K574" s="24" t="str">
        <f>IF(I574&lt;&gt;"",SUMIFS('JPK_KR-1'!AL:AL,'JPK_KR-1'!W:W,J574),"")</f>
        <v/>
      </c>
      <c r="L574" s="141" t="str">
        <f>IF(I574&lt;&gt;"",SUMIFS('JPK_KR-1'!AM:AM,'JPK_KR-1'!W:W,J574),"")</f>
        <v/>
      </c>
      <c r="M574" s="143" t="str">
        <f>IF(kokpit!M574&lt;&gt;"",kokpit!M574,"")</f>
        <v/>
      </c>
      <c r="N574" s="117" t="str">
        <f>IF(kokpit!N574&lt;&gt;"",kokpit!N574,"")</f>
        <v/>
      </c>
      <c r="O574" s="117" t="str">
        <f>IF(kokpit!O574&lt;&gt;"",kokpit!O574,"")</f>
        <v/>
      </c>
      <c r="P574" s="141" t="str">
        <f>IF(M574&lt;&gt;"",IF(O574="",SUMIFS('JPK_KR-1'!AL:AL,'JPK_KR-1'!W:W,N574),SUMIFS('JPK_KR-1'!BF:BF,'JPK_KR-1'!BE:BE,N574,'JPK_KR-1'!BG:BG,O574)),"")</f>
        <v/>
      </c>
      <c r="Q574" s="144" t="str">
        <f>IF(M574&lt;&gt;"",IF(O574="",SUMIFS('JPK_KR-1'!AM:AM,'JPK_KR-1'!W:W,N574),SUMIFS('JPK_KR-1'!BI:BI,'JPK_KR-1'!BH:BH,N574,'JPK_KR-1'!BJ:BJ,O574)),"")</f>
        <v/>
      </c>
      <c r="R574" s="117" t="str">
        <f>IF(kokpit!R574&lt;&gt;"",kokpit!R574,"")</f>
        <v/>
      </c>
      <c r="S574" s="117" t="str">
        <f>IF(kokpit!S574&lt;&gt;"",kokpit!S574,"")</f>
        <v/>
      </c>
      <c r="T574" s="117" t="str">
        <f>IF(kokpit!T574&lt;&gt;"",kokpit!T574,"")</f>
        <v/>
      </c>
      <c r="U574" s="141" t="str">
        <f>IF(R574&lt;&gt;"",SUMIFS('JPK_KR-1'!AL:AL,'JPK_KR-1'!W:W,S574),"")</f>
        <v/>
      </c>
      <c r="V574" s="144" t="str">
        <f>IF(R574&lt;&gt;"",SUMIFS('JPK_KR-1'!AM:AM,'JPK_KR-1'!W:W,S574),"")</f>
        <v/>
      </c>
    </row>
    <row r="575" spans="1:22" x14ac:dyDescent="0.3">
      <c r="A575" s="5" t="str">
        <f>IF(kokpit!A575&lt;&gt;"",kokpit!A575,"")</f>
        <v/>
      </c>
      <c r="B575" s="5" t="str">
        <f>IF(kokpit!B575&lt;&gt;"",kokpit!B575,"")</f>
        <v/>
      </c>
      <c r="C575" s="24" t="str">
        <f>IF(A575&lt;&gt;"",SUMIFS('JPK_KR-1'!AL:AL,'JPK_KR-1'!W:W,B575),"")</f>
        <v/>
      </c>
      <c r="D575" s="126" t="str">
        <f>IF(A575&lt;&gt;"",SUMIFS('JPK_KR-1'!AM:AM,'JPK_KR-1'!W:W,B575),"")</f>
        <v/>
      </c>
      <c r="E575" s="5" t="str">
        <f>IF(kokpit!E575&lt;&gt;"",kokpit!E575,"")</f>
        <v/>
      </c>
      <c r="F575" s="127" t="str">
        <f>IF(kokpit!F575&lt;&gt;"",kokpit!F575,"")</f>
        <v/>
      </c>
      <c r="G575" s="24" t="str">
        <f>IF(E575&lt;&gt;"",SUMIFS('JPK_KR-1'!AL:AL,'JPK_KR-1'!W:W,F575),"")</f>
        <v/>
      </c>
      <c r="H575" s="126" t="str">
        <f>IF(E575&lt;&gt;"",SUMIFS('JPK_KR-1'!AM:AM,'JPK_KR-1'!W:W,F575),"")</f>
        <v/>
      </c>
      <c r="I575" s="5" t="str">
        <f>IF(kokpit!I575&lt;&gt;"",kokpit!I575,"")</f>
        <v/>
      </c>
      <c r="J575" s="5" t="str">
        <f>IF(kokpit!J575&lt;&gt;"",kokpit!J575,"")</f>
        <v/>
      </c>
      <c r="K575" s="24" t="str">
        <f>IF(I575&lt;&gt;"",SUMIFS('JPK_KR-1'!AL:AL,'JPK_KR-1'!W:W,J575),"")</f>
        <v/>
      </c>
      <c r="L575" s="141" t="str">
        <f>IF(I575&lt;&gt;"",SUMIFS('JPK_KR-1'!AM:AM,'JPK_KR-1'!W:W,J575),"")</f>
        <v/>
      </c>
      <c r="M575" s="143" t="str">
        <f>IF(kokpit!M575&lt;&gt;"",kokpit!M575,"")</f>
        <v/>
      </c>
      <c r="N575" s="117" t="str">
        <f>IF(kokpit!N575&lt;&gt;"",kokpit!N575,"")</f>
        <v/>
      </c>
      <c r="O575" s="117" t="str">
        <f>IF(kokpit!O575&lt;&gt;"",kokpit!O575,"")</f>
        <v/>
      </c>
      <c r="P575" s="141" t="str">
        <f>IF(M575&lt;&gt;"",IF(O575="",SUMIFS('JPK_KR-1'!AL:AL,'JPK_KR-1'!W:W,N575),SUMIFS('JPK_KR-1'!BF:BF,'JPK_KR-1'!BE:BE,N575,'JPK_KR-1'!BG:BG,O575)),"")</f>
        <v/>
      </c>
      <c r="Q575" s="144" t="str">
        <f>IF(M575&lt;&gt;"",IF(O575="",SUMIFS('JPK_KR-1'!AM:AM,'JPK_KR-1'!W:W,N575),SUMIFS('JPK_KR-1'!BI:BI,'JPK_KR-1'!BH:BH,N575,'JPK_KR-1'!BJ:BJ,O575)),"")</f>
        <v/>
      </c>
      <c r="R575" s="117" t="str">
        <f>IF(kokpit!R575&lt;&gt;"",kokpit!R575,"")</f>
        <v/>
      </c>
      <c r="S575" s="117" t="str">
        <f>IF(kokpit!S575&lt;&gt;"",kokpit!S575,"")</f>
        <v/>
      </c>
      <c r="T575" s="117" t="str">
        <f>IF(kokpit!T575&lt;&gt;"",kokpit!T575,"")</f>
        <v/>
      </c>
      <c r="U575" s="141" t="str">
        <f>IF(R575&lt;&gt;"",SUMIFS('JPK_KR-1'!AL:AL,'JPK_KR-1'!W:W,S575),"")</f>
        <v/>
      </c>
      <c r="V575" s="144" t="str">
        <f>IF(R575&lt;&gt;"",SUMIFS('JPK_KR-1'!AM:AM,'JPK_KR-1'!W:W,S575),"")</f>
        <v/>
      </c>
    </row>
    <row r="576" spans="1:22" x14ac:dyDescent="0.3">
      <c r="A576" s="5" t="str">
        <f>IF(kokpit!A576&lt;&gt;"",kokpit!A576,"")</f>
        <v/>
      </c>
      <c r="B576" s="5" t="str">
        <f>IF(kokpit!B576&lt;&gt;"",kokpit!B576,"")</f>
        <v/>
      </c>
      <c r="C576" s="24" t="str">
        <f>IF(A576&lt;&gt;"",SUMIFS('JPK_KR-1'!AL:AL,'JPK_KR-1'!W:W,B576),"")</f>
        <v/>
      </c>
      <c r="D576" s="126" t="str">
        <f>IF(A576&lt;&gt;"",SUMIFS('JPK_KR-1'!AM:AM,'JPK_KR-1'!W:W,B576),"")</f>
        <v/>
      </c>
      <c r="E576" s="5" t="str">
        <f>IF(kokpit!E576&lt;&gt;"",kokpit!E576,"")</f>
        <v/>
      </c>
      <c r="F576" s="127" t="str">
        <f>IF(kokpit!F576&lt;&gt;"",kokpit!F576,"")</f>
        <v/>
      </c>
      <c r="G576" s="24" t="str">
        <f>IF(E576&lt;&gt;"",SUMIFS('JPK_KR-1'!AL:AL,'JPK_KR-1'!W:W,F576),"")</f>
        <v/>
      </c>
      <c r="H576" s="126" t="str">
        <f>IF(E576&lt;&gt;"",SUMIFS('JPK_KR-1'!AM:AM,'JPK_KR-1'!W:W,F576),"")</f>
        <v/>
      </c>
      <c r="I576" s="5" t="str">
        <f>IF(kokpit!I576&lt;&gt;"",kokpit!I576,"")</f>
        <v/>
      </c>
      <c r="J576" s="5" t="str">
        <f>IF(kokpit!J576&lt;&gt;"",kokpit!J576,"")</f>
        <v/>
      </c>
      <c r="K576" s="24" t="str">
        <f>IF(I576&lt;&gt;"",SUMIFS('JPK_KR-1'!AL:AL,'JPK_KR-1'!W:W,J576),"")</f>
        <v/>
      </c>
      <c r="L576" s="141" t="str">
        <f>IF(I576&lt;&gt;"",SUMIFS('JPK_KR-1'!AM:AM,'JPK_KR-1'!W:W,J576),"")</f>
        <v/>
      </c>
      <c r="M576" s="143" t="str">
        <f>IF(kokpit!M576&lt;&gt;"",kokpit!M576,"")</f>
        <v/>
      </c>
      <c r="N576" s="117" t="str">
        <f>IF(kokpit!N576&lt;&gt;"",kokpit!N576,"")</f>
        <v/>
      </c>
      <c r="O576" s="117" t="str">
        <f>IF(kokpit!O576&lt;&gt;"",kokpit!O576,"")</f>
        <v/>
      </c>
      <c r="P576" s="141" t="str">
        <f>IF(M576&lt;&gt;"",IF(O576="",SUMIFS('JPK_KR-1'!AL:AL,'JPK_KR-1'!W:W,N576),SUMIFS('JPK_KR-1'!BF:BF,'JPK_KR-1'!BE:BE,N576,'JPK_KR-1'!BG:BG,O576)),"")</f>
        <v/>
      </c>
      <c r="Q576" s="144" t="str">
        <f>IF(M576&lt;&gt;"",IF(O576="",SUMIFS('JPK_KR-1'!AM:AM,'JPK_KR-1'!W:W,N576),SUMIFS('JPK_KR-1'!BI:BI,'JPK_KR-1'!BH:BH,N576,'JPK_KR-1'!BJ:BJ,O576)),"")</f>
        <v/>
      </c>
      <c r="R576" s="117" t="str">
        <f>IF(kokpit!R576&lt;&gt;"",kokpit!R576,"")</f>
        <v/>
      </c>
      <c r="S576" s="117" t="str">
        <f>IF(kokpit!S576&lt;&gt;"",kokpit!S576,"")</f>
        <v/>
      </c>
      <c r="T576" s="117" t="str">
        <f>IF(kokpit!T576&lt;&gt;"",kokpit!T576,"")</f>
        <v/>
      </c>
      <c r="U576" s="141" t="str">
        <f>IF(R576&lt;&gt;"",SUMIFS('JPK_KR-1'!AL:AL,'JPK_KR-1'!W:W,S576),"")</f>
        <v/>
      </c>
      <c r="V576" s="144" t="str">
        <f>IF(R576&lt;&gt;"",SUMIFS('JPK_KR-1'!AM:AM,'JPK_KR-1'!W:W,S576),"")</f>
        <v/>
      </c>
    </row>
    <row r="577" spans="1:22" x14ac:dyDescent="0.3">
      <c r="A577" s="5" t="str">
        <f>IF(kokpit!A577&lt;&gt;"",kokpit!A577,"")</f>
        <v/>
      </c>
      <c r="B577" s="5" t="str">
        <f>IF(kokpit!B577&lt;&gt;"",kokpit!B577,"")</f>
        <v/>
      </c>
      <c r="C577" s="24" t="str">
        <f>IF(A577&lt;&gt;"",SUMIFS('JPK_KR-1'!AL:AL,'JPK_KR-1'!W:W,B577),"")</f>
        <v/>
      </c>
      <c r="D577" s="126" t="str">
        <f>IF(A577&lt;&gt;"",SUMIFS('JPK_KR-1'!AM:AM,'JPK_KR-1'!W:W,B577),"")</f>
        <v/>
      </c>
      <c r="E577" s="5" t="str">
        <f>IF(kokpit!E577&lt;&gt;"",kokpit!E577,"")</f>
        <v/>
      </c>
      <c r="F577" s="127" t="str">
        <f>IF(kokpit!F577&lt;&gt;"",kokpit!F577,"")</f>
        <v/>
      </c>
      <c r="G577" s="24" t="str">
        <f>IF(E577&lt;&gt;"",SUMIFS('JPK_KR-1'!AL:AL,'JPK_KR-1'!W:W,F577),"")</f>
        <v/>
      </c>
      <c r="H577" s="126" t="str">
        <f>IF(E577&lt;&gt;"",SUMIFS('JPK_KR-1'!AM:AM,'JPK_KR-1'!W:W,F577),"")</f>
        <v/>
      </c>
      <c r="I577" s="5" t="str">
        <f>IF(kokpit!I577&lt;&gt;"",kokpit!I577,"")</f>
        <v/>
      </c>
      <c r="J577" s="5" t="str">
        <f>IF(kokpit!J577&lt;&gt;"",kokpit!J577,"")</f>
        <v/>
      </c>
      <c r="K577" s="24" t="str">
        <f>IF(I577&lt;&gt;"",SUMIFS('JPK_KR-1'!AL:AL,'JPK_KR-1'!W:W,J577),"")</f>
        <v/>
      </c>
      <c r="L577" s="141" t="str">
        <f>IF(I577&lt;&gt;"",SUMIFS('JPK_KR-1'!AM:AM,'JPK_KR-1'!W:W,J577),"")</f>
        <v/>
      </c>
      <c r="M577" s="143" t="str">
        <f>IF(kokpit!M577&lt;&gt;"",kokpit!M577,"")</f>
        <v/>
      </c>
      <c r="N577" s="117" t="str">
        <f>IF(kokpit!N577&lt;&gt;"",kokpit!N577,"")</f>
        <v/>
      </c>
      <c r="O577" s="117" t="str">
        <f>IF(kokpit!O577&lt;&gt;"",kokpit!O577,"")</f>
        <v/>
      </c>
      <c r="P577" s="141" t="str">
        <f>IF(M577&lt;&gt;"",IF(O577="",SUMIFS('JPK_KR-1'!AL:AL,'JPK_KR-1'!W:W,N577),SUMIFS('JPK_KR-1'!BF:BF,'JPK_KR-1'!BE:BE,N577,'JPK_KR-1'!BG:BG,O577)),"")</f>
        <v/>
      </c>
      <c r="Q577" s="144" t="str">
        <f>IF(M577&lt;&gt;"",IF(O577="",SUMIFS('JPK_KR-1'!AM:AM,'JPK_KR-1'!W:W,N577),SUMIFS('JPK_KR-1'!BI:BI,'JPK_KR-1'!BH:BH,N577,'JPK_KR-1'!BJ:BJ,O577)),"")</f>
        <v/>
      </c>
      <c r="R577" s="117" t="str">
        <f>IF(kokpit!R577&lt;&gt;"",kokpit!R577,"")</f>
        <v/>
      </c>
      <c r="S577" s="117" t="str">
        <f>IF(kokpit!S577&lt;&gt;"",kokpit!S577,"")</f>
        <v/>
      </c>
      <c r="T577" s="117" t="str">
        <f>IF(kokpit!T577&lt;&gt;"",kokpit!T577,"")</f>
        <v/>
      </c>
      <c r="U577" s="141" t="str">
        <f>IF(R577&lt;&gt;"",SUMIFS('JPK_KR-1'!AL:AL,'JPK_KR-1'!W:W,S577),"")</f>
        <v/>
      </c>
      <c r="V577" s="144" t="str">
        <f>IF(R577&lt;&gt;"",SUMIFS('JPK_KR-1'!AM:AM,'JPK_KR-1'!W:W,S577),"")</f>
        <v/>
      </c>
    </row>
    <row r="578" spans="1:22" x14ac:dyDescent="0.3">
      <c r="A578" s="5" t="str">
        <f>IF(kokpit!A578&lt;&gt;"",kokpit!A578,"")</f>
        <v/>
      </c>
      <c r="B578" s="5" t="str">
        <f>IF(kokpit!B578&lt;&gt;"",kokpit!B578,"")</f>
        <v/>
      </c>
      <c r="C578" s="24" t="str">
        <f>IF(A578&lt;&gt;"",SUMIFS('JPK_KR-1'!AL:AL,'JPK_KR-1'!W:W,B578),"")</f>
        <v/>
      </c>
      <c r="D578" s="126" t="str">
        <f>IF(A578&lt;&gt;"",SUMIFS('JPK_KR-1'!AM:AM,'JPK_KR-1'!W:W,B578),"")</f>
        <v/>
      </c>
      <c r="E578" s="5" t="str">
        <f>IF(kokpit!E578&lt;&gt;"",kokpit!E578,"")</f>
        <v/>
      </c>
      <c r="F578" s="127" t="str">
        <f>IF(kokpit!F578&lt;&gt;"",kokpit!F578,"")</f>
        <v/>
      </c>
      <c r="G578" s="24" t="str">
        <f>IF(E578&lt;&gt;"",SUMIFS('JPK_KR-1'!AL:AL,'JPK_KR-1'!W:W,F578),"")</f>
        <v/>
      </c>
      <c r="H578" s="126" t="str">
        <f>IF(E578&lt;&gt;"",SUMIFS('JPK_KR-1'!AM:AM,'JPK_KR-1'!W:W,F578),"")</f>
        <v/>
      </c>
      <c r="I578" s="5" t="str">
        <f>IF(kokpit!I578&lt;&gt;"",kokpit!I578,"")</f>
        <v/>
      </c>
      <c r="J578" s="5" t="str">
        <f>IF(kokpit!J578&lt;&gt;"",kokpit!J578,"")</f>
        <v/>
      </c>
      <c r="K578" s="24" t="str">
        <f>IF(I578&lt;&gt;"",SUMIFS('JPK_KR-1'!AL:AL,'JPK_KR-1'!W:W,J578),"")</f>
        <v/>
      </c>
      <c r="L578" s="141" t="str">
        <f>IF(I578&lt;&gt;"",SUMIFS('JPK_KR-1'!AM:AM,'JPK_KR-1'!W:W,J578),"")</f>
        <v/>
      </c>
      <c r="M578" s="143" t="str">
        <f>IF(kokpit!M578&lt;&gt;"",kokpit!M578,"")</f>
        <v/>
      </c>
      <c r="N578" s="117" t="str">
        <f>IF(kokpit!N578&lt;&gt;"",kokpit!N578,"")</f>
        <v/>
      </c>
      <c r="O578" s="117" t="str">
        <f>IF(kokpit!O578&lt;&gt;"",kokpit!O578,"")</f>
        <v/>
      </c>
      <c r="P578" s="141" t="str">
        <f>IF(M578&lt;&gt;"",IF(O578="",SUMIFS('JPK_KR-1'!AL:AL,'JPK_KR-1'!W:W,N578),SUMIFS('JPK_KR-1'!BF:BF,'JPK_KR-1'!BE:BE,N578,'JPK_KR-1'!BG:BG,O578)),"")</f>
        <v/>
      </c>
      <c r="Q578" s="144" t="str">
        <f>IF(M578&lt;&gt;"",IF(O578="",SUMIFS('JPK_KR-1'!AM:AM,'JPK_KR-1'!W:W,N578),SUMIFS('JPK_KR-1'!BI:BI,'JPK_KR-1'!BH:BH,N578,'JPK_KR-1'!BJ:BJ,O578)),"")</f>
        <v/>
      </c>
      <c r="R578" s="117" t="str">
        <f>IF(kokpit!R578&lt;&gt;"",kokpit!R578,"")</f>
        <v/>
      </c>
      <c r="S578" s="117" t="str">
        <f>IF(kokpit!S578&lt;&gt;"",kokpit!S578,"")</f>
        <v/>
      </c>
      <c r="T578" s="117" t="str">
        <f>IF(kokpit!T578&lt;&gt;"",kokpit!T578,"")</f>
        <v/>
      </c>
      <c r="U578" s="141" t="str">
        <f>IF(R578&lt;&gt;"",SUMIFS('JPK_KR-1'!AL:AL,'JPK_KR-1'!W:W,S578),"")</f>
        <v/>
      </c>
      <c r="V578" s="144" t="str">
        <f>IF(R578&lt;&gt;"",SUMIFS('JPK_KR-1'!AM:AM,'JPK_KR-1'!W:W,S578),"")</f>
        <v/>
      </c>
    </row>
    <row r="579" spans="1:22" x14ac:dyDescent="0.3">
      <c r="A579" s="5" t="str">
        <f>IF(kokpit!A579&lt;&gt;"",kokpit!A579,"")</f>
        <v/>
      </c>
      <c r="B579" s="5" t="str">
        <f>IF(kokpit!B579&lt;&gt;"",kokpit!B579,"")</f>
        <v/>
      </c>
      <c r="C579" s="24" t="str">
        <f>IF(A579&lt;&gt;"",SUMIFS('JPK_KR-1'!AL:AL,'JPK_KR-1'!W:W,B579),"")</f>
        <v/>
      </c>
      <c r="D579" s="126" t="str">
        <f>IF(A579&lt;&gt;"",SUMIFS('JPK_KR-1'!AM:AM,'JPK_KR-1'!W:W,B579),"")</f>
        <v/>
      </c>
      <c r="E579" s="5" t="str">
        <f>IF(kokpit!E579&lt;&gt;"",kokpit!E579,"")</f>
        <v/>
      </c>
      <c r="F579" s="127" t="str">
        <f>IF(kokpit!F579&lt;&gt;"",kokpit!F579,"")</f>
        <v/>
      </c>
      <c r="G579" s="24" t="str">
        <f>IF(E579&lt;&gt;"",SUMIFS('JPK_KR-1'!AL:AL,'JPK_KR-1'!W:W,F579),"")</f>
        <v/>
      </c>
      <c r="H579" s="126" t="str">
        <f>IF(E579&lt;&gt;"",SUMIFS('JPK_KR-1'!AM:AM,'JPK_KR-1'!W:W,F579),"")</f>
        <v/>
      </c>
      <c r="I579" s="5" t="str">
        <f>IF(kokpit!I579&lt;&gt;"",kokpit!I579,"")</f>
        <v/>
      </c>
      <c r="J579" s="5" t="str">
        <f>IF(kokpit!J579&lt;&gt;"",kokpit!J579,"")</f>
        <v/>
      </c>
      <c r="K579" s="24" t="str">
        <f>IF(I579&lt;&gt;"",SUMIFS('JPK_KR-1'!AL:AL,'JPK_KR-1'!W:W,J579),"")</f>
        <v/>
      </c>
      <c r="L579" s="141" t="str">
        <f>IF(I579&lt;&gt;"",SUMIFS('JPK_KR-1'!AM:AM,'JPK_KR-1'!W:W,J579),"")</f>
        <v/>
      </c>
      <c r="M579" s="143" t="str">
        <f>IF(kokpit!M579&lt;&gt;"",kokpit!M579,"")</f>
        <v/>
      </c>
      <c r="N579" s="117" t="str">
        <f>IF(kokpit!N579&lt;&gt;"",kokpit!N579,"")</f>
        <v/>
      </c>
      <c r="O579" s="117" t="str">
        <f>IF(kokpit!O579&lt;&gt;"",kokpit!O579,"")</f>
        <v/>
      </c>
      <c r="P579" s="141" t="str">
        <f>IF(M579&lt;&gt;"",IF(O579="",SUMIFS('JPK_KR-1'!AL:AL,'JPK_KR-1'!W:W,N579),SUMIFS('JPK_KR-1'!BF:BF,'JPK_KR-1'!BE:BE,N579,'JPK_KR-1'!BG:BG,O579)),"")</f>
        <v/>
      </c>
      <c r="Q579" s="144" t="str">
        <f>IF(M579&lt;&gt;"",IF(O579="",SUMIFS('JPK_KR-1'!AM:AM,'JPK_KR-1'!W:W,N579),SUMIFS('JPK_KR-1'!BI:BI,'JPK_KR-1'!BH:BH,N579,'JPK_KR-1'!BJ:BJ,O579)),"")</f>
        <v/>
      </c>
      <c r="R579" s="117" t="str">
        <f>IF(kokpit!R579&lt;&gt;"",kokpit!R579,"")</f>
        <v/>
      </c>
      <c r="S579" s="117" t="str">
        <f>IF(kokpit!S579&lt;&gt;"",kokpit!S579,"")</f>
        <v/>
      </c>
      <c r="T579" s="117" t="str">
        <f>IF(kokpit!T579&lt;&gt;"",kokpit!T579,"")</f>
        <v/>
      </c>
      <c r="U579" s="141" t="str">
        <f>IF(R579&lt;&gt;"",SUMIFS('JPK_KR-1'!AL:AL,'JPK_KR-1'!W:W,S579),"")</f>
        <v/>
      </c>
      <c r="V579" s="144" t="str">
        <f>IF(R579&lt;&gt;"",SUMIFS('JPK_KR-1'!AM:AM,'JPK_KR-1'!W:W,S579),"")</f>
        <v/>
      </c>
    </row>
    <row r="580" spans="1:22" x14ac:dyDescent="0.3">
      <c r="A580" s="5" t="str">
        <f>IF(kokpit!A580&lt;&gt;"",kokpit!A580,"")</f>
        <v/>
      </c>
      <c r="B580" s="5" t="str">
        <f>IF(kokpit!B580&lt;&gt;"",kokpit!B580,"")</f>
        <v/>
      </c>
      <c r="C580" s="24" t="str">
        <f>IF(A580&lt;&gt;"",SUMIFS('JPK_KR-1'!AL:AL,'JPK_KR-1'!W:W,B580),"")</f>
        <v/>
      </c>
      <c r="D580" s="126" t="str">
        <f>IF(A580&lt;&gt;"",SUMIFS('JPK_KR-1'!AM:AM,'JPK_KR-1'!W:W,B580),"")</f>
        <v/>
      </c>
      <c r="E580" s="5" t="str">
        <f>IF(kokpit!E580&lt;&gt;"",kokpit!E580,"")</f>
        <v/>
      </c>
      <c r="F580" s="127" t="str">
        <f>IF(kokpit!F580&lt;&gt;"",kokpit!F580,"")</f>
        <v/>
      </c>
      <c r="G580" s="24" t="str">
        <f>IF(E580&lt;&gt;"",SUMIFS('JPK_KR-1'!AL:AL,'JPK_KR-1'!W:W,F580),"")</f>
        <v/>
      </c>
      <c r="H580" s="126" t="str">
        <f>IF(E580&lt;&gt;"",SUMIFS('JPK_KR-1'!AM:AM,'JPK_KR-1'!W:W,F580),"")</f>
        <v/>
      </c>
      <c r="I580" s="5" t="str">
        <f>IF(kokpit!I580&lt;&gt;"",kokpit!I580,"")</f>
        <v/>
      </c>
      <c r="J580" s="5" t="str">
        <f>IF(kokpit!J580&lt;&gt;"",kokpit!J580,"")</f>
        <v/>
      </c>
      <c r="K580" s="24" t="str">
        <f>IF(I580&lt;&gt;"",SUMIFS('JPK_KR-1'!AL:AL,'JPK_KR-1'!W:W,J580),"")</f>
        <v/>
      </c>
      <c r="L580" s="141" t="str">
        <f>IF(I580&lt;&gt;"",SUMIFS('JPK_KR-1'!AM:AM,'JPK_KR-1'!W:W,J580),"")</f>
        <v/>
      </c>
      <c r="M580" s="143" t="str">
        <f>IF(kokpit!M580&lt;&gt;"",kokpit!M580,"")</f>
        <v/>
      </c>
      <c r="N580" s="117" t="str">
        <f>IF(kokpit!N580&lt;&gt;"",kokpit!N580,"")</f>
        <v/>
      </c>
      <c r="O580" s="117" t="str">
        <f>IF(kokpit!O580&lt;&gt;"",kokpit!O580,"")</f>
        <v/>
      </c>
      <c r="P580" s="141" t="str">
        <f>IF(M580&lt;&gt;"",IF(O580="",SUMIFS('JPK_KR-1'!AL:AL,'JPK_KR-1'!W:W,N580),SUMIFS('JPK_KR-1'!BF:BF,'JPK_KR-1'!BE:BE,N580,'JPK_KR-1'!BG:BG,O580)),"")</f>
        <v/>
      </c>
      <c r="Q580" s="144" t="str">
        <f>IF(M580&lt;&gt;"",IF(O580="",SUMIFS('JPK_KR-1'!AM:AM,'JPK_KR-1'!W:W,N580),SUMIFS('JPK_KR-1'!BI:BI,'JPK_KR-1'!BH:BH,N580,'JPK_KR-1'!BJ:BJ,O580)),"")</f>
        <v/>
      </c>
      <c r="R580" s="117" t="str">
        <f>IF(kokpit!R580&lt;&gt;"",kokpit!R580,"")</f>
        <v/>
      </c>
      <c r="S580" s="117" t="str">
        <f>IF(kokpit!S580&lt;&gt;"",kokpit!S580,"")</f>
        <v/>
      </c>
      <c r="T580" s="117" t="str">
        <f>IF(kokpit!T580&lt;&gt;"",kokpit!T580,"")</f>
        <v/>
      </c>
      <c r="U580" s="141" t="str">
        <f>IF(R580&lt;&gt;"",SUMIFS('JPK_KR-1'!AL:AL,'JPK_KR-1'!W:W,S580),"")</f>
        <v/>
      </c>
      <c r="V580" s="144" t="str">
        <f>IF(R580&lt;&gt;"",SUMIFS('JPK_KR-1'!AM:AM,'JPK_KR-1'!W:W,S580),"")</f>
        <v/>
      </c>
    </row>
    <row r="581" spans="1:22" x14ac:dyDescent="0.3">
      <c r="A581" s="5" t="str">
        <f>IF(kokpit!A581&lt;&gt;"",kokpit!A581,"")</f>
        <v/>
      </c>
      <c r="B581" s="5" t="str">
        <f>IF(kokpit!B581&lt;&gt;"",kokpit!B581,"")</f>
        <v/>
      </c>
      <c r="C581" s="24" t="str">
        <f>IF(A581&lt;&gt;"",SUMIFS('JPK_KR-1'!AL:AL,'JPK_KR-1'!W:W,B581),"")</f>
        <v/>
      </c>
      <c r="D581" s="126" t="str">
        <f>IF(A581&lt;&gt;"",SUMIFS('JPK_KR-1'!AM:AM,'JPK_KR-1'!W:W,B581),"")</f>
        <v/>
      </c>
      <c r="E581" s="5" t="str">
        <f>IF(kokpit!E581&lt;&gt;"",kokpit!E581,"")</f>
        <v/>
      </c>
      <c r="F581" s="127" t="str">
        <f>IF(kokpit!F581&lt;&gt;"",kokpit!F581,"")</f>
        <v/>
      </c>
      <c r="G581" s="24" t="str">
        <f>IF(E581&lt;&gt;"",SUMIFS('JPK_KR-1'!AL:AL,'JPK_KR-1'!W:W,F581),"")</f>
        <v/>
      </c>
      <c r="H581" s="126" t="str">
        <f>IF(E581&lt;&gt;"",SUMIFS('JPK_KR-1'!AM:AM,'JPK_KR-1'!W:W,F581),"")</f>
        <v/>
      </c>
      <c r="I581" s="5" t="str">
        <f>IF(kokpit!I581&lt;&gt;"",kokpit!I581,"")</f>
        <v/>
      </c>
      <c r="J581" s="5" t="str">
        <f>IF(kokpit!J581&lt;&gt;"",kokpit!J581,"")</f>
        <v/>
      </c>
      <c r="K581" s="24" t="str">
        <f>IF(I581&lt;&gt;"",SUMIFS('JPK_KR-1'!AL:AL,'JPK_KR-1'!W:W,J581),"")</f>
        <v/>
      </c>
      <c r="L581" s="141" t="str">
        <f>IF(I581&lt;&gt;"",SUMIFS('JPK_KR-1'!AM:AM,'JPK_KR-1'!W:W,J581),"")</f>
        <v/>
      </c>
      <c r="M581" s="143" t="str">
        <f>IF(kokpit!M581&lt;&gt;"",kokpit!M581,"")</f>
        <v/>
      </c>
      <c r="N581" s="117" t="str">
        <f>IF(kokpit!N581&lt;&gt;"",kokpit!N581,"")</f>
        <v/>
      </c>
      <c r="O581" s="117" t="str">
        <f>IF(kokpit!O581&lt;&gt;"",kokpit!O581,"")</f>
        <v/>
      </c>
      <c r="P581" s="141" t="str">
        <f>IF(M581&lt;&gt;"",IF(O581="",SUMIFS('JPK_KR-1'!AL:AL,'JPK_KR-1'!W:W,N581),SUMIFS('JPK_KR-1'!BF:BF,'JPK_KR-1'!BE:BE,N581,'JPK_KR-1'!BG:BG,O581)),"")</f>
        <v/>
      </c>
      <c r="Q581" s="144" t="str">
        <f>IF(M581&lt;&gt;"",IF(O581="",SUMIFS('JPK_KR-1'!AM:AM,'JPK_KR-1'!W:W,N581),SUMIFS('JPK_KR-1'!BI:BI,'JPK_KR-1'!BH:BH,N581,'JPK_KR-1'!BJ:BJ,O581)),"")</f>
        <v/>
      </c>
      <c r="R581" s="117" t="str">
        <f>IF(kokpit!R581&lt;&gt;"",kokpit!R581,"")</f>
        <v/>
      </c>
      <c r="S581" s="117" t="str">
        <f>IF(kokpit!S581&lt;&gt;"",kokpit!S581,"")</f>
        <v/>
      </c>
      <c r="T581" s="117" t="str">
        <f>IF(kokpit!T581&lt;&gt;"",kokpit!T581,"")</f>
        <v/>
      </c>
      <c r="U581" s="141" t="str">
        <f>IF(R581&lt;&gt;"",SUMIFS('JPK_KR-1'!AL:AL,'JPK_KR-1'!W:W,S581),"")</f>
        <v/>
      </c>
      <c r="V581" s="144" t="str">
        <f>IF(R581&lt;&gt;"",SUMIFS('JPK_KR-1'!AM:AM,'JPK_KR-1'!W:W,S581),"")</f>
        <v/>
      </c>
    </row>
    <row r="582" spans="1:22" x14ac:dyDescent="0.3">
      <c r="A582" s="5" t="str">
        <f>IF(kokpit!A582&lt;&gt;"",kokpit!A582,"")</f>
        <v/>
      </c>
      <c r="B582" s="5" t="str">
        <f>IF(kokpit!B582&lt;&gt;"",kokpit!B582,"")</f>
        <v/>
      </c>
      <c r="C582" s="24" t="str">
        <f>IF(A582&lt;&gt;"",SUMIFS('JPK_KR-1'!AL:AL,'JPK_KR-1'!W:W,B582),"")</f>
        <v/>
      </c>
      <c r="D582" s="126" t="str">
        <f>IF(A582&lt;&gt;"",SUMIFS('JPK_KR-1'!AM:AM,'JPK_KR-1'!W:W,B582),"")</f>
        <v/>
      </c>
      <c r="E582" s="5" t="str">
        <f>IF(kokpit!E582&lt;&gt;"",kokpit!E582,"")</f>
        <v/>
      </c>
      <c r="F582" s="127" t="str">
        <f>IF(kokpit!F582&lt;&gt;"",kokpit!F582,"")</f>
        <v/>
      </c>
      <c r="G582" s="24" t="str">
        <f>IF(E582&lt;&gt;"",SUMIFS('JPK_KR-1'!AL:AL,'JPK_KR-1'!W:W,F582),"")</f>
        <v/>
      </c>
      <c r="H582" s="126" t="str">
        <f>IF(E582&lt;&gt;"",SUMIFS('JPK_KR-1'!AM:AM,'JPK_KR-1'!W:W,F582),"")</f>
        <v/>
      </c>
      <c r="I582" s="5" t="str">
        <f>IF(kokpit!I582&lt;&gt;"",kokpit!I582,"")</f>
        <v/>
      </c>
      <c r="J582" s="5" t="str">
        <f>IF(kokpit!J582&lt;&gt;"",kokpit!J582,"")</f>
        <v/>
      </c>
      <c r="K582" s="24" t="str">
        <f>IF(I582&lt;&gt;"",SUMIFS('JPK_KR-1'!AL:AL,'JPK_KR-1'!W:W,J582),"")</f>
        <v/>
      </c>
      <c r="L582" s="141" t="str">
        <f>IF(I582&lt;&gt;"",SUMIFS('JPK_KR-1'!AM:AM,'JPK_KR-1'!W:W,J582),"")</f>
        <v/>
      </c>
      <c r="M582" s="143" t="str">
        <f>IF(kokpit!M582&lt;&gt;"",kokpit!M582,"")</f>
        <v/>
      </c>
      <c r="N582" s="117" t="str">
        <f>IF(kokpit!N582&lt;&gt;"",kokpit!N582,"")</f>
        <v/>
      </c>
      <c r="O582" s="117" t="str">
        <f>IF(kokpit!O582&lt;&gt;"",kokpit!O582,"")</f>
        <v/>
      </c>
      <c r="P582" s="141" t="str">
        <f>IF(M582&lt;&gt;"",IF(O582="",SUMIFS('JPK_KR-1'!AL:AL,'JPK_KR-1'!W:W,N582),SUMIFS('JPK_KR-1'!BF:BF,'JPK_KR-1'!BE:BE,N582,'JPK_KR-1'!BG:BG,O582)),"")</f>
        <v/>
      </c>
      <c r="Q582" s="144" t="str">
        <f>IF(M582&lt;&gt;"",IF(O582="",SUMIFS('JPK_KR-1'!AM:AM,'JPK_KR-1'!W:W,N582),SUMIFS('JPK_KR-1'!BI:BI,'JPK_KR-1'!BH:BH,N582,'JPK_KR-1'!BJ:BJ,O582)),"")</f>
        <v/>
      </c>
      <c r="R582" s="117" t="str">
        <f>IF(kokpit!R582&lt;&gt;"",kokpit!R582,"")</f>
        <v/>
      </c>
      <c r="S582" s="117" t="str">
        <f>IF(kokpit!S582&lt;&gt;"",kokpit!S582,"")</f>
        <v/>
      </c>
      <c r="T582" s="117" t="str">
        <f>IF(kokpit!T582&lt;&gt;"",kokpit!T582,"")</f>
        <v/>
      </c>
      <c r="U582" s="141" t="str">
        <f>IF(R582&lt;&gt;"",SUMIFS('JPK_KR-1'!AL:AL,'JPK_KR-1'!W:W,S582),"")</f>
        <v/>
      </c>
      <c r="V582" s="144" t="str">
        <f>IF(R582&lt;&gt;"",SUMIFS('JPK_KR-1'!AM:AM,'JPK_KR-1'!W:W,S582),"")</f>
        <v/>
      </c>
    </row>
    <row r="583" spans="1:22" x14ac:dyDescent="0.3">
      <c r="A583" s="5" t="str">
        <f>IF(kokpit!A583&lt;&gt;"",kokpit!A583,"")</f>
        <v/>
      </c>
      <c r="B583" s="5" t="str">
        <f>IF(kokpit!B583&lt;&gt;"",kokpit!B583,"")</f>
        <v/>
      </c>
      <c r="C583" s="24" t="str">
        <f>IF(A583&lt;&gt;"",SUMIFS('JPK_KR-1'!AL:AL,'JPK_KR-1'!W:W,B583),"")</f>
        <v/>
      </c>
      <c r="D583" s="126" t="str">
        <f>IF(A583&lt;&gt;"",SUMIFS('JPK_KR-1'!AM:AM,'JPK_KR-1'!W:W,B583),"")</f>
        <v/>
      </c>
      <c r="E583" s="5" t="str">
        <f>IF(kokpit!E583&lt;&gt;"",kokpit!E583,"")</f>
        <v/>
      </c>
      <c r="F583" s="127" t="str">
        <f>IF(kokpit!F583&lt;&gt;"",kokpit!F583,"")</f>
        <v/>
      </c>
      <c r="G583" s="24" t="str">
        <f>IF(E583&lt;&gt;"",SUMIFS('JPK_KR-1'!AL:AL,'JPK_KR-1'!W:W,F583),"")</f>
        <v/>
      </c>
      <c r="H583" s="126" t="str">
        <f>IF(E583&lt;&gt;"",SUMIFS('JPK_KR-1'!AM:AM,'JPK_KR-1'!W:W,F583),"")</f>
        <v/>
      </c>
      <c r="I583" s="5" t="str">
        <f>IF(kokpit!I583&lt;&gt;"",kokpit!I583,"")</f>
        <v/>
      </c>
      <c r="J583" s="5" t="str">
        <f>IF(kokpit!J583&lt;&gt;"",kokpit!J583,"")</f>
        <v/>
      </c>
      <c r="K583" s="24" t="str">
        <f>IF(I583&lt;&gt;"",SUMIFS('JPK_KR-1'!AL:AL,'JPK_KR-1'!W:W,J583),"")</f>
        <v/>
      </c>
      <c r="L583" s="141" t="str">
        <f>IF(I583&lt;&gt;"",SUMIFS('JPK_KR-1'!AM:AM,'JPK_KR-1'!W:W,J583),"")</f>
        <v/>
      </c>
      <c r="M583" s="143" t="str">
        <f>IF(kokpit!M583&lt;&gt;"",kokpit!M583,"")</f>
        <v/>
      </c>
      <c r="N583" s="117" t="str">
        <f>IF(kokpit!N583&lt;&gt;"",kokpit!N583,"")</f>
        <v/>
      </c>
      <c r="O583" s="117" t="str">
        <f>IF(kokpit!O583&lt;&gt;"",kokpit!O583,"")</f>
        <v/>
      </c>
      <c r="P583" s="141" t="str">
        <f>IF(M583&lt;&gt;"",IF(O583="",SUMIFS('JPK_KR-1'!AL:AL,'JPK_KR-1'!W:W,N583),SUMIFS('JPK_KR-1'!BF:BF,'JPK_KR-1'!BE:BE,N583,'JPK_KR-1'!BG:BG,O583)),"")</f>
        <v/>
      </c>
      <c r="Q583" s="144" t="str">
        <f>IF(M583&lt;&gt;"",IF(O583="",SUMIFS('JPK_KR-1'!AM:AM,'JPK_KR-1'!W:W,N583),SUMIFS('JPK_KR-1'!BI:BI,'JPK_KR-1'!BH:BH,N583,'JPK_KR-1'!BJ:BJ,O583)),"")</f>
        <v/>
      </c>
      <c r="R583" s="117" t="str">
        <f>IF(kokpit!R583&lt;&gt;"",kokpit!R583,"")</f>
        <v/>
      </c>
      <c r="S583" s="117" t="str">
        <f>IF(kokpit!S583&lt;&gt;"",kokpit!S583,"")</f>
        <v/>
      </c>
      <c r="T583" s="117" t="str">
        <f>IF(kokpit!T583&lt;&gt;"",kokpit!T583,"")</f>
        <v/>
      </c>
      <c r="U583" s="141" t="str">
        <f>IF(R583&lt;&gt;"",SUMIFS('JPK_KR-1'!AL:AL,'JPK_KR-1'!W:W,S583),"")</f>
        <v/>
      </c>
      <c r="V583" s="144" t="str">
        <f>IF(R583&lt;&gt;"",SUMIFS('JPK_KR-1'!AM:AM,'JPK_KR-1'!W:W,S583),"")</f>
        <v/>
      </c>
    </row>
    <row r="584" spans="1:22" x14ac:dyDescent="0.3">
      <c r="A584" s="5" t="str">
        <f>IF(kokpit!A584&lt;&gt;"",kokpit!A584,"")</f>
        <v/>
      </c>
      <c r="B584" s="5" t="str">
        <f>IF(kokpit!B584&lt;&gt;"",kokpit!B584,"")</f>
        <v/>
      </c>
      <c r="C584" s="24" t="str">
        <f>IF(A584&lt;&gt;"",SUMIFS('JPK_KR-1'!AL:AL,'JPK_KR-1'!W:W,B584),"")</f>
        <v/>
      </c>
      <c r="D584" s="126" t="str">
        <f>IF(A584&lt;&gt;"",SUMIFS('JPK_KR-1'!AM:AM,'JPK_KR-1'!W:W,B584),"")</f>
        <v/>
      </c>
      <c r="E584" s="5" t="str">
        <f>IF(kokpit!E584&lt;&gt;"",kokpit!E584,"")</f>
        <v/>
      </c>
      <c r="F584" s="127" t="str">
        <f>IF(kokpit!F584&lt;&gt;"",kokpit!F584,"")</f>
        <v/>
      </c>
      <c r="G584" s="24" t="str">
        <f>IF(E584&lt;&gt;"",SUMIFS('JPK_KR-1'!AL:AL,'JPK_KR-1'!W:W,F584),"")</f>
        <v/>
      </c>
      <c r="H584" s="126" t="str">
        <f>IF(E584&lt;&gt;"",SUMIFS('JPK_KR-1'!AM:AM,'JPK_KR-1'!W:W,F584),"")</f>
        <v/>
      </c>
      <c r="I584" s="5" t="str">
        <f>IF(kokpit!I584&lt;&gt;"",kokpit!I584,"")</f>
        <v/>
      </c>
      <c r="J584" s="5" t="str">
        <f>IF(kokpit!J584&lt;&gt;"",kokpit!J584,"")</f>
        <v/>
      </c>
      <c r="K584" s="24" t="str">
        <f>IF(I584&lt;&gt;"",SUMIFS('JPK_KR-1'!AL:AL,'JPK_KR-1'!W:W,J584),"")</f>
        <v/>
      </c>
      <c r="L584" s="141" t="str">
        <f>IF(I584&lt;&gt;"",SUMIFS('JPK_KR-1'!AM:AM,'JPK_KR-1'!W:W,J584),"")</f>
        <v/>
      </c>
      <c r="M584" s="143" t="str">
        <f>IF(kokpit!M584&lt;&gt;"",kokpit!M584,"")</f>
        <v/>
      </c>
      <c r="N584" s="117" t="str">
        <f>IF(kokpit!N584&lt;&gt;"",kokpit!N584,"")</f>
        <v/>
      </c>
      <c r="O584" s="117" t="str">
        <f>IF(kokpit!O584&lt;&gt;"",kokpit!O584,"")</f>
        <v/>
      </c>
      <c r="P584" s="141" t="str">
        <f>IF(M584&lt;&gt;"",IF(O584="",SUMIFS('JPK_KR-1'!AL:AL,'JPK_KR-1'!W:W,N584),SUMIFS('JPK_KR-1'!BF:BF,'JPK_KR-1'!BE:BE,N584,'JPK_KR-1'!BG:BG,O584)),"")</f>
        <v/>
      </c>
      <c r="Q584" s="144" t="str">
        <f>IF(M584&lt;&gt;"",IF(O584="",SUMIFS('JPK_KR-1'!AM:AM,'JPK_KR-1'!W:W,N584),SUMIFS('JPK_KR-1'!BI:BI,'JPK_KR-1'!BH:BH,N584,'JPK_KR-1'!BJ:BJ,O584)),"")</f>
        <v/>
      </c>
      <c r="R584" s="117" t="str">
        <f>IF(kokpit!R584&lt;&gt;"",kokpit!R584,"")</f>
        <v/>
      </c>
      <c r="S584" s="117" t="str">
        <f>IF(kokpit!S584&lt;&gt;"",kokpit!S584,"")</f>
        <v/>
      </c>
      <c r="T584" s="117" t="str">
        <f>IF(kokpit!T584&lt;&gt;"",kokpit!T584,"")</f>
        <v/>
      </c>
      <c r="U584" s="141" t="str">
        <f>IF(R584&lt;&gt;"",SUMIFS('JPK_KR-1'!AL:AL,'JPK_KR-1'!W:W,S584),"")</f>
        <v/>
      </c>
      <c r="V584" s="144" t="str">
        <f>IF(R584&lt;&gt;"",SUMIFS('JPK_KR-1'!AM:AM,'JPK_KR-1'!W:W,S584),"")</f>
        <v/>
      </c>
    </row>
    <row r="585" spans="1:22" x14ac:dyDescent="0.3">
      <c r="A585" s="5" t="str">
        <f>IF(kokpit!A585&lt;&gt;"",kokpit!A585,"")</f>
        <v/>
      </c>
      <c r="B585" s="5" t="str">
        <f>IF(kokpit!B585&lt;&gt;"",kokpit!B585,"")</f>
        <v/>
      </c>
      <c r="C585" s="24" t="str">
        <f>IF(A585&lt;&gt;"",SUMIFS('JPK_KR-1'!AL:AL,'JPK_KR-1'!W:W,B585),"")</f>
        <v/>
      </c>
      <c r="D585" s="126" t="str">
        <f>IF(A585&lt;&gt;"",SUMIFS('JPK_KR-1'!AM:AM,'JPK_KR-1'!W:W,B585),"")</f>
        <v/>
      </c>
      <c r="E585" s="5" t="str">
        <f>IF(kokpit!E585&lt;&gt;"",kokpit!E585,"")</f>
        <v/>
      </c>
      <c r="F585" s="127" t="str">
        <f>IF(kokpit!F585&lt;&gt;"",kokpit!F585,"")</f>
        <v/>
      </c>
      <c r="G585" s="24" t="str">
        <f>IF(E585&lt;&gt;"",SUMIFS('JPK_KR-1'!AL:AL,'JPK_KR-1'!W:W,F585),"")</f>
        <v/>
      </c>
      <c r="H585" s="126" t="str">
        <f>IF(E585&lt;&gt;"",SUMIFS('JPK_KR-1'!AM:AM,'JPK_KR-1'!W:W,F585),"")</f>
        <v/>
      </c>
      <c r="I585" s="5" t="str">
        <f>IF(kokpit!I585&lt;&gt;"",kokpit!I585,"")</f>
        <v/>
      </c>
      <c r="J585" s="5" t="str">
        <f>IF(kokpit!J585&lt;&gt;"",kokpit!J585,"")</f>
        <v/>
      </c>
      <c r="K585" s="24" t="str">
        <f>IF(I585&lt;&gt;"",SUMIFS('JPK_KR-1'!AL:AL,'JPK_KR-1'!W:W,J585),"")</f>
        <v/>
      </c>
      <c r="L585" s="141" t="str">
        <f>IF(I585&lt;&gt;"",SUMIFS('JPK_KR-1'!AM:AM,'JPK_KR-1'!W:W,J585),"")</f>
        <v/>
      </c>
      <c r="M585" s="143" t="str">
        <f>IF(kokpit!M585&lt;&gt;"",kokpit!M585,"")</f>
        <v/>
      </c>
      <c r="N585" s="117" t="str">
        <f>IF(kokpit!N585&lt;&gt;"",kokpit!N585,"")</f>
        <v/>
      </c>
      <c r="O585" s="117" t="str">
        <f>IF(kokpit!O585&lt;&gt;"",kokpit!O585,"")</f>
        <v/>
      </c>
      <c r="P585" s="141" t="str">
        <f>IF(M585&lt;&gt;"",IF(O585="",SUMIFS('JPK_KR-1'!AL:AL,'JPK_KR-1'!W:W,N585),SUMIFS('JPK_KR-1'!BF:BF,'JPK_KR-1'!BE:BE,N585,'JPK_KR-1'!BG:BG,O585)),"")</f>
        <v/>
      </c>
      <c r="Q585" s="144" t="str">
        <f>IF(M585&lt;&gt;"",IF(O585="",SUMIFS('JPK_KR-1'!AM:AM,'JPK_KR-1'!W:W,N585),SUMIFS('JPK_KR-1'!BI:BI,'JPK_KR-1'!BH:BH,N585,'JPK_KR-1'!BJ:BJ,O585)),"")</f>
        <v/>
      </c>
      <c r="R585" s="117" t="str">
        <f>IF(kokpit!R585&lt;&gt;"",kokpit!R585,"")</f>
        <v/>
      </c>
      <c r="S585" s="117" t="str">
        <f>IF(kokpit!S585&lt;&gt;"",kokpit!S585,"")</f>
        <v/>
      </c>
      <c r="T585" s="117" t="str">
        <f>IF(kokpit!T585&lt;&gt;"",kokpit!T585,"")</f>
        <v/>
      </c>
      <c r="U585" s="141" t="str">
        <f>IF(R585&lt;&gt;"",SUMIFS('JPK_KR-1'!AL:AL,'JPK_KR-1'!W:W,S585),"")</f>
        <v/>
      </c>
      <c r="V585" s="144" t="str">
        <f>IF(R585&lt;&gt;"",SUMIFS('JPK_KR-1'!AM:AM,'JPK_KR-1'!W:W,S585),"")</f>
        <v/>
      </c>
    </row>
    <row r="586" spans="1:22" x14ac:dyDescent="0.3">
      <c r="A586" s="5" t="str">
        <f>IF(kokpit!A586&lt;&gt;"",kokpit!A586,"")</f>
        <v/>
      </c>
      <c r="B586" s="5" t="str">
        <f>IF(kokpit!B586&lt;&gt;"",kokpit!B586,"")</f>
        <v/>
      </c>
      <c r="C586" s="24" t="str">
        <f>IF(A586&lt;&gt;"",SUMIFS('JPK_KR-1'!AL:AL,'JPK_KR-1'!W:W,B586),"")</f>
        <v/>
      </c>
      <c r="D586" s="126" t="str">
        <f>IF(A586&lt;&gt;"",SUMIFS('JPK_KR-1'!AM:AM,'JPK_KR-1'!W:W,B586),"")</f>
        <v/>
      </c>
      <c r="E586" s="5" t="str">
        <f>IF(kokpit!E586&lt;&gt;"",kokpit!E586,"")</f>
        <v/>
      </c>
      <c r="F586" s="127" t="str">
        <f>IF(kokpit!F586&lt;&gt;"",kokpit!F586,"")</f>
        <v/>
      </c>
      <c r="G586" s="24" t="str">
        <f>IF(E586&lt;&gt;"",SUMIFS('JPK_KR-1'!AL:AL,'JPK_KR-1'!W:W,F586),"")</f>
        <v/>
      </c>
      <c r="H586" s="126" t="str">
        <f>IF(E586&lt;&gt;"",SUMIFS('JPK_KR-1'!AM:AM,'JPK_KR-1'!W:W,F586),"")</f>
        <v/>
      </c>
      <c r="I586" s="5" t="str">
        <f>IF(kokpit!I586&lt;&gt;"",kokpit!I586,"")</f>
        <v/>
      </c>
      <c r="J586" s="5" t="str">
        <f>IF(kokpit!J586&lt;&gt;"",kokpit!J586,"")</f>
        <v/>
      </c>
      <c r="K586" s="24" t="str">
        <f>IF(I586&lt;&gt;"",SUMIFS('JPK_KR-1'!AL:AL,'JPK_KR-1'!W:W,J586),"")</f>
        <v/>
      </c>
      <c r="L586" s="141" t="str">
        <f>IF(I586&lt;&gt;"",SUMIFS('JPK_KR-1'!AM:AM,'JPK_KR-1'!W:W,J586),"")</f>
        <v/>
      </c>
      <c r="M586" s="143" t="str">
        <f>IF(kokpit!M586&lt;&gt;"",kokpit!M586,"")</f>
        <v/>
      </c>
      <c r="N586" s="117" t="str">
        <f>IF(kokpit!N586&lt;&gt;"",kokpit!N586,"")</f>
        <v/>
      </c>
      <c r="O586" s="117" t="str">
        <f>IF(kokpit!O586&lt;&gt;"",kokpit!O586,"")</f>
        <v/>
      </c>
      <c r="P586" s="141" t="str">
        <f>IF(M586&lt;&gt;"",IF(O586="",SUMIFS('JPK_KR-1'!AL:AL,'JPK_KR-1'!W:W,N586),SUMIFS('JPK_KR-1'!BF:BF,'JPK_KR-1'!BE:BE,N586,'JPK_KR-1'!BG:BG,O586)),"")</f>
        <v/>
      </c>
      <c r="Q586" s="144" t="str">
        <f>IF(M586&lt;&gt;"",IF(O586="",SUMIFS('JPK_KR-1'!AM:AM,'JPK_KR-1'!W:W,N586),SUMIFS('JPK_KR-1'!BI:BI,'JPK_KR-1'!BH:BH,N586,'JPK_KR-1'!BJ:BJ,O586)),"")</f>
        <v/>
      </c>
      <c r="R586" s="117" t="str">
        <f>IF(kokpit!R586&lt;&gt;"",kokpit!R586,"")</f>
        <v/>
      </c>
      <c r="S586" s="117" t="str">
        <f>IF(kokpit!S586&lt;&gt;"",kokpit!S586,"")</f>
        <v/>
      </c>
      <c r="T586" s="117" t="str">
        <f>IF(kokpit!T586&lt;&gt;"",kokpit!T586,"")</f>
        <v/>
      </c>
      <c r="U586" s="141" t="str">
        <f>IF(R586&lt;&gt;"",SUMIFS('JPK_KR-1'!AL:AL,'JPK_KR-1'!W:W,S586),"")</f>
        <v/>
      </c>
      <c r="V586" s="144" t="str">
        <f>IF(R586&lt;&gt;"",SUMIFS('JPK_KR-1'!AM:AM,'JPK_KR-1'!W:W,S586),"")</f>
        <v/>
      </c>
    </row>
    <row r="587" spans="1:22" x14ac:dyDescent="0.3">
      <c r="A587" s="5" t="str">
        <f>IF(kokpit!A587&lt;&gt;"",kokpit!A587,"")</f>
        <v/>
      </c>
      <c r="B587" s="5" t="str">
        <f>IF(kokpit!B587&lt;&gt;"",kokpit!B587,"")</f>
        <v/>
      </c>
      <c r="C587" s="24" t="str">
        <f>IF(A587&lt;&gt;"",SUMIFS('JPK_KR-1'!AL:AL,'JPK_KR-1'!W:W,B587),"")</f>
        <v/>
      </c>
      <c r="D587" s="126" t="str">
        <f>IF(A587&lt;&gt;"",SUMIFS('JPK_KR-1'!AM:AM,'JPK_KR-1'!W:W,B587),"")</f>
        <v/>
      </c>
      <c r="E587" s="5" t="str">
        <f>IF(kokpit!E587&lt;&gt;"",kokpit!E587,"")</f>
        <v/>
      </c>
      <c r="F587" s="127" t="str">
        <f>IF(kokpit!F587&lt;&gt;"",kokpit!F587,"")</f>
        <v/>
      </c>
      <c r="G587" s="24" t="str">
        <f>IF(E587&lt;&gt;"",SUMIFS('JPK_KR-1'!AL:AL,'JPK_KR-1'!W:W,F587),"")</f>
        <v/>
      </c>
      <c r="H587" s="126" t="str">
        <f>IF(E587&lt;&gt;"",SUMIFS('JPK_KR-1'!AM:AM,'JPK_KR-1'!W:W,F587),"")</f>
        <v/>
      </c>
      <c r="I587" s="5" t="str">
        <f>IF(kokpit!I587&lt;&gt;"",kokpit!I587,"")</f>
        <v/>
      </c>
      <c r="J587" s="5" t="str">
        <f>IF(kokpit!J587&lt;&gt;"",kokpit!J587,"")</f>
        <v/>
      </c>
      <c r="K587" s="24" t="str">
        <f>IF(I587&lt;&gt;"",SUMIFS('JPK_KR-1'!AL:AL,'JPK_KR-1'!W:W,J587),"")</f>
        <v/>
      </c>
      <c r="L587" s="141" t="str">
        <f>IF(I587&lt;&gt;"",SUMIFS('JPK_KR-1'!AM:AM,'JPK_KR-1'!W:W,J587),"")</f>
        <v/>
      </c>
      <c r="M587" s="143" t="str">
        <f>IF(kokpit!M587&lt;&gt;"",kokpit!M587,"")</f>
        <v/>
      </c>
      <c r="N587" s="117" t="str">
        <f>IF(kokpit!N587&lt;&gt;"",kokpit!N587,"")</f>
        <v/>
      </c>
      <c r="O587" s="117" t="str">
        <f>IF(kokpit!O587&lt;&gt;"",kokpit!O587,"")</f>
        <v/>
      </c>
      <c r="P587" s="141" t="str">
        <f>IF(M587&lt;&gt;"",IF(O587="",SUMIFS('JPK_KR-1'!AL:AL,'JPK_KR-1'!W:W,N587),SUMIFS('JPK_KR-1'!BF:BF,'JPK_KR-1'!BE:BE,N587,'JPK_KR-1'!BG:BG,O587)),"")</f>
        <v/>
      </c>
      <c r="Q587" s="144" t="str">
        <f>IF(M587&lt;&gt;"",IF(O587="",SUMIFS('JPK_KR-1'!AM:AM,'JPK_KR-1'!W:W,N587),SUMIFS('JPK_KR-1'!BI:BI,'JPK_KR-1'!BH:BH,N587,'JPK_KR-1'!BJ:BJ,O587)),"")</f>
        <v/>
      </c>
      <c r="R587" s="117" t="str">
        <f>IF(kokpit!R587&lt;&gt;"",kokpit!R587,"")</f>
        <v/>
      </c>
      <c r="S587" s="117" t="str">
        <f>IF(kokpit!S587&lt;&gt;"",kokpit!S587,"")</f>
        <v/>
      </c>
      <c r="T587" s="117" t="str">
        <f>IF(kokpit!T587&lt;&gt;"",kokpit!T587,"")</f>
        <v/>
      </c>
      <c r="U587" s="141" t="str">
        <f>IF(R587&lt;&gt;"",SUMIFS('JPK_KR-1'!AL:AL,'JPK_KR-1'!W:W,S587),"")</f>
        <v/>
      </c>
      <c r="V587" s="144" t="str">
        <f>IF(R587&lt;&gt;"",SUMIFS('JPK_KR-1'!AM:AM,'JPK_KR-1'!W:W,S587),"")</f>
        <v/>
      </c>
    </row>
    <row r="588" spans="1:22" x14ac:dyDescent="0.3">
      <c r="A588" s="5" t="str">
        <f>IF(kokpit!A588&lt;&gt;"",kokpit!A588,"")</f>
        <v/>
      </c>
      <c r="B588" s="5" t="str">
        <f>IF(kokpit!B588&lt;&gt;"",kokpit!B588,"")</f>
        <v/>
      </c>
      <c r="C588" s="24" t="str">
        <f>IF(A588&lt;&gt;"",SUMIFS('JPK_KR-1'!AL:AL,'JPK_KR-1'!W:W,B588),"")</f>
        <v/>
      </c>
      <c r="D588" s="126" t="str">
        <f>IF(A588&lt;&gt;"",SUMIFS('JPK_KR-1'!AM:AM,'JPK_KR-1'!W:W,B588),"")</f>
        <v/>
      </c>
      <c r="E588" s="5" t="str">
        <f>IF(kokpit!E588&lt;&gt;"",kokpit!E588,"")</f>
        <v/>
      </c>
      <c r="F588" s="127" t="str">
        <f>IF(kokpit!F588&lt;&gt;"",kokpit!F588,"")</f>
        <v/>
      </c>
      <c r="G588" s="24" t="str">
        <f>IF(E588&lt;&gt;"",SUMIFS('JPK_KR-1'!AL:AL,'JPK_KR-1'!W:W,F588),"")</f>
        <v/>
      </c>
      <c r="H588" s="126" t="str">
        <f>IF(E588&lt;&gt;"",SUMIFS('JPK_KR-1'!AM:AM,'JPK_KR-1'!W:W,F588),"")</f>
        <v/>
      </c>
      <c r="I588" s="5" t="str">
        <f>IF(kokpit!I588&lt;&gt;"",kokpit!I588,"")</f>
        <v/>
      </c>
      <c r="J588" s="5" t="str">
        <f>IF(kokpit!J588&lt;&gt;"",kokpit!J588,"")</f>
        <v/>
      </c>
      <c r="K588" s="24" t="str">
        <f>IF(I588&lt;&gt;"",SUMIFS('JPK_KR-1'!AL:AL,'JPK_KR-1'!W:W,J588),"")</f>
        <v/>
      </c>
      <c r="L588" s="141" t="str">
        <f>IF(I588&lt;&gt;"",SUMIFS('JPK_KR-1'!AM:AM,'JPK_KR-1'!W:W,J588),"")</f>
        <v/>
      </c>
      <c r="M588" s="143" t="str">
        <f>IF(kokpit!M588&lt;&gt;"",kokpit!M588,"")</f>
        <v/>
      </c>
      <c r="N588" s="117" t="str">
        <f>IF(kokpit!N588&lt;&gt;"",kokpit!N588,"")</f>
        <v/>
      </c>
      <c r="O588" s="117" t="str">
        <f>IF(kokpit!O588&lt;&gt;"",kokpit!O588,"")</f>
        <v/>
      </c>
      <c r="P588" s="141" t="str">
        <f>IF(M588&lt;&gt;"",IF(O588="",SUMIFS('JPK_KR-1'!AL:AL,'JPK_KR-1'!W:W,N588),SUMIFS('JPK_KR-1'!BF:BF,'JPK_KR-1'!BE:BE,N588,'JPK_KR-1'!BG:BG,O588)),"")</f>
        <v/>
      </c>
      <c r="Q588" s="144" t="str">
        <f>IF(M588&lt;&gt;"",IF(O588="",SUMIFS('JPK_KR-1'!AM:AM,'JPK_KR-1'!W:W,N588),SUMIFS('JPK_KR-1'!BI:BI,'JPK_KR-1'!BH:BH,N588,'JPK_KR-1'!BJ:BJ,O588)),"")</f>
        <v/>
      </c>
      <c r="R588" s="117" t="str">
        <f>IF(kokpit!R588&lt;&gt;"",kokpit!R588,"")</f>
        <v/>
      </c>
      <c r="S588" s="117" t="str">
        <f>IF(kokpit!S588&lt;&gt;"",kokpit!S588,"")</f>
        <v/>
      </c>
      <c r="T588" s="117" t="str">
        <f>IF(kokpit!T588&lt;&gt;"",kokpit!T588,"")</f>
        <v/>
      </c>
      <c r="U588" s="141" t="str">
        <f>IF(R588&lt;&gt;"",SUMIFS('JPK_KR-1'!AL:AL,'JPK_KR-1'!W:W,S588),"")</f>
        <v/>
      </c>
      <c r="V588" s="144" t="str">
        <f>IF(R588&lt;&gt;"",SUMIFS('JPK_KR-1'!AM:AM,'JPK_KR-1'!W:W,S588),"")</f>
        <v/>
      </c>
    </row>
    <row r="589" spans="1:22" x14ac:dyDescent="0.3">
      <c r="A589" s="5" t="str">
        <f>IF(kokpit!A589&lt;&gt;"",kokpit!A589,"")</f>
        <v/>
      </c>
      <c r="B589" s="5" t="str">
        <f>IF(kokpit!B589&lt;&gt;"",kokpit!B589,"")</f>
        <v/>
      </c>
      <c r="C589" s="24" t="str">
        <f>IF(A589&lt;&gt;"",SUMIFS('JPK_KR-1'!AL:AL,'JPK_KR-1'!W:W,B589),"")</f>
        <v/>
      </c>
      <c r="D589" s="126" t="str">
        <f>IF(A589&lt;&gt;"",SUMIFS('JPK_KR-1'!AM:AM,'JPK_KR-1'!W:W,B589),"")</f>
        <v/>
      </c>
      <c r="E589" s="5" t="str">
        <f>IF(kokpit!E589&lt;&gt;"",kokpit!E589,"")</f>
        <v/>
      </c>
      <c r="F589" s="127" t="str">
        <f>IF(kokpit!F589&lt;&gt;"",kokpit!F589,"")</f>
        <v/>
      </c>
      <c r="G589" s="24" t="str">
        <f>IF(E589&lt;&gt;"",SUMIFS('JPK_KR-1'!AL:AL,'JPK_KR-1'!W:W,F589),"")</f>
        <v/>
      </c>
      <c r="H589" s="126" t="str">
        <f>IF(E589&lt;&gt;"",SUMIFS('JPK_KR-1'!AM:AM,'JPK_KR-1'!W:W,F589),"")</f>
        <v/>
      </c>
      <c r="I589" s="5" t="str">
        <f>IF(kokpit!I589&lt;&gt;"",kokpit!I589,"")</f>
        <v/>
      </c>
      <c r="J589" s="5" t="str">
        <f>IF(kokpit!J589&lt;&gt;"",kokpit!J589,"")</f>
        <v/>
      </c>
      <c r="K589" s="24" t="str">
        <f>IF(I589&lt;&gt;"",SUMIFS('JPK_KR-1'!AL:AL,'JPK_KR-1'!W:W,J589),"")</f>
        <v/>
      </c>
      <c r="L589" s="141" t="str">
        <f>IF(I589&lt;&gt;"",SUMIFS('JPK_KR-1'!AM:AM,'JPK_KR-1'!W:W,J589),"")</f>
        <v/>
      </c>
      <c r="M589" s="143" t="str">
        <f>IF(kokpit!M589&lt;&gt;"",kokpit!M589,"")</f>
        <v/>
      </c>
      <c r="N589" s="117" t="str">
        <f>IF(kokpit!N589&lt;&gt;"",kokpit!N589,"")</f>
        <v/>
      </c>
      <c r="O589" s="117" t="str">
        <f>IF(kokpit!O589&lt;&gt;"",kokpit!O589,"")</f>
        <v/>
      </c>
      <c r="P589" s="141" t="str">
        <f>IF(M589&lt;&gt;"",IF(O589="",SUMIFS('JPK_KR-1'!AL:AL,'JPK_KR-1'!W:W,N589),SUMIFS('JPK_KR-1'!BF:BF,'JPK_KR-1'!BE:BE,N589,'JPK_KR-1'!BG:BG,O589)),"")</f>
        <v/>
      </c>
      <c r="Q589" s="144" t="str">
        <f>IF(M589&lt;&gt;"",IF(O589="",SUMIFS('JPK_KR-1'!AM:AM,'JPK_KR-1'!W:W,N589),SUMIFS('JPK_KR-1'!BI:BI,'JPK_KR-1'!BH:BH,N589,'JPK_KR-1'!BJ:BJ,O589)),"")</f>
        <v/>
      </c>
      <c r="R589" s="117" t="str">
        <f>IF(kokpit!R589&lt;&gt;"",kokpit!R589,"")</f>
        <v/>
      </c>
      <c r="S589" s="117" t="str">
        <f>IF(kokpit!S589&lt;&gt;"",kokpit!S589,"")</f>
        <v/>
      </c>
      <c r="T589" s="117" t="str">
        <f>IF(kokpit!T589&lt;&gt;"",kokpit!T589,"")</f>
        <v/>
      </c>
      <c r="U589" s="141" t="str">
        <f>IF(R589&lt;&gt;"",SUMIFS('JPK_KR-1'!AL:AL,'JPK_KR-1'!W:W,S589),"")</f>
        <v/>
      </c>
      <c r="V589" s="144" t="str">
        <f>IF(R589&lt;&gt;"",SUMIFS('JPK_KR-1'!AM:AM,'JPK_KR-1'!W:W,S589),"")</f>
        <v/>
      </c>
    </row>
    <row r="590" spans="1:22" x14ac:dyDescent="0.3">
      <c r="A590" s="5" t="str">
        <f>IF(kokpit!A590&lt;&gt;"",kokpit!A590,"")</f>
        <v/>
      </c>
      <c r="B590" s="5" t="str">
        <f>IF(kokpit!B590&lt;&gt;"",kokpit!B590,"")</f>
        <v/>
      </c>
      <c r="C590" s="24" t="str">
        <f>IF(A590&lt;&gt;"",SUMIFS('JPK_KR-1'!AL:AL,'JPK_KR-1'!W:W,B590),"")</f>
        <v/>
      </c>
      <c r="D590" s="126" t="str">
        <f>IF(A590&lt;&gt;"",SUMIFS('JPK_KR-1'!AM:AM,'JPK_KR-1'!W:W,B590),"")</f>
        <v/>
      </c>
      <c r="E590" s="5" t="str">
        <f>IF(kokpit!E590&lt;&gt;"",kokpit!E590,"")</f>
        <v/>
      </c>
      <c r="F590" s="127" t="str">
        <f>IF(kokpit!F590&lt;&gt;"",kokpit!F590,"")</f>
        <v/>
      </c>
      <c r="G590" s="24" t="str">
        <f>IF(E590&lt;&gt;"",SUMIFS('JPK_KR-1'!AL:AL,'JPK_KR-1'!W:W,F590),"")</f>
        <v/>
      </c>
      <c r="H590" s="126" t="str">
        <f>IF(E590&lt;&gt;"",SUMIFS('JPK_KR-1'!AM:AM,'JPK_KR-1'!W:W,F590),"")</f>
        <v/>
      </c>
      <c r="I590" s="5" t="str">
        <f>IF(kokpit!I590&lt;&gt;"",kokpit!I590,"")</f>
        <v/>
      </c>
      <c r="J590" s="5" t="str">
        <f>IF(kokpit!J590&lt;&gt;"",kokpit!J590,"")</f>
        <v/>
      </c>
      <c r="K590" s="24" t="str">
        <f>IF(I590&lt;&gt;"",SUMIFS('JPK_KR-1'!AL:AL,'JPK_KR-1'!W:W,J590),"")</f>
        <v/>
      </c>
      <c r="L590" s="141" t="str">
        <f>IF(I590&lt;&gt;"",SUMIFS('JPK_KR-1'!AM:AM,'JPK_KR-1'!W:W,J590),"")</f>
        <v/>
      </c>
      <c r="M590" s="143" t="str">
        <f>IF(kokpit!M590&lt;&gt;"",kokpit!M590,"")</f>
        <v/>
      </c>
      <c r="N590" s="117" t="str">
        <f>IF(kokpit!N590&lt;&gt;"",kokpit!N590,"")</f>
        <v/>
      </c>
      <c r="O590" s="117" t="str">
        <f>IF(kokpit!O590&lt;&gt;"",kokpit!O590,"")</f>
        <v/>
      </c>
      <c r="P590" s="141" t="str">
        <f>IF(M590&lt;&gt;"",IF(O590="",SUMIFS('JPK_KR-1'!AL:AL,'JPK_KR-1'!W:W,N590),SUMIFS('JPK_KR-1'!BF:BF,'JPK_KR-1'!BE:BE,N590,'JPK_KR-1'!BG:BG,O590)),"")</f>
        <v/>
      </c>
      <c r="Q590" s="144" t="str">
        <f>IF(M590&lt;&gt;"",IF(O590="",SUMIFS('JPK_KR-1'!AM:AM,'JPK_KR-1'!W:W,N590),SUMIFS('JPK_KR-1'!BI:BI,'JPK_KR-1'!BH:BH,N590,'JPK_KR-1'!BJ:BJ,O590)),"")</f>
        <v/>
      </c>
      <c r="R590" s="117" t="str">
        <f>IF(kokpit!R590&lt;&gt;"",kokpit!R590,"")</f>
        <v/>
      </c>
      <c r="S590" s="117" t="str">
        <f>IF(kokpit!S590&lt;&gt;"",kokpit!S590,"")</f>
        <v/>
      </c>
      <c r="T590" s="117" t="str">
        <f>IF(kokpit!T590&lt;&gt;"",kokpit!T590,"")</f>
        <v/>
      </c>
      <c r="U590" s="141" t="str">
        <f>IF(R590&lt;&gt;"",SUMIFS('JPK_KR-1'!AL:AL,'JPK_KR-1'!W:W,S590),"")</f>
        <v/>
      </c>
      <c r="V590" s="144" t="str">
        <f>IF(R590&lt;&gt;"",SUMIFS('JPK_KR-1'!AM:AM,'JPK_KR-1'!W:W,S590),"")</f>
        <v/>
      </c>
    </row>
    <row r="591" spans="1:22" x14ac:dyDescent="0.3">
      <c r="A591" s="5" t="str">
        <f>IF(kokpit!A591&lt;&gt;"",kokpit!A591,"")</f>
        <v/>
      </c>
      <c r="B591" s="5" t="str">
        <f>IF(kokpit!B591&lt;&gt;"",kokpit!B591,"")</f>
        <v/>
      </c>
      <c r="C591" s="24" t="str">
        <f>IF(A591&lt;&gt;"",SUMIFS('JPK_KR-1'!AL:AL,'JPK_KR-1'!W:W,B591),"")</f>
        <v/>
      </c>
      <c r="D591" s="126" t="str">
        <f>IF(A591&lt;&gt;"",SUMIFS('JPK_KR-1'!AM:AM,'JPK_KR-1'!W:W,B591),"")</f>
        <v/>
      </c>
      <c r="E591" s="5" t="str">
        <f>IF(kokpit!E591&lt;&gt;"",kokpit!E591,"")</f>
        <v/>
      </c>
      <c r="F591" s="127" t="str">
        <f>IF(kokpit!F591&lt;&gt;"",kokpit!F591,"")</f>
        <v/>
      </c>
      <c r="G591" s="24" t="str">
        <f>IF(E591&lt;&gt;"",SUMIFS('JPK_KR-1'!AL:AL,'JPK_KR-1'!W:W,F591),"")</f>
        <v/>
      </c>
      <c r="H591" s="126" t="str">
        <f>IF(E591&lt;&gt;"",SUMIFS('JPK_KR-1'!AM:AM,'JPK_KR-1'!W:W,F591),"")</f>
        <v/>
      </c>
      <c r="I591" s="5" t="str">
        <f>IF(kokpit!I591&lt;&gt;"",kokpit!I591,"")</f>
        <v/>
      </c>
      <c r="J591" s="5" t="str">
        <f>IF(kokpit!J591&lt;&gt;"",kokpit!J591,"")</f>
        <v/>
      </c>
      <c r="K591" s="24" t="str">
        <f>IF(I591&lt;&gt;"",SUMIFS('JPK_KR-1'!AL:AL,'JPK_KR-1'!W:W,J591),"")</f>
        <v/>
      </c>
      <c r="L591" s="141" t="str">
        <f>IF(I591&lt;&gt;"",SUMIFS('JPK_KR-1'!AM:AM,'JPK_KR-1'!W:W,J591),"")</f>
        <v/>
      </c>
      <c r="M591" s="143" t="str">
        <f>IF(kokpit!M591&lt;&gt;"",kokpit!M591,"")</f>
        <v/>
      </c>
      <c r="N591" s="117" t="str">
        <f>IF(kokpit!N591&lt;&gt;"",kokpit!N591,"")</f>
        <v/>
      </c>
      <c r="O591" s="117" t="str">
        <f>IF(kokpit!O591&lt;&gt;"",kokpit!O591,"")</f>
        <v/>
      </c>
      <c r="P591" s="141" t="str">
        <f>IF(M591&lt;&gt;"",IF(O591="",SUMIFS('JPK_KR-1'!AL:AL,'JPK_KR-1'!W:W,N591),SUMIFS('JPK_KR-1'!BF:BF,'JPK_KR-1'!BE:BE,N591,'JPK_KR-1'!BG:BG,O591)),"")</f>
        <v/>
      </c>
      <c r="Q591" s="144" t="str">
        <f>IF(M591&lt;&gt;"",IF(O591="",SUMIFS('JPK_KR-1'!AM:AM,'JPK_KR-1'!W:W,N591),SUMIFS('JPK_KR-1'!BI:BI,'JPK_KR-1'!BH:BH,N591,'JPK_KR-1'!BJ:BJ,O591)),"")</f>
        <v/>
      </c>
      <c r="R591" s="117" t="str">
        <f>IF(kokpit!R591&lt;&gt;"",kokpit!R591,"")</f>
        <v/>
      </c>
      <c r="S591" s="117" t="str">
        <f>IF(kokpit!S591&lt;&gt;"",kokpit!S591,"")</f>
        <v/>
      </c>
      <c r="T591" s="117" t="str">
        <f>IF(kokpit!T591&lt;&gt;"",kokpit!T591,"")</f>
        <v/>
      </c>
      <c r="U591" s="141" t="str">
        <f>IF(R591&lt;&gt;"",SUMIFS('JPK_KR-1'!AL:AL,'JPK_KR-1'!W:W,S591),"")</f>
        <v/>
      </c>
      <c r="V591" s="144" t="str">
        <f>IF(R591&lt;&gt;"",SUMIFS('JPK_KR-1'!AM:AM,'JPK_KR-1'!W:W,S591),"")</f>
        <v/>
      </c>
    </row>
    <row r="592" spans="1:22" x14ac:dyDescent="0.3">
      <c r="A592" s="5" t="str">
        <f>IF(kokpit!A592&lt;&gt;"",kokpit!A592,"")</f>
        <v/>
      </c>
      <c r="B592" s="5" t="str">
        <f>IF(kokpit!B592&lt;&gt;"",kokpit!B592,"")</f>
        <v/>
      </c>
      <c r="C592" s="24" t="str">
        <f>IF(A592&lt;&gt;"",SUMIFS('JPK_KR-1'!AL:AL,'JPK_KR-1'!W:W,B592),"")</f>
        <v/>
      </c>
      <c r="D592" s="126" t="str">
        <f>IF(A592&lt;&gt;"",SUMIFS('JPK_KR-1'!AM:AM,'JPK_KR-1'!W:W,B592),"")</f>
        <v/>
      </c>
      <c r="E592" s="5" t="str">
        <f>IF(kokpit!E592&lt;&gt;"",kokpit!E592,"")</f>
        <v/>
      </c>
      <c r="F592" s="127" t="str">
        <f>IF(kokpit!F592&lt;&gt;"",kokpit!F592,"")</f>
        <v/>
      </c>
      <c r="G592" s="24" t="str">
        <f>IF(E592&lt;&gt;"",SUMIFS('JPK_KR-1'!AL:AL,'JPK_KR-1'!W:W,F592),"")</f>
        <v/>
      </c>
      <c r="H592" s="126" t="str">
        <f>IF(E592&lt;&gt;"",SUMIFS('JPK_KR-1'!AM:AM,'JPK_KR-1'!W:W,F592),"")</f>
        <v/>
      </c>
      <c r="I592" s="5" t="str">
        <f>IF(kokpit!I592&lt;&gt;"",kokpit!I592,"")</f>
        <v/>
      </c>
      <c r="J592" s="5" t="str">
        <f>IF(kokpit!J592&lt;&gt;"",kokpit!J592,"")</f>
        <v/>
      </c>
      <c r="K592" s="24" t="str">
        <f>IF(I592&lt;&gt;"",SUMIFS('JPK_KR-1'!AL:AL,'JPK_KR-1'!W:W,J592),"")</f>
        <v/>
      </c>
      <c r="L592" s="141" t="str">
        <f>IF(I592&lt;&gt;"",SUMIFS('JPK_KR-1'!AM:AM,'JPK_KR-1'!W:W,J592),"")</f>
        <v/>
      </c>
      <c r="M592" s="143" t="str">
        <f>IF(kokpit!M592&lt;&gt;"",kokpit!M592,"")</f>
        <v/>
      </c>
      <c r="N592" s="117" t="str">
        <f>IF(kokpit!N592&lt;&gt;"",kokpit!N592,"")</f>
        <v/>
      </c>
      <c r="O592" s="117" t="str">
        <f>IF(kokpit!O592&lt;&gt;"",kokpit!O592,"")</f>
        <v/>
      </c>
      <c r="P592" s="141" t="str">
        <f>IF(M592&lt;&gt;"",IF(O592="",SUMIFS('JPK_KR-1'!AL:AL,'JPK_KR-1'!W:W,N592),SUMIFS('JPK_KR-1'!BF:BF,'JPK_KR-1'!BE:BE,N592,'JPK_KR-1'!BG:BG,O592)),"")</f>
        <v/>
      </c>
      <c r="Q592" s="144" t="str">
        <f>IF(M592&lt;&gt;"",IF(O592="",SUMIFS('JPK_KR-1'!AM:AM,'JPK_KR-1'!W:W,N592),SUMIFS('JPK_KR-1'!BI:BI,'JPK_KR-1'!BH:BH,N592,'JPK_KR-1'!BJ:BJ,O592)),"")</f>
        <v/>
      </c>
      <c r="R592" s="117" t="str">
        <f>IF(kokpit!R592&lt;&gt;"",kokpit!R592,"")</f>
        <v/>
      </c>
      <c r="S592" s="117" t="str">
        <f>IF(kokpit!S592&lt;&gt;"",kokpit!S592,"")</f>
        <v/>
      </c>
      <c r="T592" s="117" t="str">
        <f>IF(kokpit!T592&lt;&gt;"",kokpit!T592,"")</f>
        <v/>
      </c>
      <c r="U592" s="141" t="str">
        <f>IF(R592&lt;&gt;"",SUMIFS('JPK_KR-1'!AL:AL,'JPK_KR-1'!W:W,S592),"")</f>
        <v/>
      </c>
      <c r="V592" s="144" t="str">
        <f>IF(R592&lt;&gt;"",SUMIFS('JPK_KR-1'!AM:AM,'JPK_KR-1'!W:W,S592),"")</f>
        <v/>
      </c>
    </row>
    <row r="593" spans="1:22" x14ac:dyDescent="0.3">
      <c r="A593" s="5" t="str">
        <f>IF(kokpit!A593&lt;&gt;"",kokpit!A593,"")</f>
        <v/>
      </c>
      <c r="B593" s="5" t="str">
        <f>IF(kokpit!B593&lt;&gt;"",kokpit!B593,"")</f>
        <v/>
      </c>
      <c r="C593" s="24" t="str">
        <f>IF(A593&lt;&gt;"",SUMIFS('JPK_KR-1'!AL:AL,'JPK_KR-1'!W:W,B593),"")</f>
        <v/>
      </c>
      <c r="D593" s="126" t="str">
        <f>IF(A593&lt;&gt;"",SUMIFS('JPK_KR-1'!AM:AM,'JPK_KR-1'!W:W,B593),"")</f>
        <v/>
      </c>
      <c r="E593" s="5" t="str">
        <f>IF(kokpit!E593&lt;&gt;"",kokpit!E593,"")</f>
        <v/>
      </c>
      <c r="F593" s="127" t="str">
        <f>IF(kokpit!F593&lt;&gt;"",kokpit!F593,"")</f>
        <v/>
      </c>
      <c r="G593" s="24" t="str">
        <f>IF(E593&lt;&gt;"",SUMIFS('JPK_KR-1'!AL:AL,'JPK_KR-1'!W:W,F593),"")</f>
        <v/>
      </c>
      <c r="H593" s="126" t="str">
        <f>IF(E593&lt;&gt;"",SUMIFS('JPK_KR-1'!AM:AM,'JPK_KR-1'!W:W,F593),"")</f>
        <v/>
      </c>
      <c r="I593" s="5" t="str">
        <f>IF(kokpit!I593&lt;&gt;"",kokpit!I593,"")</f>
        <v/>
      </c>
      <c r="J593" s="5" t="str">
        <f>IF(kokpit!J593&lt;&gt;"",kokpit!J593,"")</f>
        <v/>
      </c>
      <c r="K593" s="24" t="str">
        <f>IF(I593&lt;&gt;"",SUMIFS('JPK_KR-1'!AL:AL,'JPK_KR-1'!W:W,J593),"")</f>
        <v/>
      </c>
      <c r="L593" s="141" t="str">
        <f>IF(I593&lt;&gt;"",SUMIFS('JPK_KR-1'!AM:AM,'JPK_KR-1'!W:W,J593),"")</f>
        <v/>
      </c>
      <c r="M593" s="143" t="str">
        <f>IF(kokpit!M593&lt;&gt;"",kokpit!M593,"")</f>
        <v/>
      </c>
      <c r="N593" s="117" t="str">
        <f>IF(kokpit!N593&lt;&gt;"",kokpit!N593,"")</f>
        <v/>
      </c>
      <c r="O593" s="117" t="str">
        <f>IF(kokpit!O593&lt;&gt;"",kokpit!O593,"")</f>
        <v/>
      </c>
      <c r="P593" s="141" t="str">
        <f>IF(M593&lt;&gt;"",IF(O593="",SUMIFS('JPK_KR-1'!AL:AL,'JPK_KR-1'!W:W,N593),SUMIFS('JPK_KR-1'!BF:BF,'JPK_KR-1'!BE:BE,N593,'JPK_KR-1'!BG:BG,O593)),"")</f>
        <v/>
      </c>
      <c r="Q593" s="144" t="str">
        <f>IF(M593&lt;&gt;"",IF(O593="",SUMIFS('JPK_KR-1'!AM:AM,'JPK_KR-1'!W:W,N593),SUMIFS('JPK_KR-1'!BI:BI,'JPK_KR-1'!BH:BH,N593,'JPK_KR-1'!BJ:BJ,O593)),"")</f>
        <v/>
      </c>
      <c r="R593" s="117" t="str">
        <f>IF(kokpit!R593&lt;&gt;"",kokpit!R593,"")</f>
        <v/>
      </c>
      <c r="S593" s="117" t="str">
        <f>IF(kokpit!S593&lt;&gt;"",kokpit!S593,"")</f>
        <v/>
      </c>
      <c r="T593" s="117" t="str">
        <f>IF(kokpit!T593&lt;&gt;"",kokpit!T593,"")</f>
        <v/>
      </c>
      <c r="U593" s="141" t="str">
        <f>IF(R593&lt;&gt;"",SUMIFS('JPK_KR-1'!AL:AL,'JPK_KR-1'!W:W,S593),"")</f>
        <v/>
      </c>
      <c r="V593" s="144" t="str">
        <f>IF(R593&lt;&gt;"",SUMIFS('JPK_KR-1'!AM:AM,'JPK_KR-1'!W:W,S593),"")</f>
        <v/>
      </c>
    </row>
    <row r="594" spans="1:22" x14ac:dyDescent="0.3">
      <c r="A594" s="5" t="str">
        <f>IF(kokpit!A594&lt;&gt;"",kokpit!A594,"")</f>
        <v/>
      </c>
      <c r="B594" s="5" t="str">
        <f>IF(kokpit!B594&lt;&gt;"",kokpit!B594,"")</f>
        <v/>
      </c>
      <c r="C594" s="24" t="str">
        <f>IF(A594&lt;&gt;"",SUMIFS('JPK_KR-1'!AL:AL,'JPK_KR-1'!W:W,B594),"")</f>
        <v/>
      </c>
      <c r="D594" s="126" t="str">
        <f>IF(A594&lt;&gt;"",SUMIFS('JPK_KR-1'!AM:AM,'JPK_KR-1'!W:W,B594),"")</f>
        <v/>
      </c>
      <c r="E594" s="5" t="str">
        <f>IF(kokpit!E594&lt;&gt;"",kokpit!E594,"")</f>
        <v/>
      </c>
      <c r="F594" s="127" t="str">
        <f>IF(kokpit!F594&lt;&gt;"",kokpit!F594,"")</f>
        <v/>
      </c>
      <c r="G594" s="24" t="str">
        <f>IF(E594&lt;&gt;"",SUMIFS('JPK_KR-1'!AL:AL,'JPK_KR-1'!W:W,F594),"")</f>
        <v/>
      </c>
      <c r="H594" s="126" t="str">
        <f>IF(E594&lt;&gt;"",SUMIFS('JPK_KR-1'!AM:AM,'JPK_KR-1'!W:W,F594),"")</f>
        <v/>
      </c>
      <c r="I594" s="5" t="str">
        <f>IF(kokpit!I594&lt;&gt;"",kokpit!I594,"")</f>
        <v/>
      </c>
      <c r="J594" s="5" t="str">
        <f>IF(kokpit!J594&lt;&gt;"",kokpit!J594,"")</f>
        <v/>
      </c>
      <c r="K594" s="24" t="str">
        <f>IF(I594&lt;&gt;"",SUMIFS('JPK_KR-1'!AL:AL,'JPK_KR-1'!W:W,J594),"")</f>
        <v/>
      </c>
      <c r="L594" s="141" t="str">
        <f>IF(I594&lt;&gt;"",SUMIFS('JPK_KR-1'!AM:AM,'JPK_KR-1'!W:W,J594),"")</f>
        <v/>
      </c>
      <c r="M594" s="143" t="str">
        <f>IF(kokpit!M594&lt;&gt;"",kokpit!M594,"")</f>
        <v/>
      </c>
      <c r="N594" s="117" t="str">
        <f>IF(kokpit!N594&lt;&gt;"",kokpit!N594,"")</f>
        <v/>
      </c>
      <c r="O594" s="117" t="str">
        <f>IF(kokpit!O594&lt;&gt;"",kokpit!O594,"")</f>
        <v/>
      </c>
      <c r="P594" s="141" t="str">
        <f>IF(M594&lt;&gt;"",IF(O594="",SUMIFS('JPK_KR-1'!AL:AL,'JPK_KR-1'!W:W,N594),SUMIFS('JPK_KR-1'!BF:BF,'JPK_KR-1'!BE:BE,N594,'JPK_KR-1'!BG:BG,O594)),"")</f>
        <v/>
      </c>
      <c r="Q594" s="144" t="str">
        <f>IF(M594&lt;&gt;"",IF(O594="",SUMIFS('JPK_KR-1'!AM:AM,'JPK_KR-1'!W:W,N594),SUMIFS('JPK_KR-1'!BI:BI,'JPK_KR-1'!BH:BH,N594,'JPK_KR-1'!BJ:BJ,O594)),"")</f>
        <v/>
      </c>
      <c r="R594" s="117" t="str">
        <f>IF(kokpit!R594&lt;&gt;"",kokpit!R594,"")</f>
        <v/>
      </c>
      <c r="S594" s="117" t="str">
        <f>IF(kokpit!S594&lt;&gt;"",kokpit!S594,"")</f>
        <v/>
      </c>
      <c r="T594" s="117" t="str">
        <f>IF(kokpit!T594&lt;&gt;"",kokpit!T594,"")</f>
        <v/>
      </c>
      <c r="U594" s="141" t="str">
        <f>IF(R594&lt;&gt;"",SUMIFS('JPK_KR-1'!AL:AL,'JPK_KR-1'!W:W,S594),"")</f>
        <v/>
      </c>
      <c r="V594" s="144" t="str">
        <f>IF(R594&lt;&gt;"",SUMIFS('JPK_KR-1'!AM:AM,'JPK_KR-1'!W:W,S594),"")</f>
        <v/>
      </c>
    </row>
    <row r="595" spans="1:22" x14ac:dyDescent="0.3">
      <c r="A595" s="5" t="str">
        <f>IF(kokpit!A595&lt;&gt;"",kokpit!A595,"")</f>
        <v/>
      </c>
      <c r="B595" s="5" t="str">
        <f>IF(kokpit!B595&lt;&gt;"",kokpit!B595,"")</f>
        <v/>
      </c>
      <c r="C595" s="24" t="str">
        <f>IF(A595&lt;&gt;"",SUMIFS('JPK_KR-1'!AL:AL,'JPK_KR-1'!W:W,B595),"")</f>
        <v/>
      </c>
      <c r="D595" s="126" t="str">
        <f>IF(A595&lt;&gt;"",SUMIFS('JPK_KR-1'!AM:AM,'JPK_KR-1'!W:W,B595),"")</f>
        <v/>
      </c>
      <c r="E595" s="5" t="str">
        <f>IF(kokpit!E595&lt;&gt;"",kokpit!E595,"")</f>
        <v/>
      </c>
      <c r="F595" s="127" t="str">
        <f>IF(kokpit!F595&lt;&gt;"",kokpit!F595,"")</f>
        <v/>
      </c>
      <c r="G595" s="24" t="str">
        <f>IF(E595&lt;&gt;"",SUMIFS('JPK_KR-1'!AL:AL,'JPK_KR-1'!W:W,F595),"")</f>
        <v/>
      </c>
      <c r="H595" s="126" t="str">
        <f>IF(E595&lt;&gt;"",SUMIFS('JPK_KR-1'!AM:AM,'JPK_KR-1'!W:W,F595),"")</f>
        <v/>
      </c>
      <c r="I595" s="5" t="str">
        <f>IF(kokpit!I595&lt;&gt;"",kokpit!I595,"")</f>
        <v/>
      </c>
      <c r="J595" s="5" t="str">
        <f>IF(kokpit!J595&lt;&gt;"",kokpit!J595,"")</f>
        <v/>
      </c>
      <c r="K595" s="24" t="str">
        <f>IF(I595&lt;&gt;"",SUMIFS('JPK_KR-1'!AL:AL,'JPK_KR-1'!W:W,J595),"")</f>
        <v/>
      </c>
      <c r="L595" s="141" t="str">
        <f>IF(I595&lt;&gt;"",SUMIFS('JPK_KR-1'!AM:AM,'JPK_KR-1'!W:W,J595),"")</f>
        <v/>
      </c>
      <c r="M595" s="143" t="str">
        <f>IF(kokpit!M595&lt;&gt;"",kokpit!M595,"")</f>
        <v/>
      </c>
      <c r="N595" s="117" t="str">
        <f>IF(kokpit!N595&lt;&gt;"",kokpit!N595,"")</f>
        <v/>
      </c>
      <c r="O595" s="117" t="str">
        <f>IF(kokpit!O595&lt;&gt;"",kokpit!O595,"")</f>
        <v/>
      </c>
      <c r="P595" s="141" t="str">
        <f>IF(M595&lt;&gt;"",IF(O595="",SUMIFS('JPK_KR-1'!AL:AL,'JPK_KR-1'!W:W,N595),SUMIFS('JPK_KR-1'!BF:BF,'JPK_KR-1'!BE:BE,N595,'JPK_KR-1'!BG:BG,O595)),"")</f>
        <v/>
      </c>
      <c r="Q595" s="144" t="str">
        <f>IF(M595&lt;&gt;"",IF(O595="",SUMIFS('JPK_KR-1'!AM:AM,'JPK_KR-1'!W:W,N595),SUMIFS('JPK_KR-1'!BI:BI,'JPK_KR-1'!BH:BH,N595,'JPK_KR-1'!BJ:BJ,O595)),"")</f>
        <v/>
      </c>
      <c r="R595" s="117" t="str">
        <f>IF(kokpit!R595&lt;&gt;"",kokpit!R595,"")</f>
        <v/>
      </c>
      <c r="S595" s="117" t="str">
        <f>IF(kokpit!S595&lt;&gt;"",kokpit!S595,"")</f>
        <v/>
      </c>
      <c r="T595" s="117" t="str">
        <f>IF(kokpit!T595&lt;&gt;"",kokpit!T595,"")</f>
        <v/>
      </c>
      <c r="U595" s="141" t="str">
        <f>IF(R595&lt;&gt;"",SUMIFS('JPK_KR-1'!AL:AL,'JPK_KR-1'!W:W,S595),"")</f>
        <v/>
      </c>
      <c r="V595" s="144" t="str">
        <f>IF(R595&lt;&gt;"",SUMIFS('JPK_KR-1'!AM:AM,'JPK_KR-1'!W:W,S595),"")</f>
        <v/>
      </c>
    </row>
    <row r="596" spans="1:22" x14ac:dyDescent="0.3">
      <c r="A596" s="5" t="str">
        <f>IF(kokpit!A596&lt;&gt;"",kokpit!A596,"")</f>
        <v/>
      </c>
      <c r="B596" s="5" t="str">
        <f>IF(kokpit!B596&lt;&gt;"",kokpit!B596,"")</f>
        <v/>
      </c>
      <c r="C596" s="24" t="str">
        <f>IF(A596&lt;&gt;"",SUMIFS('JPK_KR-1'!AL:AL,'JPK_KR-1'!W:W,B596),"")</f>
        <v/>
      </c>
      <c r="D596" s="126" t="str">
        <f>IF(A596&lt;&gt;"",SUMIFS('JPK_KR-1'!AM:AM,'JPK_KR-1'!W:W,B596),"")</f>
        <v/>
      </c>
      <c r="E596" s="5" t="str">
        <f>IF(kokpit!E596&lt;&gt;"",kokpit!E596,"")</f>
        <v/>
      </c>
      <c r="F596" s="127" t="str">
        <f>IF(kokpit!F596&lt;&gt;"",kokpit!F596,"")</f>
        <v/>
      </c>
      <c r="G596" s="24" t="str">
        <f>IF(E596&lt;&gt;"",SUMIFS('JPK_KR-1'!AL:AL,'JPK_KR-1'!W:W,F596),"")</f>
        <v/>
      </c>
      <c r="H596" s="126" t="str">
        <f>IF(E596&lt;&gt;"",SUMIFS('JPK_KR-1'!AM:AM,'JPK_KR-1'!W:W,F596),"")</f>
        <v/>
      </c>
      <c r="I596" s="5" t="str">
        <f>IF(kokpit!I596&lt;&gt;"",kokpit!I596,"")</f>
        <v/>
      </c>
      <c r="J596" s="5" t="str">
        <f>IF(kokpit!J596&lt;&gt;"",kokpit!J596,"")</f>
        <v/>
      </c>
      <c r="K596" s="24" t="str">
        <f>IF(I596&lt;&gt;"",SUMIFS('JPK_KR-1'!AL:AL,'JPK_KR-1'!W:W,J596),"")</f>
        <v/>
      </c>
      <c r="L596" s="141" t="str">
        <f>IF(I596&lt;&gt;"",SUMIFS('JPK_KR-1'!AM:AM,'JPK_KR-1'!W:W,J596),"")</f>
        <v/>
      </c>
      <c r="M596" s="143" t="str">
        <f>IF(kokpit!M596&lt;&gt;"",kokpit!M596,"")</f>
        <v/>
      </c>
      <c r="N596" s="117" t="str">
        <f>IF(kokpit!N596&lt;&gt;"",kokpit!N596,"")</f>
        <v/>
      </c>
      <c r="O596" s="117" t="str">
        <f>IF(kokpit!O596&lt;&gt;"",kokpit!O596,"")</f>
        <v/>
      </c>
      <c r="P596" s="141" t="str">
        <f>IF(M596&lt;&gt;"",IF(O596="",SUMIFS('JPK_KR-1'!AL:AL,'JPK_KR-1'!W:W,N596),SUMIFS('JPK_KR-1'!BF:BF,'JPK_KR-1'!BE:BE,N596,'JPK_KR-1'!BG:BG,O596)),"")</f>
        <v/>
      </c>
      <c r="Q596" s="144" t="str">
        <f>IF(M596&lt;&gt;"",IF(O596="",SUMIFS('JPK_KR-1'!AM:AM,'JPK_KR-1'!W:W,N596),SUMIFS('JPK_KR-1'!BI:BI,'JPK_KR-1'!BH:BH,N596,'JPK_KR-1'!BJ:BJ,O596)),"")</f>
        <v/>
      </c>
      <c r="R596" s="117" t="str">
        <f>IF(kokpit!R596&lt;&gt;"",kokpit!R596,"")</f>
        <v/>
      </c>
      <c r="S596" s="117" t="str">
        <f>IF(kokpit!S596&lt;&gt;"",kokpit!S596,"")</f>
        <v/>
      </c>
      <c r="T596" s="117" t="str">
        <f>IF(kokpit!T596&lt;&gt;"",kokpit!T596,"")</f>
        <v/>
      </c>
      <c r="U596" s="141" t="str">
        <f>IF(R596&lt;&gt;"",SUMIFS('JPK_KR-1'!AL:AL,'JPK_KR-1'!W:W,S596),"")</f>
        <v/>
      </c>
      <c r="V596" s="144" t="str">
        <f>IF(R596&lt;&gt;"",SUMIFS('JPK_KR-1'!AM:AM,'JPK_KR-1'!W:W,S596),"")</f>
        <v/>
      </c>
    </row>
    <row r="597" spans="1:22" x14ac:dyDescent="0.3">
      <c r="A597" s="5" t="str">
        <f>IF(kokpit!A597&lt;&gt;"",kokpit!A597,"")</f>
        <v/>
      </c>
      <c r="B597" s="5" t="str">
        <f>IF(kokpit!B597&lt;&gt;"",kokpit!B597,"")</f>
        <v/>
      </c>
      <c r="C597" s="24" t="str">
        <f>IF(A597&lt;&gt;"",SUMIFS('JPK_KR-1'!AL:AL,'JPK_KR-1'!W:W,B597),"")</f>
        <v/>
      </c>
      <c r="D597" s="126" t="str">
        <f>IF(A597&lt;&gt;"",SUMIFS('JPK_KR-1'!AM:AM,'JPK_KR-1'!W:W,B597),"")</f>
        <v/>
      </c>
      <c r="E597" s="5" t="str">
        <f>IF(kokpit!E597&lt;&gt;"",kokpit!E597,"")</f>
        <v/>
      </c>
      <c r="F597" s="127" t="str">
        <f>IF(kokpit!F597&lt;&gt;"",kokpit!F597,"")</f>
        <v/>
      </c>
      <c r="G597" s="24" t="str">
        <f>IF(E597&lt;&gt;"",SUMIFS('JPK_KR-1'!AL:AL,'JPK_KR-1'!W:W,F597),"")</f>
        <v/>
      </c>
      <c r="H597" s="126" t="str">
        <f>IF(E597&lt;&gt;"",SUMIFS('JPK_KR-1'!AM:AM,'JPK_KR-1'!W:W,F597),"")</f>
        <v/>
      </c>
      <c r="I597" s="5" t="str">
        <f>IF(kokpit!I597&lt;&gt;"",kokpit!I597,"")</f>
        <v/>
      </c>
      <c r="J597" s="5" t="str">
        <f>IF(kokpit!J597&lt;&gt;"",kokpit!J597,"")</f>
        <v/>
      </c>
      <c r="K597" s="24" t="str">
        <f>IF(I597&lt;&gt;"",SUMIFS('JPK_KR-1'!AL:AL,'JPK_KR-1'!W:W,J597),"")</f>
        <v/>
      </c>
      <c r="L597" s="141" t="str">
        <f>IF(I597&lt;&gt;"",SUMIFS('JPK_KR-1'!AM:AM,'JPK_KR-1'!W:W,J597),"")</f>
        <v/>
      </c>
      <c r="M597" s="143" t="str">
        <f>IF(kokpit!M597&lt;&gt;"",kokpit!M597,"")</f>
        <v/>
      </c>
      <c r="N597" s="117" t="str">
        <f>IF(kokpit!N597&lt;&gt;"",kokpit!N597,"")</f>
        <v/>
      </c>
      <c r="O597" s="117" t="str">
        <f>IF(kokpit!O597&lt;&gt;"",kokpit!O597,"")</f>
        <v/>
      </c>
      <c r="P597" s="141" t="str">
        <f>IF(M597&lt;&gt;"",IF(O597="",SUMIFS('JPK_KR-1'!AL:AL,'JPK_KR-1'!W:W,N597),SUMIFS('JPK_KR-1'!BF:BF,'JPK_KR-1'!BE:BE,N597,'JPK_KR-1'!BG:BG,O597)),"")</f>
        <v/>
      </c>
      <c r="Q597" s="144" t="str">
        <f>IF(M597&lt;&gt;"",IF(O597="",SUMIFS('JPK_KR-1'!AM:AM,'JPK_KR-1'!W:W,N597),SUMIFS('JPK_KR-1'!BI:BI,'JPK_KR-1'!BH:BH,N597,'JPK_KR-1'!BJ:BJ,O597)),"")</f>
        <v/>
      </c>
      <c r="R597" s="117" t="str">
        <f>IF(kokpit!R597&lt;&gt;"",kokpit!R597,"")</f>
        <v/>
      </c>
      <c r="S597" s="117" t="str">
        <f>IF(kokpit!S597&lt;&gt;"",kokpit!S597,"")</f>
        <v/>
      </c>
      <c r="T597" s="117" t="str">
        <f>IF(kokpit!T597&lt;&gt;"",kokpit!T597,"")</f>
        <v/>
      </c>
      <c r="U597" s="141" t="str">
        <f>IF(R597&lt;&gt;"",SUMIFS('JPK_KR-1'!AL:AL,'JPK_KR-1'!W:W,S597),"")</f>
        <v/>
      </c>
      <c r="V597" s="144" t="str">
        <f>IF(R597&lt;&gt;"",SUMIFS('JPK_KR-1'!AM:AM,'JPK_KR-1'!W:W,S597),"")</f>
        <v/>
      </c>
    </row>
    <row r="598" spans="1:22" x14ac:dyDescent="0.3">
      <c r="A598" s="5" t="str">
        <f>IF(kokpit!A598&lt;&gt;"",kokpit!A598,"")</f>
        <v/>
      </c>
      <c r="B598" s="5" t="str">
        <f>IF(kokpit!B598&lt;&gt;"",kokpit!B598,"")</f>
        <v/>
      </c>
      <c r="C598" s="24" t="str">
        <f>IF(A598&lt;&gt;"",SUMIFS('JPK_KR-1'!AL:AL,'JPK_KR-1'!W:W,B598),"")</f>
        <v/>
      </c>
      <c r="D598" s="126" t="str">
        <f>IF(A598&lt;&gt;"",SUMIFS('JPK_KR-1'!AM:AM,'JPK_KR-1'!W:W,B598),"")</f>
        <v/>
      </c>
      <c r="E598" s="5" t="str">
        <f>IF(kokpit!E598&lt;&gt;"",kokpit!E598,"")</f>
        <v/>
      </c>
      <c r="F598" s="127" t="str">
        <f>IF(kokpit!F598&lt;&gt;"",kokpit!F598,"")</f>
        <v/>
      </c>
      <c r="G598" s="24" t="str">
        <f>IF(E598&lt;&gt;"",SUMIFS('JPK_KR-1'!AL:AL,'JPK_KR-1'!W:W,F598),"")</f>
        <v/>
      </c>
      <c r="H598" s="126" t="str">
        <f>IF(E598&lt;&gt;"",SUMIFS('JPK_KR-1'!AM:AM,'JPK_KR-1'!W:W,F598),"")</f>
        <v/>
      </c>
      <c r="I598" s="5" t="str">
        <f>IF(kokpit!I598&lt;&gt;"",kokpit!I598,"")</f>
        <v/>
      </c>
      <c r="J598" s="5" t="str">
        <f>IF(kokpit!J598&lt;&gt;"",kokpit!J598,"")</f>
        <v/>
      </c>
      <c r="K598" s="24" t="str">
        <f>IF(I598&lt;&gt;"",SUMIFS('JPK_KR-1'!AL:AL,'JPK_KR-1'!W:W,J598),"")</f>
        <v/>
      </c>
      <c r="L598" s="141" t="str">
        <f>IF(I598&lt;&gt;"",SUMIFS('JPK_KR-1'!AM:AM,'JPK_KR-1'!W:W,J598),"")</f>
        <v/>
      </c>
      <c r="M598" s="143" t="str">
        <f>IF(kokpit!M598&lt;&gt;"",kokpit!M598,"")</f>
        <v/>
      </c>
      <c r="N598" s="117" t="str">
        <f>IF(kokpit!N598&lt;&gt;"",kokpit!N598,"")</f>
        <v/>
      </c>
      <c r="O598" s="117" t="str">
        <f>IF(kokpit!O598&lt;&gt;"",kokpit!O598,"")</f>
        <v/>
      </c>
      <c r="P598" s="141" t="str">
        <f>IF(M598&lt;&gt;"",IF(O598="",SUMIFS('JPK_KR-1'!AL:AL,'JPK_KR-1'!W:W,N598),SUMIFS('JPK_KR-1'!BF:BF,'JPK_KR-1'!BE:BE,N598,'JPK_KR-1'!BG:BG,O598)),"")</f>
        <v/>
      </c>
      <c r="Q598" s="144" t="str">
        <f>IF(M598&lt;&gt;"",IF(O598="",SUMIFS('JPK_KR-1'!AM:AM,'JPK_KR-1'!W:W,N598),SUMIFS('JPK_KR-1'!BI:BI,'JPK_KR-1'!BH:BH,N598,'JPK_KR-1'!BJ:BJ,O598)),"")</f>
        <v/>
      </c>
      <c r="R598" s="117" t="str">
        <f>IF(kokpit!R598&lt;&gt;"",kokpit!R598,"")</f>
        <v/>
      </c>
      <c r="S598" s="117" t="str">
        <f>IF(kokpit!S598&lt;&gt;"",kokpit!S598,"")</f>
        <v/>
      </c>
      <c r="T598" s="117" t="str">
        <f>IF(kokpit!T598&lt;&gt;"",kokpit!T598,"")</f>
        <v/>
      </c>
      <c r="U598" s="141" t="str">
        <f>IF(R598&lt;&gt;"",SUMIFS('JPK_KR-1'!AL:AL,'JPK_KR-1'!W:W,S598),"")</f>
        <v/>
      </c>
      <c r="V598" s="144" t="str">
        <f>IF(R598&lt;&gt;"",SUMIFS('JPK_KR-1'!AM:AM,'JPK_KR-1'!W:W,S598),"")</f>
        <v/>
      </c>
    </row>
    <row r="599" spans="1:22" x14ac:dyDescent="0.3">
      <c r="A599" s="5" t="str">
        <f>IF(kokpit!A599&lt;&gt;"",kokpit!A599,"")</f>
        <v/>
      </c>
      <c r="B599" s="5" t="str">
        <f>IF(kokpit!B599&lt;&gt;"",kokpit!B599,"")</f>
        <v/>
      </c>
      <c r="C599" s="24" t="str">
        <f>IF(A599&lt;&gt;"",SUMIFS('JPK_KR-1'!AL:AL,'JPK_KR-1'!W:W,B599),"")</f>
        <v/>
      </c>
      <c r="D599" s="126" t="str">
        <f>IF(A599&lt;&gt;"",SUMIFS('JPK_KR-1'!AM:AM,'JPK_KR-1'!W:W,B599),"")</f>
        <v/>
      </c>
      <c r="E599" s="5" t="str">
        <f>IF(kokpit!E599&lt;&gt;"",kokpit!E599,"")</f>
        <v/>
      </c>
      <c r="F599" s="127" t="str">
        <f>IF(kokpit!F599&lt;&gt;"",kokpit!F599,"")</f>
        <v/>
      </c>
      <c r="G599" s="24" t="str">
        <f>IF(E599&lt;&gt;"",SUMIFS('JPK_KR-1'!AL:AL,'JPK_KR-1'!W:W,F599),"")</f>
        <v/>
      </c>
      <c r="H599" s="126" t="str">
        <f>IF(E599&lt;&gt;"",SUMIFS('JPK_KR-1'!AM:AM,'JPK_KR-1'!W:W,F599),"")</f>
        <v/>
      </c>
      <c r="I599" s="5" t="str">
        <f>IF(kokpit!I599&lt;&gt;"",kokpit!I599,"")</f>
        <v/>
      </c>
      <c r="J599" s="5" t="str">
        <f>IF(kokpit!J599&lt;&gt;"",kokpit!J599,"")</f>
        <v/>
      </c>
      <c r="K599" s="24" t="str">
        <f>IF(I599&lt;&gt;"",SUMIFS('JPK_KR-1'!AL:AL,'JPK_KR-1'!W:W,J599),"")</f>
        <v/>
      </c>
      <c r="L599" s="141" t="str">
        <f>IF(I599&lt;&gt;"",SUMIFS('JPK_KR-1'!AM:AM,'JPK_KR-1'!W:W,J599),"")</f>
        <v/>
      </c>
      <c r="M599" s="143" t="str">
        <f>IF(kokpit!M599&lt;&gt;"",kokpit!M599,"")</f>
        <v/>
      </c>
      <c r="N599" s="117" t="str">
        <f>IF(kokpit!N599&lt;&gt;"",kokpit!N599,"")</f>
        <v/>
      </c>
      <c r="O599" s="117" t="str">
        <f>IF(kokpit!O599&lt;&gt;"",kokpit!O599,"")</f>
        <v/>
      </c>
      <c r="P599" s="141" t="str">
        <f>IF(M599&lt;&gt;"",IF(O599="",SUMIFS('JPK_KR-1'!AL:AL,'JPK_KR-1'!W:W,N599),SUMIFS('JPK_KR-1'!BF:BF,'JPK_KR-1'!BE:BE,N599,'JPK_KR-1'!BG:BG,O599)),"")</f>
        <v/>
      </c>
      <c r="Q599" s="144" t="str">
        <f>IF(M599&lt;&gt;"",IF(O599="",SUMIFS('JPK_KR-1'!AM:AM,'JPK_KR-1'!W:W,N599),SUMIFS('JPK_KR-1'!BI:BI,'JPK_KR-1'!BH:BH,N599,'JPK_KR-1'!BJ:BJ,O599)),"")</f>
        <v/>
      </c>
      <c r="R599" s="117" t="str">
        <f>IF(kokpit!R599&lt;&gt;"",kokpit!R599,"")</f>
        <v/>
      </c>
      <c r="S599" s="117" t="str">
        <f>IF(kokpit!S599&lt;&gt;"",kokpit!S599,"")</f>
        <v/>
      </c>
      <c r="T599" s="117" t="str">
        <f>IF(kokpit!T599&lt;&gt;"",kokpit!T599,"")</f>
        <v/>
      </c>
      <c r="U599" s="141" t="str">
        <f>IF(R599&lt;&gt;"",SUMIFS('JPK_KR-1'!AL:AL,'JPK_KR-1'!W:W,S599),"")</f>
        <v/>
      </c>
      <c r="V599" s="144" t="str">
        <f>IF(R599&lt;&gt;"",SUMIFS('JPK_KR-1'!AM:AM,'JPK_KR-1'!W:W,S599),"")</f>
        <v/>
      </c>
    </row>
    <row r="600" spans="1:22" x14ac:dyDescent="0.3">
      <c r="A600" s="5" t="str">
        <f>IF(kokpit!A600&lt;&gt;"",kokpit!A600,"")</f>
        <v/>
      </c>
      <c r="B600" s="5" t="str">
        <f>IF(kokpit!B600&lt;&gt;"",kokpit!B600,"")</f>
        <v/>
      </c>
      <c r="C600" s="24" t="str">
        <f>IF(A600&lt;&gt;"",SUMIFS('JPK_KR-1'!AL:AL,'JPK_KR-1'!W:W,B600),"")</f>
        <v/>
      </c>
      <c r="D600" s="126" t="str">
        <f>IF(A600&lt;&gt;"",SUMIFS('JPK_KR-1'!AM:AM,'JPK_KR-1'!W:W,B600),"")</f>
        <v/>
      </c>
      <c r="E600" s="5" t="str">
        <f>IF(kokpit!E600&lt;&gt;"",kokpit!E600,"")</f>
        <v/>
      </c>
      <c r="F600" s="127" t="str">
        <f>IF(kokpit!F600&lt;&gt;"",kokpit!F600,"")</f>
        <v/>
      </c>
      <c r="G600" s="24" t="str">
        <f>IF(E600&lt;&gt;"",SUMIFS('JPK_KR-1'!AL:AL,'JPK_KR-1'!W:W,F600),"")</f>
        <v/>
      </c>
      <c r="H600" s="126" t="str">
        <f>IF(E600&lt;&gt;"",SUMIFS('JPK_KR-1'!AM:AM,'JPK_KR-1'!W:W,F600),"")</f>
        <v/>
      </c>
      <c r="I600" s="5" t="str">
        <f>IF(kokpit!I600&lt;&gt;"",kokpit!I600,"")</f>
        <v/>
      </c>
      <c r="J600" s="5" t="str">
        <f>IF(kokpit!J600&lt;&gt;"",kokpit!J600,"")</f>
        <v/>
      </c>
      <c r="K600" s="24" t="str">
        <f>IF(I600&lt;&gt;"",SUMIFS('JPK_KR-1'!AL:AL,'JPK_KR-1'!W:W,J600),"")</f>
        <v/>
      </c>
      <c r="L600" s="141" t="str">
        <f>IF(I600&lt;&gt;"",SUMIFS('JPK_KR-1'!AM:AM,'JPK_KR-1'!W:W,J600),"")</f>
        <v/>
      </c>
      <c r="M600" s="143" t="str">
        <f>IF(kokpit!M600&lt;&gt;"",kokpit!M600,"")</f>
        <v/>
      </c>
      <c r="N600" s="117" t="str">
        <f>IF(kokpit!N600&lt;&gt;"",kokpit!N600,"")</f>
        <v/>
      </c>
      <c r="O600" s="117" t="str">
        <f>IF(kokpit!O600&lt;&gt;"",kokpit!O600,"")</f>
        <v/>
      </c>
      <c r="P600" s="141" t="str">
        <f>IF(M600&lt;&gt;"",IF(O600="",SUMIFS('JPK_KR-1'!AL:AL,'JPK_KR-1'!W:W,N600),SUMIFS('JPK_KR-1'!BF:BF,'JPK_KR-1'!BE:BE,N600,'JPK_KR-1'!BG:BG,O600)),"")</f>
        <v/>
      </c>
      <c r="Q600" s="144" t="str">
        <f>IF(M600&lt;&gt;"",IF(O600="",SUMIFS('JPK_KR-1'!AM:AM,'JPK_KR-1'!W:W,N600),SUMIFS('JPK_KR-1'!BI:BI,'JPK_KR-1'!BH:BH,N600,'JPK_KR-1'!BJ:BJ,O600)),"")</f>
        <v/>
      </c>
      <c r="R600" s="117" t="str">
        <f>IF(kokpit!R600&lt;&gt;"",kokpit!R600,"")</f>
        <v/>
      </c>
      <c r="S600" s="117" t="str">
        <f>IF(kokpit!S600&lt;&gt;"",kokpit!S600,"")</f>
        <v/>
      </c>
      <c r="T600" s="117" t="str">
        <f>IF(kokpit!T600&lt;&gt;"",kokpit!T600,"")</f>
        <v/>
      </c>
      <c r="U600" s="141" t="str">
        <f>IF(R600&lt;&gt;"",SUMIFS('JPK_KR-1'!AL:AL,'JPK_KR-1'!W:W,S600),"")</f>
        <v/>
      </c>
      <c r="V600" s="144" t="str">
        <f>IF(R600&lt;&gt;"",SUMIFS('JPK_KR-1'!AM:AM,'JPK_KR-1'!W:W,S600),"")</f>
        <v/>
      </c>
    </row>
    <row r="601" spans="1:22" x14ac:dyDescent="0.3">
      <c r="A601" s="5" t="str">
        <f>IF(kokpit!A601&lt;&gt;"",kokpit!A601,"")</f>
        <v/>
      </c>
      <c r="B601" s="5" t="str">
        <f>IF(kokpit!B601&lt;&gt;"",kokpit!B601,"")</f>
        <v/>
      </c>
      <c r="C601" s="24" t="str">
        <f>IF(A601&lt;&gt;"",SUMIFS('JPK_KR-1'!AL:AL,'JPK_KR-1'!W:W,B601),"")</f>
        <v/>
      </c>
      <c r="D601" s="126" t="str">
        <f>IF(A601&lt;&gt;"",SUMIFS('JPK_KR-1'!AM:AM,'JPK_KR-1'!W:W,B601),"")</f>
        <v/>
      </c>
      <c r="E601" s="5" t="str">
        <f>IF(kokpit!E601&lt;&gt;"",kokpit!E601,"")</f>
        <v/>
      </c>
      <c r="F601" s="127" t="str">
        <f>IF(kokpit!F601&lt;&gt;"",kokpit!F601,"")</f>
        <v/>
      </c>
      <c r="G601" s="24" t="str">
        <f>IF(E601&lt;&gt;"",SUMIFS('JPK_KR-1'!AL:AL,'JPK_KR-1'!W:W,F601),"")</f>
        <v/>
      </c>
      <c r="H601" s="126" t="str">
        <f>IF(E601&lt;&gt;"",SUMIFS('JPK_KR-1'!AM:AM,'JPK_KR-1'!W:W,F601),"")</f>
        <v/>
      </c>
      <c r="I601" s="5" t="str">
        <f>IF(kokpit!I601&lt;&gt;"",kokpit!I601,"")</f>
        <v/>
      </c>
      <c r="J601" s="5" t="str">
        <f>IF(kokpit!J601&lt;&gt;"",kokpit!J601,"")</f>
        <v/>
      </c>
      <c r="K601" s="24" t="str">
        <f>IF(I601&lt;&gt;"",SUMIFS('JPK_KR-1'!AL:AL,'JPK_KR-1'!W:W,J601),"")</f>
        <v/>
      </c>
      <c r="L601" s="141" t="str">
        <f>IF(I601&lt;&gt;"",SUMIFS('JPK_KR-1'!AM:AM,'JPK_KR-1'!W:W,J601),"")</f>
        <v/>
      </c>
      <c r="M601" s="143" t="str">
        <f>IF(kokpit!M601&lt;&gt;"",kokpit!M601,"")</f>
        <v/>
      </c>
      <c r="N601" s="117" t="str">
        <f>IF(kokpit!N601&lt;&gt;"",kokpit!N601,"")</f>
        <v/>
      </c>
      <c r="O601" s="117" t="str">
        <f>IF(kokpit!O601&lt;&gt;"",kokpit!O601,"")</f>
        <v/>
      </c>
      <c r="P601" s="141" t="str">
        <f>IF(M601&lt;&gt;"",IF(O601="",SUMIFS('JPK_KR-1'!AL:AL,'JPK_KR-1'!W:W,N601),SUMIFS('JPK_KR-1'!BF:BF,'JPK_KR-1'!BE:BE,N601,'JPK_KR-1'!BG:BG,O601)),"")</f>
        <v/>
      </c>
      <c r="Q601" s="144" t="str">
        <f>IF(M601&lt;&gt;"",IF(O601="",SUMIFS('JPK_KR-1'!AM:AM,'JPK_KR-1'!W:W,N601),SUMIFS('JPK_KR-1'!BI:BI,'JPK_KR-1'!BH:BH,N601,'JPK_KR-1'!BJ:BJ,O601)),"")</f>
        <v/>
      </c>
      <c r="R601" s="117" t="str">
        <f>IF(kokpit!R601&lt;&gt;"",kokpit!R601,"")</f>
        <v/>
      </c>
      <c r="S601" s="117" t="str">
        <f>IF(kokpit!S601&lt;&gt;"",kokpit!S601,"")</f>
        <v/>
      </c>
      <c r="T601" s="117" t="str">
        <f>IF(kokpit!T601&lt;&gt;"",kokpit!T601,"")</f>
        <v/>
      </c>
      <c r="U601" s="141" t="str">
        <f>IF(R601&lt;&gt;"",SUMIFS('JPK_KR-1'!AL:AL,'JPK_KR-1'!W:W,S601),"")</f>
        <v/>
      </c>
      <c r="V601" s="144" t="str">
        <f>IF(R601&lt;&gt;"",SUMIFS('JPK_KR-1'!AM:AM,'JPK_KR-1'!W:W,S601),"")</f>
        <v/>
      </c>
    </row>
    <row r="602" spans="1:22" x14ac:dyDescent="0.3">
      <c r="A602" s="5" t="str">
        <f>IF(kokpit!A602&lt;&gt;"",kokpit!A602,"")</f>
        <v/>
      </c>
      <c r="B602" s="5" t="str">
        <f>IF(kokpit!B602&lt;&gt;"",kokpit!B602,"")</f>
        <v/>
      </c>
      <c r="C602" s="24" t="str">
        <f>IF(A602&lt;&gt;"",SUMIFS('JPK_KR-1'!AL:AL,'JPK_KR-1'!W:W,B602),"")</f>
        <v/>
      </c>
      <c r="D602" s="126" t="str">
        <f>IF(A602&lt;&gt;"",SUMIFS('JPK_KR-1'!AM:AM,'JPK_KR-1'!W:W,B602),"")</f>
        <v/>
      </c>
      <c r="E602" s="5" t="str">
        <f>IF(kokpit!E602&lt;&gt;"",kokpit!E602,"")</f>
        <v/>
      </c>
      <c r="F602" s="127" t="str">
        <f>IF(kokpit!F602&lt;&gt;"",kokpit!F602,"")</f>
        <v/>
      </c>
      <c r="G602" s="24" t="str">
        <f>IF(E602&lt;&gt;"",SUMIFS('JPK_KR-1'!AL:AL,'JPK_KR-1'!W:W,F602),"")</f>
        <v/>
      </c>
      <c r="H602" s="126" t="str">
        <f>IF(E602&lt;&gt;"",SUMIFS('JPK_KR-1'!AM:AM,'JPK_KR-1'!W:W,F602),"")</f>
        <v/>
      </c>
      <c r="I602" s="5" t="str">
        <f>IF(kokpit!I602&lt;&gt;"",kokpit!I602,"")</f>
        <v/>
      </c>
      <c r="J602" s="5" t="str">
        <f>IF(kokpit!J602&lt;&gt;"",kokpit!J602,"")</f>
        <v/>
      </c>
      <c r="K602" s="24" t="str">
        <f>IF(I602&lt;&gt;"",SUMIFS('JPK_KR-1'!AL:AL,'JPK_KR-1'!W:W,J602),"")</f>
        <v/>
      </c>
      <c r="L602" s="141" t="str">
        <f>IF(I602&lt;&gt;"",SUMIFS('JPK_KR-1'!AM:AM,'JPK_KR-1'!W:W,J602),"")</f>
        <v/>
      </c>
      <c r="M602" s="143" t="str">
        <f>IF(kokpit!M602&lt;&gt;"",kokpit!M602,"")</f>
        <v/>
      </c>
      <c r="N602" s="117" t="str">
        <f>IF(kokpit!N602&lt;&gt;"",kokpit!N602,"")</f>
        <v/>
      </c>
      <c r="O602" s="117" t="str">
        <f>IF(kokpit!O602&lt;&gt;"",kokpit!O602,"")</f>
        <v/>
      </c>
      <c r="P602" s="141" t="str">
        <f>IF(M602&lt;&gt;"",IF(O602="",SUMIFS('JPK_KR-1'!AL:AL,'JPK_KR-1'!W:W,N602),SUMIFS('JPK_KR-1'!BF:BF,'JPK_KR-1'!BE:BE,N602,'JPK_KR-1'!BG:BG,O602)),"")</f>
        <v/>
      </c>
      <c r="Q602" s="144" t="str">
        <f>IF(M602&lt;&gt;"",IF(O602="",SUMIFS('JPK_KR-1'!AM:AM,'JPK_KR-1'!W:W,N602),SUMIFS('JPK_KR-1'!BI:BI,'JPK_KR-1'!BH:BH,N602,'JPK_KR-1'!BJ:BJ,O602)),"")</f>
        <v/>
      </c>
      <c r="R602" s="117" t="str">
        <f>IF(kokpit!R602&lt;&gt;"",kokpit!R602,"")</f>
        <v/>
      </c>
      <c r="S602" s="117" t="str">
        <f>IF(kokpit!S602&lt;&gt;"",kokpit!S602,"")</f>
        <v/>
      </c>
      <c r="T602" s="117" t="str">
        <f>IF(kokpit!T602&lt;&gt;"",kokpit!T602,"")</f>
        <v/>
      </c>
      <c r="U602" s="141" t="str">
        <f>IF(R602&lt;&gt;"",SUMIFS('JPK_KR-1'!AL:AL,'JPK_KR-1'!W:W,S602),"")</f>
        <v/>
      </c>
      <c r="V602" s="144" t="str">
        <f>IF(R602&lt;&gt;"",SUMIFS('JPK_KR-1'!AM:AM,'JPK_KR-1'!W:W,S602),"")</f>
        <v/>
      </c>
    </row>
    <row r="603" spans="1:22" x14ac:dyDescent="0.3">
      <c r="A603" s="5" t="str">
        <f>IF(kokpit!A603&lt;&gt;"",kokpit!A603,"")</f>
        <v/>
      </c>
      <c r="B603" s="5" t="str">
        <f>IF(kokpit!B603&lt;&gt;"",kokpit!B603,"")</f>
        <v/>
      </c>
      <c r="C603" s="24" t="str">
        <f>IF(A603&lt;&gt;"",SUMIFS('JPK_KR-1'!AL:AL,'JPK_KR-1'!W:W,B603),"")</f>
        <v/>
      </c>
      <c r="D603" s="126" t="str">
        <f>IF(A603&lt;&gt;"",SUMIFS('JPK_KR-1'!AM:AM,'JPK_KR-1'!W:W,B603),"")</f>
        <v/>
      </c>
      <c r="E603" s="5" t="str">
        <f>IF(kokpit!E603&lt;&gt;"",kokpit!E603,"")</f>
        <v/>
      </c>
      <c r="F603" s="127" t="str">
        <f>IF(kokpit!F603&lt;&gt;"",kokpit!F603,"")</f>
        <v/>
      </c>
      <c r="G603" s="24" t="str">
        <f>IF(E603&lt;&gt;"",SUMIFS('JPK_KR-1'!AL:AL,'JPK_KR-1'!W:W,F603),"")</f>
        <v/>
      </c>
      <c r="H603" s="126" t="str">
        <f>IF(E603&lt;&gt;"",SUMIFS('JPK_KR-1'!AM:AM,'JPK_KR-1'!W:W,F603),"")</f>
        <v/>
      </c>
      <c r="I603" s="5" t="str">
        <f>IF(kokpit!I603&lt;&gt;"",kokpit!I603,"")</f>
        <v/>
      </c>
      <c r="J603" s="5" t="str">
        <f>IF(kokpit!J603&lt;&gt;"",kokpit!J603,"")</f>
        <v/>
      </c>
      <c r="K603" s="24" t="str">
        <f>IF(I603&lt;&gt;"",SUMIFS('JPK_KR-1'!AL:AL,'JPK_KR-1'!W:W,J603),"")</f>
        <v/>
      </c>
      <c r="L603" s="141" t="str">
        <f>IF(I603&lt;&gt;"",SUMIFS('JPK_KR-1'!AM:AM,'JPK_KR-1'!W:W,J603),"")</f>
        <v/>
      </c>
      <c r="M603" s="143" t="str">
        <f>IF(kokpit!M603&lt;&gt;"",kokpit!M603,"")</f>
        <v/>
      </c>
      <c r="N603" s="117" t="str">
        <f>IF(kokpit!N603&lt;&gt;"",kokpit!N603,"")</f>
        <v/>
      </c>
      <c r="O603" s="117" t="str">
        <f>IF(kokpit!O603&lt;&gt;"",kokpit!O603,"")</f>
        <v/>
      </c>
      <c r="P603" s="141" t="str">
        <f>IF(M603&lt;&gt;"",IF(O603="",SUMIFS('JPK_KR-1'!AL:AL,'JPK_KR-1'!W:W,N603),SUMIFS('JPK_KR-1'!BF:BF,'JPK_KR-1'!BE:BE,N603,'JPK_KR-1'!BG:BG,O603)),"")</f>
        <v/>
      </c>
      <c r="Q603" s="144" t="str">
        <f>IF(M603&lt;&gt;"",IF(O603="",SUMIFS('JPK_KR-1'!AM:AM,'JPK_KR-1'!W:W,N603),SUMIFS('JPK_KR-1'!BI:BI,'JPK_KR-1'!BH:BH,N603,'JPK_KR-1'!BJ:BJ,O603)),"")</f>
        <v/>
      </c>
      <c r="R603" s="117" t="str">
        <f>IF(kokpit!R603&lt;&gt;"",kokpit!R603,"")</f>
        <v/>
      </c>
      <c r="S603" s="117" t="str">
        <f>IF(kokpit!S603&lt;&gt;"",kokpit!S603,"")</f>
        <v/>
      </c>
      <c r="T603" s="117" t="str">
        <f>IF(kokpit!T603&lt;&gt;"",kokpit!T603,"")</f>
        <v/>
      </c>
      <c r="U603" s="141" t="str">
        <f>IF(R603&lt;&gt;"",SUMIFS('JPK_KR-1'!AL:AL,'JPK_KR-1'!W:W,S603),"")</f>
        <v/>
      </c>
      <c r="V603" s="144" t="str">
        <f>IF(R603&lt;&gt;"",SUMIFS('JPK_KR-1'!AM:AM,'JPK_KR-1'!W:W,S603),"")</f>
        <v/>
      </c>
    </row>
    <row r="604" spans="1:22" x14ac:dyDescent="0.3">
      <c r="A604" s="5" t="str">
        <f>IF(kokpit!A604&lt;&gt;"",kokpit!A604,"")</f>
        <v/>
      </c>
      <c r="B604" s="5" t="str">
        <f>IF(kokpit!B604&lt;&gt;"",kokpit!B604,"")</f>
        <v/>
      </c>
      <c r="C604" s="24" t="str">
        <f>IF(A604&lt;&gt;"",SUMIFS('JPK_KR-1'!AL:AL,'JPK_KR-1'!W:W,B604),"")</f>
        <v/>
      </c>
      <c r="D604" s="126" t="str">
        <f>IF(A604&lt;&gt;"",SUMIFS('JPK_KR-1'!AM:AM,'JPK_KR-1'!W:W,B604),"")</f>
        <v/>
      </c>
      <c r="E604" s="5" t="str">
        <f>IF(kokpit!E604&lt;&gt;"",kokpit!E604,"")</f>
        <v/>
      </c>
      <c r="F604" s="127" t="str">
        <f>IF(kokpit!F604&lt;&gt;"",kokpit!F604,"")</f>
        <v/>
      </c>
      <c r="G604" s="24" t="str">
        <f>IF(E604&lt;&gt;"",SUMIFS('JPK_KR-1'!AL:AL,'JPK_KR-1'!W:W,F604),"")</f>
        <v/>
      </c>
      <c r="H604" s="126" t="str">
        <f>IF(E604&lt;&gt;"",SUMIFS('JPK_KR-1'!AM:AM,'JPK_KR-1'!W:W,F604),"")</f>
        <v/>
      </c>
      <c r="I604" s="5" t="str">
        <f>IF(kokpit!I604&lt;&gt;"",kokpit!I604,"")</f>
        <v/>
      </c>
      <c r="J604" s="5" t="str">
        <f>IF(kokpit!J604&lt;&gt;"",kokpit!J604,"")</f>
        <v/>
      </c>
      <c r="K604" s="24" t="str">
        <f>IF(I604&lt;&gt;"",SUMIFS('JPK_KR-1'!AL:AL,'JPK_KR-1'!W:W,J604),"")</f>
        <v/>
      </c>
      <c r="L604" s="141" t="str">
        <f>IF(I604&lt;&gt;"",SUMIFS('JPK_KR-1'!AM:AM,'JPK_KR-1'!W:W,J604),"")</f>
        <v/>
      </c>
      <c r="M604" s="143" t="str">
        <f>IF(kokpit!M604&lt;&gt;"",kokpit!M604,"")</f>
        <v/>
      </c>
      <c r="N604" s="117" t="str">
        <f>IF(kokpit!N604&lt;&gt;"",kokpit!N604,"")</f>
        <v/>
      </c>
      <c r="O604" s="117" t="str">
        <f>IF(kokpit!O604&lt;&gt;"",kokpit!O604,"")</f>
        <v/>
      </c>
      <c r="P604" s="141" t="str">
        <f>IF(M604&lt;&gt;"",IF(O604="",SUMIFS('JPK_KR-1'!AL:AL,'JPK_KR-1'!W:W,N604),SUMIFS('JPK_KR-1'!BF:BF,'JPK_KR-1'!BE:BE,N604,'JPK_KR-1'!BG:BG,O604)),"")</f>
        <v/>
      </c>
      <c r="Q604" s="144" t="str">
        <f>IF(M604&lt;&gt;"",IF(O604="",SUMIFS('JPK_KR-1'!AM:AM,'JPK_KR-1'!W:W,N604),SUMIFS('JPK_KR-1'!BI:BI,'JPK_KR-1'!BH:BH,N604,'JPK_KR-1'!BJ:BJ,O604)),"")</f>
        <v/>
      </c>
      <c r="R604" s="117" t="str">
        <f>IF(kokpit!R604&lt;&gt;"",kokpit!R604,"")</f>
        <v/>
      </c>
      <c r="S604" s="117" t="str">
        <f>IF(kokpit!S604&lt;&gt;"",kokpit!S604,"")</f>
        <v/>
      </c>
      <c r="T604" s="117" t="str">
        <f>IF(kokpit!T604&lt;&gt;"",kokpit!T604,"")</f>
        <v/>
      </c>
      <c r="U604" s="141" t="str">
        <f>IF(R604&lt;&gt;"",SUMIFS('JPK_KR-1'!AL:AL,'JPK_KR-1'!W:W,S604),"")</f>
        <v/>
      </c>
      <c r="V604" s="144" t="str">
        <f>IF(R604&lt;&gt;"",SUMIFS('JPK_KR-1'!AM:AM,'JPK_KR-1'!W:W,S604),"")</f>
        <v/>
      </c>
    </row>
    <row r="605" spans="1:22" x14ac:dyDescent="0.3">
      <c r="A605" s="5" t="str">
        <f>IF(kokpit!A605&lt;&gt;"",kokpit!A605,"")</f>
        <v/>
      </c>
      <c r="B605" s="5" t="str">
        <f>IF(kokpit!B605&lt;&gt;"",kokpit!B605,"")</f>
        <v/>
      </c>
      <c r="C605" s="24" t="str">
        <f>IF(A605&lt;&gt;"",SUMIFS('JPK_KR-1'!AL:AL,'JPK_KR-1'!W:W,B605),"")</f>
        <v/>
      </c>
      <c r="D605" s="126" t="str">
        <f>IF(A605&lt;&gt;"",SUMIFS('JPK_KR-1'!AM:AM,'JPK_KR-1'!W:W,B605),"")</f>
        <v/>
      </c>
      <c r="E605" s="5" t="str">
        <f>IF(kokpit!E605&lt;&gt;"",kokpit!E605,"")</f>
        <v/>
      </c>
      <c r="F605" s="127" t="str">
        <f>IF(kokpit!F605&lt;&gt;"",kokpit!F605,"")</f>
        <v/>
      </c>
      <c r="G605" s="24" t="str">
        <f>IF(E605&lt;&gt;"",SUMIFS('JPK_KR-1'!AL:AL,'JPK_KR-1'!W:W,F605),"")</f>
        <v/>
      </c>
      <c r="H605" s="126" t="str">
        <f>IF(E605&lt;&gt;"",SUMIFS('JPK_KR-1'!AM:AM,'JPK_KR-1'!W:W,F605),"")</f>
        <v/>
      </c>
      <c r="I605" s="5" t="str">
        <f>IF(kokpit!I605&lt;&gt;"",kokpit!I605,"")</f>
        <v/>
      </c>
      <c r="J605" s="5" t="str">
        <f>IF(kokpit!J605&lt;&gt;"",kokpit!J605,"")</f>
        <v/>
      </c>
      <c r="K605" s="24" t="str">
        <f>IF(I605&lt;&gt;"",SUMIFS('JPK_KR-1'!AL:AL,'JPK_KR-1'!W:W,J605),"")</f>
        <v/>
      </c>
      <c r="L605" s="141" t="str">
        <f>IF(I605&lt;&gt;"",SUMIFS('JPK_KR-1'!AM:AM,'JPK_KR-1'!W:W,J605),"")</f>
        <v/>
      </c>
      <c r="M605" s="143" t="str">
        <f>IF(kokpit!M605&lt;&gt;"",kokpit!M605,"")</f>
        <v/>
      </c>
      <c r="N605" s="117" t="str">
        <f>IF(kokpit!N605&lt;&gt;"",kokpit!N605,"")</f>
        <v/>
      </c>
      <c r="O605" s="117" t="str">
        <f>IF(kokpit!O605&lt;&gt;"",kokpit!O605,"")</f>
        <v/>
      </c>
      <c r="P605" s="141" t="str">
        <f>IF(M605&lt;&gt;"",IF(O605="",SUMIFS('JPK_KR-1'!AL:AL,'JPK_KR-1'!W:W,N605),SUMIFS('JPK_KR-1'!BF:BF,'JPK_KR-1'!BE:BE,N605,'JPK_KR-1'!BG:BG,O605)),"")</f>
        <v/>
      </c>
      <c r="Q605" s="144" t="str">
        <f>IF(M605&lt;&gt;"",IF(O605="",SUMIFS('JPK_KR-1'!AM:AM,'JPK_KR-1'!W:W,N605),SUMIFS('JPK_KR-1'!BI:BI,'JPK_KR-1'!BH:BH,N605,'JPK_KR-1'!BJ:BJ,O605)),"")</f>
        <v/>
      </c>
      <c r="R605" s="117" t="str">
        <f>IF(kokpit!R605&lt;&gt;"",kokpit!R605,"")</f>
        <v/>
      </c>
      <c r="S605" s="117" t="str">
        <f>IF(kokpit!S605&lt;&gt;"",kokpit!S605,"")</f>
        <v/>
      </c>
      <c r="T605" s="117" t="str">
        <f>IF(kokpit!T605&lt;&gt;"",kokpit!T605,"")</f>
        <v/>
      </c>
      <c r="U605" s="141" t="str">
        <f>IF(R605&lt;&gt;"",SUMIFS('JPK_KR-1'!AL:AL,'JPK_KR-1'!W:W,S605),"")</f>
        <v/>
      </c>
      <c r="V605" s="144" t="str">
        <f>IF(R605&lt;&gt;"",SUMIFS('JPK_KR-1'!AM:AM,'JPK_KR-1'!W:W,S605),"")</f>
        <v/>
      </c>
    </row>
    <row r="606" spans="1:22" x14ac:dyDescent="0.3">
      <c r="A606" s="5" t="str">
        <f>IF(kokpit!A606&lt;&gt;"",kokpit!A606,"")</f>
        <v/>
      </c>
      <c r="B606" s="5" t="str">
        <f>IF(kokpit!B606&lt;&gt;"",kokpit!B606,"")</f>
        <v/>
      </c>
      <c r="C606" s="24" t="str">
        <f>IF(A606&lt;&gt;"",SUMIFS('JPK_KR-1'!AL:AL,'JPK_KR-1'!W:W,B606),"")</f>
        <v/>
      </c>
      <c r="D606" s="126" t="str">
        <f>IF(A606&lt;&gt;"",SUMIFS('JPK_KR-1'!AM:AM,'JPK_KR-1'!W:W,B606),"")</f>
        <v/>
      </c>
      <c r="E606" s="5" t="str">
        <f>IF(kokpit!E606&lt;&gt;"",kokpit!E606,"")</f>
        <v/>
      </c>
      <c r="F606" s="127" t="str">
        <f>IF(kokpit!F606&lt;&gt;"",kokpit!F606,"")</f>
        <v/>
      </c>
      <c r="G606" s="24" t="str">
        <f>IF(E606&lt;&gt;"",SUMIFS('JPK_KR-1'!AL:AL,'JPK_KR-1'!W:W,F606),"")</f>
        <v/>
      </c>
      <c r="H606" s="126" t="str">
        <f>IF(E606&lt;&gt;"",SUMIFS('JPK_KR-1'!AM:AM,'JPK_KR-1'!W:W,F606),"")</f>
        <v/>
      </c>
      <c r="I606" s="5" t="str">
        <f>IF(kokpit!I606&lt;&gt;"",kokpit!I606,"")</f>
        <v/>
      </c>
      <c r="J606" s="5" t="str">
        <f>IF(kokpit!J606&lt;&gt;"",kokpit!J606,"")</f>
        <v/>
      </c>
      <c r="K606" s="24" t="str">
        <f>IF(I606&lt;&gt;"",SUMIFS('JPK_KR-1'!AL:AL,'JPK_KR-1'!W:W,J606),"")</f>
        <v/>
      </c>
      <c r="L606" s="141" t="str">
        <f>IF(I606&lt;&gt;"",SUMIFS('JPK_KR-1'!AM:AM,'JPK_KR-1'!W:W,J606),"")</f>
        <v/>
      </c>
      <c r="M606" s="143" t="str">
        <f>IF(kokpit!M606&lt;&gt;"",kokpit!M606,"")</f>
        <v/>
      </c>
      <c r="N606" s="117" t="str">
        <f>IF(kokpit!N606&lt;&gt;"",kokpit!N606,"")</f>
        <v/>
      </c>
      <c r="O606" s="117" t="str">
        <f>IF(kokpit!O606&lt;&gt;"",kokpit!O606,"")</f>
        <v/>
      </c>
      <c r="P606" s="141" t="str">
        <f>IF(M606&lt;&gt;"",IF(O606="",SUMIFS('JPK_KR-1'!AL:AL,'JPK_KR-1'!W:W,N606),SUMIFS('JPK_KR-1'!BF:BF,'JPK_KR-1'!BE:BE,N606,'JPK_KR-1'!BG:BG,O606)),"")</f>
        <v/>
      </c>
      <c r="Q606" s="144" t="str">
        <f>IF(M606&lt;&gt;"",IF(O606="",SUMIFS('JPK_KR-1'!AM:AM,'JPK_KR-1'!W:W,N606),SUMIFS('JPK_KR-1'!BI:BI,'JPK_KR-1'!BH:BH,N606,'JPK_KR-1'!BJ:BJ,O606)),"")</f>
        <v/>
      </c>
      <c r="R606" s="117" t="str">
        <f>IF(kokpit!R606&lt;&gt;"",kokpit!R606,"")</f>
        <v/>
      </c>
      <c r="S606" s="117" t="str">
        <f>IF(kokpit!S606&lt;&gt;"",kokpit!S606,"")</f>
        <v/>
      </c>
      <c r="T606" s="117" t="str">
        <f>IF(kokpit!T606&lt;&gt;"",kokpit!T606,"")</f>
        <v/>
      </c>
      <c r="U606" s="141" t="str">
        <f>IF(R606&lt;&gt;"",SUMIFS('JPK_KR-1'!AL:AL,'JPK_KR-1'!W:W,S606),"")</f>
        <v/>
      </c>
      <c r="V606" s="144" t="str">
        <f>IF(R606&lt;&gt;"",SUMIFS('JPK_KR-1'!AM:AM,'JPK_KR-1'!W:W,S606),"")</f>
        <v/>
      </c>
    </row>
    <row r="607" spans="1:22" x14ac:dyDescent="0.3">
      <c r="A607" s="5" t="str">
        <f>IF(kokpit!A607&lt;&gt;"",kokpit!A607,"")</f>
        <v/>
      </c>
      <c r="B607" s="5" t="str">
        <f>IF(kokpit!B607&lt;&gt;"",kokpit!B607,"")</f>
        <v/>
      </c>
      <c r="C607" s="24" t="str">
        <f>IF(A607&lt;&gt;"",SUMIFS('JPK_KR-1'!AL:AL,'JPK_KR-1'!W:W,B607),"")</f>
        <v/>
      </c>
      <c r="D607" s="126" t="str">
        <f>IF(A607&lt;&gt;"",SUMIFS('JPK_KR-1'!AM:AM,'JPK_KR-1'!W:W,B607),"")</f>
        <v/>
      </c>
      <c r="E607" s="5" t="str">
        <f>IF(kokpit!E607&lt;&gt;"",kokpit!E607,"")</f>
        <v/>
      </c>
      <c r="F607" s="127" t="str">
        <f>IF(kokpit!F607&lt;&gt;"",kokpit!F607,"")</f>
        <v/>
      </c>
      <c r="G607" s="24" t="str">
        <f>IF(E607&lt;&gt;"",SUMIFS('JPK_KR-1'!AL:AL,'JPK_KR-1'!W:W,F607),"")</f>
        <v/>
      </c>
      <c r="H607" s="126" t="str">
        <f>IF(E607&lt;&gt;"",SUMIFS('JPK_KR-1'!AM:AM,'JPK_KR-1'!W:W,F607),"")</f>
        <v/>
      </c>
      <c r="I607" s="5" t="str">
        <f>IF(kokpit!I607&lt;&gt;"",kokpit!I607,"")</f>
        <v/>
      </c>
      <c r="J607" s="5" t="str">
        <f>IF(kokpit!J607&lt;&gt;"",kokpit!J607,"")</f>
        <v/>
      </c>
      <c r="K607" s="24" t="str">
        <f>IF(I607&lt;&gt;"",SUMIFS('JPK_KR-1'!AL:AL,'JPK_KR-1'!W:W,J607),"")</f>
        <v/>
      </c>
      <c r="L607" s="141" t="str">
        <f>IF(I607&lt;&gt;"",SUMIFS('JPK_KR-1'!AM:AM,'JPK_KR-1'!W:W,J607),"")</f>
        <v/>
      </c>
      <c r="M607" s="143" t="str">
        <f>IF(kokpit!M607&lt;&gt;"",kokpit!M607,"")</f>
        <v/>
      </c>
      <c r="N607" s="117" t="str">
        <f>IF(kokpit!N607&lt;&gt;"",kokpit!N607,"")</f>
        <v/>
      </c>
      <c r="O607" s="117" t="str">
        <f>IF(kokpit!O607&lt;&gt;"",kokpit!O607,"")</f>
        <v/>
      </c>
      <c r="P607" s="141" t="str">
        <f>IF(M607&lt;&gt;"",IF(O607="",SUMIFS('JPK_KR-1'!AL:AL,'JPK_KR-1'!W:W,N607),SUMIFS('JPK_KR-1'!BF:BF,'JPK_KR-1'!BE:BE,N607,'JPK_KR-1'!BG:BG,O607)),"")</f>
        <v/>
      </c>
      <c r="Q607" s="144" t="str">
        <f>IF(M607&lt;&gt;"",IF(O607="",SUMIFS('JPK_KR-1'!AM:AM,'JPK_KR-1'!W:W,N607),SUMIFS('JPK_KR-1'!BI:BI,'JPK_KR-1'!BH:BH,N607,'JPK_KR-1'!BJ:BJ,O607)),"")</f>
        <v/>
      </c>
      <c r="R607" s="117" t="str">
        <f>IF(kokpit!R607&lt;&gt;"",kokpit!R607,"")</f>
        <v/>
      </c>
      <c r="S607" s="117" t="str">
        <f>IF(kokpit!S607&lt;&gt;"",kokpit!S607,"")</f>
        <v/>
      </c>
      <c r="T607" s="117" t="str">
        <f>IF(kokpit!T607&lt;&gt;"",kokpit!T607,"")</f>
        <v/>
      </c>
      <c r="U607" s="141" t="str">
        <f>IF(R607&lt;&gt;"",SUMIFS('JPK_KR-1'!AL:AL,'JPK_KR-1'!W:W,S607),"")</f>
        <v/>
      </c>
      <c r="V607" s="144" t="str">
        <f>IF(R607&lt;&gt;"",SUMIFS('JPK_KR-1'!AM:AM,'JPK_KR-1'!W:W,S607),"")</f>
        <v/>
      </c>
    </row>
    <row r="608" spans="1:22" x14ac:dyDescent="0.3">
      <c r="A608" s="5" t="str">
        <f>IF(kokpit!A608&lt;&gt;"",kokpit!A608,"")</f>
        <v/>
      </c>
      <c r="B608" s="5" t="str">
        <f>IF(kokpit!B608&lt;&gt;"",kokpit!B608,"")</f>
        <v/>
      </c>
      <c r="C608" s="24" t="str">
        <f>IF(A608&lt;&gt;"",SUMIFS('JPK_KR-1'!AL:AL,'JPK_KR-1'!W:W,B608),"")</f>
        <v/>
      </c>
      <c r="D608" s="126" t="str">
        <f>IF(A608&lt;&gt;"",SUMIFS('JPK_KR-1'!AM:AM,'JPK_KR-1'!W:W,B608),"")</f>
        <v/>
      </c>
      <c r="E608" s="5" t="str">
        <f>IF(kokpit!E608&lt;&gt;"",kokpit!E608,"")</f>
        <v/>
      </c>
      <c r="F608" s="127" t="str">
        <f>IF(kokpit!F608&lt;&gt;"",kokpit!F608,"")</f>
        <v/>
      </c>
      <c r="G608" s="24" t="str">
        <f>IF(E608&lt;&gt;"",SUMIFS('JPK_KR-1'!AL:AL,'JPK_KR-1'!W:W,F608),"")</f>
        <v/>
      </c>
      <c r="H608" s="126" t="str">
        <f>IF(E608&lt;&gt;"",SUMIFS('JPK_KR-1'!AM:AM,'JPK_KR-1'!W:W,F608),"")</f>
        <v/>
      </c>
      <c r="I608" s="5" t="str">
        <f>IF(kokpit!I608&lt;&gt;"",kokpit!I608,"")</f>
        <v/>
      </c>
      <c r="J608" s="5" t="str">
        <f>IF(kokpit!J608&lt;&gt;"",kokpit!J608,"")</f>
        <v/>
      </c>
      <c r="K608" s="24" t="str">
        <f>IF(I608&lt;&gt;"",SUMIFS('JPK_KR-1'!AL:AL,'JPK_KR-1'!W:W,J608),"")</f>
        <v/>
      </c>
      <c r="L608" s="141" t="str">
        <f>IF(I608&lt;&gt;"",SUMIFS('JPK_KR-1'!AM:AM,'JPK_KR-1'!W:W,J608),"")</f>
        <v/>
      </c>
      <c r="M608" s="143" t="str">
        <f>IF(kokpit!M608&lt;&gt;"",kokpit!M608,"")</f>
        <v/>
      </c>
      <c r="N608" s="117" t="str">
        <f>IF(kokpit!N608&lt;&gt;"",kokpit!N608,"")</f>
        <v/>
      </c>
      <c r="O608" s="117" t="str">
        <f>IF(kokpit!O608&lt;&gt;"",kokpit!O608,"")</f>
        <v/>
      </c>
      <c r="P608" s="141" t="str">
        <f>IF(M608&lt;&gt;"",IF(O608="",SUMIFS('JPK_KR-1'!AL:AL,'JPK_KR-1'!W:W,N608),SUMIFS('JPK_KR-1'!BF:BF,'JPK_KR-1'!BE:BE,N608,'JPK_KR-1'!BG:BG,O608)),"")</f>
        <v/>
      </c>
      <c r="Q608" s="144" t="str">
        <f>IF(M608&lt;&gt;"",IF(O608="",SUMIFS('JPK_KR-1'!AM:AM,'JPK_KR-1'!W:W,N608),SUMIFS('JPK_KR-1'!BI:BI,'JPK_KR-1'!BH:BH,N608,'JPK_KR-1'!BJ:BJ,O608)),"")</f>
        <v/>
      </c>
      <c r="R608" s="117" t="str">
        <f>IF(kokpit!R608&lt;&gt;"",kokpit!R608,"")</f>
        <v/>
      </c>
      <c r="S608" s="117" t="str">
        <f>IF(kokpit!S608&lt;&gt;"",kokpit!S608,"")</f>
        <v/>
      </c>
      <c r="T608" s="117" t="str">
        <f>IF(kokpit!T608&lt;&gt;"",kokpit!T608,"")</f>
        <v/>
      </c>
      <c r="U608" s="141" t="str">
        <f>IF(R608&lt;&gt;"",SUMIFS('JPK_KR-1'!AL:AL,'JPK_KR-1'!W:W,S608),"")</f>
        <v/>
      </c>
      <c r="V608" s="144" t="str">
        <f>IF(R608&lt;&gt;"",SUMIFS('JPK_KR-1'!AM:AM,'JPK_KR-1'!W:W,S608),"")</f>
        <v/>
      </c>
    </row>
    <row r="609" spans="1:22" x14ac:dyDescent="0.3">
      <c r="A609" s="5" t="str">
        <f>IF(kokpit!A609&lt;&gt;"",kokpit!A609,"")</f>
        <v/>
      </c>
      <c r="B609" s="5" t="str">
        <f>IF(kokpit!B609&lt;&gt;"",kokpit!B609,"")</f>
        <v/>
      </c>
      <c r="C609" s="24" t="str">
        <f>IF(A609&lt;&gt;"",SUMIFS('JPK_KR-1'!AL:AL,'JPK_KR-1'!W:W,B609),"")</f>
        <v/>
      </c>
      <c r="D609" s="126" t="str">
        <f>IF(A609&lt;&gt;"",SUMIFS('JPK_KR-1'!AM:AM,'JPK_KR-1'!W:W,B609),"")</f>
        <v/>
      </c>
      <c r="E609" s="5" t="str">
        <f>IF(kokpit!E609&lt;&gt;"",kokpit!E609,"")</f>
        <v/>
      </c>
      <c r="F609" s="127" t="str">
        <f>IF(kokpit!F609&lt;&gt;"",kokpit!F609,"")</f>
        <v/>
      </c>
      <c r="G609" s="24" t="str">
        <f>IF(E609&lt;&gt;"",SUMIFS('JPK_KR-1'!AL:AL,'JPK_KR-1'!W:W,F609),"")</f>
        <v/>
      </c>
      <c r="H609" s="126" t="str">
        <f>IF(E609&lt;&gt;"",SUMIFS('JPK_KR-1'!AM:AM,'JPK_KR-1'!W:W,F609),"")</f>
        <v/>
      </c>
      <c r="I609" s="5" t="str">
        <f>IF(kokpit!I609&lt;&gt;"",kokpit!I609,"")</f>
        <v/>
      </c>
      <c r="J609" s="5" t="str">
        <f>IF(kokpit!J609&lt;&gt;"",kokpit!J609,"")</f>
        <v/>
      </c>
      <c r="K609" s="24" t="str">
        <f>IF(I609&lt;&gt;"",SUMIFS('JPK_KR-1'!AL:AL,'JPK_KR-1'!W:W,J609),"")</f>
        <v/>
      </c>
      <c r="L609" s="141" t="str">
        <f>IF(I609&lt;&gt;"",SUMIFS('JPK_KR-1'!AM:AM,'JPK_KR-1'!W:W,J609),"")</f>
        <v/>
      </c>
      <c r="M609" s="143" t="str">
        <f>IF(kokpit!M609&lt;&gt;"",kokpit!M609,"")</f>
        <v/>
      </c>
      <c r="N609" s="117" t="str">
        <f>IF(kokpit!N609&lt;&gt;"",kokpit!N609,"")</f>
        <v/>
      </c>
      <c r="O609" s="117" t="str">
        <f>IF(kokpit!O609&lt;&gt;"",kokpit!O609,"")</f>
        <v/>
      </c>
      <c r="P609" s="141" t="str">
        <f>IF(M609&lt;&gt;"",IF(O609="",SUMIFS('JPK_KR-1'!AL:AL,'JPK_KR-1'!W:W,N609),SUMIFS('JPK_KR-1'!BF:BF,'JPK_KR-1'!BE:BE,N609,'JPK_KR-1'!BG:BG,O609)),"")</f>
        <v/>
      </c>
      <c r="Q609" s="144" t="str">
        <f>IF(M609&lt;&gt;"",IF(O609="",SUMIFS('JPK_KR-1'!AM:AM,'JPK_KR-1'!W:W,N609),SUMIFS('JPK_KR-1'!BI:BI,'JPK_KR-1'!BH:BH,N609,'JPK_KR-1'!BJ:BJ,O609)),"")</f>
        <v/>
      </c>
      <c r="R609" s="117" t="str">
        <f>IF(kokpit!R609&lt;&gt;"",kokpit!R609,"")</f>
        <v/>
      </c>
      <c r="S609" s="117" t="str">
        <f>IF(kokpit!S609&lt;&gt;"",kokpit!S609,"")</f>
        <v/>
      </c>
      <c r="T609" s="117" t="str">
        <f>IF(kokpit!T609&lt;&gt;"",kokpit!T609,"")</f>
        <v/>
      </c>
      <c r="U609" s="141" t="str">
        <f>IF(R609&lt;&gt;"",SUMIFS('JPK_KR-1'!AL:AL,'JPK_KR-1'!W:W,S609),"")</f>
        <v/>
      </c>
      <c r="V609" s="144" t="str">
        <f>IF(R609&lt;&gt;"",SUMIFS('JPK_KR-1'!AM:AM,'JPK_KR-1'!W:W,S609),"")</f>
        <v/>
      </c>
    </row>
    <row r="610" spans="1:22" x14ac:dyDescent="0.3">
      <c r="A610" s="5" t="str">
        <f>IF(kokpit!A610&lt;&gt;"",kokpit!A610,"")</f>
        <v/>
      </c>
      <c r="B610" s="5" t="str">
        <f>IF(kokpit!B610&lt;&gt;"",kokpit!B610,"")</f>
        <v/>
      </c>
      <c r="C610" s="24" t="str">
        <f>IF(A610&lt;&gt;"",SUMIFS('JPK_KR-1'!AL:AL,'JPK_KR-1'!W:W,B610),"")</f>
        <v/>
      </c>
      <c r="D610" s="126" t="str">
        <f>IF(A610&lt;&gt;"",SUMIFS('JPK_KR-1'!AM:AM,'JPK_KR-1'!W:W,B610),"")</f>
        <v/>
      </c>
      <c r="E610" s="5" t="str">
        <f>IF(kokpit!E610&lt;&gt;"",kokpit!E610,"")</f>
        <v/>
      </c>
      <c r="F610" s="127" t="str">
        <f>IF(kokpit!F610&lt;&gt;"",kokpit!F610,"")</f>
        <v/>
      </c>
      <c r="G610" s="24" t="str">
        <f>IF(E610&lt;&gt;"",SUMIFS('JPK_KR-1'!AL:AL,'JPK_KR-1'!W:W,F610),"")</f>
        <v/>
      </c>
      <c r="H610" s="126" t="str">
        <f>IF(E610&lt;&gt;"",SUMIFS('JPK_KR-1'!AM:AM,'JPK_KR-1'!W:W,F610),"")</f>
        <v/>
      </c>
      <c r="I610" s="5" t="str">
        <f>IF(kokpit!I610&lt;&gt;"",kokpit!I610,"")</f>
        <v/>
      </c>
      <c r="J610" s="5" t="str">
        <f>IF(kokpit!J610&lt;&gt;"",kokpit!J610,"")</f>
        <v/>
      </c>
      <c r="K610" s="24" t="str">
        <f>IF(I610&lt;&gt;"",SUMIFS('JPK_KR-1'!AL:AL,'JPK_KR-1'!W:W,J610),"")</f>
        <v/>
      </c>
      <c r="L610" s="141" t="str">
        <f>IF(I610&lt;&gt;"",SUMIFS('JPK_KR-1'!AM:AM,'JPK_KR-1'!W:W,J610),"")</f>
        <v/>
      </c>
      <c r="M610" s="143" t="str">
        <f>IF(kokpit!M610&lt;&gt;"",kokpit!M610,"")</f>
        <v/>
      </c>
      <c r="N610" s="117" t="str">
        <f>IF(kokpit!N610&lt;&gt;"",kokpit!N610,"")</f>
        <v/>
      </c>
      <c r="O610" s="117" t="str">
        <f>IF(kokpit!O610&lt;&gt;"",kokpit!O610,"")</f>
        <v/>
      </c>
      <c r="P610" s="141" t="str">
        <f>IF(M610&lt;&gt;"",IF(O610="",SUMIFS('JPK_KR-1'!AL:AL,'JPK_KR-1'!W:W,N610),SUMIFS('JPK_KR-1'!BF:BF,'JPK_KR-1'!BE:BE,N610,'JPK_KR-1'!BG:BG,O610)),"")</f>
        <v/>
      </c>
      <c r="Q610" s="144" t="str">
        <f>IF(M610&lt;&gt;"",IF(O610="",SUMIFS('JPK_KR-1'!AM:AM,'JPK_KR-1'!W:W,N610),SUMIFS('JPK_KR-1'!BI:BI,'JPK_KR-1'!BH:BH,N610,'JPK_KR-1'!BJ:BJ,O610)),"")</f>
        <v/>
      </c>
      <c r="R610" s="117" t="str">
        <f>IF(kokpit!R610&lt;&gt;"",kokpit!R610,"")</f>
        <v/>
      </c>
      <c r="S610" s="117" t="str">
        <f>IF(kokpit!S610&lt;&gt;"",kokpit!S610,"")</f>
        <v/>
      </c>
      <c r="T610" s="117" t="str">
        <f>IF(kokpit!T610&lt;&gt;"",kokpit!T610,"")</f>
        <v/>
      </c>
      <c r="U610" s="141" t="str">
        <f>IF(R610&lt;&gt;"",SUMIFS('JPK_KR-1'!AL:AL,'JPK_KR-1'!W:W,S610),"")</f>
        <v/>
      </c>
      <c r="V610" s="144" t="str">
        <f>IF(R610&lt;&gt;"",SUMIFS('JPK_KR-1'!AM:AM,'JPK_KR-1'!W:W,S610),"")</f>
        <v/>
      </c>
    </row>
    <row r="611" spans="1:22" x14ac:dyDescent="0.3">
      <c r="A611" s="5" t="str">
        <f>IF(kokpit!A611&lt;&gt;"",kokpit!A611,"")</f>
        <v/>
      </c>
      <c r="B611" s="5" t="str">
        <f>IF(kokpit!B611&lt;&gt;"",kokpit!B611,"")</f>
        <v/>
      </c>
      <c r="C611" s="24" t="str">
        <f>IF(A611&lt;&gt;"",SUMIFS('JPK_KR-1'!AL:AL,'JPK_KR-1'!W:W,B611),"")</f>
        <v/>
      </c>
      <c r="D611" s="126" t="str">
        <f>IF(A611&lt;&gt;"",SUMIFS('JPK_KR-1'!AM:AM,'JPK_KR-1'!W:W,B611),"")</f>
        <v/>
      </c>
      <c r="E611" s="5" t="str">
        <f>IF(kokpit!E611&lt;&gt;"",kokpit!E611,"")</f>
        <v/>
      </c>
      <c r="F611" s="127" t="str">
        <f>IF(kokpit!F611&lt;&gt;"",kokpit!F611,"")</f>
        <v/>
      </c>
      <c r="G611" s="24" t="str">
        <f>IF(E611&lt;&gt;"",SUMIFS('JPK_KR-1'!AL:AL,'JPK_KR-1'!W:W,F611),"")</f>
        <v/>
      </c>
      <c r="H611" s="126" t="str">
        <f>IF(E611&lt;&gt;"",SUMIFS('JPK_KR-1'!AM:AM,'JPK_KR-1'!W:W,F611),"")</f>
        <v/>
      </c>
      <c r="I611" s="5" t="str">
        <f>IF(kokpit!I611&lt;&gt;"",kokpit!I611,"")</f>
        <v/>
      </c>
      <c r="J611" s="5" t="str">
        <f>IF(kokpit!J611&lt;&gt;"",kokpit!J611,"")</f>
        <v/>
      </c>
      <c r="K611" s="24" t="str">
        <f>IF(I611&lt;&gt;"",SUMIFS('JPK_KR-1'!AL:AL,'JPK_KR-1'!W:W,J611),"")</f>
        <v/>
      </c>
      <c r="L611" s="141" t="str">
        <f>IF(I611&lt;&gt;"",SUMIFS('JPK_KR-1'!AM:AM,'JPK_KR-1'!W:W,J611),"")</f>
        <v/>
      </c>
      <c r="M611" s="143" t="str">
        <f>IF(kokpit!M611&lt;&gt;"",kokpit!M611,"")</f>
        <v/>
      </c>
      <c r="N611" s="117" t="str">
        <f>IF(kokpit!N611&lt;&gt;"",kokpit!N611,"")</f>
        <v/>
      </c>
      <c r="O611" s="117" t="str">
        <f>IF(kokpit!O611&lt;&gt;"",kokpit!O611,"")</f>
        <v/>
      </c>
      <c r="P611" s="141" t="str">
        <f>IF(M611&lt;&gt;"",IF(O611="",SUMIFS('JPK_KR-1'!AL:AL,'JPK_KR-1'!W:W,N611),SUMIFS('JPK_KR-1'!BF:BF,'JPK_KR-1'!BE:BE,N611,'JPK_KR-1'!BG:BG,O611)),"")</f>
        <v/>
      </c>
      <c r="Q611" s="144" t="str">
        <f>IF(M611&lt;&gt;"",IF(O611="",SUMIFS('JPK_KR-1'!AM:AM,'JPK_KR-1'!W:W,N611),SUMIFS('JPK_KR-1'!BI:BI,'JPK_KR-1'!BH:BH,N611,'JPK_KR-1'!BJ:BJ,O611)),"")</f>
        <v/>
      </c>
      <c r="R611" s="117" t="str">
        <f>IF(kokpit!R611&lt;&gt;"",kokpit!R611,"")</f>
        <v/>
      </c>
      <c r="S611" s="117" t="str">
        <f>IF(kokpit!S611&lt;&gt;"",kokpit!S611,"")</f>
        <v/>
      </c>
      <c r="T611" s="117" t="str">
        <f>IF(kokpit!T611&lt;&gt;"",kokpit!T611,"")</f>
        <v/>
      </c>
      <c r="U611" s="141" t="str">
        <f>IF(R611&lt;&gt;"",SUMIFS('JPK_KR-1'!AL:AL,'JPK_KR-1'!W:W,S611),"")</f>
        <v/>
      </c>
      <c r="V611" s="144" t="str">
        <f>IF(R611&lt;&gt;"",SUMIFS('JPK_KR-1'!AM:AM,'JPK_KR-1'!W:W,S611),"")</f>
        <v/>
      </c>
    </row>
    <row r="612" spans="1:22" x14ac:dyDescent="0.3">
      <c r="A612" s="5" t="str">
        <f>IF(kokpit!A612&lt;&gt;"",kokpit!A612,"")</f>
        <v/>
      </c>
      <c r="B612" s="5" t="str">
        <f>IF(kokpit!B612&lt;&gt;"",kokpit!B612,"")</f>
        <v/>
      </c>
      <c r="C612" s="24" t="str">
        <f>IF(A612&lt;&gt;"",SUMIFS('JPK_KR-1'!AL:AL,'JPK_KR-1'!W:W,B612),"")</f>
        <v/>
      </c>
      <c r="D612" s="126" t="str">
        <f>IF(A612&lt;&gt;"",SUMIFS('JPK_KR-1'!AM:AM,'JPK_KR-1'!W:W,B612),"")</f>
        <v/>
      </c>
      <c r="E612" s="5" t="str">
        <f>IF(kokpit!E612&lt;&gt;"",kokpit!E612,"")</f>
        <v/>
      </c>
      <c r="F612" s="127" t="str">
        <f>IF(kokpit!F612&lt;&gt;"",kokpit!F612,"")</f>
        <v/>
      </c>
      <c r="G612" s="24" t="str">
        <f>IF(E612&lt;&gt;"",SUMIFS('JPK_KR-1'!AL:AL,'JPK_KR-1'!W:W,F612),"")</f>
        <v/>
      </c>
      <c r="H612" s="126" t="str">
        <f>IF(E612&lt;&gt;"",SUMIFS('JPK_KR-1'!AM:AM,'JPK_KR-1'!W:W,F612),"")</f>
        <v/>
      </c>
      <c r="I612" s="5" t="str">
        <f>IF(kokpit!I612&lt;&gt;"",kokpit!I612,"")</f>
        <v/>
      </c>
      <c r="J612" s="5" t="str">
        <f>IF(kokpit!J612&lt;&gt;"",kokpit!J612,"")</f>
        <v/>
      </c>
      <c r="K612" s="24" t="str">
        <f>IF(I612&lt;&gt;"",SUMIFS('JPK_KR-1'!AL:AL,'JPK_KR-1'!W:W,J612),"")</f>
        <v/>
      </c>
      <c r="L612" s="141" t="str">
        <f>IF(I612&lt;&gt;"",SUMIFS('JPK_KR-1'!AM:AM,'JPK_KR-1'!W:W,J612),"")</f>
        <v/>
      </c>
      <c r="M612" s="143" t="str">
        <f>IF(kokpit!M612&lt;&gt;"",kokpit!M612,"")</f>
        <v/>
      </c>
      <c r="N612" s="117" t="str">
        <f>IF(kokpit!N612&lt;&gt;"",kokpit!N612,"")</f>
        <v/>
      </c>
      <c r="O612" s="117" t="str">
        <f>IF(kokpit!O612&lt;&gt;"",kokpit!O612,"")</f>
        <v/>
      </c>
      <c r="P612" s="141" t="str">
        <f>IF(M612&lt;&gt;"",IF(O612="",SUMIFS('JPK_KR-1'!AL:AL,'JPK_KR-1'!W:W,N612),SUMIFS('JPK_KR-1'!BF:BF,'JPK_KR-1'!BE:BE,N612,'JPK_KR-1'!BG:BG,O612)),"")</f>
        <v/>
      </c>
      <c r="Q612" s="144" t="str">
        <f>IF(M612&lt;&gt;"",IF(O612="",SUMIFS('JPK_KR-1'!AM:AM,'JPK_KR-1'!W:W,N612),SUMIFS('JPK_KR-1'!BI:BI,'JPK_KR-1'!BH:BH,N612,'JPK_KR-1'!BJ:BJ,O612)),"")</f>
        <v/>
      </c>
      <c r="R612" s="117" t="str">
        <f>IF(kokpit!R612&lt;&gt;"",kokpit!R612,"")</f>
        <v/>
      </c>
      <c r="S612" s="117" t="str">
        <f>IF(kokpit!S612&lt;&gt;"",kokpit!S612,"")</f>
        <v/>
      </c>
      <c r="T612" s="117" t="str">
        <f>IF(kokpit!T612&lt;&gt;"",kokpit!T612,"")</f>
        <v/>
      </c>
      <c r="U612" s="141" t="str">
        <f>IF(R612&lt;&gt;"",SUMIFS('JPK_KR-1'!AL:AL,'JPK_KR-1'!W:W,S612),"")</f>
        <v/>
      </c>
      <c r="V612" s="144" t="str">
        <f>IF(R612&lt;&gt;"",SUMIFS('JPK_KR-1'!AM:AM,'JPK_KR-1'!W:W,S612),"")</f>
        <v/>
      </c>
    </row>
    <row r="613" spans="1:22" x14ac:dyDescent="0.3">
      <c r="A613" s="5" t="str">
        <f>IF(kokpit!A613&lt;&gt;"",kokpit!A613,"")</f>
        <v/>
      </c>
      <c r="B613" s="5" t="str">
        <f>IF(kokpit!B613&lt;&gt;"",kokpit!B613,"")</f>
        <v/>
      </c>
      <c r="C613" s="24" t="str">
        <f>IF(A613&lt;&gt;"",SUMIFS('JPK_KR-1'!AL:AL,'JPK_KR-1'!W:W,B613),"")</f>
        <v/>
      </c>
      <c r="D613" s="126" t="str">
        <f>IF(A613&lt;&gt;"",SUMIFS('JPK_KR-1'!AM:AM,'JPK_KR-1'!W:W,B613),"")</f>
        <v/>
      </c>
      <c r="E613" s="5" t="str">
        <f>IF(kokpit!E613&lt;&gt;"",kokpit!E613,"")</f>
        <v/>
      </c>
      <c r="F613" s="127" t="str">
        <f>IF(kokpit!F613&lt;&gt;"",kokpit!F613,"")</f>
        <v/>
      </c>
      <c r="G613" s="24" t="str">
        <f>IF(E613&lt;&gt;"",SUMIFS('JPK_KR-1'!AL:AL,'JPK_KR-1'!W:W,F613),"")</f>
        <v/>
      </c>
      <c r="H613" s="126" t="str">
        <f>IF(E613&lt;&gt;"",SUMIFS('JPK_KR-1'!AM:AM,'JPK_KR-1'!W:W,F613),"")</f>
        <v/>
      </c>
      <c r="I613" s="5" t="str">
        <f>IF(kokpit!I613&lt;&gt;"",kokpit!I613,"")</f>
        <v/>
      </c>
      <c r="J613" s="5" t="str">
        <f>IF(kokpit!J613&lt;&gt;"",kokpit!J613,"")</f>
        <v/>
      </c>
      <c r="K613" s="24" t="str">
        <f>IF(I613&lt;&gt;"",SUMIFS('JPK_KR-1'!AL:AL,'JPK_KR-1'!W:W,J613),"")</f>
        <v/>
      </c>
      <c r="L613" s="141" t="str">
        <f>IF(I613&lt;&gt;"",SUMIFS('JPK_KR-1'!AM:AM,'JPK_KR-1'!W:W,J613),"")</f>
        <v/>
      </c>
      <c r="M613" s="143" t="str">
        <f>IF(kokpit!M613&lt;&gt;"",kokpit!M613,"")</f>
        <v/>
      </c>
      <c r="N613" s="117" t="str">
        <f>IF(kokpit!N613&lt;&gt;"",kokpit!N613,"")</f>
        <v/>
      </c>
      <c r="O613" s="117" t="str">
        <f>IF(kokpit!O613&lt;&gt;"",kokpit!O613,"")</f>
        <v/>
      </c>
      <c r="P613" s="141" t="str">
        <f>IF(M613&lt;&gt;"",IF(O613="",SUMIFS('JPK_KR-1'!AL:AL,'JPK_KR-1'!W:W,N613),SUMIFS('JPK_KR-1'!BF:BF,'JPK_KR-1'!BE:BE,N613,'JPK_KR-1'!BG:BG,O613)),"")</f>
        <v/>
      </c>
      <c r="Q613" s="144" t="str">
        <f>IF(M613&lt;&gt;"",IF(O613="",SUMIFS('JPK_KR-1'!AM:AM,'JPK_KR-1'!W:W,N613),SUMIFS('JPK_KR-1'!BI:BI,'JPK_KR-1'!BH:BH,N613,'JPK_KR-1'!BJ:BJ,O613)),"")</f>
        <v/>
      </c>
      <c r="R613" s="117" t="str">
        <f>IF(kokpit!R613&lt;&gt;"",kokpit!R613,"")</f>
        <v/>
      </c>
      <c r="S613" s="117" t="str">
        <f>IF(kokpit!S613&lt;&gt;"",kokpit!S613,"")</f>
        <v/>
      </c>
      <c r="T613" s="117" t="str">
        <f>IF(kokpit!T613&lt;&gt;"",kokpit!T613,"")</f>
        <v/>
      </c>
      <c r="U613" s="141" t="str">
        <f>IF(R613&lt;&gt;"",SUMIFS('JPK_KR-1'!AL:AL,'JPK_KR-1'!W:W,S613),"")</f>
        <v/>
      </c>
      <c r="V613" s="144" t="str">
        <f>IF(R613&lt;&gt;"",SUMIFS('JPK_KR-1'!AM:AM,'JPK_KR-1'!W:W,S613),"")</f>
        <v/>
      </c>
    </row>
    <row r="614" spans="1:22" x14ac:dyDescent="0.3">
      <c r="A614" s="5" t="str">
        <f>IF(kokpit!A614&lt;&gt;"",kokpit!A614,"")</f>
        <v/>
      </c>
      <c r="B614" s="5" t="str">
        <f>IF(kokpit!B614&lt;&gt;"",kokpit!B614,"")</f>
        <v/>
      </c>
      <c r="C614" s="24" t="str">
        <f>IF(A614&lt;&gt;"",SUMIFS('JPK_KR-1'!AL:AL,'JPK_KR-1'!W:W,B614),"")</f>
        <v/>
      </c>
      <c r="D614" s="126" t="str">
        <f>IF(A614&lt;&gt;"",SUMIFS('JPK_KR-1'!AM:AM,'JPK_KR-1'!W:W,B614),"")</f>
        <v/>
      </c>
      <c r="E614" s="5" t="str">
        <f>IF(kokpit!E614&lt;&gt;"",kokpit!E614,"")</f>
        <v/>
      </c>
      <c r="F614" s="127" t="str">
        <f>IF(kokpit!F614&lt;&gt;"",kokpit!F614,"")</f>
        <v/>
      </c>
      <c r="G614" s="24" t="str">
        <f>IF(E614&lt;&gt;"",SUMIFS('JPK_KR-1'!AL:AL,'JPK_KR-1'!W:W,F614),"")</f>
        <v/>
      </c>
      <c r="H614" s="126" t="str">
        <f>IF(E614&lt;&gt;"",SUMIFS('JPK_KR-1'!AM:AM,'JPK_KR-1'!W:W,F614),"")</f>
        <v/>
      </c>
      <c r="I614" s="5" t="str">
        <f>IF(kokpit!I614&lt;&gt;"",kokpit!I614,"")</f>
        <v/>
      </c>
      <c r="J614" s="5" t="str">
        <f>IF(kokpit!J614&lt;&gt;"",kokpit!J614,"")</f>
        <v/>
      </c>
      <c r="K614" s="24" t="str">
        <f>IF(I614&lt;&gt;"",SUMIFS('JPK_KR-1'!AL:AL,'JPK_KR-1'!W:W,J614),"")</f>
        <v/>
      </c>
      <c r="L614" s="141" t="str">
        <f>IF(I614&lt;&gt;"",SUMIFS('JPK_KR-1'!AM:AM,'JPK_KR-1'!W:W,J614),"")</f>
        <v/>
      </c>
      <c r="M614" s="143" t="str">
        <f>IF(kokpit!M614&lt;&gt;"",kokpit!M614,"")</f>
        <v/>
      </c>
      <c r="N614" s="117" t="str">
        <f>IF(kokpit!N614&lt;&gt;"",kokpit!N614,"")</f>
        <v/>
      </c>
      <c r="O614" s="117" t="str">
        <f>IF(kokpit!O614&lt;&gt;"",kokpit!O614,"")</f>
        <v/>
      </c>
      <c r="P614" s="141" t="str">
        <f>IF(M614&lt;&gt;"",IF(O614="",SUMIFS('JPK_KR-1'!AL:AL,'JPK_KR-1'!W:W,N614),SUMIFS('JPK_KR-1'!BF:BF,'JPK_KR-1'!BE:BE,N614,'JPK_KR-1'!BG:BG,O614)),"")</f>
        <v/>
      </c>
      <c r="Q614" s="144" t="str">
        <f>IF(M614&lt;&gt;"",IF(O614="",SUMIFS('JPK_KR-1'!AM:AM,'JPK_KR-1'!W:W,N614),SUMIFS('JPK_KR-1'!BI:BI,'JPK_KR-1'!BH:BH,N614,'JPK_KR-1'!BJ:BJ,O614)),"")</f>
        <v/>
      </c>
      <c r="R614" s="117" t="str">
        <f>IF(kokpit!R614&lt;&gt;"",kokpit!R614,"")</f>
        <v/>
      </c>
      <c r="S614" s="117" t="str">
        <f>IF(kokpit!S614&lt;&gt;"",kokpit!S614,"")</f>
        <v/>
      </c>
      <c r="T614" s="117" t="str">
        <f>IF(kokpit!T614&lt;&gt;"",kokpit!T614,"")</f>
        <v/>
      </c>
      <c r="U614" s="141" t="str">
        <f>IF(R614&lt;&gt;"",SUMIFS('JPK_KR-1'!AL:AL,'JPK_KR-1'!W:W,S614),"")</f>
        <v/>
      </c>
      <c r="V614" s="144" t="str">
        <f>IF(R614&lt;&gt;"",SUMIFS('JPK_KR-1'!AM:AM,'JPK_KR-1'!W:W,S614),"")</f>
        <v/>
      </c>
    </row>
    <row r="615" spans="1:22" x14ac:dyDescent="0.3">
      <c r="A615" s="5" t="str">
        <f>IF(kokpit!A615&lt;&gt;"",kokpit!A615,"")</f>
        <v/>
      </c>
      <c r="B615" s="5" t="str">
        <f>IF(kokpit!B615&lt;&gt;"",kokpit!B615,"")</f>
        <v/>
      </c>
      <c r="C615" s="24" t="str">
        <f>IF(A615&lt;&gt;"",SUMIFS('JPK_KR-1'!AL:AL,'JPK_KR-1'!W:W,B615),"")</f>
        <v/>
      </c>
      <c r="D615" s="126" t="str">
        <f>IF(A615&lt;&gt;"",SUMIFS('JPK_KR-1'!AM:AM,'JPK_KR-1'!W:W,B615),"")</f>
        <v/>
      </c>
      <c r="E615" s="5" t="str">
        <f>IF(kokpit!E615&lt;&gt;"",kokpit!E615,"")</f>
        <v/>
      </c>
      <c r="F615" s="127" t="str">
        <f>IF(kokpit!F615&lt;&gt;"",kokpit!F615,"")</f>
        <v/>
      </c>
      <c r="G615" s="24" t="str">
        <f>IF(E615&lt;&gt;"",SUMIFS('JPK_KR-1'!AL:AL,'JPK_KR-1'!W:W,F615),"")</f>
        <v/>
      </c>
      <c r="H615" s="126" t="str">
        <f>IF(E615&lt;&gt;"",SUMIFS('JPK_KR-1'!AM:AM,'JPK_KR-1'!W:W,F615),"")</f>
        <v/>
      </c>
      <c r="I615" s="5" t="str">
        <f>IF(kokpit!I615&lt;&gt;"",kokpit!I615,"")</f>
        <v/>
      </c>
      <c r="J615" s="5" t="str">
        <f>IF(kokpit!J615&lt;&gt;"",kokpit!J615,"")</f>
        <v/>
      </c>
      <c r="K615" s="24" t="str">
        <f>IF(I615&lt;&gt;"",SUMIFS('JPK_KR-1'!AL:AL,'JPK_KR-1'!W:W,J615),"")</f>
        <v/>
      </c>
      <c r="L615" s="141" t="str">
        <f>IF(I615&lt;&gt;"",SUMIFS('JPK_KR-1'!AM:AM,'JPK_KR-1'!W:W,J615),"")</f>
        <v/>
      </c>
      <c r="M615" s="143" t="str">
        <f>IF(kokpit!M615&lt;&gt;"",kokpit!M615,"")</f>
        <v/>
      </c>
      <c r="N615" s="117" t="str">
        <f>IF(kokpit!N615&lt;&gt;"",kokpit!N615,"")</f>
        <v/>
      </c>
      <c r="O615" s="117" t="str">
        <f>IF(kokpit!O615&lt;&gt;"",kokpit!O615,"")</f>
        <v/>
      </c>
      <c r="P615" s="141" t="str">
        <f>IF(M615&lt;&gt;"",IF(O615="",SUMIFS('JPK_KR-1'!AL:AL,'JPK_KR-1'!W:W,N615),SUMIFS('JPK_KR-1'!BF:BF,'JPK_KR-1'!BE:BE,N615,'JPK_KR-1'!BG:BG,O615)),"")</f>
        <v/>
      </c>
      <c r="Q615" s="144" t="str">
        <f>IF(M615&lt;&gt;"",IF(O615="",SUMIFS('JPK_KR-1'!AM:AM,'JPK_KR-1'!W:W,N615),SUMIFS('JPK_KR-1'!BI:BI,'JPK_KR-1'!BH:BH,N615,'JPK_KR-1'!BJ:BJ,O615)),"")</f>
        <v/>
      </c>
      <c r="R615" s="117" t="str">
        <f>IF(kokpit!R615&lt;&gt;"",kokpit!R615,"")</f>
        <v/>
      </c>
      <c r="S615" s="117" t="str">
        <f>IF(kokpit!S615&lt;&gt;"",kokpit!S615,"")</f>
        <v/>
      </c>
      <c r="T615" s="117" t="str">
        <f>IF(kokpit!T615&lt;&gt;"",kokpit!T615,"")</f>
        <v/>
      </c>
      <c r="U615" s="141" t="str">
        <f>IF(R615&lt;&gt;"",SUMIFS('JPK_KR-1'!AL:AL,'JPK_KR-1'!W:W,S615),"")</f>
        <v/>
      </c>
      <c r="V615" s="144" t="str">
        <f>IF(R615&lt;&gt;"",SUMIFS('JPK_KR-1'!AM:AM,'JPK_KR-1'!W:W,S615),"")</f>
        <v/>
      </c>
    </row>
    <row r="616" spans="1:22" x14ac:dyDescent="0.3">
      <c r="A616" s="5" t="str">
        <f>IF(kokpit!A616&lt;&gt;"",kokpit!A616,"")</f>
        <v/>
      </c>
      <c r="B616" s="5" t="str">
        <f>IF(kokpit!B616&lt;&gt;"",kokpit!B616,"")</f>
        <v/>
      </c>
      <c r="C616" s="24" t="str">
        <f>IF(A616&lt;&gt;"",SUMIFS('JPK_KR-1'!AL:AL,'JPK_KR-1'!W:W,B616),"")</f>
        <v/>
      </c>
      <c r="D616" s="126" t="str">
        <f>IF(A616&lt;&gt;"",SUMIFS('JPK_KR-1'!AM:AM,'JPK_KR-1'!W:W,B616),"")</f>
        <v/>
      </c>
      <c r="E616" s="5" t="str">
        <f>IF(kokpit!E616&lt;&gt;"",kokpit!E616,"")</f>
        <v/>
      </c>
      <c r="F616" s="127" t="str">
        <f>IF(kokpit!F616&lt;&gt;"",kokpit!F616,"")</f>
        <v/>
      </c>
      <c r="G616" s="24" t="str">
        <f>IF(E616&lt;&gt;"",SUMIFS('JPK_KR-1'!AL:AL,'JPK_KR-1'!W:W,F616),"")</f>
        <v/>
      </c>
      <c r="H616" s="126" t="str">
        <f>IF(E616&lt;&gt;"",SUMIFS('JPK_KR-1'!AM:AM,'JPK_KR-1'!W:W,F616),"")</f>
        <v/>
      </c>
      <c r="I616" s="5" t="str">
        <f>IF(kokpit!I616&lt;&gt;"",kokpit!I616,"")</f>
        <v/>
      </c>
      <c r="J616" s="5" t="str">
        <f>IF(kokpit!J616&lt;&gt;"",kokpit!J616,"")</f>
        <v/>
      </c>
      <c r="K616" s="24" t="str">
        <f>IF(I616&lt;&gt;"",SUMIFS('JPK_KR-1'!AL:AL,'JPK_KR-1'!W:W,J616),"")</f>
        <v/>
      </c>
      <c r="L616" s="141" t="str">
        <f>IF(I616&lt;&gt;"",SUMIFS('JPK_KR-1'!AM:AM,'JPK_KR-1'!W:W,J616),"")</f>
        <v/>
      </c>
      <c r="M616" s="143" t="str">
        <f>IF(kokpit!M616&lt;&gt;"",kokpit!M616,"")</f>
        <v/>
      </c>
      <c r="N616" s="117" t="str">
        <f>IF(kokpit!N616&lt;&gt;"",kokpit!N616,"")</f>
        <v/>
      </c>
      <c r="O616" s="117" t="str">
        <f>IF(kokpit!O616&lt;&gt;"",kokpit!O616,"")</f>
        <v/>
      </c>
      <c r="P616" s="141" t="str">
        <f>IF(M616&lt;&gt;"",IF(O616="",SUMIFS('JPK_KR-1'!AL:AL,'JPK_KR-1'!W:W,N616),SUMIFS('JPK_KR-1'!BF:BF,'JPK_KR-1'!BE:BE,N616,'JPK_KR-1'!BG:BG,O616)),"")</f>
        <v/>
      </c>
      <c r="Q616" s="144" t="str">
        <f>IF(M616&lt;&gt;"",IF(O616="",SUMIFS('JPK_KR-1'!AM:AM,'JPK_KR-1'!W:W,N616),SUMIFS('JPK_KR-1'!BI:BI,'JPK_KR-1'!BH:BH,N616,'JPK_KR-1'!BJ:BJ,O616)),"")</f>
        <v/>
      </c>
      <c r="R616" s="117" t="str">
        <f>IF(kokpit!R616&lt;&gt;"",kokpit!R616,"")</f>
        <v/>
      </c>
      <c r="S616" s="117" t="str">
        <f>IF(kokpit!S616&lt;&gt;"",kokpit!S616,"")</f>
        <v/>
      </c>
      <c r="T616" s="117" t="str">
        <f>IF(kokpit!T616&lt;&gt;"",kokpit!T616,"")</f>
        <v/>
      </c>
      <c r="U616" s="141" t="str">
        <f>IF(R616&lt;&gt;"",SUMIFS('JPK_KR-1'!AL:AL,'JPK_KR-1'!W:W,S616),"")</f>
        <v/>
      </c>
      <c r="V616" s="144" t="str">
        <f>IF(R616&lt;&gt;"",SUMIFS('JPK_KR-1'!AM:AM,'JPK_KR-1'!W:W,S616),"")</f>
        <v/>
      </c>
    </row>
    <row r="617" spans="1:22" x14ac:dyDescent="0.3">
      <c r="A617" s="5" t="str">
        <f>IF(kokpit!A617&lt;&gt;"",kokpit!A617,"")</f>
        <v/>
      </c>
      <c r="B617" s="5" t="str">
        <f>IF(kokpit!B617&lt;&gt;"",kokpit!B617,"")</f>
        <v/>
      </c>
      <c r="C617" s="24" t="str">
        <f>IF(A617&lt;&gt;"",SUMIFS('JPK_KR-1'!AL:AL,'JPK_KR-1'!W:W,B617),"")</f>
        <v/>
      </c>
      <c r="D617" s="126" t="str">
        <f>IF(A617&lt;&gt;"",SUMIFS('JPK_KR-1'!AM:AM,'JPK_KR-1'!W:W,B617),"")</f>
        <v/>
      </c>
      <c r="E617" s="5" t="str">
        <f>IF(kokpit!E617&lt;&gt;"",kokpit!E617,"")</f>
        <v/>
      </c>
      <c r="F617" s="127" t="str">
        <f>IF(kokpit!F617&lt;&gt;"",kokpit!F617,"")</f>
        <v/>
      </c>
      <c r="G617" s="24" t="str">
        <f>IF(E617&lt;&gt;"",SUMIFS('JPK_KR-1'!AL:AL,'JPK_KR-1'!W:W,F617),"")</f>
        <v/>
      </c>
      <c r="H617" s="126" t="str">
        <f>IF(E617&lt;&gt;"",SUMIFS('JPK_KR-1'!AM:AM,'JPK_KR-1'!W:W,F617),"")</f>
        <v/>
      </c>
      <c r="I617" s="5" t="str">
        <f>IF(kokpit!I617&lt;&gt;"",kokpit!I617,"")</f>
        <v/>
      </c>
      <c r="J617" s="5" t="str">
        <f>IF(kokpit!J617&lt;&gt;"",kokpit!J617,"")</f>
        <v/>
      </c>
      <c r="K617" s="24" t="str">
        <f>IF(I617&lt;&gt;"",SUMIFS('JPK_KR-1'!AL:AL,'JPK_KR-1'!W:W,J617),"")</f>
        <v/>
      </c>
      <c r="L617" s="141" t="str">
        <f>IF(I617&lt;&gt;"",SUMIFS('JPK_KR-1'!AM:AM,'JPK_KR-1'!W:W,J617),"")</f>
        <v/>
      </c>
      <c r="M617" s="143" t="str">
        <f>IF(kokpit!M617&lt;&gt;"",kokpit!M617,"")</f>
        <v/>
      </c>
      <c r="N617" s="117" t="str">
        <f>IF(kokpit!N617&lt;&gt;"",kokpit!N617,"")</f>
        <v/>
      </c>
      <c r="O617" s="117" t="str">
        <f>IF(kokpit!O617&lt;&gt;"",kokpit!O617,"")</f>
        <v/>
      </c>
      <c r="P617" s="141" t="str">
        <f>IF(M617&lt;&gt;"",IF(O617="",SUMIFS('JPK_KR-1'!AL:AL,'JPK_KR-1'!W:W,N617),SUMIFS('JPK_KR-1'!BF:BF,'JPK_KR-1'!BE:BE,N617,'JPK_KR-1'!BG:BG,O617)),"")</f>
        <v/>
      </c>
      <c r="Q617" s="144" t="str">
        <f>IF(M617&lt;&gt;"",IF(O617="",SUMIFS('JPK_KR-1'!AM:AM,'JPK_KR-1'!W:W,N617),SUMIFS('JPK_KR-1'!BI:BI,'JPK_KR-1'!BH:BH,N617,'JPK_KR-1'!BJ:BJ,O617)),"")</f>
        <v/>
      </c>
      <c r="R617" s="117" t="str">
        <f>IF(kokpit!R617&lt;&gt;"",kokpit!R617,"")</f>
        <v/>
      </c>
      <c r="S617" s="117" t="str">
        <f>IF(kokpit!S617&lt;&gt;"",kokpit!S617,"")</f>
        <v/>
      </c>
      <c r="T617" s="117" t="str">
        <f>IF(kokpit!T617&lt;&gt;"",kokpit!T617,"")</f>
        <v/>
      </c>
      <c r="U617" s="141" t="str">
        <f>IF(R617&lt;&gt;"",SUMIFS('JPK_KR-1'!AL:AL,'JPK_KR-1'!W:W,S617),"")</f>
        <v/>
      </c>
      <c r="V617" s="144" t="str">
        <f>IF(R617&lt;&gt;"",SUMIFS('JPK_KR-1'!AM:AM,'JPK_KR-1'!W:W,S617),"")</f>
        <v/>
      </c>
    </row>
    <row r="618" spans="1:22" x14ac:dyDescent="0.3">
      <c r="A618" s="5" t="str">
        <f>IF(kokpit!A618&lt;&gt;"",kokpit!A618,"")</f>
        <v/>
      </c>
      <c r="B618" s="5" t="str">
        <f>IF(kokpit!B618&lt;&gt;"",kokpit!B618,"")</f>
        <v/>
      </c>
      <c r="C618" s="24" t="str">
        <f>IF(A618&lt;&gt;"",SUMIFS('JPK_KR-1'!AL:AL,'JPK_KR-1'!W:W,B618),"")</f>
        <v/>
      </c>
      <c r="D618" s="126" t="str">
        <f>IF(A618&lt;&gt;"",SUMIFS('JPK_KR-1'!AM:AM,'JPK_KR-1'!W:W,B618),"")</f>
        <v/>
      </c>
      <c r="E618" s="5" t="str">
        <f>IF(kokpit!E618&lt;&gt;"",kokpit!E618,"")</f>
        <v/>
      </c>
      <c r="F618" s="127" t="str">
        <f>IF(kokpit!F618&lt;&gt;"",kokpit!F618,"")</f>
        <v/>
      </c>
      <c r="G618" s="24" t="str">
        <f>IF(E618&lt;&gt;"",SUMIFS('JPK_KR-1'!AL:AL,'JPK_KR-1'!W:W,F618),"")</f>
        <v/>
      </c>
      <c r="H618" s="126" t="str">
        <f>IF(E618&lt;&gt;"",SUMIFS('JPK_KR-1'!AM:AM,'JPK_KR-1'!W:W,F618),"")</f>
        <v/>
      </c>
      <c r="I618" s="5" t="str">
        <f>IF(kokpit!I618&lt;&gt;"",kokpit!I618,"")</f>
        <v/>
      </c>
      <c r="J618" s="5" t="str">
        <f>IF(kokpit!J618&lt;&gt;"",kokpit!J618,"")</f>
        <v/>
      </c>
      <c r="K618" s="24" t="str">
        <f>IF(I618&lt;&gt;"",SUMIFS('JPK_KR-1'!AL:AL,'JPK_KR-1'!W:W,J618),"")</f>
        <v/>
      </c>
      <c r="L618" s="141" t="str">
        <f>IF(I618&lt;&gt;"",SUMIFS('JPK_KR-1'!AM:AM,'JPK_KR-1'!W:W,J618),"")</f>
        <v/>
      </c>
      <c r="M618" s="143" t="str">
        <f>IF(kokpit!M618&lt;&gt;"",kokpit!M618,"")</f>
        <v/>
      </c>
      <c r="N618" s="117" t="str">
        <f>IF(kokpit!N618&lt;&gt;"",kokpit!N618,"")</f>
        <v/>
      </c>
      <c r="O618" s="117" t="str">
        <f>IF(kokpit!O618&lt;&gt;"",kokpit!O618,"")</f>
        <v/>
      </c>
      <c r="P618" s="141" t="str">
        <f>IF(M618&lt;&gt;"",IF(O618="",SUMIFS('JPK_KR-1'!AL:AL,'JPK_KR-1'!W:W,N618),SUMIFS('JPK_KR-1'!BF:BF,'JPK_KR-1'!BE:BE,N618,'JPK_KR-1'!BG:BG,O618)),"")</f>
        <v/>
      </c>
      <c r="Q618" s="144" t="str">
        <f>IF(M618&lt;&gt;"",IF(O618="",SUMIFS('JPK_KR-1'!AM:AM,'JPK_KR-1'!W:W,N618),SUMIFS('JPK_KR-1'!BI:BI,'JPK_KR-1'!BH:BH,N618,'JPK_KR-1'!BJ:BJ,O618)),"")</f>
        <v/>
      </c>
      <c r="R618" s="117" t="str">
        <f>IF(kokpit!R618&lt;&gt;"",kokpit!R618,"")</f>
        <v/>
      </c>
      <c r="S618" s="117" t="str">
        <f>IF(kokpit!S618&lt;&gt;"",kokpit!S618,"")</f>
        <v/>
      </c>
      <c r="T618" s="117" t="str">
        <f>IF(kokpit!T618&lt;&gt;"",kokpit!T618,"")</f>
        <v/>
      </c>
      <c r="U618" s="141" t="str">
        <f>IF(R618&lt;&gt;"",SUMIFS('JPK_KR-1'!AL:AL,'JPK_KR-1'!W:W,S618),"")</f>
        <v/>
      </c>
      <c r="V618" s="144" t="str">
        <f>IF(R618&lt;&gt;"",SUMIFS('JPK_KR-1'!AM:AM,'JPK_KR-1'!W:W,S618),"")</f>
        <v/>
      </c>
    </row>
    <row r="619" spans="1:22" x14ac:dyDescent="0.3">
      <c r="A619" s="5" t="str">
        <f>IF(kokpit!A619&lt;&gt;"",kokpit!A619,"")</f>
        <v/>
      </c>
      <c r="B619" s="5" t="str">
        <f>IF(kokpit!B619&lt;&gt;"",kokpit!B619,"")</f>
        <v/>
      </c>
      <c r="C619" s="24" t="str">
        <f>IF(A619&lt;&gt;"",SUMIFS('JPK_KR-1'!AL:AL,'JPK_KR-1'!W:W,B619),"")</f>
        <v/>
      </c>
      <c r="D619" s="126" t="str">
        <f>IF(A619&lt;&gt;"",SUMIFS('JPK_KR-1'!AM:AM,'JPK_KR-1'!W:W,B619),"")</f>
        <v/>
      </c>
      <c r="E619" s="5" t="str">
        <f>IF(kokpit!E619&lt;&gt;"",kokpit!E619,"")</f>
        <v/>
      </c>
      <c r="F619" s="127" t="str">
        <f>IF(kokpit!F619&lt;&gt;"",kokpit!F619,"")</f>
        <v/>
      </c>
      <c r="G619" s="24" t="str">
        <f>IF(E619&lt;&gt;"",SUMIFS('JPK_KR-1'!AL:AL,'JPK_KR-1'!W:W,F619),"")</f>
        <v/>
      </c>
      <c r="H619" s="126" t="str">
        <f>IF(E619&lt;&gt;"",SUMIFS('JPK_KR-1'!AM:AM,'JPK_KR-1'!W:W,F619),"")</f>
        <v/>
      </c>
      <c r="I619" s="5" t="str">
        <f>IF(kokpit!I619&lt;&gt;"",kokpit!I619,"")</f>
        <v/>
      </c>
      <c r="J619" s="5" t="str">
        <f>IF(kokpit!J619&lt;&gt;"",kokpit!J619,"")</f>
        <v/>
      </c>
      <c r="K619" s="24" t="str">
        <f>IF(I619&lt;&gt;"",SUMIFS('JPK_KR-1'!AL:AL,'JPK_KR-1'!W:W,J619),"")</f>
        <v/>
      </c>
      <c r="L619" s="141" t="str">
        <f>IF(I619&lt;&gt;"",SUMIFS('JPK_KR-1'!AM:AM,'JPK_KR-1'!W:W,J619),"")</f>
        <v/>
      </c>
      <c r="M619" s="143" t="str">
        <f>IF(kokpit!M619&lt;&gt;"",kokpit!M619,"")</f>
        <v/>
      </c>
      <c r="N619" s="117" t="str">
        <f>IF(kokpit!N619&lt;&gt;"",kokpit!N619,"")</f>
        <v/>
      </c>
      <c r="O619" s="117" t="str">
        <f>IF(kokpit!O619&lt;&gt;"",kokpit!O619,"")</f>
        <v/>
      </c>
      <c r="P619" s="141" t="str">
        <f>IF(M619&lt;&gt;"",IF(O619="",SUMIFS('JPK_KR-1'!AL:AL,'JPK_KR-1'!W:W,N619),SUMIFS('JPK_KR-1'!BF:BF,'JPK_KR-1'!BE:BE,N619,'JPK_KR-1'!BG:BG,O619)),"")</f>
        <v/>
      </c>
      <c r="Q619" s="144" t="str">
        <f>IF(M619&lt;&gt;"",IF(O619="",SUMIFS('JPK_KR-1'!AM:AM,'JPK_KR-1'!W:W,N619),SUMIFS('JPK_KR-1'!BI:BI,'JPK_KR-1'!BH:BH,N619,'JPK_KR-1'!BJ:BJ,O619)),"")</f>
        <v/>
      </c>
      <c r="R619" s="117" t="str">
        <f>IF(kokpit!R619&lt;&gt;"",kokpit!R619,"")</f>
        <v/>
      </c>
      <c r="S619" s="117" t="str">
        <f>IF(kokpit!S619&lt;&gt;"",kokpit!S619,"")</f>
        <v/>
      </c>
      <c r="T619" s="117" t="str">
        <f>IF(kokpit!T619&lt;&gt;"",kokpit!T619,"")</f>
        <v/>
      </c>
      <c r="U619" s="141" t="str">
        <f>IF(R619&lt;&gt;"",SUMIFS('JPK_KR-1'!AL:AL,'JPK_KR-1'!W:W,S619),"")</f>
        <v/>
      </c>
      <c r="V619" s="144" t="str">
        <f>IF(R619&lt;&gt;"",SUMIFS('JPK_KR-1'!AM:AM,'JPK_KR-1'!W:W,S619),"")</f>
        <v/>
      </c>
    </row>
    <row r="620" spans="1:22" x14ac:dyDescent="0.3">
      <c r="A620" s="5" t="str">
        <f>IF(kokpit!A620&lt;&gt;"",kokpit!A620,"")</f>
        <v/>
      </c>
      <c r="B620" s="5" t="str">
        <f>IF(kokpit!B620&lt;&gt;"",kokpit!B620,"")</f>
        <v/>
      </c>
      <c r="C620" s="24" t="str">
        <f>IF(A620&lt;&gt;"",SUMIFS('JPK_KR-1'!AL:AL,'JPK_KR-1'!W:W,B620),"")</f>
        <v/>
      </c>
      <c r="D620" s="126" t="str">
        <f>IF(A620&lt;&gt;"",SUMIFS('JPK_KR-1'!AM:AM,'JPK_KR-1'!W:W,B620),"")</f>
        <v/>
      </c>
      <c r="E620" s="5" t="str">
        <f>IF(kokpit!E620&lt;&gt;"",kokpit!E620,"")</f>
        <v/>
      </c>
      <c r="F620" s="127" t="str">
        <f>IF(kokpit!F620&lt;&gt;"",kokpit!F620,"")</f>
        <v/>
      </c>
      <c r="G620" s="24" t="str">
        <f>IF(E620&lt;&gt;"",SUMIFS('JPK_KR-1'!AL:AL,'JPK_KR-1'!W:W,F620),"")</f>
        <v/>
      </c>
      <c r="H620" s="126" t="str">
        <f>IF(E620&lt;&gt;"",SUMIFS('JPK_KR-1'!AM:AM,'JPK_KR-1'!W:W,F620),"")</f>
        <v/>
      </c>
      <c r="I620" s="5" t="str">
        <f>IF(kokpit!I620&lt;&gt;"",kokpit!I620,"")</f>
        <v/>
      </c>
      <c r="J620" s="5" t="str">
        <f>IF(kokpit!J620&lt;&gt;"",kokpit!J620,"")</f>
        <v/>
      </c>
      <c r="K620" s="24" t="str">
        <f>IF(I620&lt;&gt;"",SUMIFS('JPK_KR-1'!AL:AL,'JPK_KR-1'!W:W,J620),"")</f>
        <v/>
      </c>
      <c r="L620" s="141" t="str">
        <f>IF(I620&lt;&gt;"",SUMIFS('JPK_KR-1'!AM:AM,'JPK_KR-1'!W:W,J620),"")</f>
        <v/>
      </c>
      <c r="M620" s="143" t="str">
        <f>IF(kokpit!M620&lt;&gt;"",kokpit!M620,"")</f>
        <v/>
      </c>
      <c r="N620" s="117" t="str">
        <f>IF(kokpit!N620&lt;&gt;"",kokpit!N620,"")</f>
        <v/>
      </c>
      <c r="O620" s="117" t="str">
        <f>IF(kokpit!O620&lt;&gt;"",kokpit!O620,"")</f>
        <v/>
      </c>
      <c r="P620" s="141" t="str">
        <f>IF(M620&lt;&gt;"",IF(O620="",SUMIFS('JPK_KR-1'!AL:AL,'JPK_KR-1'!W:W,N620),SUMIFS('JPK_KR-1'!BF:BF,'JPK_KR-1'!BE:BE,N620,'JPK_KR-1'!BG:BG,O620)),"")</f>
        <v/>
      </c>
      <c r="Q620" s="144" t="str">
        <f>IF(M620&lt;&gt;"",IF(O620="",SUMIFS('JPK_KR-1'!AM:AM,'JPK_KR-1'!W:W,N620),SUMIFS('JPK_KR-1'!BI:BI,'JPK_KR-1'!BH:BH,N620,'JPK_KR-1'!BJ:BJ,O620)),"")</f>
        <v/>
      </c>
      <c r="R620" s="117" t="str">
        <f>IF(kokpit!R620&lt;&gt;"",kokpit!R620,"")</f>
        <v/>
      </c>
      <c r="S620" s="117" t="str">
        <f>IF(kokpit!S620&lt;&gt;"",kokpit!S620,"")</f>
        <v/>
      </c>
      <c r="T620" s="117" t="str">
        <f>IF(kokpit!T620&lt;&gt;"",kokpit!T620,"")</f>
        <v/>
      </c>
      <c r="U620" s="141" t="str">
        <f>IF(R620&lt;&gt;"",SUMIFS('JPK_KR-1'!AL:AL,'JPK_KR-1'!W:W,S620),"")</f>
        <v/>
      </c>
      <c r="V620" s="144" t="str">
        <f>IF(R620&lt;&gt;"",SUMIFS('JPK_KR-1'!AM:AM,'JPK_KR-1'!W:W,S620),"")</f>
        <v/>
      </c>
    </row>
    <row r="621" spans="1:22" x14ac:dyDescent="0.3">
      <c r="A621" s="5" t="str">
        <f>IF(kokpit!A621&lt;&gt;"",kokpit!A621,"")</f>
        <v/>
      </c>
      <c r="B621" s="5" t="str">
        <f>IF(kokpit!B621&lt;&gt;"",kokpit!B621,"")</f>
        <v/>
      </c>
      <c r="C621" s="24" t="str">
        <f>IF(A621&lt;&gt;"",SUMIFS('JPK_KR-1'!AL:AL,'JPK_KR-1'!W:W,B621),"")</f>
        <v/>
      </c>
      <c r="D621" s="126" t="str">
        <f>IF(A621&lt;&gt;"",SUMIFS('JPK_KR-1'!AM:AM,'JPK_KR-1'!W:W,B621),"")</f>
        <v/>
      </c>
      <c r="E621" s="5" t="str">
        <f>IF(kokpit!E621&lt;&gt;"",kokpit!E621,"")</f>
        <v/>
      </c>
      <c r="F621" s="127" t="str">
        <f>IF(kokpit!F621&lt;&gt;"",kokpit!F621,"")</f>
        <v/>
      </c>
      <c r="G621" s="24" t="str">
        <f>IF(E621&lt;&gt;"",SUMIFS('JPK_KR-1'!AL:AL,'JPK_KR-1'!W:W,F621),"")</f>
        <v/>
      </c>
      <c r="H621" s="126" t="str">
        <f>IF(E621&lt;&gt;"",SUMIFS('JPK_KR-1'!AM:AM,'JPK_KR-1'!W:W,F621),"")</f>
        <v/>
      </c>
      <c r="I621" s="5" t="str">
        <f>IF(kokpit!I621&lt;&gt;"",kokpit!I621,"")</f>
        <v/>
      </c>
      <c r="J621" s="5" t="str">
        <f>IF(kokpit!J621&lt;&gt;"",kokpit!J621,"")</f>
        <v/>
      </c>
      <c r="K621" s="24" t="str">
        <f>IF(I621&lt;&gt;"",SUMIFS('JPK_KR-1'!AL:AL,'JPK_KR-1'!W:W,J621),"")</f>
        <v/>
      </c>
      <c r="L621" s="141" t="str">
        <f>IF(I621&lt;&gt;"",SUMIFS('JPK_KR-1'!AM:AM,'JPK_KR-1'!W:W,J621),"")</f>
        <v/>
      </c>
      <c r="M621" s="143" t="str">
        <f>IF(kokpit!M621&lt;&gt;"",kokpit!M621,"")</f>
        <v/>
      </c>
      <c r="N621" s="117" t="str">
        <f>IF(kokpit!N621&lt;&gt;"",kokpit!N621,"")</f>
        <v/>
      </c>
      <c r="O621" s="117" t="str">
        <f>IF(kokpit!O621&lt;&gt;"",kokpit!O621,"")</f>
        <v/>
      </c>
      <c r="P621" s="141" t="str">
        <f>IF(M621&lt;&gt;"",IF(O621="",SUMIFS('JPK_KR-1'!AL:AL,'JPK_KR-1'!W:W,N621),SUMIFS('JPK_KR-1'!BF:BF,'JPK_KR-1'!BE:BE,N621,'JPK_KR-1'!BG:BG,O621)),"")</f>
        <v/>
      </c>
      <c r="Q621" s="144" t="str">
        <f>IF(M621&lt;&gt;"",IF(O621="",SUMIFS('JPK_KR-1'!AM:AM,'JPK_KR-1'!W:W,N621),SUMIFS('JPK_KR-1'!BI:BI,'JPK_KR-1'!BH:BH,N621,'JPK_KR-1'!BJ:BJ,O621)),"")</f>
        <v/>
      </c>
      <c r="R621" s="117" t="str">
        <f>IF(kokpit!R621&lt;&gt;"",kokpit!R621,"")</f>
        <v/>
      </c>
      <c r="S621" s="117" t="str">
        <f>IF(kokpit!S621&lt;&gt;"",kokpit!S621,"")</f>
        <v/>
      </c>
      <c r="T621" s="117" t="str">
        <f>IF(kokpit!T621&lt;&gt;"",kokpit!T621,"")</f>
        <v/>
      </c>
      <c r="U621" s="141" t="str">
        <f>IF(R621&lt;&gt;"",SUMIFS('JPK_KR-1'!AL:AL,'JPK_KR-1'!W:W,S621),"")</f>
        <v/>
      </c>
      <c r="V621" s="144" t="str">
        <f>IF(R621&lt;&gt;"",SUMIFS('JPK_KR-1'!AM:AM,'JPK_KR-1'!W:W,S621),"")</f>
        <v/>
      </c>
    </row>
    <row r="622" spans="1:22" x14ac:dyDescent="0.3">
      <c r="A622" s="5" t="str">
        <f>IF(kokpit!A622&lt;&gt;"",kokpit!A622,"")</f>
        <v/>
      </c>
      <c r="B622" s="5" t="str">
        <f>IF(kokpit!B622&lt;&gt;"",kokpit!B622,"")</f>
        <v/>
      </c>
      <c r="C622" s="24" t="str">
        <f>IF(A622&lt;&gt;"",SUMIFS('JPK_KR-1'!AL:AL,'JPK_KR-1'!W:W,B622),"")</f>
        <v/>
      </c>
      <c r="D622" s="126" t="str">
        <f>IF(A622&lt;&gt;"",SUMIFS('JPK_KR-1'!AM:AM,'JPK_KR-1'!W:W,B622),"")</f>
        <v/>
      </c>
      <c r="E622" s="5" t="str">
        <f>IF(kokpit!E622&lt;&gt;"",kokpit!E622,"")</f>
        <v/>
      </c>
      <c r="F622" s="127" t="str">
        <f>IF(kokpit!F622&lt;&gt;"",kokpit!F622,"")</f>
        <v/>
      </c>
      <c r="G622" s="24" t="str">
        <f>IF(E622&lt;&gt;"",SUMIFS('JPK_KR-1'!AL:AL,'JPK_KR-1'!W:W,F622),"")</f>
        <v/>
      </c>
      <c r="H622" s="126" t="str">
        <f>IF(E622&lt;&gt;"",SUMIFS('JPK_KR-1'!AM:AM,'JPK_KR-1'!W:W,F622),"")</f>
        <v/>
      </c>
      <c r="I622" s="5" t="str">
        <f>IF(kokpit!I622&lt;&gt;"",kokpit!I622,"")</f>
        <v/>
      </c>
      <c r="J622" s="5" t="str">
        <f>IF(kokpit!J622&lt;&gt;"",kokpit!J622,"")</f>
        <v/>
      </c>
      <c r="K622" s="24" t="str">
        <f>IF(I622&lt;&gt;"",SUMIFS('JPK_KR-1'!AL:AL,'JPK_KR-1'!W:W,J622),"")</f>
        <v/>
      </c>
      <c r="L622" s="141" t="str">
        <f>IF(I622&lt;&gt;"",SUMIFS('JPK_KR-1'!AM:AM,'JPK_KR-1'!W:W,J622),"")</f>
        <v/>
      </c>
      <c r="M622" s="143" t="str">
        <f>IF(kokpit!M622&lt;&gt;"",kokpit!M622,"")</f>
        <v/>
      </c>
      <c r="N622" s="117" t="str">
        <f>IF(kokpit!N622&lt;&gt;"",kokpit!N622,"")</f>
        <v/>
      </c>
      <c r="O622" s="117" t="str">
        <f>IF(kokpit!O622&lt;&gt;"",kokpit!O622,"")</f>
        <v/>
      </c>
      <c r="P622" s="141" t="str">
        <f>IF(M622&lt;&gt;"",IF(O622="",SUMIFS('JPK_KR-1'!AL:AL,'JPK_KR-1'!W:W,N622),SUMIFS('JPK_KR-1'!BF:BF,'JPK_KR-1'!BE:BE,N622,'JPK_KR-1'!BG:BG,O622)),"")</f>
        <v/>
      </c>
      <c r="Q622" s="144" t="str">
        <f>IF(M622&lt;&gt;"",IF(O622="",SUMIFS('JPK_KR-1'!AM:AM,'JPK_KR-1'!W:W,N622),SUMIFS('JPK_KR-1'!BI:BI,'JPK_KR-1'!BH:BH,N622,'JPK_KR-1'!BJ:BJ,O622)),"")</f>
        <v/>
      </c>
      <c r="R622" s="117" t="str">
        <f>IF(kokpit!R622&lt;&gt;"",kokpit!R622,"")</f>
        <v/>
      </c>
      <c r="S622" s="117" t="str">
        <f>IF(kokpit!S622&lt;&gt;"",kokpit!S622,"")</f>
        <v/>
      </c>
      <c r="T622" s="117" t="str">
        <f>IF(kokpit!T622&lt;&gt;"",kokpit!T622,"")</f>
        <v/>
      </c>
      <c r="U622" s="141" t="str">
        <f>IF(R622&lt;&gt;"",SUMIFS('JPK_KR-1'!AL:AL,'JPK_KR-1'!W:W,S622),"")</f>
        <v/>
      </c>
      <c r="V622" s="144" t="str">
        <f>IF(R622&lt;&gt;"",SUMIFS('JPK_KR-1'!AM:AM,'JPK_KR-1'!W:W,S622),"")</f>
        <v/>
      </c>
    </row>
    <row r="623" spans="1:22" x14ac:dyDescent="0.3">
      <c r="A623" s="5" t="str">
        <f>IF(kokpit!A623&lt;&gt;"",kokpit!A623,"")</f>
        <v/>
      </c>
      <c r="B623" s="5" t="str">
        <f>IF(kokpit!B623&lt;&gt;"",kokpit!B623,"")</f>
        <v/>
      </c>
      <c r="C623" s="24" t="str">
        <f>IF(A623&lt;&gt;"",SUMIFS('JPK_KR-1'!AL:AL,'JPK_KR-1'!W:W,B623),"")</f>
        <v/>
      </c>
      <c r="D623" s="126" t="str">
        <f>IF(A623&lt;&gt;"",SUMIFS('JPK_KR-1'!AM:AM,'JPK_KR-1'!W:W,B623),"")</f>
        <v/>
      </c>
      <c r="E623" s="5" t="str">
        <f>IF(kokpit!E623&lt;&gt;"",kokpit!E623,"")</f>
        <v/>
      </c>
      <c r="F623" s="127" t="str">
        <f>IF(kokpit!F623&lt;&gt;"",kokpit!F623,"")</f>
        <v/>
      </c>
      <c r="G623" s="24" t="str">
        <f>IF(E623&lt;&gt;"",SUMIFS('JPK_KR-1'!AL:AL,'JPK_KR-1'!W:W,F623),"")</f>
        <v/>
      </c>
      <c r="H623" s="126" t="str">
        <f>IF(E623&lt;&gt;"",SUMIFS('JPK_KR-1'!AM:AM,'JPK_KR-1'!W:W,F623),"")</f>
        <v/>
      </c>
      <c r="I623" s="5" t="str">
        <f>IF(kokpit!I623&lt;&gt;"",kokpit!I623,"")</f>
        <v/>
      </c>
      <c r="J623" s="5" t="str">
        <f>IF(kokpit!J623&lt;&gt;"",kokpit!J623,"")</f>
        <v/>
      </c>
      <c r="K623" s="24" t="str">
        <f>IF(I623&lt;&gt;"",SUMIFS('JPK_KR-1'!AL:AL,'JPK_KR-1'!W:W,J623),"")</f>
        <v/>
      </c>
      <c r="L623" s="141" t="str">
        <f>IF(I623&lt;&gt;"",SUMIFS('JPK_KR-1'!AM:AM,'JPK_KR-1'!W:W,J623),"")</f>
        <v/>
      </c>
      <c r="M623" s="143" t="str">
        <f>IF(kokpit!M623&lt;&gt;"",kokpit!M623,"")</f>
        <v/>
      </c>
      <c r="N623" s="117" t="str">
        <f>IF(kokpit!N623&lt;&gt;"",kokpit!N623,"")</f>
        <v/>
      </c>
      <c r="O623" s="117" t="str">
        <f>IF(kokpit!O623&lt;&gt;"",kokpit!O623,"")</f>
        <v/>
      </c>
      <c r="P623" s="141" t="str">
        <f>IF(M623&lt;&gt;"",IF(O623="",SUMIFS('JPK_KR-1'!AL:AL,'JPK_KR-1'!W:W,N623),SUMIFS('JPK_KR-1'!BF:BF,'JPK_KR-1'!BE:BE,N623,'JPK_KR-1'!BG:BG,O623)),"")</f>
        <v/>
      </c>
      <c r="Q623" s="144" t="str">
        <f>IF(M623&lt;&gt;"",IF(O623="",SUMIFS('JPK_KR-1'!AM:AM,'JPK_KR-1'!W:W,N623),SUMIFS('JPK_KR-1'!BI:BI,'JPK_KR-1'!BH:BH,N623,'JPK_KR-1'!BJ:BJ,O623)),"")</f>
        <v/>
      </c>
      <c r="R623" s="117" t="str">
        <f>IF(kokpit!R623&lt;&gt;"",kokpit!R623,"")</f>
        <v/>
      </c>
      <c r="S623" s="117" t="str">
        <f>IF(kokpit!S623&lt;&gt;"",kokpit!S623,"")</f>
        <v/>
      </c>
      <c r="T623" s="117" t="str">
        <f>IF(kokpit!T623&lt;&gt;"",kokpit!T623,"")</f>
        <v/>
      </c>
      <c r="U623" s="141" t="str">
        <f>IF(R623&lt;&gt;"",SUMIFS('JPK_KR-1'!AL:AL,'JPK_KR-1'!W:W,S623),"")</f>
        <v/>
      </c>
      <c r="V623" s="144" t="str">
        <f>IF(R623&lt;&gt;"",SUMIFS('JPK_KR-1'!AM:AM,'JPK_KR-1'!W:W,S623),"")</f>
        <v/>
      </c>
    </row>
    <row r="624" spans="1:22" x14ac:dyDescent="0.3">
      <c r="A624" s="5" t="str">
        <f>IF(kokpit!A624&lt;&gt;"",kokpit!A624,"")</f>
        <v/>
      </c>
      <c r="B624" s="5" t="str">
        <f>IF(kokpit!B624&lt;&gt;"",kokpit!B624,"")</f>
        <v/>
      </c>
      <c r="C624" s="24" t="str">
        <f>IF(A624&lt;&gt;"",SUMIFS('JPK_KR-1'!AL:AL,'JPK_KR-1'!W:W,B624),"")</f>
        <v/>
      </c>
      <c r="D624" s="126" t="str">
        <f>IF(A624&lt;&gt;"",SUMIFS('JPK_KR-1'!AM:AM,'JPK_KR-1'!W:W,B624),"")</f>
        <v/>
      </c>
      <c r="E624" s="5" t="str">
        <f>IF(kokpit!E624&lt;&gt;"",kokpit!E624,"")</f>
        <v/>
      </c>
      <c r="F624" s="127" t="str">
        <f>IF(kokpit!F624&lt;&gt;"",kokpit!F624,"")</f>
        <v/>
      </c>
      <c r="G624" s="24" t="str">
        <f>IF(E624&lt;&gt;"",SUMIFS('JPK_KR-1'!AL:AL,'JPK_KR-1'!W:W,F624),"")</f>
        <v/>
      </c>
      <c r="H624" s="126" t="str">
        <f>IF(E624&lt;&gt;"",SUMIFS('JPK_KR-1'!AM:AM,'JPK_KR-1'!W:W,F624),"")</f>
        <v/>
      </c>
      <c r="I624" s="5" t="str">
        <f>IF(kokpit!I624&lt;&gt;"",kokpit!I624,"")</f>
        <v/>
      </c>
      <c r="J624" s="5" t="str">
        <f>IF(kokpit!J624&lt;&gt;"",kokpit!J624,"")</f>
        <v/>
      </c>
      <c r="K624" s="24" t="str">
        <f>IF(I624&lt;&gt;"",SUMIFS('JPK_KR-1'!AL:AL,'JPK_KR-1'!W:W,J624),"")</f>
        <v/>
      </c>
      <c r="L624" s="141" t="str">
        <f>IF(I624&lt;&gt;"",SUMIFS('JPK_KR-1'!AM:AM,'JPK_KR-1'!W:W,J624),"")</f>
        <v/>
      </c>
      <c r="M624" s="143" t="str">
        <f>IF(kokpit!M624&lt;&gt;"",kokpit!M624,"")</f>
        <v/>
      </c>
      <c r="N624" s="117" t="str">
        <f>IF(kokpit!N624&lt;&gt;"",kokpit!N624,"")</f>
        <v/>
      </c>
      <c r="O624" s="117" t="str">
        <f>IF(kokpit!O624&lt;&gt;"",kokpit!O624,"")</f>
        <v/>
      </c>
      <c r="P624" s="141" t="str">
        <f>IF(M624&lt;&gt;"",IF(O624="",SUMIFS('JPK_KR-1'!AL:AL,'JPK_KR-1'!W:W,N624),SUMIFS('JPK_KR-1'!BF:BF,'JPK_KR-1'!BE:BE,N624,'JPK_KR-1'!BG:BG,O624)),"")</f>
        <v/>
      </c>
      <c r="Q624" s="144" t="str">
        <f>IF(M624&lt;&gt;"",IF(O624="",SUMIFS('JPK_KR-1'!AM:AM,'JPK_KR-1'!W:W,N624),SUMIFS('JPK_KR-1'!BI:BI,'JPK_KR-1'!BH:BH,N624,'JPK_KR-1'!BJ:BJ,O624)),"")</f>
        <v/>
      </c>
      <c r="R624" s="117" t="str">
        <f>IF(kokpit!R624&lt;&gt;"",kokpit!R624,"")</f>
        <v/>
      </c>
      <c r="S624" s="117" t="str">
        <f>IF(kokpit!S624&lt;&gt;"",kokpit!S624,"")</f>
        <v/>
      </c>
      <c r="T624" s="117" t="str">
        <f>IF(kokpit!T624&lt;&gt;"",kokpit!T624,"")</f>
        <v/>
      </c>
      <c r="U624" s="141" t="str">
        <f>IF(R624&lt;&gt;"",SUMIFS('JPK_KR-1'!AL:AL,'JPK_KR-1'!W:W,S624),"")</f>
        <v/>
      </c>
      <c r="V624" s="144" t="str">
        <f>IF(R624&lt;&gt;"",SUMIFS('JPK_KR-1'!AM:AM,'JPK_KR-1'!W:W,S624),"")</f>
        <v/>
      </c>
    </row>
    <row r="625" spans="1:22" x14ac:dyDescent="0.3">
      <c r="A625" s="5" t="str">
        <f>IF(kokpit!A625&lt;&gt;"",kokpit!A625,"")</f>
        <v/>
      </c>
      <c r="B625" s="5" t="str">
        <f>IF(kokpit!B625&lt;&gt;"",kokpit!B625,"")</f>
        <v/>
      </c>
      <c r="C625" s="24" t="str">
        <f>IF(A625&lt;&gt;"",SUMIFS('JPK_KR-1'!AL:AL,'JPK_KR-1'!W:W,B625),"")</f>
        <v/>
      </c>
      <c r="D625" s="126" t="str">
        <f>IF(A625&lt;&gt;"",SUMIFS('JPK_KR-1'!AM:AM,'JPK_KR-1'!W:W,B625),"")</f>
        <v/>
      </c>
      <c r="E625" s="5" t="str">
        <f>IF(kokpit!E625&lt;&gt;"",kokpit!E625,"")</f>
        <v/>
      </c>
      <c r="F625" s="127" t="str">
        <f>IF(kokpit!F625&lt;&gt;"",kokpit!F625,"")</f>
        <v/>
      </c>
      <c r="G625" s="24" t="str">
        <f>IF(E625&lt;&gt;"",SUMIFS('JPK_KR-1'!AL:AL,'JPK_KR-1'!W:W,F625),"")</f>
        <v/>
      </c>
      <c r="H625" s="126" t="str">
        <f>IF(E625&lt;&gt;"",SUMIFS('JPK_KR-1'!AM:AM,'JPK_KR-1'!W:W,F625),"")</f>
        <v/>
      </c>
      <c r="I625" s="5" t="str">
        <f>IF(kokpit!I625&lt;&gt;"",kokpit!I625,"")</f>
        <v/>
      </c>
      <c r="J625" s="5" t="str">
        <f>IF(kokpit!J625&lt;&gt;"",kokpit!J625,"")</f>
        <v/>
      </c>
      <c r="K625" s="24" t="str">
        <f>IF(I625&lt;&gt;"",SUMIFS('JPK_KR-1'!AL:AL,'JPK_KR-1'!W:W,J625),"")</f>
        <v/>
      </c>
      <c r="L625" s="141" t="str">
        <f>IF(I625&lt;&gt;"",SUMIFS('JPK_KR-1'!AM:AM,'JPK_KR-1'!W:W,J625),"")</f>
        <v/>
      </c>
      <c r="M625" s="143" t="str">
        <f>IF(kokpit!M625&lt;&gt;"",kokpit!M625,"")</f>
        <v/>
      </c>
      <c r="N625" s="117" t="str">
        <f>IF(kokpit!N625&lt;&gt;"",kokpit!N625,"")</f>
        <v/>
      </c>
      <c r="O625" s="117" t="str">
        <f>IF(kokpit!O625&lt;&gt;"",kokpit!O625,"")</f>
        <v/>
      </c>
      <c r="P625" s="141" t="str">
        <f>IF(M625&lt;&gt;"",IF(O625="",SUMIFS('JPK_KR-1'!AL:AL,'JPK_KR-1'!W:W,N625),SUMIFS('JPK_KR-1'!BF:BF,'JPK_KR-1'!BE:BE,N625,'JPK_KR-1'!BG:BG,O625)),"")</f>
        <v/>
      </c>
      <c r="Q625" s="144" t="str">
        <f>IF(M625&lt;&gt;"",IF(O625="",SUMIFS('JPK_KR-1'!AM:AM,'JPK_KR-1'!W:W,N625),SUMIFS('JPK_KR-1'!BI:BI,'JPK_KR-1'!BH:BH,N625,'JPK_KR-1'!BJ:BJ,O625)),"")</f>
        <v/>
      </c>
      <c r="R625" s="117" t="str">
        <f>IF(kokpit!R625&lt;&gt;"",kokpit!R625,"")</f>
        <v/>
      </c>
      <c r="S625" s="117" t="str">
        <f>IF(kokpit!S625&lt;&gt;"",kokpit!S625,"")</f>
        <v/>
      </c>
      <c r="T625" s="117" t="str">
        <f>IF(kokpit!T625&lt;&gt;"",kokpit!T625,"")</f>
        <v/>
      </c>
      <c r="U625" s="141" t="str">
        <f>IF(R625&lt;&gt;"",SUMIFS('JPK_KR-1'!AL:AL,'JPK_KR-1'!W:W,S625),"")</f>
        <v/>
      </c>
      <c r="V625" s="144" t="str">
        <f>IF(R625&lt;&gt;"",SUMIFS('JPK_KR-1'!AM:AM,'JPK_KR-1'!W:W,S625),"")</f>
        <v/>
      </c>
    </row>
    <row r="626" spans="1:22" x14ac:dyDescent="0.3">
      <c r="A626" s="5" t="str">
        <f>IF(kokpit!A626&lt;&gt;"",kokpit!A626,"")</f>
        <v/>
      </c>
      <c r="B626" s="5" t="str">
        <f>IF(kokpit!B626&lt;&gt;"",kokpit!B626,"")</f>
        <v/>
      </c>
      <c r="C626" s="24" t="str">
        <f>IF(A626&lt;&gt;"",SUMIFS('JPK_KR-1'!AL:AL,'JPK_KR-1'!W:W,B626),"")</f>
        <v/>
      </c>
      <c r="D626" s="126" t="str">
        <f>IF(A626&lt;&gt;"",SUMIFS('JPK_KR-1'!AM:AM,'JPK_KR-1'!W:W,B626),"")</f>
        <v/>
      </c>
      <c r="E626" s="5" t="str">
        <f>IF(kokpit!E626&lt;&gt;"",kokpit!E626,"")</f>
        <v/>
      </c>
      <c r="F626" s="127" t="str">
        <f>IF(kokpit!F626&lt;&gt;"",kokpit!F626,"")</f>
        <v/>
      </c>
      <c r="G626" s="24" t="str">
        <f>IF(E626&lt;&gt;"",SUMIFS('JPK_KR-1'!AL:AL,'JPK_KR-1'!W:W,F626),"")</f>
        <v/>
      </c>
      <c r="H626" s="126" t="str">
        <f>IF(E626&lt;&gt;"",SUMIFS('JPK_KR-1'!AM:AM,'JPK_KR-1'!W:W,F626),"")</f>
        <v/>
      </c>
      <c r="I626" s="5" t="str">
        <f>IF(kokpit!I626&lt;&gt;"",kokpit!I626,"")</f>
        <v/>
      </c>
      <c r="J626" s="5" t="str">
        <f>IF(kokpit!J626&lt;&gt;"",kokpit!J626,"")</f>
        <v/>
      </c>
      <c r="K626" s="24" t="str">
        <f>IF(I626&lt;&gt;"",SUMIFS('JPK_KR-1'!AL:AL,'JPK_KR-1'!W:W,J626),"")</f>
        <v/>
      </c>
      <c r="L626" s="141" t="str">
        <f>IF(I626&lt;&gt;"",SUMIFS('JPK_KR-1'!AM:AM,'JPK_KR-1'!W:W,J626),"")</f>
        <v/>
      </c>
      <c r="M626" s="143" t="str">
        <f>IF(kokpit!M626&lt;&gt;"",kokpit!M626,"")</f>
        <v/>
      </c>
      <c r="N626" s="117" t="str">
        <f>IF(kokpit!N626&lt;&gt;"",kokpit!N626,"")</f>
        <v/>
      </c>
      <c r="O626" s="117" t="str">
        <f>IF(kokpit!O626&lt;&gt;"",kokpit!O626,"")</f>
        <v/>
      </c>
      <c r="P626" s="141" t="str">
        <f>IF(M626&lt;&gt;"",IF(O626="",SUMIFS('JPK_KR-1'!AL:AL,'JPK_KR-1'!W:W,N626),SUMIFS('JPK_KR-1'!BF:BF,'JPK_KR-1'!BE:BE,N626,'JPK_KR-1'!BG:BG,O626)),"")</f>
        <v/>
      </c>
      <c r="Q626" s="144" t="str">
        <f>IF(M626&lt;&gt;"",IF(O626="",SUMIFS('JPK_KR-1'!AM:AM,'JPK_KR-1'!W:W,N626),SUMIFS('JPK_KR-1'!BI:BI,'JPK_KR-1'!BH:BH,N626,'JPK_KR-1'!BJ:BJ,O626)),"")</f>
        <v/>
      </c>
      <c r="R626" s="117" t="str">
        <f>IF(kokpit!R626&lt;&gt;"",kokpit!R626,"")</f>
        <v/>
      </c>
      <c r="S626" s="117" t="str">
        <f>IF(kokpit!S626&lt;&gt;"",kokpit!S626,"")</f>
        <v/>
      </c>
      <c r="T626" s="117" t="str">
        <f>IF(kokpit!T626&lt;&gt;"",kokpit!T626,"")</f>
        <v/>
      </c>
      <c r="U626" s="141" t="str">
        <f>IF(R626&lt;&gt;"",SUMIFS('JPK_KR-1'!AL:AL,'JPK_KR-1'!W:W,S626),"")</f>
        <v/>
      </c>
      <c r="V626" s="144" t="str">
        <f>IF(R626&lt;&gt;"",SUMIFS('JPK_KR-1'!AM:AM,'JPK_KR-1'!W:W,S626),"")</f>
        <v/>
      </c>
    </row>
    <row r="627" spans="1:22" x14ac:dyDescent="0.3">
      <c r="A627" s="5" t="str">
        <f>IF(kokpit!A627&lt;&gt;"",kokpit!A627,"")</f>
        <v/>
      </c>
      <c r="B627" s="5" t="str">
        <f>IF(kokpit!B627&lt;&gt;"",kokpit!B627,"")</f>
        <v/>
      </c>
      <c r="C627" s="24" t="str">
        <f>IF(A627&lt;&gt;"",SUMIFS('JPK_KR-1'!AL:AL,'JPK_KR-1'!W:W,B627),"")</f>
        <v/>
      </c>
      <c r="D627" s="126" t="str">
        <f>IF(A627&lt;&gt;"",SUMIFS('JPK_KR-1'!AM:AM,'JPK_KR-1'!W:W,B627),"")</f>
        <v/>
      </c>
      <c r="E627" s="5" t="str">
        <f>IF(kokpit!E627&lt;&gt;"",kokpit!E627,"")</f>
        <v/>
      </c>
      <c r="F627" s="127" t="str">
        <f>IF(kokpit!F627&lt;&gt;"",kokpit!F627,"")</f>
        <v/>
      </c>
      <c r="G627" s="24" t="str">
        <f>IF(E627&lt;&gt;"",SUMIFS('JPK_KR-1'!AL:AL,'JPK_KR-1'!W:W,F627),"")</f>
        <v/>
      </c>
      <c r="H627" s="126" t="str">
        <f>IF(E627&lt;&gt;"",SUMIFS('JPK_KR-1'!AM:AM,'JPK_KR-1'!W:W,F627),"")</f>
        <v/>
      </c>
      <c r="I627" s="5" t="str">
        <f>IF(kokpit!I627&lt;&gt;"",kokpit!I627,"")</f>
        <v/>
      </c>
      <c r="J627" s="5" t="str">
        <f>IF(kokpit!J627&lt;&gt;"",kokpit!J627,"")</f>
        <v/>
      </c>
      <c r="K627" s="24" t="str">
        <f>IF(I627&lt;&gt;"",SUMIFS('JPK_KR-1'!AL:AL,'JPK_KR-1'!W:W,J627),"")</f>
        <v/>
      </c>
      <c r="L627" s="141" t="str">
        <f>IF(I627&lt;&gt;"",SUMIFS('JPK_KR-1'!AM:AM,'JPK_KR-1'!W:W,J627),"")</f>
        <v/>
      </c>
      <c r="M627" s="143" t="str">
        <f>IF(kokpit!M627&lt;&gt;"",kokpit!M627,"")</f>
        <v/>
      </c>
      <c r="N627" s="117" t="str">
        <f>IF(kokpit!N627&lt;&gt;"",kokpit!N627,"")</f>
        <v/>
      </c>
      <c r="O627" s="117" t="str">
        <f>IF(kokpit!O627&lt;&gt;"",kokpit!O627,"")</f>
        <v/>
      </c>
      <c r="P627" s="141" t="str">
        <f>IF(M627&lt;&gt;"",IF(O627="",SUMIFS('JPK_KR-1'!AL:AL,'JPK_KR-1'!W:W,N627),SUMIFS('JPK_KR-1'!BF:BF,'JPK_KR-1'!BE:BE,N627,'JPK_KR-1'!BG:BG,O627)),"")</f>
        <v/>
      </c>
      <c r="Q627" s="144" t="str">
        <f>IF(M627&lt;&gt;"",IF(O627="",SUMIFS('JPK_KR-1'!AM:AM,'JPK_KR-1'!W:W,N627),SUMIFS('JPK_KR-1'!BI:BI,'JPK_KR-1'!BH:BH,N627,'JPK_KR-1'!BJ:BJ,O627)),"")</f>
        <v/>
      </c>
      <c r="R627" s="117" t="str">
        <f>IF(kokpit!R627&lt;&gt;"",kokpit!R627,"")</f>
        <v/>
      </c>
      <c r="S627" s="117" t="str">
        <f>IF(kokpit!S627&lt;&gt;"",kokpit!S627,"")</f>
        <v/>
      </c>
      <c r="T627" s="117" t="str">
        <f>IF(kokpit!T627&lt;&gt;"",kokpit!T627,"")</f>
        <v/>
      </c>
      <c r="U627" s="141" t="str">
        <f>IF(R627&lt;&gt;"",SUMIFS('JPK_KR-1'!AL:AL,'JPK_KR-1'!W:W,S627),"")</f>
        <v/>
      </c>
      <c r="V627" s="144" t="str">
        <f>IF(R627&lt;&gt;"",SUMIFS('JPK_KR-1'!AM:AM,'JPK_KR-1'!W:W,S627),"")</f>
        <v/>
      </c>
    </row>
    <row r="628" spans="1:22" x14ac:dyDescent="0.3">
      <c r="A628" s="5" t="str">
        <f>IF(kokpit!A628&lt;&gt;"",kokpit!A628,"")</f>
        <v/>
      </c>
      <c r="B628" s="5" t="str">
        <f>IF(kokpit!B628&lt;&gt;"",kokpit!B628,"")</f>
        <v/>
      </c>
      <c r="C628" s="24" t="str">
        <f>IF(A628&lt;&gt;"",SUMIFS('JPK_KR-1'!AL:AL,'JPK_KR-1'!W:W,B628),"")</f>
        <v/>
      </c>
      <c r="D628" s="126" t="str">
        <f>IF(A628&lt;&gt;"",SUMIFS('JPK_KR-1'!AM:AM,'JPK_KR-1'!W:W,B628),"")</f>
        <v/>
      </c>
      <c r="E628" s="5" t="str">
        <f>IF(kokpit!E628&lt;&gt;"",kokpit!E628,"")</f>
        <v/>
      </c>
      <c r="F628" s="127" t="str">
        <f>IF(kokpit!F628&lt;&gt;"",kokpit!F628,"")</f>
        <v/>
      </c>
      <c r="G628" s="24" t="str">
        <f>IF(E628&lt;&gt;"",SUMIFS('JPK_KR-1'!AL:AL,'JPK_KR-1'!W:W,F628),"")</f>
        <v/>
      </c>
      <c r="H628" s="126" t="str">
        <f>IF(E628&lt;&gt;"",SUMIFS('JPK_KR-1'!AM:AM,'JPK_KR-1'!W:W,F628),"")</f>
        <v/>
      </c>
      <c r="I628" s="5" t="str">
        <f>IF(kokpit!I628&lt;&gt;"",kokpit!I628,"")</f>
        <v/>
      </c>
      <c r="J628" s="5" t="str">
        <f>IF(kokpit!J628&lt;&gt;"",kokpit!J628,"")</f>
        <v/>
      </c>
      <c r="K628" s="24" t="str">
        <f>IF(I628&lt;&gt;"",SUMIFS('JPK_KR-1'!AL:AL,'JPK_KR-1'!W:W,J628),"")</f>
        <v/>
      </c>
      <c r="L628" s="141" t="str">
        <f>IF(I628&lt;&gt;"",SUMIFS('JPK_KR-1'!AM:AM,'JPK_KR-1'!W:W,J628),"")</f>
        <v/>
      </c>
      <c r="M628" s="143" t="str">
        <f>IF(kokpit!M628&lt;&gt;"",kokpit!M628,"")</f>
        <v/>
      </c>
      <c r="N628" s="117" t="str">
        <f>IF(kokpit!N628&lt;&gt;"",kokpit!N628,"")</f>
        <v/>
      </c>
      <c r="O628" s="117" t="str">
        <f>IF(kokpit!O628&lt;&gt;"",kokpit!O628,"")</f>
        <v/>
      </c>
      <c r="P628" s="141" t="str">
        <f>IF(M628&lt;&gt;"",IF(O628="",SUMIFS('JPK_KR-1'!AL:AL,'JPK_KR-1'!W:W,N628),SUMIFS('JPK_KR-1'!BF:BF,'JPK_KR-1'!BE:BE,N628,'JPK_KR-1'!BG:BG,O628)),"")</f>
        <v/>
      </c>
      <c r="Q628" s="144" t="str">
        <f>IF(M628&lt;&gt;"",IF(O628="",SUMIFS('JPK_KR-1'!AM:AM,'JPK_KR-1'!W:W,N628),SUMIFS('JPK_KR-1'!BI:BI,'JPK_KR-1'!BH:BH,N628,'JPK_KR-1'!BJ:BJ,O628)),"")</f>
        <v/>
      </c>
      <c r="R628" s="117" t="str">
        <f>IF(kokpit!R628&lt;&gt;"",kokpit!R628,"")</f>
        <v/>
      </c>
      <c r="S628" s="117" t="str">
        <f>IF(kokpit!S628&lt;&gt;"",kokpit!S628,"")</f>
        <v/>
      </c>
      <c r="T628" s="117" t="str">
        <f>IF(kokpit!T628&lt;&gt;"",kokpit!T628,"")</f>
        <v/>
      </c>
      <c r="U628" s="141" t="str">
        <f>IF(R628&lt;&gt;"",SUMIFS('JPK_KR-1'!AL:AL,'JPK_KR-1'!W:W,S628),"")</f>
        <v/>
      </c>
      <c r="V628" s="144" t="str">
        <f>IF(R628&lt;&gt;"",SUMIFS('JPK_KR-1'!AM:AM,'JPK_KR-1'!W:W,S628),"")</f>
        <v/>
      </c>
    </row>
    <row r="629" spans="1:22" x14ac:dyDescent="0.3">
      <c r="A629" s="5" t="str">
        <f>IF(kokpit!A629&lt;&gt;"",kokpit!A629,"")</f>
        <v/>
      </c>
      <c r="B629" s="5" t="str">
        <f>IF(kokpit!B629&lt;&gt;"",kokpit!B629,"")</f>
        <v/>
      </c>
      <c r="C629" s="24" t="str">
        <f>IF(A629&lt;&gt;"",SUMIFS('JPK_KR-1'!AL:AL,'JPK_KR-1'!W:W,B629),"")</f>
        <v/>
      </c>
      <c r="D629" s="126" t="str">
        <f>IF(A629&lt;&gt;"",SUMIFS('JPK_KR-1'!AM:AM,'JPK_KR-1'!W:W,B629),"")</f>
        <v/>
      </c>
      <c r="E629" s="5" t="str">
        <f>IF(kokpit!E629&lt;&gt;"",kokpit!E629,"")</f>
        <v/>
      </c>
      <c r="F629" s="127" t="str">
        <f>IF(kokpit!F629&lt;&gt;"",kokpit!F629,"")</f>
        <v/>
      </c>
      <c r="G629" s="24" t="str">
        <f>IF(E629&lt;&gt;"",SUMIFS('JPK_KR-1'!AL:AL,'JPK_KR-1'!W:W,F629),"")</f>
        <v/>
      </c>
      <c r="H629" s="126" t="str">
        <f>IF(E629&lt;&gt;"",SUMIFS('JPK_KR-1'!AM:AM,'JPK_KR-1'!W:W,F629),"")</f>
        <v/>
      </c>
      <c r="I629" s="5" t="str">
        <f>IF(kokpit!I629&lt;&gt;"",kokpit!I629,"")</f>
        <v/>
      </c>
      <c r="J629" s="5" t="str">
        <f>IF(kokpit!J629&lt;&gt;"",kokpit!J629,"")</f>
        <v/>
      </c>
      <c r="K629" s="24" t="str">
        <f>IF(I629&lt;&gt;"",SUMIFS('JPK_KR-1'!AL:AL,'JPK_KR-1'!W:W,J629),"")</f>
        <v/>
      </c>
      <c r="L629" s="141" t="str">
        <f>IF(I629&lt;&gt;"",SUMIFS('JPK_KR-1'!AM:AM,'JPK_KR-1'!W:W,J629),"")</f>
        <v/>
      </c>
      <c r="M629" s="143" t="str">
        <f>IF(kokpit!M629&lt;&gt;"",kokpit!M629,"")</f>
        <v/>
      </c>
      <c r="N629" s="117" t="str">
        <f>IF(kokpit!N629&lt;&gt;"",kokpit!N629,"")</f>
        <v/>
      </c>
      <c r="O629" s="117" t="str">
        <f>IF(kokpit!O629&lt;&gt;"",kokpit!O629,"")</f>
        <v/>
      </c>
      <c r="P629" s="141" t="str">
        <f>IF(M629&lt;&gt;"",IF(O629="",SUMIFS('JPK_KR-1'!AL:AL,'JPK_KR-1'!W:W,N629),SUMIFS('JPK_KR-1'!BF:BF,'JPK_KR-1'!BE:BE,N629,'JPK_KR-1'!BG:BG,O629)),"")</f>
        <v/>
      </c>
      <c r="Q629" s="144" t="str">
        <f>IF(M629&lt;&gt;"",IF(O629="",SUMIFS('JPK_KR-1'!AM:AM,'JPK_KR-1'!W:W,N629),SUMIFS('JPK_KR-1'!BI:BI,'JPK_KR-1'!BH:BH,N629,'JPK_KR-1'!BJ:BJ,O629)),"")</f>
        <v/>
      </c>
      <c r="R629" s="117" t="str">
        <f>IF(kokpit!R629&lt;&gt;"",kokpit!R629,"")</f>
        <v/>
      </c>
      <c r="S629" s="117" t="str">
        <f>IF(kokpit!S629&lt;&gt;"",kokpit!S629,"")</f>
        <v/>
      </c>
      <c r="T629" s="117" t="str">
        <f>IF(kokpit!T629&lt;&gt;"",kokpit!T629,"")</f>
        <v/>
      </c>
      <c r="U629" s="141" t="str">
        <f>IF(R629&lt;&gt;"",SUMIFS('JPK_KR-1'!AL:AL,'JPK_KR-1'!W:W,S629),"")</f>
        <v/>
      </c>
      <c r="V629" s="144" t="str">
        <f>IF(R629&lt;&gt;"",SUMIFS('JPK_KR-1'!AM:AM,'JPK_KR-1'!W:W,S629),"")</f>
        <v/>
      </c>
    </row>
    <row r="630" spans="1:22" x14ac:dyDescent="0.3">
      <c r="A630" s="5" t="str">
        <f>IF(kokpit!A630&lt;&gt;"",kokpit!A630,"")</f>
        <v/>
      </c>
      <c r="B630" s="5" t="str">
        <f>IF(kokpit!B630&lt;&gt;"",kokpit!B630,"")</f>
        <v/>
      </c>
      <c r="C630" s="24" t="str">
        <f>IF(A630&lt;&gt;"",SUMIFS('JPK_KR-1'!AL:AL,'JPK_KR-1'!W:W,B630),"")</f>
        <v/>
      </c>
      <c r="D630" s="126" t="str">
        <f>IF(A630&lt;&gt;"",SUMIFS('JPK_KR-1'!AM:AM,'JPK_KR-1'!W:W,B630),"")</f>
        <v/>
      </c>
      <c r="E630" s="5" t="str">
        <f>IF(kokpit!E630&lt;&gt;"",kokpit!E630,"")</f>
        <v/>
      </c>
      <c r="F630" s="127" t="str">
        <f>IF(kokpit!F630&lt;&gt;"",kokpit!F630,"")</f>
        <v/>
      </c>
      <c r="G630" s="24" t="str">
        <f>IF(E630&lt;&gt;"",SUMIFS('JPK_KR-1'!AL:AL,'JPK_KR-1'!W:W,F630),"")</f>
        <v/>
      </c>
      <c r="H630" s="126" t="str">
        <f>IF(E630&lt;&gt;"",SUMIFS('JPK_KR-1'!AM:AM,'JPK_KR-1'!W:W,F630),"")</f>
        <v/>
      </c>
      <c r="I630" s="5" t="str">
        <f>IF(kokpit!I630&lt;&gt;"",kokpit!I630,"")</f>
        <v/>
      </c>
      <c r="J630" s="5" t="str">
        <f>IF(kokpit!J630&lt;&gt;"",kokpit!J630,"")</f>
        <v/>
      </c>
      <c r="K630" s="24" t="str">
        <f>IF(I630&lt;&gt;"",SUMIFS('JPK_KR-1'!AL:AL,'JPK_KR-1'!W:W,J630),"")</f>
        <v/>
      </c>
      <c r="L630" s="141" t="str">
        <f>IF(I630&lt;&gt;"",SUMIFS('JPK_KR-1'!AM:AM,'JPK_KR-1'!W:W,J630),"")</f>
        <v/>
      </c>
      <c r="M630" s="143" t="str">
        <f>IF(kokpit!M630&lt;&gt;"",kokpit!M630,"")</f>
        <v/>
      </c>
      <c r="N630" s="117" t="str">
        <f>IF(kokpit!N630&lt;&gt;"",kokpit!N630,"")</f>
        <v/>
      </c>
      <c r="O630" s="117" t="str">
        <f>IF(kokpit!O630&lt;&gt;"",kokpit!O630,"")</f>
        <v/>
      </c>
      <c r="P630" s="141" t="str">
        <f>IF(M630&lt;&gt;"",IF(O630="",SUMIFS('JPK_KR-1'!AL:AL,'JPK_KR-1'!W:W,N630),SUMIFS('JPK_KR-1'!BF:BF,'JPK_KR-1'!BE:BE,N630,'JPK_KR-1'!BG:BG,O630)),"")</f>
        <v/>
      </c>
      <c r="Q630" s="144" t="str">
        <f>IF(M630&lt;&gt;"",IF(O630="",SUMIFS('JPK_KR-1'!AM:AM,'JPK_KR-1'!W:W,N630),SUMIFS('JPK_KR-1'!BI:BI,'JPK_KR-1'!BH:BH,N630,'JPK_KR-1'!BJ:BJ,O630)),"")</f>
        <v/>
      </c>
      <c r="R630" s="117" t="str">
        <f>IF(kokpit!R630&lt;&gt;"",kokpit!R630,"")</f>
        <v/>
      </c>
      <c r="S630" s="117" t="str">
        <f>IF(kokpit!S630&lt;&gt;"",kokpit!S630,"")</f>
        <v/>
      </c>
      <c r="T630" s="117" t="str">
        <f>IF(kokpit!T630&lt;&gt;"",kokpit!T630,"")</f>
        <v/>
      </c>
      <c r="U630" s="141" t="str">
        <f>IF(R630&lt;&gt;"",SUMIFS('JPK_KR-1'!AL:AL,'JPK_KR-1'!W:W,S630),"")</f>
        <v/>
      </c>
      <c r="V630" s="144" t="str">
        <f>IF(R630&lt;&gt;"",SUMIFS('JPK_KR-1'!AM:AM,'JPK_KR-1'!W:W,S630),"")</f>
        <v/>
      </c>
    </row>
    <row r="631" spans="1:22" x14ac:dyDescent="0.3">
      <c r="A631" s="5" t="str">
        <f>IF(kokpit!A631&lt;&gt;"",kokpit!A631,"")</f>
        <v/>
      </c>
      <c r="B631" s="5" t="str">
        <f>IF(kokpit!B631&lt;&gt;"",kokpit!B631,"")</f>
        <v/>
      </c>
      <c r="C631" s="24" t="str">
        <f>IF(A631&lt;&gt;"",SUMIFS('JPK_KR-1'!AL:AL,'JPK_KR-1'!W:W,B631),"")</f>
        <v/>
      </c>
      <c r="D631" s="126" t="str">
        <f>IF(A631&lt;&gt;"",SUMIFS('JPK_KR-1'!AM:AM,'JPK_KR-1'!W:W,B631),"")</f>
        <v/>
      </c>
      <c r="E631" s="5" t="str">
        <f>IF(kokpit!E631&lt;&gt;"",kokpit!E631,"")</f>
        <v/>
      </c>
      <c r="F631" s="127" t="str">
        <f>IF(kokpit!F631&lt;&gt;"",kokpit!F631,"")</f>
        <v/>
      </c>
      <c r="G631" s="24" t="str">
        <f>IF(E631&lt;&gt;"",SUMIFS('JPK_KR-1'!AL:AL,'JPK_KR-1'!W:W,F631),"")</f>
        <v/>
      </c>
      <c r="H631" s="126" t="str">
        <f>IF(E631&lt;&gt;"",SUMIFS('JPK_KR-1'!AM:AM,'JPK_KR-1'!W:W,F631),"")</f>
        <v/>
      </c>
      <c r="I631" s="5" t="str">
        <f>IF(kokpit!I631&lt;&gt;"",kokpit!I631,"")</f>
        <v/>
      </c>
      <c r="J631" s="5" t="str">
        <f>IF(kokpit!J631&lt;&gt;"",kokpit!J631,"")</f>
        <v/>
      </c>
      <c r="K631" s="24" t="str">
        <f>IF(I631&lt;&gt;"",SUMIFS('JPK_KR-1'!AL:AL,'JPK_KR-1'!W:W,J631),"")</f>
        <v/>
      </c>
      <c r="L631" s="141" t="str">
        <f>IF(I631&lt;&gt;"",SUMIFS('JPK_KR-1'!AM:AM,'JPK_KR-1'!W:W,J631),"")</f>
        <v/>
      </c>
      <c r="M631" s="143" t="str">
        <f>IF(kokpit!M631&lt;&gt;"",kokpit!M631,"")</f>
        <v/>
      </c>
      <c r="N631" s="117" t="str">
        <f>IF(kokpit!N631&lt;&gt;"",kokpit!N631,"")</f>
        <v/>
      </c>
      <c r="O631" s="117" t="str">
        <f>IF(kokpit!O631&lt;&gt;"",kokpit!O631,"")</f>
        <v/>
      </c>
      <c r="P631" s="141" t="str">
        <f>IF(M631&lt;&gt;"",IF(O631="",SUMIFS('JPK_KR-1'!AL:AL,'JPK_KR-1'!W:W,N631),SUMIFS('JPK_KR-1'!BF:BF,'JPK_KR-1'!BE:BE,N631,'JPK_KR-1'!BG:BG,O631)),"")</f>
        <v/>
      </c>
      <c r="Q631" s="144" t="str">
        <f>IF(M631&lt;&gt;"",IF(O631="",SUMIFS('JPK_KR-1'!AM:AM,'JPK_KR-1'!W:W,N631),SUMIFS('JPK_KR-1'!BI:BI,'JPK_KR-1'!BH:BH,N631,'JPK_KR-1'!BJ:BJ,O631)),"")</f>
        <v/>
      </c>
      <c r="R631" s="117" t="str">
        <f>IF(kokpit!R631&lt;&gt;"",kokpit!R631,"")</f>
        <v/>
      </c>
      <c r="S631" s="117" t="str">
        <f>IF(kokpit!S631&lt;&gt;"",kokpit!S631,"")</f>
        <v/>
      </c>
      <c r="T631" s="117" t="str">
        <f>IF(kokpit!T631&lt;&gt;"",kokpit!T631,"")</f>
        <v/>
      </c>
      <c r="U631" s="141" t="str">
        <f>IF(R631&lt;&gt;"",SUMIFS('JPK_KR-1'!AL:AL,'JPK_KR-1'!W:W,S631),"")</f>
        <v/>
      </c>
      <c r="V631" s="144" t="str">
        <f>IF(R631&lt;&gt;"",SUMIFS('JPK_KR-1'!AM:AM,'JPK_KR-1'!W:W,S631),"")</f>
        <v/>
      </c>
    </row>
    <row r="632" spans="1:22" x14ac:dyDescent="0.3">
      <c r="A632" s="5" t="str">
        <f>IF(kokpit!A632&lt;&gt;"",kokpit!A632,"")</f>
        <v/>
      </c>
      <c r="B632" s="5" t="str">
        <f>IF(kokpit!B632&lt;&gt;"",kokpit!B632,"")</f>
        <v/>
      </c>
      <c r="C632" s="24" t="str">
        <f>IF(A632&lt;&gt;"",SUMIFS('JPK_KR-1'!AL:AL,'JPK_KR-1'!W:W,B632),"")</f>
        <v/>
      </c>
      <c r="D632" s="126" t="str">
        <f>IF(A632&lt;&gt;"",SUMIFS('JPK_KR-1'!AM:AM,'JPK_KR-1'!W:W,B632),"")</f>
        <v/>
      </c>
      <c r="E632" s="5" t="str">
        <f>IF(kokpit!E632&lt;&gt;"",kokpit!E632,"")</f>
        <v/>
      </c>
      <c r="F632" s="127" t="str">
        <f>IF(kokpit!F632&lt;&gt;"",kokpit!F632,"")</f>
        <v/>
      </c>
      <c r="G632" s="24" t="str">
        <f>IF(E632&lt;&gt;"",SUMIFS('JPK_KR-1'!AL:AL,'JPK_KR-1'!W:W,F632),"")</f>
        <v/>
      </c>
      <c r="H632" s="126" t="str">
        <f>IF(E632&lt;&gt;"",SUMIFS('JPK_KR-1'!AM:AM,'JPK_KR-1'!W:W,F632),"")</f>
        <v/>
      </c>
      <c r="I632" s="5" t="str">
        <f>IF(kokpit!I632&lt;&gt;"",kokpit!I632,"")</f>
        <v/>
      </c>
      <c r="J632" s="5" t="str">
        <f>IF(kokpit!J632&lt;&gt;"",kokpit!J632,"")</f>
        <v/>
      </c>
      <c r="K632" s="24" t="str">
        <f>IF(I632&lt;&gt;"",SUMIFS('JPK_KR-1'!AL:AL,'JPK_KR-1'!W:W,J632),"")</f>
        <v/>
      </c>
      <c r="L632" s="141" t="str">
        <f>IF(I632&lt;&gt;"",SUMIFS('JPK_KR-1'!AM:AM,'JPK_KR-1'!W:W,J632),"")</f>
        <v/>
      </c>
      <c r="M632" s="143" t="str">
        <f>IF(kokpit!M632&lt;&gt;"",kokpit!M632,"")</f>
        <v/>
      </c>
      <c r="N632" s="117" t="str">
        <f>IF(kokpit!N632&lt;&gt;"",kokpit!N632,"")</f>
        <v/>
      </c>
      <c r="O632" s="117" t="str">
        <f>IF(kokpit!O632&lt;&gt;"",kokpit!O632,"")</f>
        <v/>
      </c>
      <c r="P632" s="141" t="str">
        <f>IF(M632&lt;&gt;"",IF(O632="",SUMIFS('JPK_KR-1'!AL:AL,'JPK_KR-1'!W:W,N632),SUMIFS('JPK_KR-1'!BF:BF,'JPK_KR-1'!BE:BE,N632,'JPK_KR-1'!BG:BG,O632)),"")</f>
        <v/>
      </c>
      <c r="Q632" s="144" t="str">
        <f>IF(M632&lt;&gt;"",IF(O632="",SUMIFS('JPK_KR-1'!AM:AM,'JPK_KR-1'!W:W,N632),SUMIFS('JPK_KR-1'!BI:BI,'JPK_KR-1'!BH:BH,N632,'JPK_KR-1'!BJ:BJ,O632)),"")</f>
        <v/>
      </c>
      <c r="R632" s="117" t="str">
        <f>IF(kokpit!R632&lt;&gt;"",kokpit!R632,"")</f>
        <v/>
      </c>
      <c r="S632" s="117" t="str">
        <f>IF(kokpit!S632&lt;&gt;"",kokpit!S632,"")</f>
        <v/>
      </c>
      <c r="T632" s="117" t="str">
        <f>IF(kokpit!T632&lt;&gt;"",kokpit!T632,"")</f>
        <v/>
      </c>
      <c r="U632" s="141" t="str">
        <f>IF(R632&lt;&gt;"",SUMIFS('JPK_KR-1'!AL:AL,'JPK_KR-1'!W:W,S632),"")</f>
        <v/>
      </c>
      <c r="V632" s="144" t="str">
        <f>IF(R632&lt;&gt;"",SUMIFS('JPK_KR-1'!AM:AM,'JPK_KR-1'!W:W,S632),"")</f>
        <v/>
      </c>
    </row>
    <row r="633" spans="1:22" x14ac:dyDescent="0.3">
      <c r="A633" s="5" t="str">
        <f>IF(kokpit!A633&lt;&gt;"",kokpit!A633,"")</f>
        <v/>
      </c>
      <c r="B633" s="5" t="str">
        <f>IF(kokpit!B633&lt;&gt;"",kokpit!B633,"")</f>
        <v/>
      </c>
      <c r="C633" s="24" t="str">
        <f>IF(A633&lt;&gt;"",SUMIFS('JPK_KR-1'!AL:AL,'JPK_KR-1'!W:W,B633),"")</f>
        <v/>
      </c>
      <c r="D633" s="126" t="str">
        <f>IF(A633&lt;&gt;"",SUMIFS('JPK_KR-1'!AM:AM,'JPK_KR-1'!W:W,B633),"")</f>
        <v/>
      </c>
      <c r="E633" s="5" t="str">
        <f>IF(kokpit!E633&lt;&gt;"",kokpit!E633,"")</f>
        <v/>
      </c>
      <c r="F633" s="127" t="str">
        <f>IF(kokpit!F633&lt;&gt;"",kokpit!F633,"")</f>
        <v/>
      </c>
      <c r="G633" s="24" t="str">
        <f>IF(E633&lt;&gt;"",SUMIFS('JPK_KR-1'!AL:AL,'JPK_KR-1'!W:W,F633),"")</f>
        <v/>
      </c>
      <c r="H633" s="126" t="str">
        <f>IF(E633&lt;&gt;"",SUMIFS('JPK_KR-1'!AM:AM,'JPK_KR-1'!W:W,F633),"")</f>
        <v/>
      </c>
      <c r="I633" s="5" t="str">
        <f>IF(kokpit!I633&lt;&gt;"",kokpit!I633,"")</f>
        <v/>
      </c>
      <c r="J633" s="5" t="str">
        <f>IF(kokpit!J633&lt;&gt;"",kokpit!J633,"")</f>
        <v/>
      </c>
      <c r="K633" s="24" t="str">
        <f>IF(I633&lt;&gt;"",SUMIFS('JPK_KR-1'!AL:AL,'JPK_KR-1'!W:W,J633),"")</f>
        <v/>
      </c>
      <c r="L633" s="141" t="str">
        <f>IF(I633&lt;&gt;"",SUMIFS('JPK_KR-1'!AM:AM,'JPK_KR-1'!W:W,J633),"")</f>
        <v/>
      </c>
      <c r="M633" s="143" t="str">
        <f>IF(kokpit!M633&lt;&gt;"",kokpit!M633,"")</f>
        <v/>
      </c>
      <c r="N633" s="117" t="str">
        <f>IF(kokpit!N633&lt;&gt;"",kokpit!N633,"")</f>
        <v/>
      </c>
      <c r="O633" s="117" t="str">
        <f>IF(kokpit!O633&lt;&gt;"",kokpit!O633,"")</f>
        <v/>
      </c>
      <c r="P633" s="141" t="str">
        <f>IF(M633&lt;&gt;"",IF(O633="",SUMIFS('JPK_KR-1'!AL:AL,'JPK_KR-1'!W:W,N633),SUMIFS('JPK_KR-1'!BF:BF,'JPK_KR-1'!BE:BE,N633,'JPK_KR-1'!BG:BG,O633)),"")</f>
        <v/>
      </c>
      <c r="Q633" s="144" t="str">
        <f>IF(M633&lt;&gt;"",IF(O633="",SUMIFS('JPK_KR-1'!AM:AM,'JPK_KR-1'!W:W,N633),SUMIFS('JPK_KR-1'!BI:BI,'JPK_KR-1'!BH:BH,N633,'JPK_KR-1'!BJ:BJ,O633)),"")</f>
        <v/>
      </c>
      <c r="R633" s="117" t="str">
        <f>IF(kokpit!R633&lt;&gt;"",kokpit!R633,"")</f>
        <v/>
      </c>
      <c r="S633" s="117" t="str">
        <f>IF(kokpit!S633&lt;&gt;"",kokpit!S633,"")</f>
        <v/>
      </c>
      <c r="T633" s="117" t="str">
        <f>IF(kokpit!T633&lt;&gt;"",kokpit!T633,"")</f>
        <v/>
      </c>
      <c r="U633" s="141" t="str">
        <f>IF(R633&lt;&gt;"",SUMIFS('JPK_KR-1'!AL:AL,'JPK_KR-1'!W:W,S633),"")</f>
        <v/>
      </c>
      <c r="V633" s="144" t="str">
        <f>IF(R633&lt;&gt;"",SUMIFS('JPK_KR-1'!AM:AM,'JPK_KR-1'!W:W,S633),"")</f>
        <v/>
      </c>
    </row>
    <row r="634" spans="1:22" x14ac:dyDescent="0.3">
      <c r="A634" s="5" t="str">
        <f>IF(kokpit!A634&lt;&gt;"",kokpit!A634,"")</f>
        <v/>
      </c>
      <c r="B634" s="5" t="str">
        <f>IF(kokpit!B634&lt;&gt;"",kokpit!B634,"")</f>
        <v/>
      </c>
      <c r="C634" s="24" t="str">
        <f>IF(A634&lt;&gt;"",SUMIFS('JPK_KR-1'!AL:AL,'JPK_KR-1'!W:W,B634),"")</f>
        <v/>
      </c>
      <c r="D634" s="126" t="str">
        <f>IF(A634&lt;&gt;"",SUMIFS('JPK_KR-1'!AM:AM,'JPK_KR-1'!W:W,B634),"")</f>
        <v/>
      </c>
      <c r="E634" s="5" t="str">
        <f>IF(kokpit!E634&lt;&gt;"",kokpit!E634,"")</f>
        <v/>
      </c>
      <c r="F634" s="127" t="str">
        <f>IF(kokpit!F634&lt;&gt;"",kokpit!F634,"")</f>
        <v/>
      </c>
      <c r="G634" s="24" t="str">
        <f>IF(E634&lt;&gt;"",SUMIFS('JPK_KR-1'!AL:AL,'JPK_KR-1'!W:W,F634),"")</f>
        <v/>
      </c>
      <c r="H634" s="126" t="str">
        <f>IF(E634&lt;&gt;"",SUMIFS('JPK_KR-1'!AM:AM,'JPK_KR-1'!W:W,F634),"")</f>
        <v/>
      </c>
      <c r="I634" s="5" t="str">
        <f>IF(kokpit!I634&lt;&gt;"",kokpit!I634,"")</f>
        <v/>
      </c>
      <c r="J634" s="5" t="str">
        <f>IF(kokpit!J634&lt;&gt;"",kokpit!J634,"")</f>
        <v/>
      </c>
      <c r="K634" s="24" t="str">
        <f>IF(I634&lt;&gt;"",SUMIFS('JPK_KR-1'!AL:AL,'JPK_KR-1'!W:W,J634),"")</f>
        <v/>
      </c>
      <c r="L634" s="141" t="str">
        <f>IF(I634&lt;&gt;"",SUMIFS('JPK_KR-1'!AM:AM,'JPK_KR-1'!W:W,J634),"")</f>
        <v/>
      </c>
      <c r="M634" s="143" t="str">
        <f>IF(kokpit!M634&lt;&gt;"",kokpit!M634,"")</f>
        <v/>
      </c>
      <c r="N634" s="117" t="str">
        <f>IF(kokpit!N634&lt;&gt;"",kokpit!N634,"")</f>
        <v/>
      </c>
      <c r="O634" s="117" t="str">
        <f>IF(kokpit!O634&lt;&gt;"",kokpit!O634,"")</f>
        <v/>
      </c>
      <c r="P634" s="141" t="str">
        <f>IF(M634&lt;&gt;"",IF(O634="",SUMIFS('JPK_KR-1'!AL:AL,'JPK_KR-1'!W:W,N634),SUMIFS('JPK_KR-1'!BF:BF,'JPK_KR-1'!BE:BE,N634,'JPK_KR-1'!BG:BG,O634)),"")</f>
        <v/>
      </c>
      <c r="Q634" s="144" t="str">
        <f>IF(M634&lt;&gt;"",IF(O634="",SUMIFS('JPK_KR-1'!AM:AM,'JPK_KR-1'!W:W,N634),SUMIFS('JPK_KR-1'!BI:BI,'JPK_KR-1'!BH:BH,N634,'JPK_KR-1'!BJ:BJ,O634)),"")</f>
        <v/>
      </c>
      <c r="R634" s="117" t="str">
        <f>IF(kokpit!R634&lt;&gt;"",kokpit!R634,"")</f>
        <v/>
      </c>
      <c r="S634" s="117" t="str">
        <f>IF(kokpit!S634&lt;&gt;"",kokpit!S634,"")</f>
        <v/>
      </c>
      <c r="T634" s="117" t="str">
        <f>IF(kokpit!T634&lt;&gt;"",kokpit!T634,"")</f>
        <v/>
      </c>
      <c r="U634" s="141" t="str">
        <f>IF(R634&lt;&gt;"",SUMIFS('JPK_KR-1'!AL:AL,'JPK_KR-1'!W:W,S634),"")</f>
        <v/>
      </c>
      <c r="V634" s="144" t="str">
        <f>IF(R634&lt;&gt;"",SUMIFS('JPK_KR-1'!AM:AM,'JPK_KR-1'!W:W,S634),"")</f>
        <v/>
      </c>
    </row>
    <row r="635" spans="1:22" x14ac:dyDescent="0.3">
      <c r="A635" s="5" t="str">
        <f>IF(kokpit!A635&lt;&gt;"",kokpit!A635,"")</f>
        <v/>
      </c>
      <c r="B635" s="5" t="str">
        <f>IF(kokpit!B635&lt;&gt;"",kokpit!B635,"")</f>
        <v/>
      </c>
      <c r="C635" s="24" t="str">
        <f>IF(A635&lt;&gt;"",SUMIFS('JPK_KR-1'!AL:AL,'JPK_KR-1'!W:W,B635),"")</f>
        <v/>
      </c>
      <c r="D635" s="126" t="str">
        <f>IF(A635&lt;&gt;"",SUMIFS('JPK_KR-1'!AM:AM,'JPK_KR-1'!W:W,B635),"")</f>
        <v/>
      </c>
      <c r="E635" s="5" t="str">
        <f>IF(kokpit!E635&lt;&gt;"",kokpit!E635,"")</f>
        <v/>
      </c>
      <c r="F635" s="127" t="str">
        <f>IF(kokpit!F635&lt;&gt;"",kokpit!F635,"")</f>
        <v/>
      </c>
      <c r="G635" s="24" t="str">
        <f>IF(E635&lt;&gt;"",SUMIFS('JPK_KR-1'!AL:AL,'JPK_KR-1'!W:W,F635),"")</f>
        <v/>
      </c>
      <c r="H635" s="126" t="str">
        <f>IF(E635&lt;&gt;"",SUMIFS('JPK_KR-1'!AM:AM,'JPK_KR-1'!W:W,F635),"")</f>
        <v/>
      </c>
      <c r="I635" s="5" t="str">
        <f>IF(kokpit!I635&lt;&gt;"",kokpit!I635,"")</f>
        <v/>
      </c>
      <c r="J635" s="5" t="str">
        <f>IF(kokpit!J635&lt;&gt;"",kokpit!J635,"")</f>
        <v/>
      </c>
      <c r="K635" s="24" t="str">
        <f>IF(I635&lt;&gt;"",SUMIFS('JPK_KR-1'!AL:AL,'JPK_KR-1'!W:W,J635),"")</f>
        <v/>
      </c>
      <c r="L635" s="141" t="str">
        <f>IF(I635&lt;&gt;"",SUMIFS('JPK_KR-1'!AM:AM,'JPK_KR-1'!W:W,J635),"")</f>
        <v/>
      </c>
      <c r="M635" s="143" t="str">
        <f>IF(kokpit!M635&lt;&gt;"",kokpit!M635,"")</f>
        <v/>
      </c>
      <c r="N635" s="117" t="str">
        <f>IF(kokpit!N635&lt;&gt;"",kokpit!N635,"")</f>
        <v/>
      </c>
      <c r="O635" s="117" t="str">
        <f>IF(kokpit!O635&lt;&gt;"",kokpit!O635,"")</f>
        <v/>
      </c>
      <c r="P635" s="141" t="str">
        <f>IF(M635&lt;&gt;"",IF(O635="",SUMIFS('JPK_KR-1'!AL:AL,'JPK_KR-1'!W:W,N635),SUMIFS('JPK_KR-1'!BF:BF,'JPK_KR-1'!BE:BE,N635,'JPK_KR-1'!BG:BG,O635)),"")</f>
        <v/>
      </c>
      <c r="Q635" s="144" t="str">
        <f>IF(M635&lt;&gt;"",IF(O635="",SUMIFS('JPK_KR-1'!AM:AM,'JPK_KR-1'!W:W,N635),SUMIFS('JPK_KR-1'!BI:BI,'JPK_KR-1'!BH:BH,N635,'JPK_KR-1'!BJ:BJ,O635)),"")</f>
        <v/>
      </c>
      <c r="R635" s="117" t="str">
        <f>IF(kokpit!R635&lt;&gt;"",kokpit!R635,"")</f>
        <v/>
      </c>
      <c r="S635" s="117" t="str">
        <f>IF(kokpit!S635&lt;&gt;"",kokpit!S635,"")</f>
        <v/>
      </c>
      <c r="T635" s="117" t="str">
        <f>IF(kokpit!T635&lt;&gt;"",kokpit!T635,"")</f>
        <v/>
      </c>
      <c r="U635" s="141" t="str">
        <f>IF(R635&lt;&gt;"",SUMIFS('JPK_KR-1'!AL:AL,'JPK_KR-1'!W:W,S635),"")</f>
        <v/>
      </c>
      <c r="V635" s="144" t="str">
        <f>IF(R635&lt;&gt;"",SUMIFS('JPK_KR-1'!AM:AM,'JPK_KR-1'!W:W,S635),"")</f>
        <v/>
      </c>
    </row>
    <row r="636" spans="1:22" x14ac:dyDescent="0.3">
      <c r="A636" s="5" t="str">
        <f>IF(kokpit!A636&lt;&gt;"",kokpit!A636,"")</f>
        <v/>
      </c>
      <c r="B636" s="5" t="str">
        <f>IF(kokpit!B636&lt;&gt;"",kokpit!B636,"")</f>
        <v/>
      </c>
      <c r="C636" s="24" t="str">
        <f>IF(A636&lt;&gt;"",SUMIFS('JPK_KR-1'!AL:AL,'JPK_KR-1'!W:W,B636),"")</f>
        <v/>
      </c>
      <c r="D636" s="126" t="str">
        <f>IF(A636&lt;&gt;"",SUMIFS('JPK_KR-1'!AM:AM,'JPK_KR-1'!W:W,B636),"")</f>
        <v/>
      </c>
      <c r="E636" s="5" t="str">
        <f>IF(kokpit!E636&lt;&gt;"",kokpit!E636,"")</f>
        <v/>
      </c>
      <c r="F636" s="127" t="str">
        <f>IF(kokpit!F636&lt;&gt;"",kokpit!F636,"")</f>
        <v/>
      </c>
      <c r="G636" s="24" t="str">
        <f>IF(E636&lt;&gt;"",SUMIFS('JPK_KR-1'!AL:AL,'JPK_KR-1'!W:W,F636),"")</f>
        <v/>
      </c>
      <c r="H636" s="126" t="str">
        <f>IF(E636&lt;&gt;"",SUMIFS('JPK_KR-1'!AM:AM,'JPK_KR-1'!W:W,F636),"")</f>
        <v/>
      </c>
      <c r="I636" s="5" t="str">
        <f>IF(kokpit!I636&lt;&gt;"",kokpit!I636,"")</f>
        <v/>
      </c>
      <c r="J636" s="5" t="str">
        <f>IF(kokpit!J636&lt;&gt;"",kokpit!J636,"")</f>
        <v/>
      </c>
      <c r="K636" s="24" t="str">
        <f>IF(I636&lt;&gt;"",SUMIFS('JPK_KR-1'!AL:AL,'JPK_KR-1'!W:W,J636),"")</f>
        <v/>
      </c>
      <c r="L636" s="141" t="str">
        <f>IF(I636&lt;&gt;"",SUMIFS('JPK_KR-1'!AM:AM,'JPK_KR-1'!W:W,J636),"")</f>
        <v/>
      </c>
      <c r="M636" s="143" t="str">
        <f>IF(kokpit!M636&lt;&gt;"",kokpit!M636,"")</f>
        <v/>
      </c>
      <c r="N636" s="117" t="str">
        <f>IF(kokpit!N636&lt;&gt;"",kokpit!N636,"")</f>
        <v/>
      </c>
      <c r="O636" s="117" t="str">
        <f>IF(kokpit!O636&lt;&gt;"",kokpit!O636,"")</f>
        <v/>
      </c>
      <c r="P636" s="141" t="str">
        <f>IF(M636&lt;&gt;"",IF(O636="",SUMIFS('JPK_KR-1'!AL:AL,'JPK_KR-1'!W:W,N636),SUMIFS('JPK_KR-1'!BF:BF,'JPK_KR-1'!BE:BE,N636,'JPK_KR-1'!BG:BG,O636)),"")</f>
        <v/>
      </c>
      <c r="Q636" s="144" t="str">
        <f>IF(M636&lt;&gt;"",IF(O636="",SUMIFS('JPK_KR-1'!AM:AM,'JPK_KR-1'!W:W,N636),SUMIFS('JPK_KR-1'!BI:BI,'JPK_KR-1'!BH:BH,N636,'JPK_KR-1'!BJ:BJ,O636)),"")</f>
        <v/>
      </c>
      <c r="R636" s="117" t="str">
        <f>IF(kokpit!R636&lt;&gt;"",kokpit!R636,"")</f>
        <v/>
      </c>
      <c r="S636" s="117" t="str">
        <f>IF(kokpit!S636&lt;&gt;"",kokpit!S636,"")</f>
        <v/>
      </c>
      <c r="T636" s="117" t="str">
        <f>IF(kokpit!T636&lt;&gt;"",kokpit!T636,"")</f>
        <v/>
      </c>
      <c r="U636" s="141" t="str">
        <f>IF(R636&lt;&gt;"",SUMIFS('JPK_KR-1'!AL:AL,'JPK_KR-1'!W:W,S636),"")</f>
        <v/>
      </c>
      <c r="V636" s="144" t="str">
        <f>IF(R636&lt;&gt;"",SUMIFS('JPK_KR-1'!AM:AM,'JPK_KR-1'!W:W,S636),"")</f>
        <v/>
      </c>
    </row>
    <row r="637" spans="1:22" x14ac:dyDescent="0.3">
      <c r="A637" s="5" t="str">
        <f>IF(kokpit!A637&lt;&gt;"",kokpit!A637,"")</f>
        <v/>
      </c>
      <c r="B637" s="5" t="str">
        <f>IF(kokpit!B637&lt;&gt;"",kokpit!B637,"")</f>
        <v/>
      </c>
      <c r="C637" s="24" t="str">
        <f>IF(A637&lt;&gt;"",SUMIFS('JPK_KR-1'!AL:AL,'JPK_KR-1'!W:W,B637),"")</f>
        <v/>
      </c>
      <c r="D637" s="126" t="str">
        <f>IF(A637&lt;&gt;"",SUMIFS('JPK_KR-1'!AM:AM,'JPK_KR-1'!W:W,B637),"")</f>
        <v/>
      </c>
      <c r="E637" s="5" t="str">
        <f>IF(kokpit!E637&lt;&gt;"",kokpit!E637,"")</f>
        <v/>
      </c>
      <c r="F637" s="127" t="str">
        <f>IF(kokpit!F637&lt;&gt;"",kokpit!F637,"")</f>
        <v/>
      </c>
      <c r="G637" s="24" t="str">
        <f>IF(E637&lt;&gt;"",SUMIFS('JPK_KR-1'!AL:AL,'JPK_KR-1'!W:W,F637),"")</f>
        <v/>
      </c>
      <c r="H637" s="126" t="str">
        <f>IF(E637&lt;&gt;"",SUMIFS('JPK_KR-1'!AM:AM,'JPK_KR-1'!W:W,F637),"")</f>
        <v/>
      </c>
      <c r="I637" s="5" t="str">
        <f>IF(kokpit!I637&lt;&gt;"",kokpit!I637,"")</f>
        <v/>
      </c>
      <c r="J637" s="5" t="str">
        <f>IF(kokpit!J637&lt;&gt;"",kokpit!J637,"")</f>
        <v/>
      </c>
      <c r="K637" s="24" t="str">
        <f>IF(I637&lt;&gt;"",SUMIFS('JPK_KR-1'!AL:AL,'JPK_KR-1'!W:W,J637),"")</f>
        <v/>
      </c>
      <c r="L637" s="141" t="str">
        <f>IF(I637&lt;&gt;"",SUMIFS('JPK_KR-1'!AM:AM,'JPK_KR-1'!W:W,J637),"")</f>
        <v/>
      </c>
      <c r="M637" s="143" t="str">
        <f>IF(kokpit!M637&lt;&gt;"",kokpit!M637,"")</f>
        <v/>
      </c>
      <c r="N637" s="117" t="str">
        <f>IF(kokpit!N637&lt;&gt;"",kokpit!N637,"")</f>
        <v/>
      </c>
      <c r="O637" s="117" t="str">
        <f>IF(kokpit!O637&lt;&gt;"",kokpit!O637,"")</f>
        <v/>
      </c>
      <c r="P637" s="141" t="str">
        <f>IF(M637&lt;&gt;"",IF(O637="",SUMIFS('JPK_KR-1'!AL:AL,'JPK_KR-1'!W:W,N637),SUMIFS('JPK_KR-1'!BF:BF,'JPK_KR-1'!BE:BE,N637,'JPK_KR-1'!BG:BG,O637)),"")</f>
        <v/>
      </c>
      <c r="Q637" s="144" t="str">
        <f>IF(M637&lt;&gt;"",IF(O637="",SUMIFS('JPK_KR-1'!AM:AM,'JPK_KR-1'!W:W,N637),SUMIFS('JPK_KR-1'!BI:BI,'JPK_KR-1'!BH:BH,N637,'JPK_KR-1'!BJ:BJ,O637)),"")</f>
        <v/>
      </c>
      <c r="R637" s="117" t="str">
        <f>IF(kokpit!R637&lt;&gt;"",kokpit!R637,"")</f>
        <v/>
      </c>
      <c r="S637" s="117" t="str">
        <f>IF(kokpit!S637&lt;&gt;"",kokpit!S637,"")</f>
        <v/>
      </c>
      <c r="T637" s="117" t="str">
        <f>IF(kokpit!T637&lt;&gt;"",kokpit!T637,"")</f>
        <v/>
      </c>
      <c r="U637" s="141" t="str">
        <f>IF(R637&lt;&gt;"",SUMIFS('JPK_KR-1'!AL:AL,'JPK_KR-1'!W:W,S637),"")</f>
        <v/>
      </c>
      <c r="V637" s="144" t="str">
        <f>IF(R637&lt;&gt;"",SUMIFS('JPK_KR-1'!AM:AM,'JPK_KR-1'!W:W,S637),"")</f>
        <v/>
      </c>
    </row>
    <row r="638" spans="1:22" x14ac:dyDescent="0.3">
      <c r="A638" s="5" t="str">
        <f>IF(kokpit!A638&lt;&gt;"",kokpit!A638,"")</f>
        <v/>
      </c>
      <c r="B638" s="5" t="str">
        <f>IF(kokpit!B638&lt;&gt;"",kokpit!B638,"")</f>
        <v/>
      </c>
      <c r="C638" s="24" t="str">
        <f>IF(A638&lt;&gt;"",SUMIFS('JPK_KR-1'!AL:AL,'JPK_KR-1'!W:W,B638),"")</f>
        <v/>
      </c>
      <c r="D638" s="126" t="str">
        <f>IF(A638&lt;&gt;"",SUMIFS('JPK_KR-1'!AM:AM,'JPK_KR-1'!W:W,B638),"")</f>
        <v/>
      </c>
      <c r="E638" s="5" t="str">
        <f>IF(kokpit!E638&lt;&gt;"",kokpit!E638,"")</f>
        <v/>
      </c>
      <c r="F638" s="127" t="str">
        <f>IF(kokpit!F638&lt;&gt;"",kokpit!F638,"")</f>
        <v/>
      </c>
      <c r="G638" s="24" t="str">
        <f>IF(E638&lt;&gt;"",SUMIFS('JPK_KR-1'!AL:AL,'JPK_KR-1'!W:W,F638),"")</f>
        <v/>
      </c>
      <c r="H638" s="126" t="str">
        <f>IF(E638&lt;&gt;"",SUMIFS('JPK_KR-1'!AM:AM,'JPK_KR-1'!W:W,F638),"")</f>
        <v/>
      </c>
      <c r="I638" s="5" t="str">
        <f>IF(kokpit!I638&lt;&gt;"",kokpit!I638,"")</f>
        <v/>
      </c>
      <c r="J638" s="5" t="str">
        <f>IF(kokpit!J638&lt;&gt;"",kokpit!J638,"")</f>
        <v/>
      </c>
      <c r="K638" s="24" t="str">
        <f>IF(I638&lt;&gt;"",SUMIFS('JPK_KR-1'!AL:AL,'JPK_KR-1'!W:W,J638),"")</f>
        <v/>
      </c>
      <c r="L638" s="141" t="str">
        <f>IF(I638&lt;&gt;"",SUMIFS('JPK_KR-1'!AM:AM,'JPK_KR-1'!W:W,J638),"")</f>
        <v/>
      </c>
      <c r="M638" s="143" t="str">
        <f>IF(kokpit!M638&lt;&gt;"",kokpit!M638,"")</f>
        <v/>
      </c>
      <c r="N638" s="117" t="str">
        <f>IF(kokpit!N638&lt;&gt;"",kokpit!N638,"")</f>
        <v/>
      </c>
      <c r="O638" s="117" t="str">
        <f>IF(kokpit!O638&lt;&gt;"",kokpit!O638,"")</f>
        <v/>
      </c>
      <c r="P638" s="141" t="str">
        <f>IF(M638&lt;&gt;"",IF(O638="",SUMIFS('JPK_KR-1'!AL:AL,'JPK_KR-1'!W:W,N638),SUMIFS('JPK_KR-1'!BF:BF,'JPK_KR-1'!BE:BE,N638,'JPK_KR-1'!BG:BG,O638)),"")</f>
        <v/>
      </c>
      <c r="Q638" s="144" t="str">
        <f>IF(M638&lt;&gt;"",IF(O638="",SUMIFS('JPK_KR-1'!AM:AM,'JPK_KR-1'!W:W,N638),SUMIFS('JPK_KR-1'!BI:BI,'JPK_KR-1'!BH:BH,N638,'JPK_KR-1'!BJ:BJ,O638)),"")</f>
        <v/>
      </c>
      <c r="R638" s="117" t="str">
        <f>IF(kokpit!R638&lt;&gt;"",kokpit!R638,"")</f>
        <v/>
      </c>
      <c r="S638" s="117" t="str">
        <f>IF(kokpit!S638&lt;&gt;"",kokpit!S638,"")</f>
        <v/>
      </c>
      <c r="T638" s="117" t="str">
        <f>IF(kokpit!T638&lt;&gt;"",kokpit!T638,"")</f>
        <v/>
      </c>
      <c r="U638" s="141" t="str">
        <f>IF(R638&lt;&gt;"",SUMIFS('JPK_KR-1'!AL:AL,'JPK_KR-1'!W:W,S638),"")</f>
        <v/>
      </c>
      <c r="V638" s="144" t="str">
        <f>IF(R638&lt;&gt;"",SUMIFS('JPK_KR-1'!AM:AM,'JPK_KR-1'!W:W,S638),"")</f>
        <v/>
      </c>
    </row>
    <row r="639" spans="1:22" x14ac:dyDescent="0.3">
      <c r="A639" s="5" t="str">
        <f>IF(kokpit!A639&lt;&gt;"",kokpit!A639,"")</f>
        <v/>
      </c>
      <c r="B639" s="5" t="str">
        <f>IF(kokpit!B639&lt;&gt;"",kokpit!B639,"")</f>
        <v/>
      </c>
      <c r="C639" s="24" t="str">
        <f>IF(A639&lt;&gt;"",SUMIFS('JPK_KR-1'!AL:AL,'JPK_KR-1'!W:W,B639),"")</f>
        <v/>
      </c>
      <c r="D639" s="126" t="str">
        <f>IF(A639&lt;&gt;"",SUMIFS('JPK_KR-1'!AM:AM,'JPK_KR-1'!W:W,B639),"")</f>
        <v/>
      </c>
      <c r="E639" s="5" t="str">
        <f>IF(kokpit!E639&lt;&gt;"",kokpit!E639,"")</f>
        <v/>
      </c>
      <c r="F639" s="127" t="str">
        <f>IF(kokpit!F639&lt;&gt;"",kokpit!F639,"")</f>
        <v/>
      </c>
      <c r="G639" s="24" t="str">
        <f>IF(E639&lt;&gt;"",SUMIFS('JPK_KR-1'!AL:AL,'JPK_KR-1'!W:W,F639),"")</f>
        <v/>
      </c>
      <c r="H639" s="126" t="str">
        <f>IF(E639&lt;&gt;"",SUMIFS('JPK_KR-1'!AM:AM,'JPK_KR-1'!W:W,F639),"")</f>
        <v/>
      </c>
      <c r="I639" s="5" t="str">
        <f>IF(kokpit!I639&lt;&gt;"",kokpit!I639,"")</f>
        <v/>
      </c>
      <c r="J639" s="5" t="str">
        <f>IF(kokpit!J639&lt;&gt;"",kokpit!J639,"")</f>
        <v/>
      </c>
      <c r="K639" s="24" t="str">
        <f>IF(I639&lt;&gt;"",SUMIFS('JPK_KR-1'!AL:AL,'JPK_KR-1'!W:W,J639),"")</f>
        <v/>
      </c>
      <c r="L639" s="141" t="str">
        <f>IF(I639&lt;&gt;"",SUMIFS('JPK_KR-1'!AM:AM,'JPK_KR-1'!W:W,J639),"")</f>
        <v/>
      </c>
      <c r="M639" s="143" t="str">
        <f>IF(kokpit!M639&lt;&gt;"",kokpit!M639,"")</f>
        <v/>
      </c>
      <c r="N639" s="117" t="str">
        <f>IF(kokpit!N639&lt;&gt;"",kokpit!N639,"")</f>
        <v/>
      </c>
      <c r="O639" s="117" t="str">
        <f>IF(kokpit!O639&lt;&gt;"",kokpit!O639,"")</f>
        <v/>
      </c>
      <c r="P639" s="141" t="str">
        <f>IF(M639&lt;&gt;"",IF(O639="",SUMIFS('JPK_KR-1'!AL:AL,'JPK_KR-1'!W:W,N639),SUMIFS('JPK_KR-1'!BF:BF,'JPK_KR-1'!BE:BE,N639,'JPK_KR-1'!BG:BG,O639)),"")</f>
        <v/>
      </c>
      <c r="Q639" s="144" t="str">
        <f>IF(M639&lt;&gt;"",IF(O639="",SUMIFS('JPK_KR-1'!AM:AM,'JPK_KR-1'!W:W,N639),SUMIFS('JPK_KR-1'!BI:BI,'JPK_KR-1'!BH:BH,N639,'JPK_KR-1'!BJ:BJ,O639)),"")</f>
        <v/>
      </c>
      <c r="R639" s="117" t="str">
        <f>IF(kokpit!R639&lt;&gt;"",kokpit!R639,"")</f>
        <v/>
      </c>
      <c r="S639" s="117" t="str">
        <f>IF(kokpit!S639&lt;&gt;"",kokpit!S639,"")</f>
        <v/>
      </c>
      <c r="T639" s="117" t="str">
        <f>IF(kokpit!T639&lt;&gt;"",kokpit!T639,"")</f>
        <v/>
      </c>
      <c r="U639" s="141" t="str">
        <f>IF(R639&lt;&gt;"",SUMIFS('JPK_KR-1'!AL:AL,'JPK_KR-1'!W:W,S639),"")</f>
        <v/>
      </c>
      <c r="V639" s="144" t="str">
        <f>IF(R639&lt;&gt;"",SUMIFS('JPK_KR-1'!AM:AM,'JPK_KR-1'!W:W,S639),"")</f>
        <v/>
      </c>
    </row>
    <row r="640" spans="1:22" x14ac:dyDescent="0.3">
      <c r="A640" s="5" t="str">
        <f>IF(kokpit!A640&lt;&gt;"",kokpit!A640,"")</f>
        <v/>
      </c>
      <c r="B640" s="5" t="str">
        <f>IF(kokpit!B640&lt;&gt;"",kokpit!B640,"")</f>
        <v/>
      </c>
      <c r="C640" s="24" t="str">
        <f>IF(A640&lt;&gt;"",SUMIFS('JPK_KR-1'!AL:AL,'JPK_KR-1'!W:W,B640),"")</f>
        <v/>
      </c>
      <c r="D640" s="126" t="str">
        <f>IF(A640&lt;&gt;"",SUMIFS('JPK_KR-1'!AM:AM,'JPK_KR-1'!W:W,B640),"")</f>
        <v/>
      </c>
      <c r="E640" s="5" t="str">
        <f>IF(kokpit!E640&lt;&gt;"",kokpit!E640,"")</f>
        <v/>
      </c>
      <c r="F640" s="127" t="str">
        <f>IF(kokpit!F640&lt;&gt;"",kokpit!F640,"")</f>
        <v/>
      </c>
      <c r="G640" s="24" t="str">
        <f>IF(E640&lt;&gt;"",SUMIFS('JPK_KR-1'!AL:AL,'JPK_KR-1'!W:W,F640),"")</f>
        <v/>
      </c>
      <c r="H640" s="126" t="str">
        <f>IF(E640&lt;&gt;"",SUMIFS('JPK_KR-1'!AM:AM,'JPK_KR-1'!W:W,F640),"")</f>
        <v/>
      </c>
      <c r="I640" s="5" t="str">
        <f>IF(kokpit!I640&lt;&gt;"",kokpit!I640,"")</f>
        <v/>
      </c>
      <c r="J640" s="5" t="str">
        <f>IF(kokpit!J640&lt;&gt;"",kokpit!J640,"")</f>
        <v/>
      </c>
      <c r="K640" s="24" t="str">
        <f>IF(I640&lt;&gt;"",SUMIFS('JPK_KR-1'!AL:AL,'JPK_KR-1'!W:W,J640),"")</f>
        <v/>
      </c>
      <c r="L640" s="141" t="str">
        <f>IF(I640&lt;&gt;"",SUMIFS('JPK_KR-1'!AM:AM,'JPK_KR-1'!W:W,J640),"")</f>
        <v/>
      </c>
      <c r="M640" s="143" t="str">
        <f>IF(kokpit!M640&lt;&gt;"",kokpit!M640,"")</f>
        <v/>
      </c>
      <c r="N640" s="117" t="str">
        <f>IF(kokpit!N640&lt;&gt;"",kokpit!N640,"")</f>
        <v/>
      </c>
      <c r="O640" s="117" t="str">
        <f>IF(kokpit!O640&lt;&gt;"",kokpit!O640,"")</f>
        <v/>
      </c>
      <c r="P640" s="141" t="str">
        <f>IF(M640&lt;&gt;"",IF(O640="",SUMIFS('JPK_KR-1'!AL:AL,'JPK_KR-1'!W:W,N640),SUMIFS('JPK_KR-1'!BF:BF,'JPK_KR-1'!BE:BE,N640,'JPK_KR-1'!BG:BG,O640)),"")</f>
        <v/>
      </c>
      <c r="Q640" s="144" t="str">
        <f>IF(M640&lt;&gt;"",IF(O640="",SUMIFS('JPK_KR-1'!AM:AM,'JPK_KR-1'!W:W,N640),SUMIFS('JPK_KR-1'!BI:BI,'JPK_KR-1'!BH:BH,N640,'JPK_KR-1'!BJ:BJ,O640)),"")</f>
        <v/>
      </c>
      <c r="R640" s="117" t="str">
        <f>IF(kokpit!R640&lt;&gt;"",kokpit!R640,"")</f>
        <v/>
      </c>
      <c r="S640" s="117" t="str">
        <f>IF(kokpit!S640&lt;&gt;"",kokpit!S640,"")</f>
        <v/>
      </c>
      <c r="T640" s="117" t="str">
        <f>IF(kokpit!T640&lt;&gt;"",kokpit!T640,"")</f>
        <v/>
      </c>
      <c r="U640" s="141" t="str">
        <f>IF(R640&lt;&gt;"",SUMIFS('JPK_KR-1'!AL:AL,'JPK_KR-1'!W:W,S640),"")</f>
        <v/>
      </c>
      <c r="V640" s="144" t="str">
        <f>IF(R640&lt;&gt;"",SUMIFS('JPK_KR-1'!AM:AM,'JPK_KR-1'!W:W,S640),"")</f>
        <v/>
      </c>
    </row>
    <row r="641" spans="1:22" x14ac:dyDescent="0.3">
      <c r="A641" s="5" t="str">
        <f>IF(kokpit!A641&lt;&gt;"",kokpit!A641,"")</f>
        <v/>
      </c>
      <c r="B641" s="5" t="str">
        <f>IF(kokpit!B641&lt;&gt;"",kokpit!B641,"")</f>
        <v/>
      </c>
      <c r="C641" s="24" t="str">
        <f>IF(A641&lt;&gt;"",SUMIFS('JPK_KR-1'!AL:AL,'JPK_KR-1'!W:W,B641),"")</f>
        <v/>
      </c>
      <c r="D641" s="126" t="str">
        <f>IF(A641&lt;&gt;"",SUMIFS('JPK_KR-1'!AM:AM,'JPK_KR-1'!W:W,B641),"")</f>
        <v/>
      </c>
      <c r="E641" s="5" t="str">
        <f>IF(kokpit!E641&lt;&gt;"",kokpit!E641,"")</f>
        <v/>
      </c>
      <c r="F641" s="127" t="str">
        <f>IF(kokpit!F641&lt;&gt;"",kokpit!F641,"")</f>
        <v/>
      </c>
      <c r="G641" s="24" t="str">
        <f>IF(E641&lt;&gt;"",SUMIFS('JPK_KR-1'!AL:AL,'JPK_KR-1'!W:W,F641),"")</f>
        <v/>
      </c>
      <c r="H641" s="126" t="str">
        <f>IF(E641&lt;&gt;"",SUMIFS('JPK_KR-1'!AM:AM,'JPK_KR-1'!W:W,F641),"")</f>
        <v/>
      </c>
      <c r="I641" s="5" t="str">
        <f>IF(kokpit!I641&lt;&gt;"",kokpit!I641,"")</f>
        <v/>
      </c>
      <c r="J641" s="5" t="str">
        <f>IF(kokpit!J641&lt;&gt;"",kokpit!J641,"")</f>
        <v/>
      </c>
      <c r="K641" s="24" t="str">
        <f>IF(I641&lt;&gt;"",SUMIFS('JPK_KR-1'!AL:AL,'JPK_KR-1'!W:W,J641),"")</f>
        <v/>
      </c>
      <c r="L641" s="141" t="str">
        <f>IF(I641&lt;&gt;"",SUMIFS('JPK_KR-1'!AM:AM,'JPK_KR-1'!W:W,J641),"")</f>
        <v/>
      </c>
      <c r="M641" s="143" t="str">
        <f>IF(kokpit!M641&lt;&gt;"",kokpit!M641,"")</f>
        <v/>
      </c>
      <c r="N641" s="117" t="str">
        <f>IF(kokpit!N641&lt;&gt;"",kokpit!N641,"")</f>
        <v/>
      </c>
      <c r="O641" s="117" t="str">
        <f>IF(kokpit!O641&lt;&gt;"",kokpit!O641,"")</f>
        <v/>
      </c>
      <c r="P641" s="141" t="str">
        <f>IF(M641&lt;&gt;"",IF(O641="",SUMIFS('JPK_KR-1'!AL:AL,'JPK_KR-1'!W:W,N641),SUMIFS('JPK_KR-1'!BF:BF,'JPK_KR-1'!BE:BE,N641,'JPK_KR-1'!BG:BG,O641)),"")</f>
        <v/>
      </c>
      <c r="Q641" s="144" t="str">
        <f>IF(M641&lt;&gt;"",IF(O641="",SUMIFS('JPK_KR-1'!AM:AM,'JPK_KR-1'!W:W,N641),SUMIFS('JPK_KR-1'!BI:BI,'JPK_KR-1'!BH:BH,N641,'JPK_KR-1'!BJ:BJ,O641)),"")</f>
        <v/>
      </c>
      <c r="R641" s="117" t="str">
        <f>IF(kokpit!R641&lt;&gt;"",kokpit!R641,"")</f>
        <v/>
      </c>
      <c r="S641" s="117" t="str">
        <f>IF(kokpit!S641&lt;&gt;"",kokpit!S641,"")</f>
        <v/>
      </c>
      <c r="T641" s="117" t="str">
        <f>IF(kokpit!T641&lt;&gt;"",kokpit!T641,"")</f>
        <v/>
      </c>
      <c r="U641" s="141" t="str">
        <f>IF(R641&lt;&gt;"",SUMIFS('JPK_KR-1'!AL:AL,'JPK_KR-1'!W:W,S641),"")</f>
        <v/>
      </c>
      <c r="V641" s="144" t="str">
        <f>IF(R641&lt;&gt;"",SUMIFS('JPK_KR-1'!AM:AM,'JPK_KR-1'!W:W,S641),"")</f>
        <v/>
      </c>
    </row>
    <row r="642" spans="1:22" x14ac:dyDescent="0.3">
      <c r="A642" s="5" t="str">
        <f>IF(kokpit!A642&lt;&gt;"",kokpit!A642,"")</f>
        <v/>
      </c>
      <c r="B642" s="5" t="str">
        <f>IF(kokpit!B642&lt;&gt;"",kokpit!B642,"")</f>
        <v/>
      </c>
      <c r="C642" s="24" t="str">
        <f>IF(A642&lt;&gt;"",SUMIFS('JPK_KR-1'!AL:AL,'JPK_KR-1'!W:W,B642),"")</f>
        <v/>
      </c>
      <c r="D642" s="126" t="str">
        <f>IF(A642&lt;&gt;"",SUMIFS('JPK_KR-1'!AM:AM,'JPK_KR-1'!W:W,B642),"")</f>
        <v/>
      </c>
      <c r="E642" s="5" t="str">
        <f>IF(kokpit!E642&lt;&gt;"",kokpit!E642,"")</f>
        <v/>
      </c>
      <c r="F642" s="127" t="str">
        <f>IF(kokpit!F642&lt;&gt;"",kokpit!F642,"")</f>
        <v/>
      </c>
      <c r="G642" s="24" t="str">
        <f>IF(E642&lt;&gt;"",SUMIFS('JPK_KR-1'!AL:AL,'JPK_KR-1'!W:W,F642),"")</f>
        <v/>
      </c>
      <c r="H642" s="126" t="str">
        <f>IF(E642&lt;&gt;"",SUMIFS('JPK_KR-1'!AM:AM,'JPK_KR-1'!W:W,F642),"")</f>
        <v/>
      </c>
      <c r="I642" s="5" t="str">
        <f>IF(kokpit!I642&lt;&gt;"",kokpit!I642,"")</f>
        <v/>
      </c>
      <c r="J642" s="5" t="str">
        <f>IF(kokpit!J642&lt;&gt;"",kokpit!J642,"")</f>
        <v/>
      </c>
      <c r="K642" s="24" t="str">
        <f>IF(I642&lt;&gt;"",SUMIFS('JPK_KR-1'!AL:AL,'JPK_KR-1'!W:W,J642),"")</f>
        <v/>
      </c>
      <c r="L642" s="141" t="str">
        <f>IF(I642&lt;&gt;"",SUMIFS('JPK_KR-1'!AM:AM,'JPK_KR-1'!W:W,J642),"")</f>
        <v/>
      </c>
      <c r="M642" s="143" t="str">
        <f>IF(kokpit!M642&lt;&gt;"",kokpit!M642,"")</f>
        <v/>
      </c>
      <c r="N642" s="117" t="str">
        <f>IF(kokpit!N642&lt;&gt;"",kokpit!N642,"")</f>
        <v/>
      </c>
      <c r="O642" s="117" t="str">
        <f>IF(kokpit!O642&lt;&gt;"",kokpit!O642,"")</f>
        <v/>
      </c>
      <c r="P642" s="141" t="str">
        <f>IF(M642&lt;&gt;"",IF(O642="",SUMIFS('JPK_KR-1'!AL:AL,'JPK_KR-1'!W:W,N642),SUMIFS('JPK_KR-1'!BF:BF,'JPK_KR-1'!BE:BE,N642,'JPK_KR-1'!BG:BG,O642)),"")</f>
        <v/>
      </c>
      <c r="Q642" s="144" t="str">
        <f>IF(M642&lt;&gt;"",IF(O642="",SUMIFS('JPK_KR-1'!AM:AM,'JPK_KR-1'!W:W,N642),SUMIFS('JPK_KR-1'!BI:BI,'JPK_KR-1'!BH:BH,N642,'JPK_KR-1'!BJ:BJ,O642)),"")</f>
        <v/>
      </c>
      <c r="R642" s="117" t="str">
        <f>IF(kokpit!R642&lt;&gt;"",kokpit!R642,"")</f>
        <v/>
      </c>
      <c r="S642" s="117" t="str">
        <f>IF(kokpit!S642&lt;&gt;"",kokpit!S642,"")</f>
        <v/>
      </c>
      <c r="T642" s="117" t="str">
        <f>IF(kokpit!T642&lt;&gt;"",kokpit!T642,"")</f>
        <v/>
      </c>
      <c r="U642" s="141" t="str">
        <f>IF(R642&lt;&gt;"",SUMIFS('JPK_KR-1'!AL:AL,'JPK_KR-1'!W:W,S642),"")</f>
        <v/>
      </c>
      <c r="V642" s="144" t="str">
        <f>IF(R642&lt;&gt;"",SUMIFS('JPK_KR-1'!AM:AM,'JPK_KR-1'!W:W,S642),"")</f>
        <v/>
      </c>
    </row>
    <row r="643" spans="1:22" x14ac:dyDescent="0.3">
      <c r="A643" s="5" t="str">
        <f>IF(kokpit!A643&lt;&gt;"",kokpit!A643,"")</f>
        <v/>
      </c>
      <c r="B643" s="5" t="str">
        <f>IF(kokpit!B643&lt;&gt;"",kokpit!B643,"")</f>
        <v/>
      </c>
      <c r="C643" s="24" t="str">
        <f>IF(A643&lt;&gt;"",SUMIFS('JPK_KR-1'!AL:AL,'JPK_KR-1'!W:W,B643),"")</f>
        <v/>
      </c>
      <c r="D643" s="126" t="str">
        <f>IF(A643&lt;&gt;"",SUMIFS('JPK_KR-1'!AM:AM,'JPK_KR-1'!W:W,B643),"")</f>
        <v/>
      </c>
      <c r="E643" s="5" t="str">
        <f>IF(kokpit!E643&lt;&gt;"",kokpit!E643,"")</f>
        <v/>
      </c>
      <c r="F643" s="127" t="str">
        <f>IF(kokpit!F643&lt;&gt;"",kokpit!F643,"")</f>
        <v/>
      </c>
      <c r="G643" s="24" t="str">
        <f>IF(E643&lt;&gt;"",SUMIFS('JPK_KR-1'!AL:AL,'JPK_KR-1'!W:W,F643),"")</f>
        <v/>
      </c>
      <c r="H643" s="126" t="str">
        <f>IF(E643&lt;&gt;"",SUMIFS('JPK_KR-1'!AM:AM,'JPK_KR-1'!W:W,F643),"")</f>
        <v/>
      </c>
      <c r="I643" s="5" t="str">
        <f>IF(kokpit!I643&lt;&gt;"",kokpit!I643,"")</f>
        <v/>
      </c>
      <c r="J643" s="5" t="str">
        <f>IF(kokpit!J643&lt;&gt;"",kokpit!J643,"")</f>
        <v/>
      </c>
      <c r="K643" s="24" t="str">
        <f>IF(I643&lt;&gt;"",SUMIFS('JPK_KR-1'!AL:AL,'JPK_KR-1'!W:W,J643),"")</f>
        <v/>
      </c>
      <c r="L643" s="141" t="str">
        <f>IF(I643&lt;&gt;"",SUMIFS('JPK_KR-1'!AM:AM,'JPK_KR-1'!W:W,J643),"")</f>
        <v/>
      </c>
      <c r="M643" s="143" t="str">
        <f>IF(kokpit!M643&lt;&gt;"",kokpit!M643,"")</f>
        <v/>
      </c>
      <c r="N643" s="117" t="str">
        <f>IF(kokpit!N643&lt;&gt;"",kokpit!N643,"")</f>
        <v/>
      </c>
      <c r="O643" s="117" t="str">
        <f>IF(kokpit!O643&lt;&gt;"",kokpit!O643,"")</f>
        <v/>
      </c>
      <c r="P643" s="141" t="str">
        <f>IF(M643&lt;&gt;"",IF(O643="",SUMIFS('JPK_KR-1'!AL:AL,'JPK_KR-1'!W:W,N643),SUMIFS('JPK_KR-1'!BF:BF,'JPK_KR-1'!BE:BE,N643,'JPK_KR-1'!BG:BG,O643)),"")</f>
        <v/>
      </c>
      <c r="Q643" s="144" t="str">
        <f>IF(M643&lt;&gt;"",IF(O643="",SUMIFS('JPK_KR-1'!AM:AM,'JPK_KR-1'!W:W,N643),SUMIFS('JPK_KR-1'!BI:BI,'JPK_KR-1'!BH:BH,N643,'JPK_KR-1'!BJ:BJ,O643)),"")</f>
        <v/>
      </c>
      <c r="R643" s="117" t="str">
        <f>IF(kokpit!R643&lt;&gt;"",kokpit!R643,"")</f>
        <v/>
      </c>
      <c r="S643" s="117" t="str">
        <f>IF(kokpit!S643&lt;&gt;"",kokpit!S643,"")</f>
        <v/>
      </c>
      <c r="T643" s="117" t="str">
        <f>IF(kokpit!T643&lt;&gt;"",kokpit!T643,"")</f>
        <v/>
      </c>
      <c r="U643" s="141" t="str">
        <f>IF(R643&lt;&gt;"",SUMIFS('JPK_KR-1'!AL:AL,'JPK_KR-1'!W:W,S643),"")</f>
        <v/>
      </c>
      <c r="V643" s="144" t="str">
        <f>IF(R643&lt;&gt;"",SUMIFS('JPK_KR-1'!AM:AM,'JPK_KR-1'!W:W,S643),"")</f>
        <v/>
      </c>
    </row>
    <row r="644" spans="1:22" x14ac:dyDescent="0.3">
      <c r="A644" s="5" t="str">
        <f>IF(kokpit!A644&lt;&gt;"",kokpit!A644,"")</f>
        <v/>
      </c>
      <c r="B644" s="5" t="str">
        <f>IF(kokpit!B644&lt;&gt;"",kokpit!B644,"")</f>
        <v/>
      </c>
      <c r="C644" s="24" t="str">
        <f>IF(A644&lt;&gt;"",SUMIFS('JPK_KR-1'!AL:AL,'JPK_KR-1'!W:W,B644),"")</f>
        <v/>
      </c>
      <c r="D644" s="126" t="str">
        <f>IF(A644&lt;&gt;"",SUMIFS('JPK_KR-1'!AM:AM,'JPK_KR-1'!W:W,B644),"")</f>
        <v/>
      </c>
      <c r="E644" s="5" t="str">
        <f>IF(kokpit!E644&lt;&gt;"",kokpit!E644,"")</f>
        <v/>
      </c>
      <c r="F644" s="127" t="str">
        <f>IF(kokpit!F644&lt;&gt;"",kokpit!F644,"")</f>
        <v/>
      </c>
      <c r="G644" s="24" t="str">
        <f>IF(E644&lt;&gt;"",SUMIFS('JPK_KR-1'!AL:AL,'JPK_KR-1'!W:W,F644),"")</f>
        <v/>
      </c>
      <c r="H644" s="126" t="str">
        <f>IF(E644&lt;&gt;"",SUMIFS('JPK_KR-1'!AM:AM,'JPK_KR-1'!W:W,F644),"")</f>
        <v/>
      </c>
      <c r="I644" s="5" t="str">
        <f>IF(kokpit!I644&lt;&gt;"",kokpit!I644,"")</f>
        <v/>
      </c>
      <c r="J644" s="5" t="str">
        <f>IF(kokpit!J644&lt;&gt;"",kokpit!J644,"")</f>
        <v/>
      </c>
      <c r="K644" s="24" t="str">
        <f>IF(I644&lt;&gt;"",SUMIFS('JPK_KR-1'!AL:AL,'JPK_KR-1'!W:W,J644),"")</f>
        <v/>
      </c>
      <c r="L644" s="141" t="str">
        <f>IF(I644&lt;&gt;"",SUMIFS('JPK_KR-1'!AM:AM,'JPK_KR-1'!W:W,J644),"")</f>
        <v/>
      </c>
      <c r="M644" s="143" t="str">
        <f>IF(kokpit!M644&lt;&gt;"",kokpit!M644,"")</f>
        <v/>
      </c>
      <c r="N644" s="117" t="str">
        <f>IF(kokpit!N644&lt;&gt;"",kokpit!N644,"")</f>
        <v/>
      </c>
      <c r="O644" s="117" t="str">
        <f>IF(kokpit!O644&lt;&gt;"",kokpit!O644,"")</f>
        <v/>
      </c>
      <c r="P644" s="141" t="str">
        <f>IF(M644&lt;&gt;"",IF(O644="",SUMIFS('JPK_KR-1'!AL:AL,'JPK_KR-1'!W:W,N644),SUMIFS('JPK_KR-1'!BF:BF,'JPK_KR-1'!BE:BE,N644,'JPK_KR-1'!BG:BG,O644)),"")</f>
        <v/>
      </c>
      <c r="Q644" s="144" t="str">
        <f>IF(M644&lt;&gt;"",IF(O644="",SUMIFS('JPK_KR-1'!AM:AM,'JPK_KR-1'!W:W,N644),SUMIFS('JPK_KR-1'!BI:BI,'JPK_KR-1'!BH:BH,N644,'JPK_KR-1'!BJ:BJ,O644)),"")</f>
        <v/>
      </c>
      <c r="R644" s="117" t="str">
        <f>IF(kokpit!R644&lt;&gt;"",kokpit!R644,"")</f>
        <v/>
      </c>
      <c r="S644" s="117" t="str">
        <f>IF(kokpit!S644&lt;&gt;"",kokpit!S644,"")</f>
        <v/>
      </c>
      <c r="T644" s="117" t="str">
        <f>IF(kokpit!T644&lt;&gt;"",kokpit!T644,"")</f>
        <v/>
      </c>
      <c r="U644" s="141" t="str">
        <f>IF(R644&lt;&gt;"",SUMIFS('JPK_KR-1'!AL:AL,'JPK_KR-1'!W:W,S644),"")</f>
        <v/>
      </c>
      <c r="V644" s="144" t="str">
        <f>IF(R644&lt;&gt;"",SUMIFS('JPK_KR-1'!AM:AM,'JPK_KR-1'!W:W,S644),"")</f>
        <v/>
      </c>
    </row>
    <row r="645" spans="1:22" x14ac:dyDescent="0.3">
      <c r="A645" s="5" t="str">
        <f>IF(kokpit!A645&lt;&gt;"",kokpit!A645,"")</f>
        <v/>
      </c>
      <c r="B645" s="5" t="str">
        <f>IF(kokpit!B645&lt;&gt;"",kokpit!B645,"")</f>
        <v/>
      </c>
      <c r="C645" s="24" t="str">
        <f>IF(A645&lt;&gt;"",SUMIFS('JPK_KR-1'!AL:AL,'JPK_KR-1'!W:W,B645),"")</f>
        <v/>
      </c>
      <c r="D645" s="126" t="str">
        <f>IF(A645&lt;&gt;"",SUMIFS('JPK_KR-1'!AM:AM,'JPK_KR-1'!W:W,B645),"")</f>
        <v/>
      </c>
      <c r="E645" s="5" t="str">
        <f>IF(kokpit!E645&lt;&gt;"",kokpit!E645,"")</f>
        <v/>
      </c>
      <c r="F645" s="127" t="str">
        <f>IF(kokpit!F645&lt;&gt;"",kokpit!F645,"")</f>
        <v/>
      </c>
      <c r="G645" s="24" t="str">
        <f>IF(E645&lt;&gt;"",SUMIFS('JPK_KR-1'!AL:AL,'JPK_KR-1'!W:W,F645),"")</f>
        <v/>
      </c>
      <c r="H645" s="126" t="str">
        <f>IF(E645&lt;&gt;"",SUMIFS('JPK_KR-1'!AM:AM,'JPK_KR-1'!W:W,F645),"")</f>
        <v/>
      </c>
      <c r="I645" s="5" t="str">
        <f>IF(kokpit!I645&lt;&gt;"",kokpit!I645,"")</f>
        <v/>
      </c>
      <c r="J645" s="5" t="str">
        <f>IF(kokpit!J645&lt;&gt;"",kokpit!J645,"")</f>
        <v/>
      </c>
      <c r="K645" s="24" t="str">
        <f>IF(I645&lt;&gt;"",SUMIFS('JPK_KR-1'!AL:AL,'JPK_KR-1'!W:W,J645),"")</f>
        <v/>
      </c>
      <c r="L645" s="141" t="str">
        <f>IF(I645&lt;&gt;"",SUMIFS('JPK_KR-1'!AM:AM,'JPK_KR-1'!W:W,J645),"")</f>
        <v/>
      </c>
      <c r="M645" s="143" t="str">
        <f>IF(kokpit!M645&lt;&gt;"",kokpit!M645,"")</f>
        <v/>
      </c>
      <c r="N645" s="117" t="str">
        <f>IF(kokpit!N645&lt;&gt;"",kokpit!N645,"")</f>
        <v/>
      </c>
      <c r="O645" s="117" t="str">
        <f>IF(kokpit!O645&lt;&gt;"",kokpit!O645,"")</f>
        <v/>
      </c>
      <c r="P645" s="141" t="str">
        <f>IF(M645&lt;&gt;"",IF(O645="",SUMIFS('JPK_KR-1'!AL:AL,'JPK_KR-1'!W:W,N645),SUMIFS('JPK_KR-1'!BF:BF,'JPK_KR-1'!BE:BE,N645,'JPK_KR-1'!BG:BG,O645)),"")</f>
        <v/>
      </c>
      <c r="Q645" s="144" t="str">
        <f>IF(M645&lt;&gt;"",IF(O645="",SUMIFS('JPK_KR-1'!AM:AM,'JPK_KR-1'!W:W,N645),SUMIFS('JPK_KR-1'!BI:BI,'JPK_KR-1'!BH:BH,N645,'JPK_KR-1'!BJ:BJ,O645)),"")</f>
        <v/>
      </c>
      <c r="R645" s="117" t="str">
        <f>IF(kokpit!R645&lt;&gt;"",kokpit!R645,"")</f>
        <v/>
      </c>
      <c r="S645" s="117" t="str">
        <f>IF(kokpit!S645&lt;&gt;"",kokpit!S645,"")</f>
        <v/>
      </c>
      <c r="T645" s="117" t="str">
        <f>IF(kokpit!T645&lt;&gt;"",kokpit!T645,"")</f>
        <v/>
      </c>
      <c r="U645" s="141" t="str">
        <f>IF(R645&lt;&gt;"",SUMIFS('JPK_KR-1'!AL:AL,'JPK_KR-1'!W:W,S645),"")</f>
        <v/>
      </c>
      <c r="V645" s="144" t="str">
        <f>IF(R645&lt;&gt;"",SUMIFS('JPK_KR-1'!AM:AM,'JPK_KR-1'!W:W,S645),"")</f>
        <v/>
      </c>
    </row>
    <row r="646" spans="1:22" x14ac:dyDescent="0.3">
      <c r="A646" s="5" t="str">
        <f>IF(kokpit!A646&lt;&gt;"",kokpit!A646,"")</f>
        <v/>
      </c>
      <c r="B646" s="5" t="str">
        <f>IF(kokpit!B646&lt;&gt;"",kokpit!B646,"")</f>
        <v/>
      </c>
      <c r="C646" s="24" t="str">
        <f>IF(A646&lt;&gt;"",SUMIFS('JPK_KR-1'!AL:AL,'JPK_KR-1'!W:W,B646),"")</f>
        <v/>
      </c>
      <c r="D646" s="126" t="str">
        <f>IF(A646&lt;&gt;"",SUMIFS('JPK_KR-1'!AM:AM,'JPK_KR-1'!W:W,B646),"")</f>
        <v/>
      </c>
      <c r="E646" s="5" t="str">
        <f>IF(kokpit!E646&lt;&gt;"",kokpit!E646,"")</f>
        <v/>
      </c>
      <c r="F646" s="127" t="str">
        <f>IF(kokpit!F646&lt;&gt;"",kokpit!F646,"")</f>
        <v/>
      </c>
      <c r="G646" s="24" t="str">
        <f>IF(E646&lt;&gt;"",SUMIFS('JPK_KR-1'!AL:AL,'JPK_KR-1'!W:W,F646),"")</f>
        <v/>
      </c>
      <c r="H646" s="126" t="str">
        <f>IF(E646&lt;&gt;"",SUMIFS('JPK_KR-1'!AM:AM,'JPK_KR-1'!W:W,F646),"")</f>
        <v/>
      </c>
      <c r="I646" s="5" t="str">
        <f>IF(kokpit!I646&lt;&gt;"",kokpit!I646,"")</f>
        <v/>
      </c>
      <c r="J646" s="5" t="str">
        <f>IF(kokpit!J646&lt;&gt;"",kokpit!J646,"")</f>
        <v/>
      </c>
      <c r="K646" s="24" t="str">
        <f>IF(I646&lt;&gt;"",SUMIFS('JPK_KR-1'!AL:AL,'JPK_KR-1'!W:W,J646),"")</f>
        <v/>
      </c>
      <c r="L646" s="141" t="str">
        <f>IF(I646&lt;&gt;"",SUMIFS('JPK_KR-1'!AM:AM,'JPK_KR-1'!W:W,J646),"")</f>
        <v/>
      </c>
      <c r="M646" s="143" t="str">
        <f>IF(kokpit!M646&lt;&gt;"",kokpit!M646,"")</f>
        <v/>
      </c>
      <c r="N646" s="117" t="str">
        <f>IF(kokpit!N646&lt;&gt;"",kokpit!N646,"")</f>
        <v/>
      </c>
      <c r="O646" s="117" t="str">
        <f>IF(kokpit!O646&lt;&gt;"",kokpit!O646,"")</f>
        <v/>
      </c>
      <c r="P646" s="141" t="str">
        <f>IF(M646&lt;&gt;"",IF(O646="",SUMIFS('JPK_KR-1'!AL:AL,'JPK_KR-1'!W:W,N646),SUMIFS('JPK_KR-1'!BF:BF,'JPK_KR-1'!BE:BE,N646,'JPK_KR-1'!BG:BG,O646)),"")</f>
        <v/>
      </c>
      <c r="Q646" s="144" t="str">
        <f>IF(M646&lt;&gt;"",IF(O646="",SUMIFS('JPK_KR-1'!AM:AM,'JPK_KR-1'!W:W,N646),SUMIFS('JPK_KR-1'!BI:BI,'JPK_KR-1'!BH:BH,N646,'JPK_KR-1'!BJ:BJ,O646)),"")</f>
        <v/>
      </c>
      <c r="R646" s="117" t="str">
        <f>IF(kokpit!R646&lt;&gt;"",kokpit!R646,"")</f>
        <v/>
      </c>
      <c r="S646" s="117" t="str">
        <f>IF(kokpit!S646&lt;&gt;"",kokpit!S646,"")</f>
        <v/>
      </c>
      <c r="T646" s="117" t="str">
        <f>IF(kokpit!T646&lt;&gt;"",kokpit!T646,"")</f>
        <v/>
      </c>
      <c r="U646" s="141" t="str">
        <f>IF(R646&lt;&gt;"",SUMIFS('JPK_KR-1'!AL:AL,'JPK_KR-1'!W:W,S646),"")</f>
        <v/>
      </c>
      <c r="V646" s="144" t="str">
        <f>IF(R646&lt;&gt;"",SUMIFS('JPK_KR-1'!AM:AM,'JPK_KR-1'!W:W,S646),"")</f>
        <v/>
      </c>
    </row>
    <row r="647" spans="1:22" x14ac:dyDescent="0.3">
      <c r="A647" s="5" t="str">
        <f>IF(kokpit!A647&lt;&gt;"",kokpit!A647,"")</f>
        <v/>
      </c>
      <c r="B647" s="5" t="str">
        <f>IF(kokpit!B647&lt;&gt;"",kokpit!B647,"")</f>
        <v/>
      </c>
      <c r="C647" s="24" t="str">
        <f>IF(A647&lt;&gt;"",SUMIFS('JPK_KR-1'!AL:AL,'JPK_KR-1'!W:W,B647),"")</f>
        <v/>
      </c>
      <c r="D647" s="126" t="str">
        <f>IF(A647&lt;&gt;"",SUMIFS('JPK_KR-1'!AM:AM,'JPK_KR-1'!W:W,B647),"")</f>
        <v/>
      </c>
      <c r="E647" s="5" t="str">
        <f>IF(kokpit!E647&lt;&gt;"",kokpit!E647,"")</f>
        <v/>
      </c>
      <c r="F647" s="127" t="str">
        <f>IF(kokpit!F647&lt;&gt;"",kokpit!F647,"")</f>
        <v/>
      </c>
      <c r="G647" s="24" t="str">
        <f>IF(E647&lt;&gt;"",SUMIFS('JPK_KR-1'!AL:AL,'JPK_KR-1'!W:W,F647),"")</f>
        <v/>
      </c>
      <c r="H647" s="126" t="str">
        <f>IF(E647&lt;&gt;"",SUMIFS('JPK_KR-1'!AM:AM,'JPK_KR-1'!W:W,F647),"")</f>
        <v/>
      </c>
      <c r="I647" s="5" t="str">
        <f>IF(kokpit!I647&lt;&gt;"",kokpit!I647,"")</f>
        <v/>
      </c>
      <c r="J647" s="5" t="str">
        <f>IF(kokpit!J647&lt;&gt;"",kokpit!J647,"")</f>
        <v/>
      </c>
      <c r="K647" s="24" t="str">
        <f>IF(I647&lt;&gt;"",SUMIFS('JPK_KR-1'!AL:AL,'JPK_KR-1'!W:W,J647),"")</f>
        <v/>
      </c>
      <c r="L647" s="141" t="str">
        <f>IF(I647&lt;&gt;"",SUMIFS('JPK_KR-1'!AM:AM,'JPK_KR-1'!W:W,J647),"")</f>
        <v/>
      </c>
      <c r="M647" s="143" t="str">
        <f>IF(kokpit!M647&lt;&gt;"",kokpit!M647,"")</f>
        <v/>
      </c>
      <c r="N647" s="117" t="str">
        <f>IF(kokpit!N647&lt;&gt;"",kokpit!N647,"")</f>
        <v/>
      </c>
      <c r="O647" s="117" t="str">
        <f>IF(kokpit!O647&lt;&gt;"",kokpit!O647,"")</f>
        <v/>
      </c>
      <c r="P647" s="141" t="str">
        <f>IF(M647&lt;&gt;"",IF(O647="",SUMIFS('JPK_KR-1'!AL:AL,'JPK_KR-1'!W:W,N647),SUMIFS('JPK_KR-1'!BF:BF,'JPK_KR-1'!BE:BE,N647,'JPK_KR-1'!BG:BG,O647)),"")</f>
        <v/>
      </c>
      <c r="Q647" s="144" t="str">
        <f>IF(M647&lt;&gt;"",IF(O647="",SUMIFS('JPK_KR-1'!AM:AM,'JPK_KR-1'!W:W,N647),SUMIFS('JPK_KR-1'!BI:BI,'JPK_KR-1'!BH:BH,N647,'JPK_KR-1'!BJ:BJ,O647)),"")</f>
        <v/>
      </c>
      <c r="R647" s="117" t="str">
        <f>IF(kokpit!R647&lt;&gt;"",kokpit!R647,"")</f>
        <v/>
      </c>
      <c r="S647" s="117" t="str">
        <f>IF(kokpit!S647&lt;&gt;"",kokpit!S647,"")</f>
        <v/>
      </c>
      <c r="T647" s="117" t="str">
        <f>IF(kokpit!T647&lt;&gt;"",kokpit!T647,"")</f>
        <v/>
      </c>
      <c r="U647" s="141" t="str">
        <f>IF(R647&lt;&gt;"",SUMIFS('JPK_KR-1'!AL:AL,'JPK_KR-1'!W:W,S647),"")</f>
        <v/>
      </c>
      <c r="V647" s="144" t="str">
        <f>IF(R647&lt;&gt;"",SUMIFS('JPK_KR-1'!AM:AM,'JPK_KR-1'!W:W,S647),"")</f>
        <v/>
      </c>
    </row>
    <row r="648" spans="1:22" x14ac:dyDescent="0.3">
      <c r="A648" s="5" t="str">
        <f>IF(kokpit!A648&lt;&gt;"",kokpit!A648,"")</f>
        <v/>
      </c>
      <c r="B648" s="5" t="str">
        <f>IF(kokpit!B648&lt;&gt;"",kokpit!B648,"")</f>
        <v/>
      </c>
      <c r="C648" s="24" t="str">
        <f>IF(A648&lt;&gt;"",SUMIFS('JPK_KR-1'!AL:AL,'JPK_KR-1'!W:W,B648),"")</f>
        <v/>
      </c>
      <c r="D648" s="126" t="str">
        <f>IF(A648&lt;&gt;"",SUMIFS('JPK_KR-1'!AM:AM,'JPK_KR-1'!W:W,B648),"")</f>
        <v/>
      </c>
      <c r="E648" s="5" t="str">
        <f>IF(kokpit!E648&lt;&gt;"",kokpit!E648,"")</f>
        <v/>
      </c>
      <c r="F648" s="127" t="str">
        <f>IF(kokpit!F648&lt;&gt;"",kokpit!F648,"")</f>
        <v/>
      </c>
      <c r="G648" s="24" t="str">
        <f>IF(E648&lt;&gt;"",SUMIFS('JPK_KR-1'!AL:AL,'JPK_KR-1'!W:W,F648),"")</f>
        <v/>
      </c>
      <c r="H648" s="126" t="str">
        <f>IF(E648&lt;&gt;"",SUMIFS('JPK_KR-1'!AM:AM,'JPK_KR-1'!W:W,F648),"")</f>
        <v/>
      </c>
      <c r="I648" s="5" t="str">
        <f>IF(kokpit!I648&lt;&gt;"",kokpit!I648,"")</f>
        <v/>
      </c>
      <c r="J648" s="5" t="str">
        <f>IF(kokpit!J648&lt;&gt;"",kokpit!J648,"")</f>
        <v/>
      </c>
      <c r="K648" s="24" t="str">
        <f>IF(I648&lt;&gt;"",SUMIFS('JPK_KR-1'!AL:AL,'JPK_KR-1'!W:W,J648),"")</f>
        <v/>
      </c>
      <c r="L648" s="141" t="str">
        <f>IF(I648&lt;&gt;"",SUMIFS('JPK_KR-1'!AM:AM,'JPK_KR-1'!W:W,J648),"")</f>
        <v/>
      </c>
      <c r="M648" s="143" t="str">
        <f>IF(kokpit!M648&lt;&gt;"",kokpit!M648,"")</f>
        <v/>
      </c>
      <c r="N648" s="117" t="str">
        <f>IF(kokpit!N648&lt;&gt;"",kokpit!N648,"")</f>
        <v/>
      </c>
      <c r="O648" s="117" t="str">
        <f>IF(kokpit!O648&lt;&gt;"",kokpit!O648,"")</f>
        <v/>
      </c>
      <c r="P648" s="141" t="str">
        <f>IF(M648&lt;&gt;"",IF(O648="",SUMIFS('JPK_KR-1'!AL:AL,'JPK_KR-1'!W:W,N648),SUMIFS('JPK_KR-1'!BF:BF,'JPK_KR-1'!BE:BE,N648,'JPK_KR-1'!BG:BG,O648)),"")</f>
        <v/>
      </c>
      <c r="Q648" s="144" t="str">
        <f>IF(M648&lt;&gt;"",IF(O648="",SUMIFS('JPK_KR-1'!AM:AM,'JPK_KR-1'!W:W,N648),SUMIFS('JPK_KR-1'!BI:BI,'JPK_KR-1'!BH:BH,N648,'JPK_KR-1'!BJ:BJ,O648)),"")</f>
        <v/>
      </c>
      <c r="R648" s="117" t="str">
        <f>IF(kokpit!R648&lt;&gt;"",kokpit!R648,"")</f>
        <v/>
      </c>
      <c r="S648" s="117" t="str">
        <f>IF(kokpit!S648&lt;&gt;"",kokpit!S648,"")</f>
        <v/>
      </c>
      <c r="T648" s="117" t="str">
        <f>IF(kokpit!T648&lt;&gt;"",kokpit!T648,"")</f>
        <v/>
      </c>
      <c r="U648" s="141" t="str">
        <f>IF(R648&lt;&gt;"",SUMIFS('JPK_KR-1'!AL:AL,'JPK_KR-1'!W:W,S648),"")</f>
        <v/>
      </c>
      <c r="V648" s="144" t="str">
        <f>IF(R648&lt;&gt;"",SUMIFS('JPK_KR-1'!AM:AM,'JPK_KR-1'!W:W,S648),"")</f>
        <v/>
      </c>
    </row>
    <row r="649" spans="1:22" x14ac:dyDescent="0.3">
      <c r="A649" s="5" t="str">
        <f>IF(kokpit!A649&lt;&gt;"",kokpit!A649,"")</f>
        <v/>
      </c>
      <c r="B649" s="5" t="str">
        <f>IF(kokpit!B649&lt;&gt;"",kokpit!B649,"")</f>
        <v/>
      </c>
      <c r="C649" s="24" t="str">
        <f>IF(A649&lt;&gt;"",SUMIFS('JPK_KR-1'!AL:AL,'JPK_KR-1'!W:W,B649),"")</f>
        <v/>
      </c>
      <c r="D649" s="126" t="str">
        <f>IF(A649&lt;&gt;"",SUMIFS('JPK_KR-1'!AM:AM,'JPK_KR-1'!W:W,B649),"")</f>
        <v/>
      </c>
      <c r="E649" s="5" t="str">
        <f>IF(kokpit!E649&lt;&gt;"",kokpit!E649,"")</f>
        <v/>
      </c>
      <c r="F649" s="127" t="str">
        <f>IF(kokpit!F649&lt;&gt;"",kokpit!F649,"")</f>
        <v/>
      </c>
      <c r="G649" s="24" t="str">
        <f>IF(E649&lt;&gt;"",SUMIFS('JPK_KR-1'!AL:AL,'JPK_KR-1'!W:W,F649),"")</f>
        <v/>
      </c>
      <c r="H649" s="126" t="str">
        <f>IF(E649&lt;&gt;"",SUMIFS('JPK_KR-1'!AM:AM,'JPK_KR-1'!W:W,F649),"")</f>
        <v/>
      </c>
      <c r="I649" s="5" t="str">
        <f>IF(kokpit!I649&lt;&gt;"",kokpit!I649,"")</f>
        <v/>
      </c>
      <c r="J649" s="5" t="str">
        <f>IF(kokpit!J649&lt;&gt;"",kokpit!J649,"")</f>
        <v/>
      </c>
      <c r="K649" s="24" t="str">
        <f>IF(I649&lt;&gt;"",SUMIFS('JPK_KR-1'!AL:AL,'JPK_KR-1'!W:W,J649),"")</f>
        <v/>
      </c>
      <c r="L649" s="141" t="str">
        <f>IF(I649&lt;&gt;"",SUMIFS('JPK_KR-1'!AM:AM,'JPK_KR-1'!W:W,J649),"")</f>
        <v/>
      </c>
      <c r="M649" s="143" t="str">
        <f>IF(kokpit!M649&lt;&gt;"",kokpit!M649,"")</f>
        <v/>
      </c>
      <c r="N649" s="117" t="str">
        <f>IF(kokpit!N649&lt;&gt;"",kokpit!N649,"")</f>
        <v/>
      </c>
      <c r="O649" s="117" t="str">
        <f>IF(kokpit!O649&lt;&gt;"",kokpit!O649,"")</f>
        <v/>
      </c>
      <c r="P649" s="141" t="str">
        <f>IF(M649&lt;&gt;"",IF(O649="",SUMIFS('JPK_KR-1'!AL:AL,'JPK_KR-1'!W:W,N649),SUMIFS('JPK_KR-1'!BF:BF,'JPK_KR-1'!BE:BE,N649,'JPK_KR-1'!BG:BG,O649)),"")</f>
        <v/>
      </c>
      <c r="Q649" s="144" t="str">
        <f>IF(M649&lt;&gt;"",IF(O649="",SUMIFS('JPK_KR-1'!AM:AM,'JPK_KR-1'!W:W,N649),SUMIFS('JPK_KR-1'!BI:BI,'JPK_KR-1'!BH:BH,N649,'JPK_KR-1'!BJ:BJ,O649)),"")</f>
        <v/>
      </c>
      <c r="R649" s="117" t="str">
        <f>IF(kokpit!R649&lt;&gt;"",kokpit!R649,"")</f>
        <v/>
      </c>
      <c r="S649" s="117" t="str">
        <f>IF(kokpit!S649&lt;&gt;"",kokpit!S649,"")</f>
        <v/>
      </c>
      <c r="T649" s="117" t="str">
        <f>IF(kokpit!T649&lt;&gt;"",kokpit!T649,"")</f>
        <v/>
      </c>
      <c r="U649" s="141" t="str">
        <f>IF(R649&lt;&gt;"",SUMIFS('JPK_KR-1'!AL:AL,'JPK_KR-1'!W:W,S649),"")</f>
        <v/>
      </c>
      <c r="V649" s="144" t="str">
        <f>IF(R649&lt;&gt;"",SUMIFS('JPK_KR-1'!AM:AM,'JPK_KR-1'!W:W,S649),"")</f>
        <v/>
      </c>
    </row>
    <row r="650" spans="1:22" x14ac:dyDescent="0.3">
      <c r="A650" s="5" t="str">
        <f>IF(kokpit!A650&lt;&gt;"",kokpit!A650,"")</f>
        <v/>
      </c>
      <c r="B650" s="5" t="str">
        <f>IF(kokpit!B650&lt;&gt;"",kokpit!B650,"")</f>
        <v/>
      </c>
      <c r="C650" s="24" t="str">
        <f>IF(A650&lt;&gt;"",SUMIFS('JPK_KR-1'!AL:AL,'JPK_KR-1'!W:W,B650),"")</f>
        <v/>
      </c>
      <c r="D650" s="126" t="str">
        <f>IF(A650&lt;&gt;"",SUMIFS('JPK_KR-1'!AM:AM,'JPK_KR-1'!W:W,B650),"")</f>
        <v/>
      </c>
      <c r="E650" s="5" t="str">
        <f>IF(kokpit!E650&lt;&gt;"",kokpit!E650,"")</f>
        <v/>
      </c>
      <c r="F650" s="127" t="str">
        <f>IF(kokpit!F650&lt;&gt;"",kokpit!F650,"")</f>
        <v/>
      </c>
      <c r="G650" s="24" t="str">
        <f>IF(E650&lt;&gt;"",SUMIFS('JPK_KR-1'!AL:AL,'JPK_KR-1'!W:W,F650),"")</f>
        <v/>
      </c>
      <c r="H650" s="126" t="str">
        <f>IF(E650&lt;&gt;"",SUMIFS('JPK_KR-1'!AM:AM,'JPK_KR-1'!W:W,F650),"")</f>
        <v/>
      </c>
      <c r="I650" s="5" t="str">
        <f>IF(kokpit!I650&lt;&gt;"",kokpit!I650,"")</f>
        <v/>
      </c>
      <c r="J650" s="5" t="str">
        <f>IF(kokpit!J650&lt;&gt;"",kokpit!J650,"")</f>
        <v/>
      </c>
      <c r="K650" s="24" t="str">
        <f>IF(I650&lt;&gt;"",SUMIFS('JPK_KR-1'!AL:AL,'JPK_KR-1'!W:W,J650),"")</f>
        <v/>
      </c>
      <c r="L650" s="141" t="str">
        <f>IF(I650&lt;&gt;"",SUMIFS('JPK_KR-1'!AM:AM,'JPK_KR-1'!W:W,J650),"")</f>
        <v/>
      </c>
      <c r="M650" s="143" t="str">
        <f>IF(kokpit!M650&lt;&gt;"",kokpit!M650,"")</f>
        <v/>
      </c>
      <c r="N650" s="117" t="str">
        <f>IF(kokpit!N650&lt;&gt;"",kokpit!N650,"")</f>
        <v/>
      </c>
      <c r="O650" s="117" t="str">
        <f>IF(kokpit!O650&lt;&gt;"",kokpit!O650,"")</f>
        <v/>
      </c>
      <c r="P650" s="141" t="str">
        <f>IF(M650&lt;&gt;"",IF(O650="",SUMIFS('JPK_KR-1'!AL:AL,'JPK_KR-1'!W:W,N650),SUMIFS('JPK_KR-1'!BF:BF,'JPK_KR-1'!BE:BE,N650,'JPK_KR-1'!BG:BG,O650)),"")</f>
        <v/>
      </c>
      <c r="Q650" s="144" t="str">
        <f>IF(M650&lt;&gt;"",IF(O650="",SUMIFS('JPK_KR-1'!AM:AM,'JPK_KR-1'!W:W,N650),SUMIFS('JPK_KR-1'!BI:BI,'JPK_KR-1'!BH:BH,N650,'JPK_KR-1'!BJ:BJ,O650)),"")</f>
        <v/>
      </c>
      <c r="R650" s="117" t="str">
        <f>IF(kokpit!R650&lt;&gt;"",kokpit!R650,"")</f>
        <v/>
      </c>
      <c r="S650" s="117" t="str">
        <f>IF(kokpit!S650&lt;&gt;"",kokpit!S650,"")</f>
        <v/>
      </c>
      <c r="T650" s="117" t="str">
        <f>IF(kokpit!T650&lt;&gt;"",kokpit!T650,"")</f>
        <v/>
      </c>
      <c r="U650" s="141" t="str">
        <f>IF(R650&lt;&gt;"",SUMIFS('JPK_KR-1'!AL:AL,'JPK_KR-1'!W:W,S650),"")</f>
        <v/>
      </c>
      <c r="V650" s="144" t="str">
        <f>IF(R650&lt;&gt;"",SUMIFS('JPK_KR-1'!AM:AM,'JPK_KR-1'!W:W,S650),"")</f>
        <v/>
      </c>
    </row>
    <row r="651" spans="1:22" x14ac:dyDescent="0.3">
      <c r="A651" s="5" t="str">
        <f>IF(kokpit!A651&lt;&gt;"",kokpit!A651,"")</f>
        <v/>
      </c>
      <c r="B651" s="5" t="str">
        <f>IF(kokpit!B651&lt;&gt;"",kokpit!B651,"")</f>
        <v/>
      </c>
      <c r="C651" s="24" t="str">
        <f>IF(A651&lt;&gt;"",SUMIFS('JPK_KR-1'!AL:AL,'JPK_KR-1'!W:W,B651),"")</f>
        <v/>
      </c>
      <c r="D651" s="126" t="str">
        <f>IF(A651&lt;&gt;"",SUMIFS('JPK_KR-1'!AM:AM,'JPK_KR-1'!W:W,B651),"")</f>
        <v/>
      </c>
      <c r="E651" s="5" t="str">
        <f>IF(kokpit!E651&lt;&gt;"",kokpit!E651,"")</f>
        <v/>
      </c>
      <c r="F651" s="127" t="str">
        <f>IF(kokpit!F651&lt;&gt;"",kokpit!F651,"")</f>
        <v/>
      </c>
      <c r="G651" s="24" t="str">
        <f>IF(E651&lt;&gt;"",SUMIFS('JPK_KR-1'!AL:AL,'JPK_KR-1'!W:W,F651),"")</f>
        <v/>
      </c>
      <c r="H651" s="126" t="str">
        <f>IF(E651&lt;&gt;"",SUMIFS('JPK_KR-1'!AM:AM,'JPK_KR-1'!W:W,F651),"")</f>
        <v/>
      </c>
      <c r="I651" s="5" t="str">
        <f>IF(kokpit!I651&lt;&gt;"",kokpit!I651,"")</f>
        <v/>
      </c>
      <c r="J651" s="5" t="str">
        <f>IF(kokpit!J651&lt;&gt;"",kokpit!J651,"")</f>
        <v/>
      </c>
      <c r="K651" s="24" t="str">
        <f>IF(I651&lt;&gt;"",SUMIFS('JPK_KR-1'!AL:AL,'JPK_KR-1'!W:W,J651),"")</f>
        <v/>
      </c>
      <c r="L651" s="141" t="str">
        <f>IF(I651&lt;&gt;"",SUMIFS('JPK_KR-1'!AM:AM,'JPK_KR-1'!W:W,J651),"")</f>
        <v/>
      </c>
      <c r="M651" s="143" t="str">
        <f>IF(kokpit!M651&lt;&gt;"",kokpit!M651,"")</f>
        <v/>
      </c>
      <c r="N651" s="117" t="str">
        <f>IF(kokpit!N651&lt;&gt;"",kokpit!N651,"")</f>
        <v/>
      </c>
      <c r="O651" s="117" t="str">
        <f>IF(kokpit!O651&lt;&gt;"",kokpit!O651,"")</f>
        <v/>
      </c>
      <c r="P651" s="141" t="str">
        <f>IF(M651&lt;&gt;"",IF(O651="",SUMIFS('JPK_KR-1'!AL:AL,'JPK_KR-1'!W:W,N651),SUMIFS('JPK_KR-1'!BF:BF,'JPK_KR-1'!BE:BE,N651,'JPK_KR-1'!BG:BG,O651)),"")</f>
        <v/>
      </c>
      <c r="Q651" s="144" t="str">
        <f>IF(M651&lt;&gt;"",IF(O651="",SUMIFS('JPK_KR-1'!AM:AM,'JPK_KR-1'!W:W,N651),SUMIFS('JPK_KR-1'!BI:BI,'JPK_KR-1'!BH:BH,N651,'JPK_KR-1'!BJ:BJ,O651)),"")</f>
        <v/>
      </c>
      <c r="R651" s="117" t="str">
        <f>IF(kokpit!R651&lt;&gt;"",kokpit!R651,"")</f>
        <v/>
      </c>
      <c r="S651" s="117" t="str">
        <f>IF(kokpit!S651&lt;&gt;"",kokpit!S651,"")</f>
        <v/>
      </c>
      <c r="T651" s="117" t="str">
        <f>IF(kokpit!T651&lt;&gt;"",kokpit!T651,"")</f>
        <v/>
      </c>
      <c r="U651" s="141" t="str">
        <f>IF(R651&lt;&gt;"",SUMIFS('JPK_KR-1'!AL:AL,'JPK_KR-1'!W:W,S651),"")</f>
        <v/>
      </c>
      <c r="V651" s="144" t="str">
        <f>IF(R651&lt;&gt;"",SUMIFS('JPK_KR-1'!AM:AM,'JPK_KR-1'!W:W,S651),"")</f>
        <v/>
      </c>
    </row>
    <row r="652" spans="1:22" x14ac:dyDescent="0.3">
      <c r="A652" s="5" t="str">
        <f>IF(kokpit!A652&lt;&gt;"",kokpit!A652,"")</f>
        <v/>
      </c>
      <c r="B652" s="5" t="str">
        <f>IF(kokpit!B652&lt;&gt;"",kokpit!B652,"")</f>
        <v/>
      </c>
      <c r="C652" s="24" t="str">
        <f>IF(A652&lt;&gt;"",SUMIFS('JPK_KR-1'!AL:AL,'JPK_KR-1'!W:W,B652),"")</f>
        <v/>
      </c>
      <c r="D652" s="126" t="str">
        <f>IF(A652&lt;&gt;"",SUMIFS('JPK_KR-1'!AM:AM,'JPK_KR-1'!W:W,B652),"")</f>
        <v/>
      </c>
      <c r="E652" s="5" t="str">
        <f>IF(kokpit!E652&lt;&gt;"",kokpit!E652,"")</f>
        <v/>
      </c>
      <c r="F652" s="127" t="str">
        <f>IF(kokpit!F652&lt;&gt;"",kokpit!F652,"")</f>
        <v/>
      </c>
      <c r="G652" s="24" t="str">
        <f>IF(E652&lt;&gt;"",SUMIFS('JPK_KR-1'!AL:AL,'JPK_KR-1'!W:W,F652),"")</f>
        <v/>
      </c>
      <c r="H652" s="126" t="str">
        <f>IF(E652&lt;&gt;"",SUMIFS('JPK_KR-1'!AM:AM,'JPK_KR-1'!W:W,F652),"")</f>
        <v/>
      </c>
      <c r="I652" s="5" t="str">
        <f>IF(kokpit!I652&lt;&gt;"",kokpit!I652,"")</f>
        <v/>
      </c>
      <c r="J652" s="5" t="str">
        <f>IF(kokpit!J652&lt;&gt;"",kokpit!J652,"")</f>
        <v/>
      </c>
      <c r="K652" s="24" t="str">
        <f>IF(I652&lt;&gt;"",SUMIFS('JPK_KR-1'!AL:AL,'JPK_KR-1'!W:W,J652),"")</f>
        <v/>
      </c>
      <c r="L652" s="141" t="str">
        <f>IF(I652&lt;&gt;"",SUMIFS('JPK_KR-1'!AM:AM,'JPK_KR-1'!W:W,J652),"")</f>
        <v/>
      </c>
      <c r="M652" s="143" t="str">
        <f>IF(kokpit!M652&lt;&gt;"",kokpit!M652,"")</f>
        <v/>
      </c>
      <c r="N652" s="117" t="str">
        <f>IF(kokpit!N652&lt;&gt;"",kokpit!N652,"")</f>
        <v/>
      </c>
      <c r="O652" s="117" t="str">
        <f>IF(kokpit!O652&lt;&gt;"",kokpit!O652,"")</f>
        <v/>
      </c>
      <c r="P652" s="141" t="str">
        <f>IF(M652&lt;&gt;"",IF(O652="",SUMIFS('JPK_KR-1'!AL:AL,'JPK_KR-1'!W:W,N652),SUMIFS('JPK_KR-1'!BF:BF,'JPK_KR-1'!BE:BE,N652,'JPK_KR-1'!BG:BG,O652)),"")</f>
        <v/>
      </c>
      <c r="Q652" s="144" t="str">
        <f>IF(M652&lt;&gt;"",IF(O652="",SUMIFS('JPK_KR-1'!AM:AM,'JPK_KR-1'!W:W,N652),SUMIFS('JPK_KR-1'!BI:BI,'JPK_KR-1'!BH:BH,N652,'JPK_KR-1'!BJ:BJ,O652)),"")</f>
        <v/>
      </c>
      <c r="R652" s="117" t="str">
        <f>IF(kokpit!R652&lt;&gt;"",kokpit!R652,"")</f>
        <v/>
      </c>
      <c r="S652" s="117" t="str">
        <f>IF(kokpit!S652&lt;&gt;"",kokpit!S652,"")</f>
        <v/>
      </c>
      <c r="T652" s="117" t="str">
        <f>IF(kokpit!T652&lt;&gt;"",kokpit!T652,"")</f>
        <v/>
      </c>
      <c r="U652" s="141" t="str">
        <f>IF(R652&lt;&gt;"",SUMIFS('JPK_KR-1'!AL:AL,'JPK_KR-1'!W:W,S652),"")</f>
        <v/>
      </c>
      <c r="V652" s="144" t="str">
        <f>IF(R652&lt;&gt;"",SUMIFS('JPK_KR-1'!AM:AM,'JPK_KR-1'!W:W,S652),"")</f>
        <v/>
      </c>
    </row>
    <row r="653" spans="1:22" x14ac:dyDescent="0.3">
      <c r="A653" s="5" t="str">
        <f>IF(kokpit!A653&lt;&gt;"",kokpit!A653,"")</f>
        <v/>
      </c>
      <c r="B653" s="5" t="str">
        <f>IF(kokpit!B653&lt;&gt;"",kokpit!B653,"")</f>
        <v/>
      </c>
      <c r="C653" s="24" t="str">
        <f>IF(A653&lt;&gt;"",SUMIFS('JPK_KR-1'!AL:AL,'JPK_KR-1'!W:W,B653),"")</f>
        <v/>
      </c>
      <c r="D653" s="126" t="str">
        <f>IF(A653&lt;&gt;"",SUMIFS('JPK_KR-1'!AM:AM,'JPK_KR-1'!W:W,B653),"")</f>
        <v/>
      </c>
      <c r="E653" s="5" t="str">
        <f>IF(kokpit!E653&lt;&gt;"",kokpit!E653,"")</f>
        <v/>
      </c>
      <c r="F653" s="127" t="str">
        <f>IF(kokpit!F653&lt;&gt;"",kokpit!F653,"")</f>
        <v/>
      </c>
      <c r="G653" s="24" t="str">
        <f>IF(E653&lt;&gt;"",SUMIFS('JPK_KR-1'!AL:AL,'JPK_KR-1'!W:W,F653),"")</f>
        <v/>
      </c>
      <c r="H653" s="126" t="str">
        <f>IF(E653&lt;&gt;"",SUMIFS('JPK_KR-1'!AM:AM,'JPK_KR-1'!W:W,F653),"")</f>
        <v/>
      </c>
      <c r="I653" s="5" t="str">
        <f>IF(kokpit!I653&lt;&gt;"",kokpit!I653,"")</f>
        <v/>
      </c>
      <c r="J653" s="5" t="str">
        <f>IF(kokpit!J653&lt;&gt;"",kokpit!J653,"")</f>
        <v/>
      </c>
      <c r="K653" s="24" t="str">
        <f>IF(I653&lt;&gt;"",SUMIFS('JPK_KR-1'!AL:AL,'JPK_KR-1'!W:W,J653),"")</f>
        <v/>
      </c>
      <c r="L653" s="141" t="str">
        <f>IF(I653&lt;&gt;"",SUMIFS('JPK_KR-1'!AM:AM,'JPK_KR-1'!W:W,J653),"")</f>
        <v/>
      </c>
      <c r="M653" s="143" t="str">
        <f>IF(kokpit!M653&lt;&gt;"",kokpit!M653,"")</f>
        <v/>
      </c>
      <c r="N653" s="117" t="str">
        <f>IF(kokpit!N653&lt;&gt;"",kokpit!N653,"")</f>
        <v/>
      </c>
      <c r="O653" s="117" t="str">
        <f>IF(kokpit!O653&lt;&gt;"",kokpit!O653,"")</f>
        <v/>
      </c>
      <c r="P653" s="141" t="str">
        <f>IF(M653&lt;&gt;"",IF(O653="",SUMIFS('JPK_KR-1'!AL:AL,'JPK_KR-1'!W:W,N653),SUMIFS('JPK_KR-1'!BF:BF,'JPK_KR-1'!BE:BE,N653,'JPK_KR-1'!BG:BG,O653)),"")</f>
        <v/>
      </c>
      <c r="Q653" s="144" t="str">
        <f>IF(M653&lt;&gt;"",IF(O653="",SUMIFS('JPK_KR-1'!AM:AM,'JPK_KR-1'!W:W,N653),SUMIFS('JPK_KR-1'!BI:BI,'JPK_KR-1'!BH:BH,N653,'JPK_KR-1'!BJ:BJ,O653)),"")</f>
        <v/>
      </c>
      <c r="R653" s="117" t="str">
        <f>IF(kokpit!R653&lt;&gt;"",kokpit!R653,"")</f>
        <v/>
      </c>
      <c r="S653" s="117" t="str">
        <f>IF(kokpit!S653&lt;&gt;"",kokpit!S653,"")</f>
        <v/>
      </c>
      <c r="T653" s="117" t="str">
        <f>IF(kokpit!T653&lt;&gt;"",kokpit!T653,"")</f>
        <v/>
      </c>
      <c r="U653" s="141" t="str">
        <f>IF(R653&lt;&gt;"",SUMIFS('JPK_KR-1'!AL:AL,'JPK_KR-1'!W:W,S653),"")</f>
        <v/>
      </c>
      <c r="V653" s="144" t="str">
        <f>IF(R653&lt;&gt;"",SUMIFS('JPK_KR-1'!AM:AM,'JPK_KR-1'!W:W,S653),"")</f>
        <v/>
      </c>
    </row>
    <row r="654" spans="1:22" x14ac:dyDescent="0.3">
      <c r="A654" s="5" t="str">
        <f>IF(kokpit!A654&lt;&gt;"",kokpit!A654,"")</f>
        <v/>
      </c>
      <c r="B654" s="5" t="str">
        <f>IF(kokpit!B654&lt;&gt;"",kokpit!B654,"")</f>
        <v/>
      </c>
      <c r="C654" s="24" t="str">
        <f>IF(A654&lt;&gt;"",SUMIFS('JPK_KR-1'!AL:AL,'JPK_KR-1'!W:W,B654),"")</f>
        <v/>
      </c>
      <c r="D654" s="126" t="str">
        <f>IF(A654&lt;&gt;"",SUMIFS('JPK_KR-1'!AM:AM,'JPK_KR-1'!W:W,B654),"")</f>
        <v/>
      </c>
      <c r="E654" s="5" t="str">
        <f>IF(kokpit!E654&lt;&gt;"",kokpit!E654,"")</f>
        <v/>
      </c>
      <c r="F654" s="127" t="str">
        <f>IF(kokpit!F654&lt;&gt;"",kokpit!F654,"")</f>
        <v/>
      </c>
      <c r="G654" s="24" t="str">
        <f>IF(E654&lt;&gt;"",SUMIFS('JPK_KR-1'!AL:AL,'JPK_KR-1'!W:W,F654),"")</f>
        <v/>
      </c>
      <c r="H654" s="126" t="str">
        <f>IF(E654&lt;&gt;"",SUMIFS('JPK_KR-1'!AM:AM,'JPK_KR-1'!W:W,F654),"")</f>
        <v/>
      </c>
      <c r="I654" s="5" t="str">
        <f>IF(kokpit!I654&lt;&gt;"",kokpit!I654,"")</f>
        <v/>
      </c>
      <c r="J654" s="5" t="str">
        <f>IF(kokpit!J654&lt;&gt;"",kokpit!J654,"")</f>
        <v/>
      </c>
      <c r="K654" s="24" t="str">
        <f>IF(I654&lt;&gt;"",SUMIFS('JPK_KR-1'!AL:AL,'JPK_KR-1'!W:W,J654),"")</f>
        <v/>
      </c>
      <c r="L654" s="141" t="str">
        <f>IF(I654&lt;&gt;"",SUMIFS('JPK_KR-1'!AM:AM,'JPK_KR-1'!W:W,J654),"")</f>
        <v/>
      </c>
      <c r="M654" s="143" t="str">
        <f>IF(kokpit!M654&lt;&gt;"",kokpit!M654,"")</f>
        <v/>
      </c>
      <c r="N654" s="117" t="str">
        <f>IF(kokpit!N654&lt;&gt;"",kokpit!N654,"")</f>
        <v/>
      </c>
      <c r="O654" s="117" t="str">
        <f>IF(kokpit!O654&lt;&gt;"",kokpit!O654,"")</f>
        <v/>
      </c>
      <c r="P654" s="141" t="str">
        <f>IF(M654&lt;&gt;"",IF(O654="",SUMIFS('JPK_KR-1'!AL:AL,'JPK_KR-1'!W:W,N654),SUMIFS('JPK_KR-1'!BF:BF,'JPK_KR-1'!BE:BE,N654,'JPK_KR-1'!BG:BG,O654)),"")</f>
        <v/>
      </c>
      <c r="Q654" s="144" t="str">
        <f>IF(M654&lt;&gt;"",IF(O654="",SUMIFS('JPK_KR-1'!AM:AM,'JPK_KR-1'!W:W,N654),SUMIFS('JPK_KR-1'!BI:BI,'JPK_KR-1'!BH:BH,N654,'JPK_KR-1'!BJ:BJ,O654)),"")</f>
        <v/>
      </c>
      <c r="R654" s="117" t="str">
        <f>IF(kokpit!R654&lt;&gt;"",kokpit!R654,"")</f>
        <v/>
      </c>
      <c r="S654" s="117" t="str">
        <f>IF(kokpit!S654&lt;&gt;"",kokpit!S654,"")</f>
        <v/>
      </c>
      <c r="T654" s="117" t="str">
        <f>IF(kokpit!T654&lt;&gt;"",kokpit!T654,"")</f>
        <v/>
      </c>
      <c r="U654" s="141" t="str">
        <f>IF(R654&lt;&gt;"",SUMIFS('JPK_KR-1'!AL:AL,'JPK_KR-1'!W:W,S654),"")</f>
        <v/>
      </c>
      <c r="V654" s="144" t="str">
        <f>IF(R654&lt;&gt;"",SUMIFS('JPK_KR-1'!AM:AM,'JPK_KR-1'!W:W,S654),"")</f>
        <v/>
      </c>
    </row>
    <row r="655" spans="1:22" x14ac:dyDescent="0.3">
      <c r="A655" s="5" t="str">
        <f>IF(kokpit!A655&lt;&gt;"",kokpit!A655,"")</f>
        <v/>
      </c>
      <c r="B655" s="5" t="str">
        <f>IF(kokpit!B655&lt;&gt;"",kokpit!B655,"")</f>
        <v/>
      </c>
      <c r="C655" s="24" t="str">
        <f>IF(A655&lt;&gt;"",SUMIFS('JPK_KR-1'!AL:AL,'JPK_KR-1'!W:W,B655),"")</f>
        <v/>
      </c>
      <c r="D655" s="126" t="str">
        <f>IF(A655&lt;&gt;"",SUMIFS('JPK_KR-1'!AM:AM,'JPK_KR-1'!W:W,B655),"")</f>
        <v/>
      </c>
      <c r="E655" s="5" t="str">
        <f>IF(kokpit!E655&lt;&gt;"",kokpit!E655,"")</f>
        <v/>
      </c>
      <c r="F655" s="127" t="str">
        <f>IF(kokpit!F655&lt;&gt;"",kokpit!F655,"")</f>
        <v/>
      </c>
      <c r="G655" s="24" t="str">
        <f>IF(E655&lt;&gt;"",SUMIFS('JPK_KR-1'!AL:AL,'JPK_KR-1'!W:W,F655),"")</f>
        <v/>
      </c>
      <c r="H655" s="126" t="str">
        <f>IF(E655&lt;&gt;"",SUMIFS('JPK_KR-1'!AM:AM,'JPK_KR-1'!W:W,F655),"")</f>
        <v/>
      </c>
      <c r="I655" s="5" t="str">
        <f>IF(kokpit!I655&lt;&gt;"",kokpit!I655,"")</f>
        <v/>
      </c>
      <c r="J655" s="5" t="str">
        <f>IF(kokpit!J655&lt;&gt;"",kokpit!J655,"")</f>
        <v/>
      </c>
      <c r="K655" s="24" t="str">
        <f>IF(I655&lt;&gt;"",SUMIFS('JPK_KR-1'!AL:AL,'JPK_KR-1'!W:W,J655),"")</f>
        <v/>
      </c>
      <c r="L655" s="141" t="str">
        <f>IF(I655&lt;&gt;"",SUMIFS('JPK_KR-1'!AM:AM,'JPK_KR-1'!W:W,J655),"")</f>
        <v/>
      </c>
      <c r="M655" s="143" t="str">
        <f>IF(kokpit!M655&lt;&gt;"",kokpit!M655,"")</f>
        <v/>
      </c>
      <c r="N655" s="117" t="str">
        <f>IF(kokpit!N655&lt;&gt;"",kokpit!N655,"")</f>
        <v/>
      </c>
      <c r="O655" s="117" t="str">
        <f>IF(kokpit!O655&lt;&gt;"",kokpit!O655,"")</f>
        <v/>
      </c>
      <c r="P655" s="141" t="str">
        <f>IF(M655&lt;&gt;"",IF(O655="",SUMIFS('JPK_KR-1'!AL:AL,'JPK_KR-1'!W:W,N655),SUMIFS('JPK_KR-1'!BF:BF,'JPK_KR-1'!BE:BE,N655,'JPK_KR-1'!BG:BG,O655)),"")</f>
        <v/>
      </c>
      <c r="Q655" s="144" t="str">
        <f>IF(M655&lt;&gt;"",IF(O655="",SUMIFS('JPK_KR-1'!AM:AM,'JPK_KR-1'!W:W,N655),SUMIFS('JPK_KR-1'!BI:BI,'JPK_KR-1'!BH:BH,N655,'JPK_KR-1'!BJ:BJ,O655)),"")</f>
        <v/>
      </c>
      <c r="R655" s="117" t="str">
        <f>IF(kokpit!R655&lt;&gt;"",kokpit!R655,"")</f>
        <v/>
      </c>
      <c r="S655" s="117" t="str">
        <f>IF(kokpit!S655&lt;&gt;"",kokpit!S655,"")</f>
        <v/>
      </c>
      <c r="T655" s="117" t="str">
        <f>IF(kokpit!T655&lt;&gt;"",kokpit!T655,"")</f>
        <v/>
      </c>
      <c r="U655" s="141" t="str">
        <f>IF(R655&lt;&gt;"",SUMIFS('JPK_KR-1'!AL:AL,'JPK_KR-1'!W:W,S655),"")</f>
        <v/>
      </c>
      <c r="V655" s="144" t="str">
        <f>IF(R655&lt;&gt;"",SUMIFS('JPK_KR-1'!AM:AM,'JPK_KR-1'!W:W,S655),"")</f>
        <v/>
      </c>
    </row>
    <row r="656" spans="1:22" x14ac:dyDescent="0.3">
      <c r="A656" s="5" t="str">
        <f>IF(kokpit!A656&lt;&gt;"",kokpit!A656,"")</f>
        <v/>
      </c>
      <c r="B656" s="5" t="str">
        <f>IF(kokpit!B656&lt;&gt;"",kokpit!B656,"")</f>
        <v/>
      </c>
      <c r="C656" s="24" t="str">
        <f>IF(A656&lt;&gt;"",SUMIFS('JPK_KR-1'!AL:AL,'JPK_KR-1'!W:W,B656),"")</f>
        <v/>
      </c>
      <c r="D656" s="126" t="str">
        <f>IF(A656&lt;&gt;"",SUMIFS('JPK_KR-1'!AM:AM,'JPK_KR-1'!W:W,B656),"")</f>
        <v/>
      </c>
      <c r="E656" s="5" t="str">
        <f>IF(kokpit!E656&lt;&gt;"",kokpit!E656,"")</f>
        <v/>
      </c>
      <c r="F656" s="127" t="str">
        <f>IF(kokpit!F656&lt;&gt;"",kokpit!F656,"")</f>
        <v/>
      </c>
      <c r="G656" s="24" t="str">
        <f>IF(E656&lt;&gt;"",SUMIFS('JPK_KR-1'!AL:AL,'JPK_KR-1'!W:W,F656),"")</f>
        <v/>
      </c>
      <c r="H656" s="126" t="str">
        <f>IF(E656&lt;&gt;"",SUMIFS('JPK_KR-1'!AM:AM,'JPK_KR-1'!W:W,F656),"")</f>
        <v/>
      </c>
      <c r="I656" s="5" t="str">
        <f>IF(kokpit!I656&lt;&gt;"",kokpit!I656,"")</f>
        <v/>
      </c>
      <c r="J656" s="5" t="str">
        <f>IF(kokpit!J656&lt;&gt;"",kokpit!J656,"")</f>
        <v/>
      </c>
      <c r="K656" s="24" t="str">
        <f>IF(I656&lt;&gt;"",SUMIFS('JPK_KR-1'!AL:AL,'JPK_KR-1'!W:W,J656),"")</f>
        <v/>
      </c>
      <c r="L656" s="141" t="str">
        <f>IF(I656&lt;&gt;"",SUMIFS('JPK_KR-1'!AM:AM,'JPK_KR-1'!W:W,J656),"")</f>
        <v/>
      </c>
      <c r="M656" s="143" t="str">
        <f>IF(kokpit!M656&lt;&gt;"",kokpit!M656,"")</f>
        <v/>
      </c>
      <c r="N656" s="117" t="str">
        <f>IF(kokpit!N656&lt;&gt;"",kokpit!N656,"")</f>
        <v/>
      </c>
      <c r="O656" s="117" t="str">
        <f>IF(kokpit!O656&lt;&gt;"",kokpit!O656,"")</f>
        <v/>
      </c>
      <c r="P656" s="141" t="str">
        <f>IF(M656&lt;&gt;"",IF(O656="",SUMIFS('JPK_KR-1'!AL:AL,'JPK_KR-1'!W:W,N656),SUMIFS('JPK_KR-1'!BF:BF,'JPK_KR-1'!BE:BE,N656,'JPK_KR-1'!BG:BG,O656)),"")</f>
        <v/>
      </c>
      <c r="Q656" s="144" t="str">
        <f>IF(M656&lt;&gt;"",IF(O656="",SUMIFS('JPK_KR-1'!AM:AM,'JPK_KR-1'!W:W,N656),SUMIFS('JPK_KR-1'!BI:BI,'JPK_KR-1'!BH:BH,N656,'JPK_KR-1'!BJ:BJ,O656)),"")</f>
        <v/>
      </c>
      <c r="R656" s="117" t="str">
        <f>IF(kokpit!R656&lt;&gt;"",kokpit!R656,"")</f>
        <v/>
      </c>
      <c r="S656" s="117" t="str">
        <f>IF(kokpit!S656&lt;&gt;"",kokpit!S656,"")</f>
        <v/>
      </c>
      <c r="T656" s="117" t="str">
        <f>IF(kokpit!T656&lt;&gt;"",kokpit!T656,"")</f>
        <v/>
      </c>
      <c r="U656" s="141" t="str">
        <f>IF(R656&lt;&gt;"",SUMIFS('JPK_KR-1'!AL:AL,'JPK_KR-1'!W:W,S656),"")</f>
        <v/>
      </c>
      <c r="V656" s="144" t="str">
        <f>IF(R656&lt;&gt;"",SUMIFS('JPK_KR-1'!AM:AM,'JPK_KR-1'!W:W,S656),"")</f>
        <v/>
      </c>
    </row>
    <row r="657" spans="1:22" x14ac:dyDescent="0.3">
      <c r="A657" s="5" t="str">
        <f>IF(kokpit!A657&lt;&gt;"",kokpit!A657,"")</f>
        <v/>
      </c>
      <c r="B657" s="5" t="str">
        <f>IF(kokpit!B657&lt;&gt;"",kokpit!B657,"")</f>
        <v/>
      </c>
      <c r="C657" s="24" t="str">
        <f>IF(A657&lt;&gt;"",SUMIFS('JPK_KR-1'!AL:AL,'JPK_KR-1'!W:W,B657),"")</f>
        <v/>
      </c>
      <c r="D657" s="126" t="str">
        <f>IF(A657&lt;&gt;"",SUMIFS('JPK_KR-1'!AM:AM,'JPK_KR-1'!W:W,B657),"")</f>
        <v/>
      </c>
      <c r="E657" s="5" t="str">
        <f>IF(kokpit!E657&lt;&gt;"",kokpit!E657,"")</f>
        <v/>
      </c>
      <c r="F657" s="127" t="str">
        <f>IF(kokpit!F657&lt;&gt;"",kokpit!F657,"")</f>
        <v/>
      </c>
      <c r="G657" s="24" t="str">
        <f>IF(E657&lt;&gt;"",SUMIFS('JPK_KR-1'!AL:AL,'JPK_KR-1'!W:W,F657),"")</f>
        <v/>
      </c>
      <c r="H657" s="126" t="str">
        <f>IF(E657&lt;&gt;"",SUMIFS('JPK_KR-1'!AM:AM,'JPK_KR-1'!W:W,F657),"")</f>
        <v/>
      </c>
      <c r="I657" s="5" t="str">
        <f>IF(kokpit!I657&lt;&gt;"",kokpit!I657,"")</f>
        <v/>
      </c>
      <c r="J657" s="5" t="str">
        <f>IF(kokpit!J657&lt;&gt;"",kokpit!J657,"")</f>
        <v/>
      </c>
      <c r="K657" s="24" t="str">
        <f>IF(I657&lt;&gt;"",SUMIFS('JPK_KR-1'!AL:AL,'JPK_KR-1'!W:W,J657),"")</f>
        <v/>
      </c>
      <c r="L657" s="141" t="str">
        <f>IF(I657&lt;&gt;"",SUMIFS('JPK_KR-1'!AM:AM,'JPK_KR-1'!W:W,J657),"")</f>
        <v/>
      </c>
      <c r="M657" s="143" t="str">
        <f>IF(kokpit!M657&lt;&gt;"",kokpit!M657,"")</f>
        <v/>
      </c>
      <c r="N657" s="117" t="str">
        <f>IF(kokpit!N657&lt;&gt;"",kokpit!N657,"")</f>
        <v/>
      </c>
      <c r="O657" s="117" t="str">
        <f>IF(kokpit!O657&lt;&gt;"",kokpit!O657,"")</f>
        <v/>
      </c>
      <c r="P657" s="141" t="str">
        <f>IF(M657&lt;&gt;"",IF(O657="",SUMIFS('JPK_KR-1'!AL:AL,'JPK_KR-1'!W:W,N657),SUMIFS('JPK_KR-1'!BF:BF,'JPK_KR-1'!BE:BE,N657,'JPK_KR-1'!BG:BG,O657)),"")</f>
        <v/>
      </c>
      <c r="Q657" s="144" t="str">
        <f>IF(M657&lt;&gt;"",IF(O657="",SUMIFS('JPK_KR-1'!AM:AM,'JPK_KR-1'!W:W,N657),SUMIFS('JPK_KR-1'!BI:BI,'JPK_KR-1'!BH:BH,N657,'JPK_KR-1'!BJ:BJ,O657)),"")</f>
        <v/>
      </c>
      <c r="R657" s="117" t="str">
        <f>IF(kokpit!R657&lt;&gt;"",kokpit!R657,"")</f>
        <v/>
      </c>
      <c r="S657" s="117" t="str">
        <f>IF(kokpit!S657&lt;&gt;"",kokpit!S657,"")</f>
        <v/>
      </c>
      <c r="T657" s="117" t="str">
        <f>IF(kokpit!T657&lt;&gt;"",kokpit!T657,"")</f>
        <v/>
      </c>
      <c r="U657" s="141" t="str">
        <f>IF(R657&lt;&gt;"",SUMIFS('JPK_KR-1'!AL:AL,'JPK_KR-1'!W:W,S657),"")</f>
        <v/>
      </c>
      <c r="V657" s="144" t="str">
        <f>IF(R657&lt;&gt;"",SUMIFS('JPK_KR-1'!AM:AM,'JPK_KR-1'!W:W,S657),"")</f>
        <v/>
      </c>
    </row>
    <row r="658" spans="1:22" x14ac:dyDescent="0.3">
      <c r="A658" s="5" t="str">
        <f>IF(kokpit!A658&lt;&gt;"",kokpit!A658,"")</f>
        <v/>
      </c>
      <c r="B658" s="5" t="str">
        <f>IF(kokpit!B658&lt;&gt;"",kokpit!B658,"")</f>
        <v/>
      </c>
      <c r="C658" s="24" t="str">
        <f>IF(A658&lt;&gt;"",SUMIFS('JPK_KR-1'!AL:AL,'JPK_KR-1'!W:W,B658),"")</f>
        <v/>
      </c>
      <c r="D658" s="126" t="str">
        <f>IF(A658&lt;&gt;"",SUMIFS('JPK_KR-1'!AM:AM,'JPK_KR-1'!W:W,B658),"")</f>
        <v/>
      </c>
      <c r="E658" s="5" t="str">
        <f>IF(kokpit!E658&lt;&gt;"",kokpit!E658,"")</f>
        <v/>
      </c>
      <c r="F658" s="127" t="str">
        <f>IF(kokpit!F658&lt;&gt;"",kokpit!F658,"")</f>
        <v/>
      </c>
      <c r="G658" s="24" t="str">
        <f>IF(E658&lt;&gt;"",SUMIFS('JPK_KR-1'!AL:AL,'JPK_KR-1'!W:W,F658),"")</f>
        <v/>
      </c>
      <c r="H658" s="126" t="str">
        <f>IF(E658&lt;&gt;"",SUMIFS('JPK_KR-1'!AM:AM,'JPK_KR-1'!W:W,F658),"")</f>
        <v/>
      </c>
      <c r="I658" s="5" t="str">
        <f>IF(kokpit!I658&lt;&gt;"",kokpit!I658,"")</f>
        <v/>
      </c>
      <c r="J658" s="5" t="str">
        <f>IF(kokpit!J658&lt;&gt;"",kokpit!J658,"")</f>
        <v/>
      </c>
      <c r="K658" s="24" t="str">
        <f>IF(I658&lt;&gt;"",SUMIFS('JPK_KR-1'!AL:AL,'JPK_KR-1'!W:W,J658),"")</f>
        <v/>
      </c>
      <c r="L658" s="141" t="str">
        <f>IF(I658&lt;&gt;"",SUMIFS('JPK_KR-1'!AM:AM,'JPK_KR-1'!W:W,J658),"")</f>
        <v/>
      </c>
      <c r="M658" s="143" t="str">
        <f>IF(kokpit!M658&lt;&gt;"",kokpit!M658,"")</f>
        <v/>
      </c>
      <c r="N658" s="117" t="str">
        <f>IF(kokpit!N658&lt;&gt;"",kokpit!N658,"")</f>
        <v/>
      </c>
      <c r="O658" s="117" t="str">
        <f>IF(kokpit!O658&lt;&gt;"",kokpit!O658,"")</f>
        <v/>
      </c>
      <c r="P658" s="141" t="str">
        <f>IF(M658&lt;&gt;"",IF(O658="",SUMIFS('JPK_KR-1'!AL:AL,'JPK_KR-1'!W:W,N658),SUMIFS('JPK_KR-1'!BF:BF,'JPK_KR-1'!BE:BE,N658,'JPK_KR-1'!BG:BG,O658)),"")</f>
        <v/>
      </c>
      <c r="Q658" s="144" t="str">
        <f>IF(M658&lt;&gt;"",IF(O658="",SUMIFS('JPK_KR-1'!AM:AM,'JPK_KR-1'!W:W,N658),SUMIFS('JPK_KR-1'!BI:BI,'JPK_KR-1'!BH:BH,N658,'JPK_KR-1'!BJ:BJ,O658)),"")</f>
        <v/>
      </c>
      <c r="R658" s="117" t="str">
        <f>IF(kokpit!R658&lt;&gt;"",kokpit!R658,"")</f>
        <v/>
      </c>
      <c r="S658" s="117" t="str">
        <f>IF(kokpit!S658&lt;&gt;"",kokpit!S658,"")</f>
        <v/>
      </c>
      <c r="T658" s="117" t="str">
        <f>IF(kokpit!T658&lt;&gt;"",kokpit!T658,"")</f>
        <v/>
      </c>
      <c r="U658" s="141" t="str">
        <f>IF(R658&lt;&gt;"",SUMIFS('JPK_KR-1'!AL:AL,'JPK_KR-1'!W:W,S658),"")</f>
        <v/>
      </c>
      <c r="V658" s="144" t="str">
        <f>IF(R658&lt;&gt;"",SUMIFS('JPK_KR-1'!AM:AM,'JPK_KR-1'!W:W,S658),"")</f>
        <v/>
      </c>
    </row>
    <row r="659" spans="1:22" x14ac:dyDescent="0.3">
      <c r="A659" s="5" t="str">
        <f>IF(kokpit!A659&lt;&gt;"",kokpit!A659,"")</f>
        <v/>
      </c>
      <c r="B659" s="5" t="str">
        <f>IF(kokpit!B659&lt;&gt;"",kokpit!B659,"")</f>
        <v/>
      </c>
      <c r="C659" s="24" t="str">
        <f>IF(A659&lt;&gt;"",SUMIFS('JPK_KR-1'!AL:AL,'JPK_KR-1'!W:W,B659),"")</f>
        <v/>
      </c>
      <c r="D659" s="126" t="str">
        <f>IF(A659&lt;&gt;"",SUMIFS('JPK_KR-1'!AM:AM,'JPK_KR-1'!W:W,B659),"")</f>
        <v/>
      </c>
      <c r="E659" s="5" t="str">
        <f>IF(kokpit!E659&lt;&gt;"",kokpit!E659,"")</f>
        <v/>
      </c>
      <c r="F659" s="127" t="str">
        <f>IF(kokpit!F659&lt;&gt;"",kokpit!F659,"")</f>
        <v/>
      </c>
      <c r="G659" s="24" t="str">
        <f>IF(E659&lt;&gt;"",SUMIFS('JPK_KR-1'!AL:AL,'JPK_KR-1'!W:W,F659),"")</f>
        <v/>
      </c>
      <c r="H659" s="126" t="str">
        <f>IF(E659&lt;&gt;"",SUMIFS('JPK_KR-1'!AM:AM,'JPK_KR-1'!W:W,F659),"")</f>
        <v/>
      </c>
      <c r="I659" s="5" t="str">
        <f>IF(kokpit!I659&lt;&gt;"",kokpit!I659,"")</f>
        <v/>
      </c>
      <c r="J659" s="5" t="str">
        <f>IF(kokpit!J659&lt;&gt;"",kokpit!J659,"")</f>
        <v/>
      </c>
      <c r="K659" s="24" t="str">
        <f>IF(I659&lt;&gt;"",SUMIFS('JPK_KR-1'!AL:AL,'JPK_KR-1'!W:W,J659),"")</f>
        <v/>
      </c>
      <c r="L659" s="141" t="str">
        <f>IF(I659&lt;&gt;"",SUMIFS('JPK_KR-1'!AM:AM,'JPK_KR-1'!W:W,J659),"")</f>
        <v/>
      </c>
      <c r="M659" s="143" t="str">
        <f>IF(kokpit!M659&lt;&gt;"",kokpit!M659,"")</f>
        <v/>
      </c>
      <c r="N659" s="117" t="str">
        <f>IF(kokpit!N659&lt;&gt;"",kokpit!N659,"")</f>
        <v/>
      </c>
      <c r="O659" s="117" t="str">
        <f>IF(kokpit!O659&lt;&gt;"",kokpit!O659,"")</f>
        <v/>
      </c>
      <c r="P659" s="141" t="str">
        <f>IF(M659&lt;&gt;"",IF(O659="",SUMIFS('JPK_KR-1'!AL:AL,'JPK_KR-1'!W:W,N659),SUMIFS('JPK_KR-1'!BF:BF,'JPK_KR-1'!BE:BE,N659,'JPK_KR-1'!BG:BG,O659)),"")</f>
        <v/>
      </c>
      <c r="Q659" s="144" t="str">
        <f>IF(M659&lt;&gt;"",IF(O659="",SUMIFS('JPK_KR-1'!AM:AM,'JPK_KR-1'!W:W,N659),SUMIFS('JPK_KR-1'!BI:BI,'JPK_KR-1'!BH:BH,N659,'JPK_KR-1'!BJ:BJ,O659)),"")</f>
        <v/>
      </c>
      <c r="R659" s="117" t="str">
        <f>IF(kokpit!R659&lt;&gt;"",kokpit!R659,"")</f>
        <v/>
      </c>
      <c r="S659" s="117" t="str">
        <f>IF(kokpit!S659&lt;&gt;"",kokpit!S659,"")</f>
        <v/>
      </c>
      <c r="T659" s="117" t="str">
        <f>IF(kokpit!T659&lt;&gt;"",kokpit!T659,"")</f>
        <v/>
      </c>
      <c r="U659" s="141" t="str">
        <f>IF(R659&lt;&gt;"",SUMIFS('JPK_KR-1'!AL:AL,'JPK_KR-1'!W:W,S659),"")</f>
        <v/>
      </c>
      <c r="V659" s="144" t="str">
        <f>IF(R659&lt;&gt;"",SUMIFS('JPK_KR-1'!AM:AM,'JPK_KR-1'!W:W,S659),"")</f>
        <v/>
      </c>
    </row>
    <row r="660" spans="1:22" x14ac:dyDescent="0.3">
      <c r="A660" s="5" t="str">
        <f>IF(kokpit!A660&lt;&gt;"",kokpit!A660,"")</f>
        <v/>
      </c>
      <c r="B660" s="5" t="str">
        <f>IF(kokpit!B660&lt;&gt;"",kokpit!B660,"")</f>
        <v/>
      </c>
      <c r="C660" s="24" t="str">
        <f>IF(A660&lt;&gt;"",SUMIFS('JPK_KR-1'!AL:AL,'JPK_KR-1'!W:W,B660),"")</f>
        <v/>
      </c>
      <c r="D660" s="126" t="str">
        <f>IF(A660&lt;&gt;"",SUMIFS('JPK_KR-1'!AM:AM,'JPK_KR-1'!W:W,B660),"")</f>
        <v/>
      </c>
      <c r="E660" s="5" t="str">
        <f>IF(kokpit!E660&lt;&gt;"",kokpit!E660,"")</f>
        <v/>
      </c>
      <c r="F660" s="127" t="str">
        <f>IF(kokpit!F660&lt;&gt;"",kokpit!F660,"")</f>
        <v/>
      </c>
      <c r="G660" s="24" t="str">
        <f>IF(E660&lt;&gt;"",SUMIFS('JPK_KR-1'!AL:AL,'JPK_KR-1'!W:W,F660),"")</f>
        <v/>
      </c>
      <c r="H660" s="126" t="str">
        <f>IF(E660&lt;&gt;"",SUMIFS('JPK_KR-1'!AM:AM,'JPK_KR-1'!W:W,F660),"")</f>
        <v/>
      </c>
      <c r="I660" s="5" t="str">
        <f>IF(kokpit!I660&lt;&gt;"",kokpit!I660,"")</f>
        <v/>
      </c>
      <c r="J660" s="5" t="str">
        <f>IF(kokpit!J660&lt;&gt;"",kokpit!J660,"")</f>
        <v/>
      </c>
      <c r="K660" s="24" t="str">
        <f>IF(I660&lt;&gt;"",SUMIFS('JPK_KR-1'!AL:AL,'JPK_KR-1'!W:W,J660),"")</f>
        <v/>
      </c>
      <c r="L660" s="141" t="str">
        <f>IF(I660&lt;&gt;"",SUMIFS('JPK_KR-1'!AM:AM,'JPK_KR-1'!W:W,J660),"")</f>
        <v/>
      </c>
      <c r="M660" s="143" t="str">
        <f>IF(kokpit!M660&lt;&gt;"",kokpit!M660,"")</f>
        <v/>
      </c>
      <c r="N660" s="117" t="str">
        <f>IF(kokpit!N660&lt;&gt;"",kokpit!N660,"")</f>
        <v/>
      </c>
      <c r="O660" s="117" t="str">
        <f>IF(kokpit!O660&lt;&gt;"",kokpit!O660,"")</f>
        <v/>
      </c>
      <c r="P660" s="141" t="str">
        <f>IF(M660&lt;&gt;"",IF(O660="",SUMIFS('JPK_KR-1'!AL:AL,'JPK_KR-1'!W:W,N660),SUMIFS('JPK_KR-1'!BF:BF,'JPK_KR-1'!BE:BE,N660,'JPK_KR-1'!BG:BG,O660)),"")</f>
        <v/>
      </c>
      <c r="Q660" s="144" t="str">
        <f>IF(M660&lt;&gt;"",IF(O660="",SUMIFS('JPK_KR-1'!AM:AM,'JPK_KR-1'!W:W,N660),SUMIFS('JPK_KR-1'!BI:BI,'JPK_KR-1'!BH:BH,N660,'JPK_KR-1'!BJ:BJ,O660)),"")</f>
        <v/>
      </c>
      <c r="R660" s="117" t="str">
        <f>IF(kokpit!R660&lt;&gt;"",kokpit!R660,"")</f>
        <v/>
      </c>
      <c r="S660" s="117" t="str">
        <f>IF(kokpit!S660&lt;&gt;"",kokpit!S660,"")</f>
        <v/>
      </c>
      <c r="T660" s="117" t="str">
        <f>IF(kokpit!T660&lt;&gt;"",kokpit!T660,"")</f>
        <v/>
      </c>
      <c r="U660" s="141" t="str">
        <f>IF(R660&lt;&gt;"",SUMIFS('JPK_KR-1'!AL:AL,'JPK_KR-1'!W:W,S660),"")</f>
        <v/>
      </c>
      <c r="V660" s="144" t="str">
        <f>IF(R660&lt;&gt;"",SUMIFS('JPK_KR-1'!AM:AM,'JPK_KR-1'!W:W,S660),"")</f>
        <v/>
      </c>
    </row>
    <row r="661" spans="1:22" x14ac:dyDescent="0.3">
      <c r="A661" s="5" t="str">
        <f>IF(kokpit!A661&lt;&gt;"",kokpit!A661,"")</f>
        <v/>
      </c>
      <c r="B661" s="5" t="str">
        <f>IF(kokpit!B661&lt;&gt;"",kokpit!B661,"")</f>
        <v/>
      </c>
      <c r="C661" s="24" t="str">
        <f>IF(A661&lt;&gt;"",SUMIFS('JPK_KR-1'!AL:AL,'JPK_KR-1'!W:W,B661),"")</f>
        <v/>
      </c>
      <c r="D661" s="126" t="str">
        <f>IF(A661&lt;&gt;"",SUMIFS('JPK_KR-1'!AM:AM,'JPK_KR-1'!W:W,B661),"")</f>
        <v/>
      </c>
      <c r="E661" s="5" t="str">
        <f>IF(kokpit!E661&lt;&gt;"",kokpit!E661,"")</f>
        <v/>
      </c>
      <c r="F661" s="127" t="str">
        <f>IF(kokpit!F661&lt;&gt;"",kokpit!F661,"")</f>
        <v/>
      </c>
      <c r="G661" s="24" t="str">
        <f>IF(E661&lt;&gt;"",SUMIFS('JPK_KR-1'!AL:AL,'JPK_KR-1'!W:W,F661),"")</f>
        <v/>
      </c>
      <c r="H661" s="126" t="str">
        <f>IF(E661&lt;&gt;"",SUMIFS('JPK_KR-1'!AM:AM,'JPK_KR-1'!W:W,F661),"")</f>
        <v/>
      </c>
      <c r="I661" s="5" t="str">
        <f>IF(kokpit!I661&lt;&gt;"",kokpit!I661,"")</f>
        <v/>
      </c>
      <c r="J661" s="5" t="str">
        <f>IF(kokpit!J661&lt;&gt;"",kokpit!J661,"")</f>
        <v/>
      </c>
      <c r="K661" s="24" t="str">
        <f>IF(I661&lt;&gt;"",SUMIFS('JPK_KR-1'!AL:AL,'JPK_KR-1'!W:W,J661),"")</f>
        <v/>
      </c>
      <c r="L661" s="141" t="str">
        <f>IF(I661&lt;&gt;"",SUMIFS('JPK_KR-1'!AM:AM,'JPK_KR-1'!W:W,J661),"")</f>
        <v/>
      </c>
      <c r="M661" s="143" t="str">
        <f>IF(kokpit!M661&lt;&gt;"",kokpit!M661,"")</f>
        <v/>
      </c>
      <c r="N661" s="117" t="str">
        <f>IF(kokpit!N661&lt;&gt;"",kokpit!N661,"")</f>
        <v/>
      </c>
      <c r="O661" s="117" t="str">
        <f>IF(kokpit!O661&lt;&gt;"",kokpit!O661,"")</f>
        <v/>
      </c>
      <c r="P661" s="141" t="str">
        <f>IF(M661&lt;&gt;"",IF(O661="",SUMIFS('JPK_KR-1'!AL:AL,'JPK_KR-1'!W:W,N661),SUMIFS('JPK_KR-1'!BF:BF,'JPK_KR-1'!BE:BE,N661,'JPK_KR-1'!BG:BG,O661)),"")</f>
        <v/>
      </c>
      <c r="Q661" s="144" t="str">
        <f>IF(M661&lt;&gt;"",IF(O661="",SUMIFS('JPK_KR-1'!AM:AM,'JPK_KR-1'!W:W,N661),SUMIFS('JPK_KR-1'!BI:BI,'JPK_KR-1'!BH:BH,N661,'JPK_KR-1'!BJ:BJ,O661)),"")</f>
        <v/>
      </c>
      <c r="R661" s="117" t="str">
        <f>IF(kokpit!R661&lt;&gt;"",kokpit!R661,"")</f>
        <v/>
      </c>
      <c r="S661" s="117" t="str">
        <f>IF(kokpit!S661&lt;&gt;"",kokpit!S661,"")</f>
        <v/>
      </c>
      <c r="T661" s="117" t="str">
        <f>IF(kokpit!T661&lt;&gt;"",kokpit!T661,"")</f>
        <v/>
      </c>
      <c r="U661" s="141" t="str">
        <f>IF(R661&lt;&gt;"",SUMIFS('JPK_KR-1'!AL:AL,'JPK_KR-1'!W:W,S661),"")</f>
        <v/>
      </c>
      <c r="V661" s="144" t="str">
        <f>IF(R661&lt;&gt;"",SUMIFS('JPK_KR-1'!AM:AM,'JPK_KR-1'!W:W,S661),"")</f>
        <v/>
      </c>
    </row>
    <row r="662" spans="1:22" x14ac:dyDescent="0.3">
      <c r="A662" s="5" t="str">
        <f>IF(kokpit!A662&lt;&gt;"",kokpit!A662,"")</f>
        <v/>
      </c>
      <c r="B662" s="5" t="str">
        <f>IF(kokpit!B662&lt;&gt;"",kokpit!B662,"")</f>
        <v/>
      </c>
      <c r="C662" s="24" t="str">
        <f>IF(A662&lt;&gt;"",SUMIFS('JPK_KR-1'!AL:AL,'JPK_KR-1'!W:W,B662),"")</f>
        <v/>
      </c>
      <c r="D662" s="126" t="str">
        <f>IF(A662&lt;&gt;"",SUMIFS('JPK_KR-1'!AM:AM,'JPK_KR-1'!W:W,B662),"")</f>
        <v/>
      </c>
      <c r="E662" s="5" t="str">
        <f>IF(kokpit!E662&lt;&gt;"",kokpit!E662,"")</f>
        <v/>
      </c>
      <c r="F662" s="127" t="str">
        <f>IF(kokpit!F662&lt;&gt;"",kokpit!F662,"")</f>
        <v/>
      </c>
      <c r="G662" s="24" t="str">
        <f>IF(E662&lt;&gt;"",SUMIFS('JPK_KR-1'!AL:AL,'JPK_KR-1'!W:W,F662),"")</f>
        <v/>
      </c>
      <c r="H662" s="126" t="str">
        <f>IF(E662&lt;&gt;"",SUMIFS('JPK_KR-1'!AM:AM,'JPK_KR-1'!W:W,F662),"")</f>
        <v/>
      </c>
      <c r="I662" s="5" t="str">
        <f>IF(kokpit!I662&lt;&gt;"",kokpit!I662,"")</f>
        <v/>
      </c>
      <c r="J662" s="5" t="str">
        <f>IF(kokpit!J662&lt;&gt;"",kokpit!J662,"")</f>
        <v/>
      </c>
      <c r="K662" s="24" t="str">
        <f>IF(I662&lt;&gt;"",SUMIFS('JPK_KR-1'!AL:AL,'JPK_KR-1'!W:W,J662),"")</f>
        <v/>
      </c>
      <c r="L662" s="141" t="str">
        <f>IF(I662&lt;&gt;"",SUMIFS('JPK_KR-1'!AM:AM,'JPK_KR-1'!W:W,J662),"")</f>
        <v/>
      </c>
      <c r="M662" s="143" t="str">
        <f>IF(kokpit!M662&lt;&gt;"",kokpit!M662,"")</f>
        <v/>
      </c>
      <c r="N662" s="117" t="str">
        <f>IF(kokpit!N662&lt;&gt;"",kokpit!N662,"")</f>
        <v/>
      </c>
      <c r="O662" s="117" t="str">
        <f>IF(kokpit!O662&lt;&gt;"",kokpit!O662,"")</f>
        <v/>
      </c>
      <c r="P662" s="141" t="str">
        <f>IF(M662&lt;&gt;"",IF(O662="",SUMIFS('JPK_KR-1'!AL:AL,'JPK_KR-1'!W:W,N662),SUMIFS('JPK_KR-1'!BF:BF,'JPK_KR-1'!BE:BE,N662,'JPK_KR-1'!BG:BG,O662)),"")</f>
        <v/>
      </c>
      <c r="Q662" s="144" t="str">
        <f>IF(M662&lt;&gt;"",IF(O662="",SUMIFS('JPK_KR-1'!AM:AM,'JPK_KR-1'!W:W,N662),SUMIFS('JPK_KR-1'!BI:BI,'JPK_KR-1'!BH:BH,N662,'JPK_KR-1'!BJ:BJ,O662)),"")</f>
        <v/>
      </c>
      <c r="R662" s="117" t="str">
        <f>IF(kokpit!R662&lt;&gt;"",kokpit!R662,"")</f>
        <v/>
      </c>
      <c r="S662" s="117" t="str">
        <f>IF(kokpit!S662&lt;&gt;"",kokpit!S662,"")</f>
        <v/>
      </c>
      <c r="T662" s="117" t="str">
        <f>IF(kokpit!T662&lt;&gt;"",kokpit!T662,"")</f>
        <v/>
      </c>
      <c r="U662" s="141" t="str">
        <f>IF(R662&lt;&gt;"",SUMIFS('JPK_KR-1'!AL:AL,'JPK_KR-1'!W:W,S662),"")</f>
        <v/>
      </c>
      <c r="V662" s="144" t="str">
        <f>IF(R662&lt;&gt;"",SUMIFS('JPK_KR-1'!AM:AM,'JPK_KR-1'!W:W,S662),"")</f>
        <v/>
      </c>
    </row>
    <row r="663" spans="1:22" x14ac:dyDescent="0.3">
      <c r="A663" s="5" t="str">
        <f>IF(kokpit!A663&lt;&gt;"",kokpit!A663,"")</f>
        <v/>
      </c>
      <c r="B663" s="5" t="str">
        <f>IF(kokpit!B663&lt;&gt;"",kokpit!B663,"")</f>
        <v/>
      </c>
      <c r="C663" s="24" t="str">
        <f>IF(A663&lt;&gt;"",SUMIFS('JPK_KR-1'!AL:AL,'JPK_KR-1'!W:W,B663),"")</f>
        <v/>
      </c>
      <c r="D663" s="126" t="str">
        <f>IF(A663&lt;&gt;"",SUMIFS('JPK_KR-1'!AM:AM,'JPK_KR-1'!W:W,B663),"")</f>
        <v/>
      </c>
      <c r="E663" s="5" t="str">
        <f>IF(kokpit!E663&lt;&gt;"",kokpit!E663,"")</f>
        <v/>
      </c>
      <c r="F663" s="127" t="str">
        <f>IF(kokpit!F663&lt;&gt;"",kokpit!F663,"")</f>
        <v/>
      </c>
      <c r="G663" s="24" t="str">
        <f>IF(E663&lt;&gt;"",SUMIFS('JPK_KR-1'!AL:AL,'JPK_KR-1'!W:W,F663),"")</f>
        <v/>
      </c>
      <c r="H663" s="126" t="str">
        <f>IF(E663&lt;&gt;"",SUMIFS('JPK_KR-1'!AM:AM,'JPK_KR-1'!W:W,F663),"")</f>
        <v/>
      </c>
      <c r="I663" s="5" t="str">
        <f>IF(kokpit!I663&lt;&gt;"",kokpit!I663,"")</f>
        <v/>
      </c>
      <c r="J663" s="5" t="str">
        <f>IF(kokpit!J663&lt;&gt;"",kokpit!J663,"")</f>
        <v/>
      </c>
      <c r="K663" s="24" t="str">
        <f>IF(I663&lt;&gt;"",SUMIFS('JPK_KR-1'!AL:AL,'JPK_KR-1'!W:W,J663),"")</f>
        <v/>
      </c>
      <c r="L663" s="141" t="str">
        <f>IF(I663&lt;&gt;"",SUMIFS('JPK_KR-1'!AM:AM,'JPK_KR-1'!W:W,J663),"")</f>
        <v/>
      </c>
      <c r="M663" s="143" t="str">
        <f>IF(kokpit!M663&lt;&gt;"",kokpit!M663,"")</f>
        <v/>
      </c>
      <c r="N663" s="117" t="str">
        <f>IF(kokpit!N663&lt;&gt;"",kokpit!N663,"")</f>
        <v/>
      </c>
      <c r="O663" s="117" t="str">
        <f>IF(kokpit!O663&lt;&gt;"",kokpit!O663,"")</f>
        <v/>
      </c>
      <c r="P663" s="141" t="str">
        <f>IF(M663&lt;&gt;"",IF(O663="",SUMIFS('JPK_KR-1'!AL:AL,'JPK_KR-1'!W:W,N663),SUMIFS('JPK_KR-1'!BF:BF,'JPK_KR-1'!BE:BE,N663,'JPK_KR-1'!BG:BG,O663)),"")</f>
        <v/>
      </c>
      <c r="Q663" s="144" t="str">
        <f>IF(M663&lt;&gt;"",IF(O663="",SUMIFS('JPK_KR-1'!AM:AM,'JPK_KR-1'!W:W,N663),SUMIFS('JPK_KR-1'!BI:BI,'JPK_KR-1'!BH:BH,N663,'JPK_KR-1'!BJ:BJ,O663)),"")</f>
        <v/>
      </c>
      <c r="R663" s="117" t="str">
        <f>IF(kokpit!R663&lt;&gt;"",kokpit!R663,"")</f>
        <v/>
      </c>
      <c r="S663" s="117" t="str">
        <f>IF(kokpit!S663&lt;&gt;"",kokpit!S663,"")</f>
        <v/>
      </c>
      <c r="T663" s="117" t="str">
        <f>IF(kokpit!T663&lt;&gt;"",kokpit!T663,"")</f>
        <v/>
      </c>
      <c r="U663" s="141" t="str">
        <f>IF(R663&lt;&gt;"",SUMIFS('JPK_KR-1'!AL:AL,'JPK_KR-1'!W:W,S663),"")</f>
        <v/>
      </c>
      <c r="V663" s="144" t="str">
        <f>IF(R663&lt;&gt;"",SUMIFS('JPK_KR-1'!AM:AM,'JPK_KR-1'!W:W,S663),"")</f>
        <v/>
      </c>
    </row>
    <row r="664" spans="1:22" x14ac:dyDescent="0.3">
      <c r="A664" s="5" t="str">
        <f>IF(kokpit!A664&lt;&gt;"",kokpit!A664,"")</f>
        <v/>
      </c>
      <c r="B664" s="5" t="str">
        <f>IF(kokpit!B664&lt;&gt;"",kokpit!B664,"")</f>
        <v/>
      </c>
      <c r="C664" s="24" t="str">
        <f>IF(A664&lt;&gt;"",SUMIFS('JPK_KR-1'!AL:AL,'JPK_KR-1'!W:W,B664),"")</f>
        <v/>
      </c>
      <c r="D664" s="126" t="str">
        <f>IF(A664&lt;&gt;"",SUMIFS('JPK_KR-1'!AM:AM,'JPK_KR-1'!W:W,B664),"")</f>
        <v/>
      </c>
      <c r="E664" s="5" t="str">
        <f>IF(kokpit!E664&lt;&gt;"",kokpit!E664,"")</f>
        <v/>
      </c>
      <c r="F664" s="127" t="str">
        <f>IF(kokpit!F664&lt;&gt;"",kokpit!F664,"")</f>
        <v/>
      </c>
      <c r="G664" s="24" t="str">
        <f>IF(E664&lt;&gt;"",SUMIFS('JPK_KR-1'!AL:AL,'JPK_KR-1'!W:W,F664),"")</f>
        <v/>
      </c>
      <c r="H664" s="126" t="str">
        <f>IF(E664&lt;&gt;"",SUMIFS('JPK_KR-1'!AM:AM,'JPK_KR-1'!W:W,F664),"")</f>
        <v/>
      </c>
      <c r="I664" s="5" t="str">
        <f>IF(kokpit!I664&lt;&gt;"",kokpit!I664,"")</f>
        <v/>
      </c>
      <c r="J664" s="5" t="str">
        <f>IF(kokpit!J664&lt;&gt;"",kokpit!J664,"")</f>
        <v/>
      </c>
      <c r="K664" s="24" t="str">
        <f>IF(I664&lt;&gt;"",SUMIFS('JPK_KR-1'!AL:AL,'JPK_KR-1'!W:W,J664),"")</f>
        <v/>
      </c>
      <c r="L664" s="141" t="str">
        <f>IF(I664&lt;&gt;"",SUMIFS('JPK_KR-1'!AM:AM,'JPK_KR-1'!W:W,J664),"")</f>
        <v/>
      </c>
      <c r="M664" s="143" t="str">
        <f>IF(kokpit!M664&lt;&gt;"",kokpit!M664,"")</f>
        <v/>
      </c>
      <c r="N664" s="117" t="str">
        <f>IF(kokpit!N664&lt;&gt;"",kokpit!N664,"")</f>
        <v/>
      </c>
      <c r="O664" s="117" t="str">
        <f>IF(kokpit!O664&lt;&gt;"",kokpit!O664,"")</f>
        <v/>
      </c>
      <c r="P664" s="141" t="str">
        <f>IF(M664&lt;&gt;"",IF(O664="",SUMIFS('JPK_KR-1'!AL:AL,'JPK_KR-1'!W:W,N664),SUMIFS('JPK_KR-1'!BF:BF,'JPK_KR-1'!BE:BE,N664,'JPK_KR-1'!BG:BG,O664)),"")</f>
        <v/>
      </c>
      <c r="Q664" s="144" t="str">
        <f>IF(M664&lt;&gt;"",IF(O664="",SUMIFS('JPK_KR-1'!AM:AM,'JPK_KR-1'!W:W,N664),SUMIFS('JPK_KR-1'!BI:BI,'JPK_KR-1'!BH:BH,N664,'JPK_KR-1'!BJ:BJ,O664)),"")</f>
        <v/>
      </c>
      <c r="R664" s="117" t="str">
        <f>IF(kokpit!R664&lt;&gt;"",kokpit!R664,"")</f>
        <v/>
      </c>
      <c r="S664" s="117" t="str">
        <f>IF(kokpit!S664&lt;&gt;"",kokpit!S664,"")</f>
        <v/>
      </c>
      <c r="T664" s="117" t="str">
        <f>IF(kokpit!T664&lt;&gt;"",kokpit!T664,"")</f>
        <v/>
      </c>
      <c r="U664" s="141" t="str">
        <f>IF(R664&lt;&gt;"",SUMIFS('JPK_KR-1'!AL:AL,'JPK_KR-1'!W:W,S664),"")</f>
        <v/>
      </c>
      <c r="V664" s="144" t="str">
        <f>IF(R664&lt;&gt;"",SUMIFS('JPK_KR-1'!AM:AM,'JPK_KR-1'!W:W,S664),"")</f>
        <v/>
      </c>
    </row>
    <row r="665" spans="1:22" x14ac:dyDescent="0.3">
      <c r="A665" s="5" t="str">
        <f>IF(kokpit!A665&lt;&gt;"",kokpit!A665,"")</f>
        <v/>
      </c>
      <c r="B665" s="5" t="str">
        <f>IF(kokpit!B665&lt;&gt;"",kokpit!B665,"")</f>
        <v/>
      </c>
      <c r="C665" s="24" t="str">
        <f>IF(A665&lt;&gt;"",SUMIFS('JPK_KR-1'!AL:AL,'JPK_KR-1'!W:W,B665),"")</f>
        <v/>
      </c>
      <c r="D665" s="126" t="str">
        <f>IF(A665&lt;&gt;"",SUMIFS('JPK_KR-1'!AM:AM,'JPK_KR-1'!W:W,B665),"")</f>
        <v/>
      </c>
      <c r="E665" s="5" t="str">
        <f>IF(kokpit!E665&lt;&gt;"",kokpit!E665,"")</f>
        <v/>
      </c>
      <c r="F665" s="127" t="str">
        <f>IF(kokpit!F665&lt;&gt;"",kokpit!F665,"")</f>
        <v/>
      </c>
      <c r="G665" s="24" t="str">
        <f>IF(E665&lt;&gt;"",SUMIFS('JPK_KR-1'!AL:AL,'JPK_KR-1'!W:W,F665),"")</f>
        <v/>
      </c>
      <c r="H665" s="126" t="str">
        <f>IF(E665&lt;&gt;"",SUMIFS('JPK_KR-1'!AM:AM,'JPK_KR-1'!W:W,F665),"")</f>
        <v/>
      </c>
      <c r="I665" s="5" t="str">
        <f>IF(kokpit!I665&lt;&gt;"",kokpit!I665,"")</f>
        <v/>
      </c>
      <c r="J665" s="5" t="str">
        <f>IF(kokpit!J665&lt;&gt;"",kokpit!J665,"")</f>
        <v/>
      </c>
      <c r="K665" s="24" t="str">
        <f>IF(I665&lt;&gt;"",SUMIFS('JPK_KR-1'!AL:AL,'JPK_KR-1'!W:W,J665),"")</f>
        <v/>
      </c>
      <c r="L665" s="141" t="str">
        <f>IF(I665&lt;&gt;"",SUMIFS('JPK_KR-1'!AM:AM,'JPK_KR-1'!W:W,J665),"")</f>
        <v/>
      </c>
      <c r="M665" s="143" t="str">
        <f>IF(kokpit!M665&lt;&gt;"",kokpit!M665,"")</f>
        <v/>
      </c>
      <c r="N665" s="117" t="str">
        <f>IF(kokpit!N665&lt;&gt;"",kokpit!N665,"")</f>
        <v/>
      </c>
      <c r="O665" s="117" t="str">
        <f>IF(kokpit!O665&lt;&gt;"",kokpit!O665,"")</f>
        <v/>
      </c>
      <c r="P665" s="141" t="str">
        <f>IF(M665&lt;&gt;"",IF(O665="",SUMIFS('JPK_KR-1'!AL:AL,'JPK_KR-1'!W:W,N665),SUMIFS('JPK_KR-1'!BF:BF,'JPK_KR-1'!BE:BE,N665,'JPK_KR-1'!BG:BG,O665)),"")</f>
        <v/>
      </c>
      <c r="Q665" s="144" t="str">
        <f>IF(M665&lt;&gt;"",IF(O665="",SUMIFS('JPK_KR-1'!AM:AM,'JPK_KR-1'!W:W,N665),SUMIFS('JPK_KR-1'!BI:BI,'JPK_KR-1'!BH:BH,N665,'JPK_KR-1'!BJ:BJ,O665)),"")</f>
        <v/>
      </c>
      <c r="R665" s="117" t="str">
        <f>IF(kokpit!R665&lt;&gt;"",kokpit!R665,"")</f>
        <v/>
      </c>
      <c r="S665" s="117" t="str">
        <f>IF(kokpit!S665&lt;&gt;"",kokpit!S665,"")</f>
        <v/>
      </c>
      <c r="T665" s="117" t="str">
        <f>IF(kokpit!T665&lt;&gt;"",kokpit!T665,"")</f>
        <v/>
      </c>
      <c r="U665" s="141" t="str">
        <f>IF(R665&lt;&gt;"",SUMIFS('JPK_KR-1'!AL:AL,'JPK_KR-1'!W:W,S665),"")</f>
        <v/>
      </c>
      <c r="V665" s="144" t="str">
        <f>IF(R665&lt;&gt;"",SUMIFS('JPK_KR-1'!AM:AM,'JPK_KR-1'!W:W,S665),"")</f>
        <v/>
      </c>
    </row>
    <row r="666" spans="1:22" x14ac:dyDescent="0.3">
      <c r="A666" s="5" t="str">
        <f>IF(kokpit!A666&lt;&gt;"",kokpit!A666,"")</f>
        <v/>
      </c>
      <c r="B666" s="5" t="str">
        <f>IF(kokpit!B666&lt;&gt;"",kokpit!B666,"")</f>
        <v/>
      </c>
      <c r="C666" s="24" t="str">
        <f>IF(A666&lt;&gt;"",SUMIFS('JPK_KR-1'!AL:AL,'JPK_KR-1'!W:W,B666),"")</f>
        <v/>
      </c>
      <c r="D666" s="126" t="str">
        <f>IF(A666&lt;&gt;"",SUMIFS('JPK_KR-1'!AM:AM,'JPK_KR-1'!W:W,B666),"")</f>
        <v/>
      </c>
      <c r="E666" s="5" t="str">
        <f>IF(kokpit!E666&lt;&gt;"",kokpit!E666,"")</f>
        <v/>
      </c>
      <c r="F666" s="127" t="str">
        <f>IF(kokpit!F666&lt;&gt;"",kokpit!F666,"")</f>
        <v/>
      </c>
      <c r="G666" s="24" t="str">
        <f>IF(E666&lt;&gt;"",SUMIFS('JPK_KR-1'!AL:AL,'JPK_KR-1'!W:W,F666),"")</f>
        <v/>
      </c>
      <c r="H666" s="126" t="str">
        <f>IF(E666&lt;&gt;"",SUMIFS('JPK_KR-1'!AM:AM,'JPK_KR-1'!W:W,F666),"")</f>
        <v/>
      </c>
      <c r="I666" s="5" t="str">
        <f>IF(kokpit!I666&lt;&gt;"",kokpit!I666,"")</f>
        <v/>
      </c>
      <c r="J666" s="5" t="str">
        <f>IF(kokpit!J666&lt;&gt;"",kokpit!J666,"")</f>
        <v/>
      </c>
      <c r="K666" s="24" t="str">
        <f>IF(I666&lt;&gt;"",SUMIFS('JPK_KR-1'!AL:AL,'JPK_KR-1'!W:W,J666),"")</f>
        <v/>
      </c>
      <c r="L666" s="141" t="str">
        <f>IF(I666&lt;&gt;"",SUMIFS('JPK_KR-1'!AM:AM,'JPK_KR-1'!W:W,J666),"")</f>
        <v/>
      </c>
      <c r="M666" s="143" t="str">
        <f>IF(kokpit!M666&lt;&gt;"",kokpit!M666,"")</f>
        <v/>
      </c>
      <c r="N666" s="117" t="str">
        <f>IF(kokpit!N666&lt;&gt;"",kokpit!N666,"")</f>
        <v/>
      </c>
      <c r="O666" s="117" t="str">
        <f>IF(kokpit!O666&lt;&gt;"",kokpit!O666,"")</f>
        <v/>
      </c>
      <c r="P666" s="141" t="str">
        <f>IF(M666&lt;&gt;"",IF(O666="",SUMIFS('JPK_KR-1'!AL:AL,'JPK_KR-1'!W:W,N666),SUMIFS('JPK_KR-1'!BF:BF,'JPK_KR-1'!BE:BE,N666,'JPK_KR-1'!BG:BG,O666)),"")</f>
        <v/>
      </c>
      <c r="Q666" s="144" t="str">
        <f>IF(M666&lt;&gt;"",IF(O666="",SUMIFS('JPK_KR-1'!AM:AM,'JPK_KR-1'!W:W,N666),SUMIFS('JPK_KR-1'!BI:BI,'JPK_KR-1'!BH:BH,N666,'JPK_KR-1'!BJ:BJ,O666)),"")</f>
        <v/>
      </c>
      <c r="R666" s="117" t="str">
        <f>IF(kokpit!R666&lt;&gt;"",kokpit!R666,"")</f>
        <v/>
      </c>
      <c r="S666" s="117" t="str">
        <f>IF(kokpit!S666&lt;&gt;"",kokpit!S666,"")</f>
        <v/>
      </c>
      <c r="T666" s="117" t="str">
        <f>IF(kokpit!T666&lt;&gt;"",kokpit!T666,"")</f>
        <v/>
      </c>
      <c r="U666" s="141" t="str">
        <f>IF(R666&lt;&gt;"",SUMIFS('JPK_KR-1'!AL:AL,'JPK_KR-1'!W:W,S666),"")</f>
        <v/>
      </c>
      <c r="V666" s="144" t="str">
        <f>IF(R666&lt;&gt;"",SUMIFS('JPK_KR-1'!AM:AM,'JPK_KR-1'!W:W,S666),"")</f>
        <v/>
      </c>
    </row>
    <row r="667" spans="1:22" x14ac:dyDescent="0.3">
      <c r="A667" s="5" t="str">
        <f>IF(kokpit!A667&lt;&gt;"",kokpit!A667,"")</f>
        <v/>
      </c>
      <c r="B667" s="5" t="str">
        <f>IF(kokpit!B667&lt;&gt;"",kokpit!B667,"")</f>
        <v/>
      </c>
      <c r="C667" s="24" t="str">
        <f>IF(A667&lt;&gt;"",SUMIFS('JPK_KR-1'!AL:AL,'JPK_KR-1'!W:W,B667),"")</f>
        <v/>
      </c>
      <c r="D667" s="126" t="str">
        <f>IF(A667&lt;&gt;"",SUMIFS('JPK_KR-1'!AM:AM,'JPK_KR-1'!W:W,B667),"")</f>
        <v/>
      </c>
      <c r="E667" s="5" t="str">
        <f>IF(kokpit!E667&lt;&gt;"",kokpit!E667,"")</f>
        <v/>
      </c>
      <c r="F667" s="127" t="str">
        <f>IF(kokpit!F667&lt;&gt;"",kokpit!F667,"")</f>
        <v/>
      </c>
      <c r="G667" s="24" t="str">
        <f>IF(E667&lt;&gt;"",SUMIFS('JPK_KR-1'!AL:AL,'JPK_KR-1'!W:W,F667),"")</f>
        <v/>
      </c>
      <c r="H667" s="126" t="str">
        <f>IF(E667&lt;&gt;"",SUMIFS('JPK_KR-1'!AM:AM,'JPK_KR-1'!W:W,F667),"")</f>
        <v/>
      </c>
      <c r="I667" s="5" t="str">
        <f>IF(kokpit!I667&lt;&gt;"",kokpit!I667,"")</f>
        <v/>
      </c>
      <c r="J667" s="5" t="str">
        <f>IF(kokpit!J667&lt;&gt;"",kokpit!J667,"")</f>
        <v/>
      </c>
      <c r="K667" s="24" t="str">
        <f>IF(I667&lt;&gt;"",SUMIFS('JPK_KR-1'!AL:AL,'JPK_KR-1'!W:W,J667),"")</f>
        <v/>
      </c>
      <c r="L667" s="141" t="str">
        <f>IF(I667&lt;&gt;"",SUMIFS('JPK_KR-1'!AM:AM,'JPK_KR-1'!W:W,J667),"")</f>
        <v/>
      </c>
      <c r="M667" s="143" t="str">
        <f>IF(kokpit!M667&lt;&gt;"",kokpit!M667,"")</f>
        <v/>
      </c>
      <c r="N667" s="117" t="str">
        <f>IF(kokpit!N667&lt;&gt;"",kokpit!N667,"")</f>
        <v/>
      </c>
      <c r="O667" s="117" t="str">
        <f>IF(kokpit!O667&lt;&gt;"",kokpit!O667,"")</f>
        <v/>
      </c>
      <c r="P667" s="141" t="str">
        <f>IF(M667&lt;&gt;"",IF(O667="",SUMIFS('JPK_KR-1'!AL:AL,'JPK_KR-1'!W:W,N667),SUMIFS('JPK_KR-1'!BF:BF,'JPK_KR-1'!BE:BE,N667,'JPK_KR-1'!BG:BG,O667)),"")</f>
        <v/>
      </c>
      <c r="Q667" s="144" t="str">
        <f>IF(M667&lt;&gt;"",IF(O667="",SUMIFS('JPK_KR-1'!AM:AM,'JPK_KR-1'!W:W,N667),SUMIFS('JPK_KR-1'!BI:BI,'JPK_KR-1'!BH:BH,N667,'JPK_KR-1'!BJ:BJ,O667)),"")</f>
        <v/>
      </c>
      <c r="R667" s="117" t="str">
        <f>IF(kokpit!R667&lt;&gt;"",kokpit!R667,"")</f>
        <v/>
      </c>
      <c r="S667" s="117" t="str">
        <f>IF(kokpit!S667&lt;&gt;"",kokpit!S667,"")</f>
        <v/>
      </c>
      <c r="T667" s="117" t="str">
        <f>IF(kokpit!T667&lt;&gt;"",kokpit!T667,"")</f>
        <v/>
      </c>
      <c r="U667" s="141" t="str">
        <f>IF(R667&lt;&gt;"",SUMIFS('JPK_KR-1'!AL:AL,'JPK_KR-1'!W:W,S667),"")</f>
        <v/>
      </c>
      <c r="V667" s="144" t="str">
        <f>IF(R667&lt;&gt;"",SUMIFS('JPK_KR-1'!AM:AM,'JPK_KR-1'!W:W,S667),"")</f>
        <v/>
      </c>
    </row>
    <row r="668" spans="1:22" x14ac:dyDescent="0.3">
      <c r="A668" s="5" t="str">
        <f>IF(kokpit!A668&lt;&gt;"",kokpit!A668,"")</f>
        <v/>
      </c>
      <c r="B668" s="5" t="str">
        <f>IF(kokpit!B668&lt;&gt;"",kokpit!B668,"")</f>
        <v/>
      </c>
      <c r="C668" s="24" t="str">
        <f>IF(A668&lt;&gt;"",SUMIFS('JPK_KR-1'!AL:AL,'JPK_KR-1'!W:W,B668),"")</f>
        <v/>
      </c>
      <c r="D668" s="126" t="str">
        <f>IF(A668&lt;&gt;"",SUMIFS('JPK_KR-1'!AM:AM,'JPK_KR-1'!W:W,B668),"")</f>
        <v/>
      </c>
      <c r="E668" s="5" t="str">
        <f>IF(kokpit!E668&lt;&gt;"",kokpit!E668,"")</f>
        <v/>
      </c>
      <c r="F668" s="127" t="str">
        <f>IF(kokpit!F668&lt;&gt;"",kokpit!F668,"")</f>
        <v/>
      </c>
      <c r="G668" s="24" t="str">
        <f>IF(E668&lt;&gt;"",SUMIFS('JPK_KR-1'!AL:AL,'JPK_KR-1'!W:W,F668),"")</f>
        <v/>
      </c>
      <c r="H668" s="126" t="str">
        <f>IF(E668&lt;&gt;"",SUMIFS('JPK_KR-1'!AM:AM,'JPK_KR-1'!W:W,F668),"")</f>
        <v/>
      </c>
      <c r="I668" s="5" t="str">
        <f>IF(kokpit!I668&lt;&gt;"",kokpit!I668,"")</f>
        <v/>
      </c>
      <c r="J668" s="5" t="str">
        <f>IF(kokpit!J668&lt;&gt;"",kokpit!J668,"")</f>
        <v/>
      </c>
      <c r="K668" s="24" t="str">
        <f>IF(I668&lt;&gt;"",SUMIFS('JPK_KR-1'!AL:AL,'JPK_KR-1'!W:W,J668),"")</f>
        <v/>
      </c>
      <c r="L668" s="141" t="str">
        <f>IF(I668&lt;&gt;"",SUMIFS('JPK_KR-1'!AM:AM,'JPK_KR-1'!W:W,J668),"")</f>
        <v/>
      </c>
      <c r="M668" s="143" t="str">
        <f>IF(kokpit!M668&lt;&gt;"",kokpit!M668,"")</f>
        <v/>
      </c>
      <c r="N668" s="117" t="str">
        <f>IF(kokpit!N668&lt;&gt;"",kokpit!N668,"")</f>
        <v/>
      </c>
      <c r="O668" s="117" t="str">
        <f>IF(kokpit!O668&lt;&gt;"",kokpit!O668,"")</f>
        <v/>
      </c>
      <c r="P668" s="141" t="str">
        <f>IF(M668&lt;&gt;"",IF(O668="",SUMIFS('JPK_KR-1'!AL:AL,'JPK_KR-1'!W:W,N668),SUMIFS('JPK_KR-1'!BF:BF,'JPK_KR-1'!BE:BE,N668,'JPK_KR-1'!BG:BG,O668)),"")</f>
        <v/>
      </c>
      <c r="Q668" s="144" t="str">
        <f>IF(M668&lt;&gt;"",IF(O668="",SUMIFS('JPK_KR-1'!AM:AM,'JPK_KR-1'!W:W,N668),SUMIFS('JPK_KR-1'!BI:BI,'JPK_KR-1'!BH:BH,N668,'JPK_KR-1'!BJ:BJ,O668)),"")</f>
        <v/>
      </c>
      <c r="R668" s="117" t="str">
        <f>IF(kokpit!R668&lt;&gt;"",kokpit!R668,"")</f>
        <v/>
      </c>
      <c r="S668" s="117" t="str">
        <f>IF(kokpit!S668&lt;&gt;"",kokpit!S668,"")</f>
        <v/>
      </c>
      <c r="T668" s="117" t="str">
        <f>IF(kokpit!T668&lt;&gt;"",kokpit!T668,"")</f>
        <v/>
      </c>
      <c r="U668" s="141" t="str">
        <f>IF(R668&lt;&gt;"",SUMIFS('JPK_KR-1'!AL:AL,'JPK_KR-1'!W:W,S668),"")</f>
        <v/>
      </c>
      <c r="V668" s="144" t="str">
        <f>IF(R668&lt;&gt;"",SUMIFS('JPK_KR-1'!AM:AM,'JPK_KR-1'!W:W,S668),"")</f>
        <v/>
      </c>
    </row>
    <row r="669" spans="1:22" x14ac:dyDescent="0.3">
      <c r="A669" s="5" t="str">
        <f>IF(kokpit!A669&lt;&gt;"",kokpit!A669,"")</f>
        <v/>
      </c>
      <c r="B669" s="5" t="str">
        <f>IF(kokpit!B669&lt;&gt;"",kokpit!B669,"")</f>
        <v/>
      </c>
      <c r="C669" s="24" t="str">
        <f>IF(A669&lt;&gt;"",SUMIFS('JPK_KR-1'!AL:AL,'JPK_KR-1'!W:W,B669),"")</f>
        <v/>
      </c>
      <c r="D669" s="126" t="str">
        <f>IF(A669&lt;&gt;"",SUMIFS('JPK_KR-1'!AM:AM,'JPK_KR-1'!W:W,B669),"")</f>
        <v/>
      </c>
      <c r="E669" s="5" t="str">
        <f>IF(kokpit!E669&lt;&gt;"",kokpit!E669,"")</f>
        <v/>
      </c>
      <c r="F669" s="127" t="str">
        <f>IF(kokpit!F669&lt;&gt;"",kokpit!F669,"")</f>
        <v/>
      </c>
      <c r="G669" s="24" t="str">
        <f>IF(E669&lt;&gt;"",SUMIFS('JPK_KR-1'!AL:AL,'JPK_KR-1'!W:W,F669),"")</f>
        <v/>
      </c>
      <c r="H669" s="126" t="str">
        <f>IF(E669&lt;&gt;"",SUMIFS('JPK_KR-1'!AM:AM,'JPK_KR-1'!W:W,F669),"")</f>
        <v/>
      </c>
      <c r="I669" s="5" t="str">
        <f>IF(kokpit!I669&lt;&gt;"",kokpit!I669,"")</f>
        <v/>
      </c>
      <c r="J669" s="5" t="str">
        <f>IF(kokpit!J669&lt;&gt;"",kokpit!J669,"")</f>
        <v/>
      </c>
      <c r="K669" s="24" t="str">
        <f>IF(I669&lt;&gt;"",SUMIFS('JPK_KR-1'!AL:AL,'JPK_KR-1'!W:W,J669),"")</f>
        <v/>
      </c>
      <c r="L669" s="141" t="str">
        <f>IF(I669&lt;&gt;"",SUMIFS('JPK_KR-1'!AM:AM,'JPK_KR-1'!W:W,J669),"")</f>
        <v/>
      </c>
      <c r="M669" s="143" t="str">
        <f>IF(kokpit!M669&lt;&gt;"",kokpit!M669,"")</f>
        <v/>
      </c>
      <c r="N669" s="117" t="str">
        <f>IF(kokpit!N669&lt;&gt;"",kokpit!N669,"")</f>
        <v/>
      </c>
      <c r="O669" s="117" t="str">
        <f>IF(kokpit!O669&lt;&gt;"",kokpit!O669,"")</f>
        <v/>
      </c>
      <c r="P669" s="141" t="str">
        <f>IF(M669&lt;&gt;"",IF(O669="",SUMIFS('JPK_KR-1'!AL:AL,'JPK_KR-1'!W:W,N669),SUMIFS('JPK_KR-1'!BF:BF,'JPK_KR-1'!BE:BE,N669,'JPK_KR-1'!BG:BG,O669)),"")</f>
        <v/>
      </c>
      <c r="Q669" s="144" t="str">
        <f>IF(M669&lt;&gt;"",IF(O669="",SUMIFS('JPK_KR-1'!AM:AM,'JPK_KR-1'!W:W,N669),SUMIFS('JPK_KR-1'!BI:BI,'JPK_KR-1'!BH:BH,N669,'JPK_KR-1'!BJ:BJ,O669)),"")</f>
        <v/>
      </c>
      <c r="R669" s="117" t="str">
        <f>IF(kokpit!R669&lt;&gt;"",kokpit!R669,"")</f>
        <v/>
      </c>
      <c r="S669" s="117" t="str">
        <f>IF(kokpit!S669&lt;&gt;"",kokpit!S669,"")</f>
        <v/>
      </c>
      <c r="T669" s="117" t="str">
        <f>IF(kokpit!T669&lt;&gt;"",kokpit!T669,"")</f>
        <v/>
      </c>
      <c r="U669" s="141" t="str">
        <f>IF(R669&lt;&gt;"",SUMIFS('JPK_KR-1'!AL:AL,'JPK_KR-1'!W:W,S669),"")</f>
        <v/>
      </c>
      <c r="V669" s="144" t="str">
        <f>IF(R669&lt;&gt;"",SUMIFS('JPK_KR-1'!AM:AM,'JPK_KR-1'!W:W,S669),"")</f>
        <v/>
      </c>
    </row>
    <row r="670" spans="1:22" x14ac:dyDescent="0.3">
      <c r="A670" s="5" t="str">
        <f>IF(kokpit!A670&lt;&gt;"",kokpit!A670,"")</f>
        <v/>
      </c>
      <c r="B670" s="5" t="str">
        <f>IF(kokpit!B670&lt;&gt;"",kokpit!B670,"")</f>
        <v/>
      </c>
      <c r="C670" s="24" t="str">
        <f>IF(A670&lt;&gt;"",SUMIFS('JPK_KR-1'!AL:AL,'JPK_KR-1'!W:W,B670),"")</f>
        <v/>
      </c>
      <c r="D670" s="126" t="str">
        <f>IF(A670&lt;&gt;"",SUMIFS('JPK_KR-1'!AM:AM,'JPK_KR-1'!W:W,B670),"")</f>
        <v/>
      </c>
      <c r="E670" s="5" t="str">
        <f>IF(kokpit!E670&lt;&gt;"",kokpit!E670,"")</f>
        <v/>
      </c>
      <c r="F670" s="127" t="str">
        <f>IF(kokpit!F670&lt;&gt;"",kokpit!F670,"")</f>
        <v/>
      </c>
      <c r="G670" s="24" t="str">
        <f>IF(E670&lt;&gt;"",SUMIFS('JPK_KR-1'!AL:AL,'JPK_KR-1'!W:W,F670),"")</f>
        <v/>
      </c>
      <c r="H670" s="126" t="str">
        <f>IF(E670&lt;&gt;"",SUMIFS('JPK_KR-1'!AM:AM,'JPK_KR-1'!W:W,F670),"")</f>
        <v/>
      </c>
      <c r="I670" s="5" t="str">
        <f>IF(kokpit!I670&lt;&gt;"",kokpit!I670,"")</f>
        <v/>
      </c>
      <c r="J670" s="5" t="str">
        <f>IF(kokpit!J670&lt;&gt;"",kokpit!J670,"")</f>
        <v/>
      </c>
      <c r="K670" s="24" t="str">
        <f>IF(I670&lt;&gt;"",SUMIFS('JPK_KR-1'!AL:AL,'JPK_KR-1'!W:W,J670),"")</f>
        <v/>
      </c>
      <c r="L670" s="141" t="str">
        <f>IF(I670&lt;&gt;"",SUMIFS('JPK_KR-1'!AM:AM,'JPK_KR-1'!W:W,J670),"")</f>
        <v/>
      </c>
      <c r="M670" s="143" t="str">
        <f>IF(kokpit!M670&lt;&gt;"",kokpit!M670,"")</f>
        <v/>
      </c>
      <c r="N670" s="117" t="str">
        <f>IF(kokpit!N670&lt;&gt;"",kokpit!N670,"")</f>
        <v/>
      </c>
      <c r="O670" s="117" t="str">
        <f>IF(kokpit!O670&lt;&gt;"",kokpit!O670,"")</f>
        <v/>
      </c>
      <c r="P670" s="141" t="str">
        <f>IF(M670&lt;&gt;"",IF(O670="",SUMIFS('JPK_KR-1'!AL:AL,'JPK_KR-1'!W:W,N670),SUMIFS('JPK_KR-1'!BF:BF,'JPK_KR-1'!BE:BE,N670,'JPK_KR-1'!BG:BG,O670)),"")</f>
        <v/>
      </c>
      <c r="Q670" s="144" t="str">
        <f>IF(M670&lt;&gt;"",IF(O670="",SUMIFS('JPK_KR-1'!AM:AM,'JPK_KR-1'!W:W,N670),SUMIFS('JPK_KR-1'!BI:BI,'JPK_KR-1'!BH:BH,N670,'JPK_KR-1'!BJ:BJ,O670)),"")</f>
        <v/>
      </c>
      <c r="R670" s="117" t="str">
        <f>IF(kokpit!R670&lt;&gt;"",kokpit!R670,"")</f>
        <v/>
      </c>
      <c r="S670" s="117" t="str">
        <f>IF(kokpit!S670&lt;&gt;"",kokpit!S670,"")</f>
        <v/>
      </c>
      <c r="T670" s="117" t="str">
        <f>IF(kokpit!T670&lt;&gt;"",kokpit!T670,"")</f>
        <v/>
      </c>
      <c r="U670" s="141" t="str">
        <f>IF(R670&lt;&gt;"",SUMIFS('JPK_KR-1'!AL:AL,'JPK_KR-1'!W:W,S670),"")</f>
        <v/>
      </c>
      <c r="V670" s="144" t="str">
        <f>IF(R670&lt;&gt;"",SUMIFS('JPK_KR-1'!AM:AM,'JPK_KR-1'!W:W,S670),"")</f>
        <v/>
      </c>
    </row>
    <row r="671" spans="1:22" x14ac:dyDescent="0.3">
      <c r="A671" s="5" t="str">
        <f>IF(kokpit!A671&lt;&gt;"",kokpit!A671,"")</f>
        <v/>
      </c>
      <c r="B671" s="5" t="str">
        <f>IF(kokpit!B671&lt;&gt;"",kokpit!B671,"")</f>
        <v/>
      </c>
      <c r="C671" s="24" t="str">
        <f>IF(A671&lt;&gt;"",SUMIFS('JPK_KR-1'!AL:AL,'JPK_KR-1'!W:W,B671),"")</f>
        <v/>
      </c>
      <c r="D671" s="126" t="str">
        <f>IF(A671&lt;&gt;"",SUMIFS('JPK_KR-1'!AM:AM,'JPK_KR-1'!W:W,B671),"")</f>
        <v/>
      </c>
      <c r="E671" s="5" t="str">
        <f>IF(kokpit!E671&lt;&gt;"",kokpit!E671,"")</f>
        <v/>
      </c>
      <c r="F671" s="127" t="str">
        <f>IF(kokpit!F671&lt;&gt;"",kokpit!F671,"")</f>
        <v/>
      </c>
      <c r="G671" s="24" t="str">
        <f>IF(E671&lt;&gt;"",SUMIFS('JPK_KR-1'!AL:AL,'JPK_KR-1'!W:W,F671),"")</f>
        <v/>
      </c>
      <c r="H671" s="126" t="str">
        <f>IF(E671&lt;&gt;"",SUMIFS('JPK_KR-1'!AM:AM,'JPK_KR-1'!W:W,F671),"")</f>
        <v/>
      </c>
      <c r="I671" s="5" t="str">
        <f>IF(kokpit!I671&lt;&gt;"",kokpit!I671,"")</f>
        <v/>
      </c>
      <c r="J671" s="5" t="str">
        <f>IF(kokpit!J671&lt;&gt;"",kokpit!J671,"")</f>
        <v/>
      </c>
      <c r="K671" s="24" t="str">
        <f>IF(I671&lt;&gt;"",SUMIFS('JPK_KR-1'!AL:AL,'JPK_KR-1'!W:W,J671),"")</f>
        <v/>
      </c>
      <c r="L671" s="141" t="str">
        <f>IF(I671&lt;&gt;"",SUMIFS('JPK_KR-1'!AM:AM,'JPK_KR-1'!W:W,J671),"")</f>
        <v/>
      </c>
      <c r="M671" s="143" t="str">
        <f>IF(kokpit!M671&lt;&gt;"",kokpit!M671,"")</f>
        <v/>
      </c>
      <c r="N671" s="117" t="str">
        <f>IF(kokpit!N671&lt;&gt;"",kokpit!N671,"")</f>
        <v/>
      </c>
      <c r="O671" s="117" t="str">
        <f>IF(kokpit!O671&lt;&gt;"",kokpit!O671,"")</f>
        <v/>
      </c>
      <c r="P671" s="141" t="str">
        <f>IF(M671&lt;&gt;"",IF(O671="",SUMIFS('JPK_KR-1'!AL:AL,'JPK_KR-1'!W:W,N671),SUMIFS('JPK_KR-1'!BF:BF,'JPK_KR-1'!BE:BE,N671,'JPK_KR-1'!BG:BG,O671)),"")</f>
        <v/>
      </c>
      <c r="Q671" s="144" t="str">
        <f>IF(M671&lt;&gt;"",IF(O671="",SUMIFS('JPK_KR-1'!AM:AM,'JPK_KR-1'!W:W,N671),SUMIFS('JPK_KR-1'!BI:BI,'JPK_KR-1'!BH:BH,N671,'JPK_KR-1'!BJ:BJ,O671)),"")</f>
        <v/>
      </c>
      <c r="R671" s="117" t="str">
        <f>IF(kokpit!R671&lt;&gt;"",kokpit!R671,"")</f>
        <v/>
      </c>
      <c r="S671" s="117" t="str">
        <f>IF(kokpit!S671&lt;&gt;"",kokpit!S671,"")</f>
        <v/>
      </c>
      <c r="T671" s="117" t="str">
        <f>IF(kokpit!T671&lt;&gt;"",kokpit!T671,"")</f>
        <v/>
      </c>
      <c r="U671" s="141" t="str">
        <f>IF(R671&lt;&gt;"",SUMIFS('JPK_KR-1'!AL:AL,'JPK_KR-1'!W:W,S671),"")</f>
        <v/>
      </c>
      <c r="V671" s="144" t="str">
        <f>IF(R671&lt;&gt;"",SUMIFS('JPK_KR-1'!AM:AM,'JPK_KR-1'!W:W,S671),"")</f>
        <v/>
      </c>
    </row>
    <row r="672" spans="1:22" x14ac:dyDescent="0.3">
      <c r="A672" s="5" t="str">
        <f>IF(kokpit!A672&lt;&gt;"",kokpit!A672,"")</f>
        <v/>
      </c>
      <c r="B672" s="5" t="str">
        <f>IF(kokpit!B672&lt;&gt;"",kokpit!B672,"")</f>
        <v/>
      </c>
      <c r="C672" s="24" t="str">
        <f>IF(A672&lt;&gt;"",SUMIFS('JPK_KR-1'!AL:AL,'JPK_KR-1'!W:W,B672),"")</f>
        <v/>
      </c>
      <c r="D672" s="126" t="str">
        <f>IF(A672&lt;&gt;"",SUMIFS('JPK_KR-1'!AM:AM,'JPK_KR-1'!W:W,B672),"")</f>
        <v/>
      </c>
      <c r="E672" s="5" t="str">
        <f>IF(kokpit!E672&lt;&gt;"",kokpit!E672,"")</f>
        <v/>
      </c>
      <c r="F672" s="127" t="str">
        <f>IF(kokpit!F672&lt;&gt;"",kokpit!F672,"")</f>
        <v/>
      </c>
      <c r="G672" s="24" t="str">
        <f>IF(E672&lt;&gt;"",SUMIFS('JPK_KR-1'!AL:AL,'JPK_KR-1'!W:W,F672),"")</f>
        <v/>
      </c>
      <c r="H672" s="126" t="str">
        <f>IF(E672&lt;&gt;"",SUMIFS('JPK_KR-1'!AM:AM,'JPK_KR-1'!W:W,F672),"")</f>
        <v/>
      </c>
      <c r="I672" s="5" t="str">
        <f>IF(kokpit!I672&lt;&gt;"",kokpit!I672,"")</f>
        <v/>
      </c>
      <c r="J672" s="5" t="str">
        <f>IF(kokpit!J672&lt;&gt;"",kokpit!J672,"")</f>
        <v/>
      </c>
      <c r="K672" s="24" t="str">
        <f>IF(I672&lt;&gt;"",SUMIFS('JPK_KR-1'!AL:AL,'JPK_KR-1'!W:W,J672),"")</f>
        <v/>
      </c>
      <c r="L672" s="141" t="str">
        <f>IF(I672&lt;&gt;"",SUMIFS('JPK_KR-1'!AM:AM,'JPK_KR-1'!W:W,J672),"")</f>
        <v/>
      </c>
      <c r="M672" s="143" t="str">
        <f>IF(kokpit!M672&lt;&gt;"",kokpit!M672,"")</f>
        <v/>
      </c>
      <c r="N672" s="117" t="str">
        <f>IF(kokpit!N672&lt;&gt;"",kokpit!N672,"")</f>
        <v/>
      </c>
      <c r="O672" s="117" t="str">
        <f>IF(kokpit!O672&lt;&gt;"",kokpit!O672,"")</f>
        <v/>
      </c>
      <c r="P672" s="141" t="str">
        <f>IF(M672&lt;&gt;"",IF(O672="",SUMIFS('JPK_KR-1'!AL:AL,'JPK_KR-1'!W:W,N672),SUMIFS('JPK_KR-1'!BF:BF,'JPK_KR-1'!BE:BE,N672,'JPK_KR-1'!BG:BG,O672)),"")</f>
        <v/>
      </c>
      <c r="Q672" s="144" t="str">
        <f>IF(M672&lt;&gt;"",IF(O672="",SUMIFS('JPK_KR-1'!AM:AM,'JPK_KR-1'!W:W,N672),SUMIFS('JPK_KR-1'!BI:BI,'JPK_KR-1'!BH:BH,N672,'JPK_KR-1'!BJ:BJ,O672)),"")</f>
        <v/>
      </c>
      <c r="R672" s="117" t="str">
        <f>IF(kokpit!R672&lt;&gt;"",kokpit!R672,"")</f>
        <v/>
      </c>
      <c r="S672" s="117" t="str">
        <f>IF(kokpit!S672&lt;&gt;"",kokpit!S672,"")</f>
        <v/>
      </c>
      <c r="T672" s="117" t="str">
        <f>IF(kokpit!T672&lt;&gt;"",kokpit!T672,"")</f>
        <v/>
      </c>
      <c r="U672" s="141" t="str">
        <f>IF(R672&lt;&gt;"",SUMIFS('JPK_KR-1'!AL:AL,'JPK_KR-1'!W:W,S672),"")</f>
        <v/>
      </c>
      <c r="V672" s="144" t="str">
        <f>IF(R672&lt;&gt;"",SUMIFS('JPK_KR-1'!AM:AM,'JPK_KR-1'!W:W,S672),"")</f>
        <v/>
      </c>
    </row>
    <row r="673" spans="1:22" x14ac:dyDescent="0.3">
      <c r="A673" s="5" t="str">
        <f>IF(kokpit!A673&lt;&gt;"",kokpit!A673,"")</f>
        <v/>
      </c>
      <c r="B673" s="5" t="str">
        <f>IF(kokpit!B673&lt;&gt;"",kokpit!B673,"")</f>
        <v/>
      </c>
      <c r="C673" s="24" t="str">
        <f>IF(A673&lt;&gt;"",SUMIFS('JPK_KR-1'!AL:AL,'JPK_KR-1'!W:W,B673),"")</f>
        <v/>
      </c>
      <c r="D673" s="126" t="str">
        <f>IF(A673&lt;&gt;"",SUMIFS('JPK_KR-1'!AM:AM,'JPK_KR-1'!W:W,B673),"")</f>
        <v/>
      </c>
      <c r="E673" s="5" t="str">
        <f>IF(kokpit!E673&lt;&gt;"",kokpit!E673,"")</f>
        <v/>
      </c>
      <c r="F673" s="127" t="str">
        <f>IF(kokpit!F673&lt;&gt;"",kokpit!F673,"")</f>
        <v/>
      </c>
      <c r="G673" s="24" t="str">
        <f>IF(E673&lt;&gt;"",SUMIFS('JPK_KR-1'!AL:AL,'JPK_KR-1'!W:W,F673),"")</f>
        <v/>
      </c>
      <c r="H673" s="126" t="str">
        <f>IF(E673&lt;&gt;"",SUMIFS('JPK_KR-1'!AM:AM,'JPK_KR-1'!W:W,F673),"")</f>
        <v/>
      </c>
      <c r="I673" s="5" t="str">
        <f>IF(kokpit!I673&lt;&gt;"",kokpit!I673,"")</f>
        <v/>
      </c>
      <c r="J673" s="5" t="str">
        <f>IF(kokpit!J673&lt;&gt;"",kokpit!J673,"")</f>
        <v/>
      </c>
      <c r="K673" s="24" t="str">
        <f>IF(I673&lt;&gt;"",SUMIFS('JPK_KR-1'!AL:AL,'JPK_KR-1'!W:W,J673),"")</f>
        <v/>
      </c>
      <c r="L673" s="141" t="str">
        <f>IF(I673&lt;&gt;"",SUMIFS('JPK_KR-1'!AM:AM,'JPK_KR-1'!W:W,J673),"")</f>
        <v/>
      </c>
      <c r="M673" s="143" t="str">
        <f>IF(kokpit!M673&lt;&gt;"",kokpit!M673,"")</f>
        <v/>
      </c>
      <c r="N673" s="117" t="str">
        <f>IF(kokpit!N673&lt;&gt;"",kokpit!N673,"")</f>
        <v/>
      </c>
      <c r="O673" s="117" t="str">
        <f>IF(kokpit!O673&lt;&gt;"",kokpit!O673,"")</f>
        <v/>
      </c>
      <c r="P673" s="141" t="str">
        <f>IF(M673&lt;&gt;"",IF(O673="",SUMIFS('JPK_KR-1'!AL:AL,'JPK_KR-1'!W:W,N673),SUMIFS('JPK_KR-1'!BF:BF,'JPK_KR-1'!BE:BE,N673,'JPK_KR-1'!BG:BG,O673)),"")</f>
        <v/>
      </c>
      <c r="Q673" s="144" t="str">
        <f>IF(M673&lt;&gt;"",IF(O673="",SUMIFS('JPK_KR-1'!AM:AM,'JPK_KR-1'!W:W,N673),SUMIFS('JPK_KR-1'!BI:BI,'JPK_KR-1'!BH:BH,N673,'JPK_KR-1'!BJ:BJ,O673)),"")</f>
        <v/>
      </c>
      <c r="R673" s="117" t="str">
        <f>IF(kokpit!R673&lt;&gt;"",kokpit!R673,"")</f>
        <v/>
      </c>
      <c r="S673" s="117" t="str">
        <f>IF(kokpit!S673&lt;&gt;"",kokpit!S673,"")</f>
        <v/>
      </c>
      <c r="T673" s="117" t="str">
        <f>IF(kokpit!T673&lt;&gt;"",kokpit!T673,"")</f>
        <v/>
      </c>
      <c r="U673" s="141" t="str">
        <f>IF(R673&lt;&gt;"",SUMIFS('JPK_KR-1'!AL:AL,'JPK_KR-1'!W:W,S673),"")</f>
        <v/>
      </c>
      <c r="V673" s="144" t="str">
        <f>IF(R673&lt;&gt;"",SUMIFS('JPK_KR-1'!AM:AM,'JPK_KR-1'!W:W,S673),"")</f>
        <v/>
      </c>
    </row>
    <row r="674" spans="1:22" x14ac:dyDescent="0.3">
      <c r="A674" s="5" t="str">
        <f>IF(kokpit!A674&lt;&gt;"",kokpit!A674,"")</f>
        <v/>
      </c>
      <c r="B674" s="5" t="str">
        <f>IF(kokpit!B674&lt;&gt;"",kokpit!B674,"")</f>
        <v/>
      </c>
      <c r="C674" s="24" t="str">
        <f>IF(A674&lt;&gt;"",SUMIFS('JPK_KR-1'!AL:AL,'JPK_KR-1'!W:W,B674),"")</f>
        <v/>
      </c>
      <c r="D674" s="126" t="str">
        <f>IF(A674&lt;&gt;"",SUMIFS('JPK_KR-1'!AM:AM,'JPK_KR-1'!W:W,B674),"")</f>
        <v/>
      </c>
      <c r="E674" s="5" t="str">
        <f>IF(kokpit!E674&lt;&gt;"",kokpit!E674,"")</f>
        <v/>
      </c>
      <c r="F674" s="127" t="str">
        <f>IF(kokpit!F674&lt;&gt;"",kokpit!F674,"")</f>
        <v/>
      </c>
      <c r="G674" s="24" t="str">
        <f>IF(E674&lt;&gt;"",SUMIFS('JPK_KR-1'!AL:AL,'JPK_KR-1'!W:W,F674),"")</f>
        <v/>
      </c>
      <c r="H674" s="126" t="str">
        <f>IF(E674&lt;&gt;"",SUMIFS('JPK_KR-1'!AM:AM,'JPK_KR-1'!W:W,F674),"")</f>
        <v/>
      </c>
      <c r="I674" s="5" t="str">
        <f>IF(kokpit!I674&lt;&gt;"",kokpit!I674,"")</f>
        <v/>
      </c>
      <c r="J674" s="5" t="str">
        <f>IF(kokpit!J674&lt;&gt;"",kokpit!J674,"")</f>
        <v/>
      </c>
      <c r="K674" s="24" t="str">
        <f>IF(I674&lt;&gt;"",SUMIFS('JPK_KR-1'!AL:AL,'JPK_KR-1'!W:W,J674),"")</f>
        <v/>
      </c>
      <c r="L674" s="141" t="str">
        <f>IF(I674&lt;&gt;"",SUMIFS('JPK_KR-1'!AM:AM,'JPK_KR-1'!W:W,J674),"")</f>
        <v/>
      </c>
      <c r="M674" s="143" t="str">
        <f>IF(kokpit!M674&lt;&gt;"",kokpit!M674,"")</f>
        <v/>
      </c>
      <c r="N674" s="117" t="str">
        <f>IF(kokpit!N674&lt;&gt;"",kokpit!N674,"")</f>
        <v/>
      </c>
      <c r="O674" s="117" t="str">
        <f>IF(kokpit!O674&lt;&gt;"",kokpit!O674,"")</f>
        <v/>
      </c>
      <c r="P674" s="141" t="str">
        <f>IF(M674&lt;&gt;"",IF(O674="",SUMIFS('JPK_KR-1'!AL:AL,'JPK_KR-1'!W:W,N674),SUMIFS('JPK_KR-1'!BF:BF,'JPK_KR-1'!BE:BE,N674,'JPK_KR-1'!BG:BG,O674)),"")</f>
        <v/>
      </c>
      <c r="Q674" s="144" t="str">
        <f>IF(M674&lt;&gt;"",IF(O674="",SUMIFS('JPK_KR-1'!AM:AM,'JPK_KR-1'!W:W,N674),SUMIFS('JPK_KR-1'!BI:BI,'JPK_KR-1'!BH:BH,N674,'JPK_KR-1'!BJ:BJ,O674)),"")</f>
        <v/>
      </c>
      <c r="R674" s="117" t="str">
        <f>IF(kokpit!R674&lt;&gt;"",kokpit!R674,"")</f>
        <v/>
      </c>
      <c r="S674" s="117" t="str">
        <f>IF(kokpit!S674&lt;&gt;"",kokpit!S674,"")</f>
        <v/>
      </c>
      <c r="T674" s="117" t="str">
        <f>IF(kokpit!T674&lt;&gt;"",kokpit!T674,"")</f>
        <v/>
      </c>
      <c r="U674" s="141" t="str">
        <f>IF(R674&lt;&gt;"",SUMIFS('JPK_KR-1'!AL:AL,'JPK_KR-1'!W:W,S674),"")</f>
        <v/>
      </c>
      <c r="V674" s="144" t="str">
        <f>IF(R674&lt;&gt;"",SUMIFS('JPK_KR-1'!AM:AM,'JPK_KR-1'!W:W,S674),"")</f>
        <v/>
      </c>
    </row>
    <row r="675" spans="1:22" x14ac:dyDescent="0.3">
      <c r="A675" s="5" t="str">
        <f>IF(kokpit!A675&lt;&gt;"",kokpit!A675,"")</f>
        <v/>
      </c>
      <c r="B675" s="5" t="str">
        <f>IF(kokpit!B675&lt;&gt;"",kokpit!B675,"")</f>
        <v/>
      </c>
      <c r="C675" s="24" t="str">
        <f>IF(A675&lt;&gt;"",SUMIFS('JPK_KR-1'!AL:AL,'JPK_KR-1'!W:W,B675),"")</f>
        <v/>
      </c>
      <c r="D675" s="126" t="str">
        <f>IF(A675&lt;&gt;"",SUMIFS('JPK_KR-1'!AM:AM,'JPK_KR-1'!W:W,B675),"")</f>
        <v/>
      </c>
      <c r="E675" s="5" t="str">
        <f>IF(kokpit!E675&lt;&gt;"",kokpit!E675,"")</f>
        <v/>
      </c>
      <c r="F675" s="127" t="str">
        <f>IF(kokpit!F675&lt;&gt;"",kokpit!F675,"")</f>
        <v/>
      </c>
      <c r="G675" s="24" t="str">
        <f>IF(E675&lt;&gt;"",SUMIFS('JPK_KR-1'!AL:AL,'JPK_KR-1'!W:W,F675),"")</f>
        <v/>
      </c>
      <c r="H675" s="126" t="str">
        <f>IF(E675&lt;&gt;"",SUMIFS('JPK_KR-1'!AM:AM,'JPK_KR-1'!W:W,F675),"")</f>
        <v/>
      </c>
      <c r="I675" s="5" t="str">
        <f>IF(kokpit!I675&lt;&gt;"",kokpit!I675,"")</f>
        <v/>
      </c>
      <c r="J675" s="5" t="str">
        <f>IF(kokpit!J675&lt;&gt;"",kokpit!J675,"")</f>
        <v/>
      </c>
      <c r="K675" s="24" t="str">
        <f>IF(I675&lt;&gt;"",SUMIFS('JPK_KR-1'!AL:AL,'JPK_KR-1'!W:W,J675),"")</f>
        <v/>
      </c>
      <c r="L675" s="141" t="str">
        <f>IF(I675&lt;&gt;"",SUMIFS('JPK_KR-1'!AM:AM,'JPK_KR-1'!W:W,J675),"")</f>
        <v/>
      </c>
      <c r="M675" s="143" t="str">
        <f>IF(kokpit!M675&lt;&gt;"",kokpit!M675,"")</f>
        <v/>
      </c>
      <c r="N675" s="117" t="str">
        <f>IF(kokpit!N675&lt;&gt;"",kokpit!N675,"")</f>
        <v/>
      </c>
      <c r="O675" s="117" t="str">
        <f>IF(kokpit!O675&lt;&gt;"",kokpit!O675,"")</f>
        <v/>
      </c>
      <c r="P675" s="141" t="str">
        <f>IF(M675&lt;&gt;"",IF(O675="",SUMIFS('JPK_KR-1'!AL:AL,'JPK_KR-1'!W:W,N675),SUMIFS('JPK_KR-1'!BF:BF,'JPK_KR-1'!BE:BE,N675,'JPK_KR-1'!BG:BG,O675)),"")</f>
        <v/>
      </c>
      <c r="Q675" s="144" t="str">
        <f>IF(M675&lt;&gt;"",IF(O675="",SUMIFS('JPK_KR-1'!AM:AM,'JPK_KR-1'!W:W,N675),SUMIFS('JPK_KR-1'!BI:BI,'JPK_KR-1'!BH:BH,N675,'JPK_KR-1'!BJ:BJ,O675)),"")</f>
        <v/>
      </c>
      <c r="R675" s="117" t="str">
        <f>IF(kokpit!R675&lt;&gt;"",kokpit!R675,"")</f>
        <v/>
      </c>
      <c r="S675" s="117" t="str">
        <f>IF(kokpit!S675&lt;&gt;"",kokpit!S675,"")</f>
        <v/>
      </c>
      <c r="T675" s="117" t="str">
        <f>IF(kokpit!T675&lt;&gt;"",kokpit!T675,"")</f>
        <v/>
      </c>
      <c r="U675" s="141" t="str">
        <f>IF(R675&lt;&gt;"",SUMIFS('JPK_KR-1'!AL:AL,'JPK_KR-1'!W:W,S675),"")</f>
        <v/>
      </c>
      <c r="V675" s="144" t="str">
        <f>IF(R675&lt;&gt;"",SUMIFS('JPK_KR-1'!AM:AM,'JPK_KR-1'!W:W,S675),"")</f>
        <v/>
      </c>
    </row>
    <row r="676" spans="1:22" x14ac:dyDescent="0.3">
      <c r="A676" s="5" t="str">
        <f>IF(kokpit!A676&lt;&gt;"",kokpit!A676,"")</f>
        <v/>
      </c>
      <c r="B676" s="5" t="str">
        <f>IF(kokpit!B676&lt;&gt;"",kokpit!B676,"")</f>
        <v/>
      </c>
      <c r="C676" s="24" t="str">
        <f>IF(A676&lt;&gt;"",SUMIFS('JPK_KR-1'!AL:AL,'JPK_KR-1'!W:W,B676),"")</f>
        <v/>
      </c>
      <c r="D676" s="126" t="str">
        <f>IF(A676&lt;&gt;"",SUMIFS('JPK_KR-1'!AM:AM,'JPK_KR-1'!W:W,B676),"")</f>
        <v/>
      </c>
      <c r="E676" s="5" t="str">
        <f>IF(kokpit!E676&lt;&gt;"",kokpit!E676,"")</f>
        <v/>
      </c>
      <c r="F676" s="127" t="str">
        <f>IF(kokpit!F676&lt;&gt;"",kokpit!F676,"")</f>
        <v/>
      </c>
      <c r="G676" s="24" t="str">
        <f>IF(E676&lt;&gt;"",SUMIFS('JPK_KR-1'!AL:AL,'JPK_KR-1'!W:W,F676),"")</f>
        <v/>
      </c>
      <c r="H676" s="126" t="str">
        <f>IF(E676&lt;&gt;"",SUMIFS('JPK_KR-1'!AM:AM,'JPK_KR-1'!W:W,F676),"")</f>
        <v/>
      </c>
      <c r="I676" s="5" t="str">
        <f>IF(kokpit!I676&lt;&gt;"",kokpit!I676,"")</f>
        <v/>
      </c>
      <c r="J676" s="5" t="str">
        <f>IF(kokpit!J676&lt;&gt;"",kokpit!J676,"")</f>
        <v/>
      </c>
      <c r="K676" s="24" t="str">
        <f>IF(I676&lt;&gt;"",SUMIFS('JPK_KR-1'!AL:AL,'JPK_KR-1'!W:W,J676),"")</f>
        <v/>
      </c>
      <c r="L676" s="141" t="str">
        <f>IF(I676&lt;&gt;"",SUMIFS('JPK_KR-1'!AM:AM,'JPK_KR-1'!W:W,J676),"")</f>
        <v/>
      </c>
      <c r="M676" s="143" t="str">
        <f>IF(kokpit!M676&lt;&gt;"",kokpit!M676,"")</f>
        <v/>
      </c>
      <c r="N676" s="117" t="str">
        <f>IF(kokpit!N676&lt;&gt;"",kokpit!N676,"")</f>
        <v/>
      </c>
      <c r="O676" s="117" t="str">
        <f>IF(kokpit!O676&lt;&gt;"",kokpit!O676,"")</f>
        <v/>
      </c>
      <c r="P676" s="141" t="str">
        <f>IF(M676&lt;&gt;"",IF(O676="",SUMIFS('JPK_KR-1'!AL:AL,'JPK_KR-1'!W:W,N676),SUMIFS('JPK_KR-1'!BF:BF,'JPK_KR-1'!BE:BE,N676,'JPK_KR-1'!BG:BG,O676)),"")</f>
        <v/>
      </c>
      <c r="Q676" s="144" t="str">
        <f>IF(M676&lt;&gt;"",IF(O676="",SUMIFS('JPK_KR-1'!AM:AM,'JPK_KR-1'!W:W,N676),SUMIFS('JPK_KR-1'!BI:BI,'JPK_KR-1'!BH:BH,N676,'JPK_KR-1'!BJ:BJ,O676)),"")</f>
        <v/>
      </c>
      <c r="R676" s="117" t="str">
        <f>IF(kokpit!R676&lt;&gt;"",kokpit!R676,"")</f>
        <v/>
      </c>
      <c r="S676" s="117" t="str">
        <f>IF(kokpit!S676&lt;&gt;"",kokpit!S676,"")</f>
        <v/>
      </c>
      <c r="T676" s="117" t="str">
        <f>IF(kokpit!T676&lt;&gt;"",kokpit!T676,"")</f>
        <v/>
      </c>
      <c r="U676" s="141" t="str">
        <f>IF(R676&lt;&gt;"",SUMIFS('JPK_KR-1'!AL:AL,'JPK_KR-1'!W:W,S676),"")</f>
        <v/>
      </c>
      <c r="V676" s="144" t="str">
        <f>IF(R676&lt;&gt;"",SUMIFS('JPK_KR-1'!AM:AM,'JPK_KR-1'!W:W,S676),"")</f>
        <v/>
      </c>
    </row>
    <row r="677" spans="1:22" x14ac:dyDescent="0.3">
      <c r="A677" s="5" t="str">
        <f>IF(kokpit!A677&lt;&gt;"",kokpit!A677,"")</f>
        <v/>
      </c>
      <c r="B677" s="5" t="str">
        <f>IF(kokpit!B677&lt;&gt;"",kokpit!B677,"")</f>
        <v/>
      </c>
      <c r="C677" s="24" t="str">
        <f>IF(A677&lt;&gt;"",SUMIFS('JPK_KR-1'!AL:AL,'JPK_KR-1'!W:W,B677),"")</f>
        <v/>
      </c>
      <c r="D677" s="126" t="str">
        <f>IF(A677&lt;&gt;"",SUMIFS('JPK_KR-1'!AM:AM,'JPK_KR-1'!W:W,B677),"")</f>
        <v/>
      </c>
      <c r="E677" s="5" t="str">
        <f>IF(kokpit!E677&lt;&gt;"",kokpit!E677,"")</f>
        <v/>
      </c>
      <c r="F677" s="127" t="str">
        <f>IF(kokpit!F677&lt;&gt;"",kokpit!F677,"")</f>
        <v/>
      </c>
      <c r="G677" s="24" t="str">
        <f>IF(E677&lt;&gt;"",SUMIFS('JPK_KR-1'!AL:AL,'JPK_KR-1'!W:W,F677),"")</f>
        <v/>
      </c>
      <c r="H677" s="126" t="str">
        <f>IF(E677&lt;&gt;"",SUMIFS('JPK_KR-1'!AM:AM,'JPK_KR-1'!W:W,F677),"")</f>
        <v/>
      </c>
      <c r="I677" s="5" t="str">
        <f>IF(kokpit!I677&lt;&gt;"",kokpit!I677,"")</f>
        <v/>
      </c>
      <c r="J677" s="5" t="str">
        <f>IF(kokpit!J677&lt;&gt;"",kokpit!J677,"")</f>
        <v/>
      </c>
      <c r="K677" s="24" t="str">
        <f>IF(I677&lt;&gt;"",SUMIFS('JPK_KR-1'!AL:AL,'JPK_KR-1'!W:W,J677),"")</f>
        <v/>
      </c>
      <c r="L677" s="141" t="str">
        <f>IF(I677&lt;&gt;"",SUMIFS('JPK_KR-1'!AM:AM,'JPK_KR-1'!W:W,J677),"")</f>
        <v/>
      </c>
      <c r="M677" s="143" t="str">
        <f>IF(kokpit!M677&lt;&gt;"",kokpit!M677,"")</f>
        <v/>
      </c>
      <c r="N677" s="117" t="str">
        <f>IF(kokpit!N677&lt;&gt;"",kokpit!N677,"")</f>
        <v/>
      </c>
      <c r="O677" s="117" t="str">
        <f>IF(kokpit!O677&lt;&gt;"",kokpit!O677,"")</f>
        <v/>
      </c>
      <c r="P677" s="141" t="str">
        <f>IF(M677&lt;&gt;"",IF(O677="",SUMIFS('JPK_KR-1'!AL:AL,'JPK_KR-1'!W:W,N677),SUMIFS('JPK_KR-1'!BF:BF,'JPK_KR-1'!BE:BE,N677,'JPK_KR-1'!BG:BG,O677)),"")</f>
        <v/>
      </c>
      <c r="Q677" s="144" t="str">
        <f>IF(M677&lt;&gt;"",IF(O677="",SUMIFS('JPK_KR-1'!AM:AM,'JPK_KR-1'!W:W,N677),SUMIFS('JPK_KR-1'!BI:BI,'JPK_KR-1'!BH:BH,N677,'JPK_KR-1'!BJ:BJ,O677)),"")</f>
        <v/>
      </c>
      <c r="R677" s="117" t="str">
        <f>IF(kokpit!R677&lt;&gt;"",kokpit!R677,"")</f>
        <v/>
      </c>
      <c r="S677" s="117" t="str">
        <f>IF(kokpit!S677&lt;&gt;"",kokpit!S677,"")</f>
        <v/>
      </c>
      <c r="T677" s="117" t="str">
        <f>IF(kokpit!T677&lt;&gt;"",kokpit!T677,"")</f>
        <v/>
      </c>
      <c r="U677" s="141" t="str">
        <f>IF(R677&lt;&gt;"",SUMIFS('JPK_KR-1'!AL:AL,'JPK_KR-1'!W:W,S677),"")</f>
        <v/>
      </c>
      <c r="V677" s="144" t="str">
        <f>IF(R677&lt;&gt;"",SUMIFS('JPK_KR-1'!AM:AM,'JPK_KR-1'!W:W,S677),"")</f>
        <v/>
      </c>
    </row>
    <row r="678" spans="1:22" x14ac:dyDescent="0.3">
      <c r="A678" s="5" t="str">
        <f>IF(kokpit!A678&lt;&gt;"",kokpit!A678,"")</f>
        <v/>
      </c>
      <c r="B678" s="5" t="str">
        <f>IF(kokpit!B678&lt;&gt;"",kokpit!B678,"")</f>
        <v/>
      </c>
      <c r="C678" s="24" t="str">
        <f>IF(A678&lt;&gt;"",SUMIFS('JPK_KR-1'!AL:AL,'JPK_KR-1'!W:W,B678),"")</f>
        <v/>
      </c>
      <c r="D678" s="126" t="str">
        <f>IF(A678&lt;&gt;"",SUMIFS('JPK_KR-1'!AM:AM,'JPK_KR-1'!W:W,B678),"")</f>
        <v/>
      </c>
      <c r="E678" s="5" t="str">
        <f>IF(kokpit!E678&lt;&gt;"",kokpit!E678,"")</f>
        <v/>
      </c>
      <c r="F678" s="127" t="str">
        <f>IF(kokpit!F678&lt;&gt;"",kokpit!F678,"")</f>
        <v/>
      </c>
      <c r="G678" s="24" t="str">
        <f>IF(E678&lt;&gt;"",SUMIFS('JPK_KR-1'!AL:AL,'JPK_KR-1'!W:W,F678),"")</f>
        <v/>
      </c>
      <c r="H678" s="126" t="str">
        <f>IF(E678&lt;&gt;"",SUMIFS('JPK_KR-1'!AM:AM,'JPK_KR-1'!W:W,F678),"")</f>
        <v/>
      </c>
      <c r="I678" s="5" t="str">
        <f>IF(kokpit!I678&lt;&gt;"",kokpit!I678,"")</f>
        <v/>
      </c>
      <c r="J678" s="5" t="str">
        <f>IF(kokpit!J678&lt;&gt;"",kokpit!J678,"")</f>
        <v/>
      </c>
      <c r="K678" s="24" t="str">
        <f>IF(I678&lt;&gt;"",SUMIFS('JPK_KR-1'!AL:AL,'JPK_KR-1'!W:W,J678),"")</f>
        <v/>
      </c>
      <c r="L678" s="141" t="str">
        <f>IF(I678&lt;&gt;"",SUMIFS('JPK_KR-1'!AM:AM,'JPK_KR-1'!W:W,J678),"")</f>
        <v/>
      </c>
      <c r="M678" s="143" t="str">
        <f>IF(kokpit!M678&lt;&gt;"",kokpit!M678,"")</f>
        <v/>
      </c>
      <c r="N678" s="117" t="str">
        <f>IF(kokpit!N678&lt;&gt;"",kokpit!N678,"")</f>
        <v/>
      </c>
      <c r="O678" s="117" t="str">
        <f>IF(kokpit!O678&lt;&gt;"",kokpit!O678,"")</f>
        <v/>
      </c>
      <c r="P678" s="141" t="str">
        <f>IF(M678&lt;&gt;"",IF(O678="",SUMIFS('JPK_KR-1'!AL:AL,'JPK_KR-1'!W:W,N678),SUMIFS('JPK_KR-1'!BF:BF,'JPK_KR-1'!BE:BE,N678,'JPK_KR-1'!BG:BG,O678)),"")</f>
        <v/>
      </c>
      <c r="Q678" s="144" t="str">
        <f>IF(M678&lt;&gt;"",IF(O678="",SUMIFS('JPK_KR-1'!AM:AM,'JPK_KR-1'!W:W,N678),SUMIFS('JPK_KR-1'!BI:BI,'JPK_KR-1'!BH:BH,N678,'JPK_KR-1'!BJ:BJ,O678)),"")</f>
        <v/>
      </c>
      <c r="R678" s="117" t="str">
        <f>IF(kokpit!R678&lt;&gt;"",kokpit!R678,"")</f>
        <v/>
      </c>
      <c r="S678" s="117" t="str">
        <f>IF(kokpit!S678&lt;&gt;"",kokpit!S678,"")</f>
        <v/>
      </c>
      <c r="T678" s="117" t="str">
        <f>IF(kokpit!T678&lt;&gt;"",kokpit!T678,"")</f>
        <v/>
      </c>
      <c r="U678" s="141" t="str">
        <f>IF(R678&lt;&gt;"",SUMIFS('JPK_KR-1'!AL:AL,'JPK_KR-1'!W:W,S678),"")</f>
        <v/>
      </c>
      <c r="V678" s="144" t="str">
        <f>IF(R678&lt;&gt;"",SUMIFS('JPK_KR-1'!AM:AM,'JPK_KR-1'!W:W,S678),"")</f>
        <v/>
      </c>
    </row>
    <row r="679" spans="1:22" x14ac:dyDescent="0.3">
      <c r="A679" s="5" t="str">
        <f>IF(kokpit!A679&lt;&gt;"",kokpit!A679,"")</f>
        <v/>
      </c>
      <c r="B679" s="5" t="str">
        <f>IF(kokpit!B679&lt;&gt;"",kokpit!B679,"")</f>
        <v/>
      </c>
      <c r="C679" s="24" t="str">
        <f>IF(A679&lt;&gt;"",SUMIFS('JPK_KR-1'!AL:AL,'JPK_KR-1'!W:W,B679),"")</f>
        <v/>
      </c>
      <c r="D679" s="126" t="str">
        <f>IF(A679&lt;&gt;"",SUMIFS('JPK_KR-1'!AM:AM,'JPK_KR-1'!W:W,B679),"")</f>
        <v/>
      </c>
      <c r="E679" s="5" t="str">
        <f>IF(kokpit!E679&lt;&gt;"",kokpit!E679,"")</f>
        <v/>
      </c>
      <c r="F679" s="127" t="str">
        <f>IF(kokpit!F679&lt;&gt;"",kokpit!F679,"")</f>
        <v/>
      </c>
      <c r="G679" s="24" t="str">
        <f>IF(E679&lt;&gt;"",SUMIFS('JPK_KR-1'!AL:AL,'JPK_KR-1'!W:W,F679),"")</f>
        <v/>
      </c>
      <c r="H679" s="126" t="str">
        <f>IF(E679&lt;&gt;"",SUMIFS('JPK_KR-1'!AM:AM,'JPK_KR-1'!W:W,F679),"")</f>
        <v/>
      </c>
      <c r="I679" s="5" t="str">
        <f>IF(kokpit!I679&lt;&gt;"",kokpit!I679,"")</f>
        <v/>
      </c>
      <c r="J679" s="5" t="str">
        <f>IF(kokpit!J679&lt;&gt;"",kokpit!J679,"")</f>
        <v/>
      </c>
      <c r="K679" s="24" t="str">
        <f>IF(I679&lt;&gt;"",SUMIFS('JPK_KR-1'!AL:AL,'JPK_KR-1'!W:W,J679),"")</f>
        <v/>
      </c>
      <c r="L679" s="141" t="str">
        <f>IF(I679&lt;&gt;"",SUMIFS('JPK_KR-1'!AM:AM,'JPK_KR-1'!W:W,J679),"")</f>
        <v/>
      </c>
      <c r="M679" s="143" t="str">
        <f>IF(kokpit!M679&lt;&gt;"",kokpit!M679,"")</f>
        <v/>
      </c>
      <c r="N679" s="117" t="str">
        <f>IF(kokpit!N679&lt;&gt;"",kokpit!N679,"")</f>
        <v/>
      </c>
      <c r="O679" s="117" t="str">
        <f>IF(kokpit!O679&lt;&gt;"",kokpit!O679,"")</f>
        <v/>
      </c>
      <c r="P679" s="141" t="str">
        <f>IF(M679&lt;&gt;"",IF(O679="",SUMIFS('JPK_KR-1'!AL:AL,'JPK_KR-1'!W:W,N679),SUMIFS('JPK_KR-1'!BF:BF,'JPK_KR-1'!BE:BE,N679,'JPK_KR-1'!BG:BG,O679)),"")</f>
        <v/>
      </c>
      <c r="Q679" s="144" t="str">
        <f>IF(M679&lt;&gt;"",IF(O679="",SUMIFS('JPK_KR-1'!AM:AM,'JPK_KR-1'!W:W,N679),SUMIFS('JPK_KR-1'!BI:BI,'JPK_KR-1'!BH:BH,N679,'JPK_KR-1'!BJ:BJ,O679)),"")</f>
        <v/>
      </c>
      <c r="R679" s="117" t="str">
        <f>IF(kokpit!R679&lt;&gt;"",kokpit!R679,"")</f>
        <v/>
      </c>
      <c r="S679" s="117" t="str">
        <f>IF(kokpit!S679&lt;&gt;"",kokpit!S679,"")</f>
        <v/>
      </c>
      <c r="T679" s="117" t="str">
        <f>IF(kokpit!T679&lt;&gt;"",kokpit!T679,"")</f>
        <v/>
      </c>
      <c r="U679" s="141" t="str">
        <f>IF(R679&lt;&gt;"",SUMIFS('JPK_KR-1'!AL:AL,'JPK_KR-1'!W:W,S679),"")</f>
        <v/>
      </c>
      <c r="V679" s="144" t="str">
        <f>IF(R679&lt;&gt;"",SUMIFS('JPK_KR-1'!AM:AM,'JPK_KR-1'!W:W,S679),"")</f>
        <v/>
      </c>
    </row>
    <row r="680" spans="1:22" x14ac:dyDescent="0.3">
      <c r="A680" s="5" t="str">
        <f>IF(kokpit!A680&lt;&gt;"",kokpit!A680,"")</f>
        <v/>
      </c>
      <c r="B680" s="5" t="str">
        <f>IF(kokpit!B680&lt;&gt;"",kokpit!B680,"")</f>
        <v/>
      </c>
      <c r="C680" s="24" t="str">
        <f>IF(A680&lt;&gt;"",SUMIFS('JPK_KR-1'!AL:AL,'JPK_KR-1'!W:W,B680),"")</f>
        <v/>
      </c>
      <c r="D680" s="126" t="str">
        <f>IF(A680&lt;&gt;"",SUMIFS('JPK_KR-1'!AM:AM,'JPK_KR-1'!W:W,B680),"")</f>
        <v/>
      </c>
      <c r="E680" s="5" t="str">
        <f>IF(kokpit!E680&lt;&gt;"",kokpit!E680,"")</f>
        <v/>
      </c>
      <c r="F680" s="127" t="str">
        <f>IF(kokpit!F680&lt;&gt;"",kokpit!F680,"")</f>
        <v/>
      </c>
      <c r="G680" s="24" t="str">
        <f>IF(E680&lt;&gt;"",SUMIFS('JPK_KR-1'!AL:AL,'JPK_KR-1'!W:W,F680),"")</f>
        <v/>
      </c>
      <c r="H680" s="126" t="str">
        <f>IF(E680&lt;&gt;"",SUMIFS('JPK_KR-1'!AM:AM,'JPK_KR-1'!W:W,F680),"")</f>
        <v/>
      </c>
      <c r="I680" s="5" t="str">
        <f>IF(kokpit!I680&lt;&gt;"",kokpit!I680,"")</f>
        <v/>
      </c>
      <c r="J680" s="5" t="str">
        <f>IF(kokpit!J680&lt;&gt;"",kokpit!J680,"")</f>
        <v/>
      </c>
      <c r="K680" s="24" t="str">
        <f>IF(I680&lt;&gt;"",SUMIFS('JPK_KR-1'!AL:AL,'JPK_KR-1'!W:W,J680),"")</f>
        <v/>
      </c>
      <c r="L680" s="141" t="str">
        <f>IF(I680&lt;&gt;"",SUMIFS('JPK_KR-1'!AM:AM,'JPK_KR-1'!W:W,J680),"")</f>
        <v/>
      </c>
      <c r="M680" s="143" t="str">
        <f>IF(kokpit!M680&lt;&gt;"",kokpit!M680,"")</f>
        <v/>
      </c>
      <c r="N680" s="117" t="str">
        <f>IF(kokpit!N680&lt;&gt;"",kokpit!N680,"")</f>
        <v/>
      </c>
      <c r="O680" s="117" t="str">
        <f>IF(kokpit!O680&lt;&gt;"",kokpit!O680,"")</f>
        <v/>
      </c>
      <c r="P680" s="141" t="str">
        <f>IF(M680&lt;&gt;"",IF(O680="",SUMIFS('JPK_KR-1'!AL:AL,'JPK_KR-1'!W:W,N680),SUMIFS('JPK_KR-1'!BF:BF,'JPK_KR-1'!BE:BE,N680,'JPK_KR-1'!BG:BG,O680)),"")</f>
        <v/>
      </c>
      <c r="Q680" s="144" t="str">
        <f>IF(M680&lt;&gt;"",IF(O680="",SUMIFS('JPK_KR-1'!AM:AM,'JPK_KR-1'!W:W,N680),SUMIFS('JPK_KR-1'!BI:BI,'JPK_KR-1'!BH:BH,N680,'JPK_KR-1'!BJ:BJ,O680)),"")</f>
        <v/>
      </c>
      <c r="R680" s="117" t="str">
        <f>IF(kokpit!R680&lt;&gt;"",kokpit!R680,"")</f>
        <v/>
      </c>
      <c r="S680" s="117" t="str">
        <f>IF(kokpit!S680&lt;&gt;"",kokpit!S680,"")</f>
        <v/>
      </c>
      <c r="T680" s="117" t="str">
        <f>IF(kokpit!T680&lt;&gt;"",kokpit!T680,"")</f>
        <v/>
      </c>
      <c r="U680" s="141" t="str">
        <f>IF(R680&lt;&gt;"",SUMIFS('JPK_KR-1'!AL:AL,'JPK_KR-1'!W:W,S680),"")</f>
        <v/>
      </c>
      <c r="V680" s="144" t="str">
        <f>IF(R680&lt;&gt;"",SUMIFS('JPK_KR-1'!AM:AM,'JPK_KR-1'!W:W,S680),"")</f>
        <v/>
      </c>
    </row>
    <row r="681" spans="1:22" x14ac:dyDescent="0.3">
      <c r="A681" s="5" t="str">
        <f>IF(kokpit!A681&lt;&gt;"",kokpit!A681,"")</f>
        <v/>
      </c>
      <c r="B681" s="5" t="str">
        <f>IF(kokpit!B681&lt;&gt;"",kokpit!B681,"")</f>
        <v/>
      </c>
      <c r="C681" s="24" t="str">
        <f>IF(A681&lt;&gt;"",SUMIFS('JPK_KR-1'!AL:AL,'JPK_KR-1'!W:W,B681),"")</f>
        <v/>
      </c>
      <c r="D681" s="126" t="str">
        <f>IF(A681&lt;&gt;"",SUMIFS('JPK_KR-1'!AM:AM,'JPK_KR-1'!W:W,B681),"")</f>
        <v/>
      </c>
      <c r="E681" s="5" t="str">
        <f>IF(kokpit!E681&lt;&gt;"",kokpit!E681,"")</f>
        <v/>
      </c>
      <c r="F681" s="127" t="str">
        <f>IF(kokpit!F681&lt;&gt;"",kokpit!F681,"")</f>
        <v/>
      </c>
      <c r="G681" s="24" t="str">
        <f>IF(E681&lt;&gt;"",SUMIFS('JPK_KR-1'!AL:AL,'JPK_KR-1'!W:W,F681),"")</f>
        <v/>
      </c>
      <c r="H681" s="126" t="str">
        <f>IF(E681&lt;&gt;"",SUMIFS('JPK_KR-1'!AM:AM,'JPK_KR-1'!W:W,F681),"")</f>
        <v/>
      </c>
      <c r="I681" s="5" t="str">
        <f>IF(kokpit!I681&lt;&gt;"",kokpit!I681,"")</f>
        <v/>
      </c>
      <c r="J681" s="5" t="str">
        <f>IF(kokpit!J681&lt;&gt;"",kokpit!J681,"")</f>
        <v/>
      </c>
      <c r="K681" s="24" t="str">
        <f>IF(I681&lt;&gt;"",SUMIFS('JPK_KR-1'!AL:AL,'JPK_KR-1'!W:W,J681),"")</f>
        <v/>
      </c>
      <c r="L681" s="141" t="str">
        <f>IF(I681&lt;&gt;"",SUMIFS('JPK_KR-1'!AM:AM,'JPK_KR-1'!W:W,J681),"")</f>
        <v/>
      </c>
      <c r="M681" s="143" t="str">
        <f>IF(kokpit!M681&lt;&gt;"",kokpit!M681,"")</f>
        <v/>
      </c>
      <c r="N681" s="117" t="str">
        <f>IF(kokpit!N681&lt;&gt;"",kokpit!N681,"")</f>
        <v/>
      </c>
      <c r="O681" s="117" t="str">
        <f>IF(kokpit!O681&lt;&gt;"",kokpit!O681,"")</f>
        <v/>
      </c>
      <c r="P681" s="141" t="str">
        <f>IF(M681&lt;&gt;"",IF(O681="",SUMIFS('JPK_KR-1'!AL:AL,'JPK_KR-1'!W:W,N681),SUMIFS('JPK_KR-1'!BF:BF,'JPK_KR-1'!BE:BE,N681,'JPK_KR-1'!BG:BG,O681)),"")</f>
        <v/>
      </c>
      <c r="Q681" s="144" t="str">
        <f>IF(M681&lt;&gt;"",IF(O681="",SUMIFS('JPK_KR-1'!AM:AM,'JPK_KR-1'!W:W,N681),SUMIFS('JPK_KR-1'!BI:BI,'JPK_KR-1'!BH:BH,N681,'JPK_KR-1'!BJ:BJ,O681)),"")</f>
        <v/>
      </c>
      <c r="R681" s="117" t="str">
        <f>IF(kokpit!R681&lt;&gt;"",kokpit!R681,"")</f>
        <v/>
      </c>
      <c r="S681" s="117" t="str">
        <f>IF(kokpit!S681&lt;&gt;"",kokpit!S681,"")</f>
        <v/>
      </c>
      <c r="T681" s="117" t="str">
        <f>IF(kokpit!T681&lt;&gt;"",kokpit!T681,"")</f>
        <v/>
      </c>
      <c r="U681" s="141" t="str">
        <f>IF(R681&lt;&gt;"",SUMIFS('JPK_KR-1'!AL:AL,'JPK_KR-1'!W:W,S681),"")</f>
        <v/>
      </c>
      <c r="V681" s="144" t="str">
        <f>IF(R681&lt;&gt;"",SUMIFS('JPK_KR-1'!AM:AM,'JPK_KR-1'!W:W,S681),"")</f>
        <v/>
      </c>
    </row>
    <row r="682" spans="1:22" x14ac:dyDescent="0.3">
      <c r="A682" s="5" t="str">
        <f>IF(kokpit!A682&lt;&gt;"",kokpit!A682,"")</f>
        <v/>
      </c>
      <c r="B682" s="5" t="str">
        <f>IF(kokpit!B682&lt;&gt;"",kokpit!B682,"")</f>
        <v/>
      </c>
      <c r="C682" s="24" t="str">
        <f>IF(A682&lt;&gt;"",SUMIFS('JPK_KR-1'!AL:AL,'JPK_KR-1'!W:W,B682),"")</f>
        <v/>
      </c>
      <c r="D682" s="126" t="str">
        <f>IF(A682&lt;&gt;"",SUMIFS('JPK_KR-1'!AM:AM,'JPK_KR-1'!W:W,B682),"")</f>
        <v/>
      </c>
      <c r="E682" s="5" t="str">
        <f>IF(kokpit!E682&lt;&gt;"",kokpit!E682,"")</f>
        <v/>
      </c>
      <c r="F682" s="127" t="str">
        <f>IF(kokpit!F682&lt;&gt;"",kokpit!F682,"")</f>
        <v/>
      </c>
      <c r="G682" s="24" t="str">
        <f>IF(E682&lt;&gt;"",SUMIFS('JPK_KR-1'!AL:AL,'JPK_KR-1'!W:W,F682),"")</f>
        <v/>
      </c>
      <c r="H682" s="126" t="str">
        <f>IF(E682&lt;&gt;"",SUMIFS('JPK_KR-1'!AM:AM,'JPK_KR-1'!W:W,F682),"")</f>
        <v/>
      </c>
      <c r="I682" s="5" t="str">
        <f>IF(kokpit!I682&lt;&gt;"",kokpit!I682,"")</f>
        <v/>
      </c>
      <c r="J682" s="5" t="str">
        <f>IF(kokpit!J682&lt;&gt;"",kokpit!J682,"")</f>
        <v/>
      </c>
      <c r="K682" s="24" t="str">
        <f>IF(I682&lt;&gt;"",SUMIFS('JPK_KR-1'!AL:AL,'JPK_KR-1'!W:W,J682),"")</f>
        <v/>
      </c>
      <c r="L682" s="141" t="str">
        <f>IF(I682&lt;&gt;"",SUMIFS('JPK_KR-1'!AM:AM,'JPK_KR-1'!W:W,J682),"")</f>
        <v/>
      </c>
      <c r="M682" s="143" t="str">
        <f>IF(kokpit!M682&lt;&gt;"",kokpit!M682,"")</f>
        <v/>
      </c>
      <c r="N682" s="117" t="str">
        <f>IF(kokpit!N682&lt;&gt;"",kokpit!N682,"")</f>
        <v/>
      </c>
      <c r="O682" s="117" t="str">
        <f>IF(kokpit!O682&lt;&gt;"",kokpit!O682,"")</f>
        <v/>
      </c>
      <c r="P682" s="141" t="str">
        <f>IF(M682&lt;&gt;"",IF(O682="",SUMIFS('JPK_KR-1'!AL:AL,'JPK_KR-1'!W:W,N682),SUMIFS('JPK_KR-1'!BF:BF,'JPK_KR-1'!BE:BE,N682,'JPK_KR-1'!BG:BG,O682)),"")</f>
        <v/>
      </c>
      <c r="Q682" s="144" t="str">
        <f>IF(M682&lt;&gt;"",IF(O682="",SUMIFS('JPK_KR-1'!AM:AM,'JPK_KR-1'!W:W,N682),SUMIFS('JPK_KR-1'!BI:BI,'JPK_KR-1'!BH:BH,N682,'JPK_KR-1'!BJ:BJ,O682)),"")</f>
        <v/>
      </c>
      <c r="R682" s="117" t="str">
        <f>IF(kokpit!R682&lt;&gt;"",kokpit!R682,"")</f>
        <v/>
      </c>
      <c r="S682" s="117" t="str">
        <f>IF(kokpit!S682&lt;&gt;"",kokpit!S682,"")</f>
        <v/>
      </c>
      <c r="T682" s="117" t="str">
        <f>IF(kokpit!T682&lt;&gt;"",kokpit!T682,"")</f>
        <v/>
      </c>
      <c r="U682" s="141" t="str">
        <f>IF(R682&lt;&gt;"",SUMIFS('JPK_KR-1'!AL:AL,'JPK_KR-1'!W:W,S682),"")</f>
        <v/>
      </c>
      <c r="V682" s="144" t="str">
        <f>IF(R682&lt;&gt;"",SUMIFS('JPK_KR-1'!AM:AM,'JPK_KR-1'!W:W,S682),"")</f>
        <v/>
      </c>
    </row>
    <row r="683" spans="1:22" x14ac:dyDescent="0.3">
      <c r="A683" s="5" t="str">
        <f>IF(kokpit!A683&lt;&gt;"",kokpit!A683,"")</f>
        <v/>
      </c>
      <c r="B683" s="5" t="str">
        <f>IF(kokpit!B683&lt;&gt;"",kokpit!B683,"")</f>
        <v/>
      </c>
      <c r="C683" s="24" t="str">
        <f>IF(A683&lt;&gt;"",SUMIFS('JPK_KR-1'!AL:AL,'JPK_KR-1'!W:W,B683),"")</f>
        <v/>
      </c>
      <c r="D683" s="126" t="str">
        <f>IF(A683&lt;&gt;"",SUMIFS('JPK_KR-1'!AM:AM,'JPK_KR-1'!W:W,B683),"")</f>
        <v/>
      </c>
      <c r="E683" s="5" t="str">
        <f>IF(kokpit!E683&lt;&gt;"",kokpit!E683,"")</f>
        <v/>
      </c>
      <c r="F683" s="127" t="str">
        <f>IF(kokpit!F683&lt;&gt;"",kokpit!F683,"")</f>
        <v/>
      </c>
      <c r="G683" s="24" t="str">
        <f>IF(E683&lt;&gt;"",SUMIFS('JPK_KR-1'!AL:AL,'JPK_KR-1'!W:W,F683),"")</f>
        <v/>
      </c>
      <c r="H683" s="126" t="str">
        <f>IF(E683&lt;&gt;"",SUMIFS('JPK_KR-1'!AM:AM,'JPK_KR-1'!W:W,F683),"")</f>
        <v/>
      </c>
      <c r="I683" s="5" t="str">
        <f>IF(kokpit!I683&lt;&gt;"",kokpit!I683,"")</f>
        <v/>
      </c>
      <c r="J683" s="5" t="str">
        <f>IF(kokpit!J683&lt;&gt;"",kokpit!J683,"")</f>
        <v/>
      </c>
      <c r="K683" s="24" t="str">
        <f>IF(I683&lt;&gt;"",SUMIFS('JPK_KR-1'!AL:AL,'JPK_KR-1'!W:W,J683),"")</f>
        <v/>
      </c>
      <c r="L683" s="141" t="str">
        <f>IF(I683&lt;&gt;"",SUMIFS('JPK_KR-1'!AM:AM,'JPK_KR-1'!W:W,J683),"")</f>
        <v/>
      </c>
      <c r="M683" s="143" t="str">
        <f>IF(kokpit!M683&lt;&gt;"",kokpit!M683,"")</f>
        <v/>
      </c>
      <c r="N683" s="117" t="str">
        <f>IF(kokpit!N683&lt;&gt;"",kokpit!N683,"")</f>
        <v/>
      </c>
      <c r="O683" s="117" t="str">
        <f>IF(kokpit!O683&lt;&gt;"",kokpit!O683,"")</f>
        <v/>
      </c>
      <c r="P683" s="141" t="str">
        <f>IF(M683&lt;&gt;"",IF(O683="",SUMIFS('JPK_KR-1'!AL:AL,'JPK_KR-1'!W:W,N683),SUMIFS('JPK_KR-1'!BF:BF,'JPK_KR-1'!BE:BE,N683,'JPK_KR-1'!BG:BG,O683)),"")</f>
        <v/>
      </c>
      <c r="Q683" s="144" t="str">
        <f>IF(M683&lt;&gt;"",IF(O683="",SUMIFS('JPK_KR-1'!AM:AM,'JPK_KR-1'!W:W,N683),SUMIFS('JPK_KR-1'!BI:BI,'JPK_KR-1'!BH:BH,N683,'JPK_KR-1'!BJ:BJ,O683)),"")</f>
        <v/>
      </c>
      <c r="R683" s="117" t="str">
        <f>IF(kokpit!R683&lt;&gt;"",kokpit!R683,"")</f>
        <v/>
      </c>
      <c r="S683" s="117" t="str">
        <f>IF(kokpit!S683&lt;&gt;"",kokpit!S683,"")</f>
        <v/>
      </c>
      <c r="T683" s="117" t="str">
        <f>IF(kokpit!T683&lt;&gt;"",kokpit!T683,"")</f>
        <v/>
      </c>
      <c r="U683" s="141" t="str">
        <f>IF(R683&lt;&gt;"",SUMIFS('JPK_KR-1'!AL:AL,'JPK_KR-1'!W:W,S683),"")</f>
        <v/>
      </c>
      <c r="V683" s="144" t="str">
        <f>IF(R683&lt;&gt;"",SUMIFS('JPK_KR-1'!AM:AM,'JPK_KR-1'!W:W,S683),"")</f>
        <v/>
      </c>
    </row>
    <row r="684" spans="1:22" x14ac:dyDescent="0.3">
      <c r="A684" s="5" t="str">
        <f>IF(kokpit!A684&lt;&gt;"",kokpit!A684,"")</f>
        <v/>
      </c>
      <c r="B684" s="5" t="str">
        <f>IF(kokpit!B684&lt;&gt;"",kokpit!B684,"")</f>
        <v/>
      </c>
      <c r="C684" s="24" t="str">
        <f>IF(A684&lt;&gt;"",SUMIFS('JPK_KR-1'!AL:AL,'JPK_KR-1'!W:W,B684),"")</f>
        <v/>
      </c>
      <c r="D684" s="126" t="str">
        <f>IF(A684&lt;&gt;"",SUMIFS('JPK_KR-1'!AM:AM,'JPK_KR-1'!W:W,B684),"")</f>
        <v/>
      </c>
      <c r="E684" s="5" t="str">
        <f>IF(kokpit!E684&lt;&gt;"",kokpit!E684,"")</f>
        <v/>
      </c>
      <c r="F684" s="127" t="str">
        <f>IF(kokpit!F684&lt;&gt;"",kokpit!F684,"")</f>
        <v/>
      </c>
      <c r="G684" s="24" t="str">
        <f>IF(E684&lt;&gt;"",SUMIFS('JPK_KR-1'!AL:AL,'JPK_KR-1'!W:W,F684),"")</f>
        <v/>
      </c>
      <c r="H684" s="126" t="str">
        <f>IF(E684&lt;&gt;"",SUMIFS('JPK_KR-1'!AM:AM,'JPK_KR-1'!W:W,F684),"")</f>
        <v/>
      </c>
      <c r="I684" s="5" t="str">
        <f>IF(kokpit!I684&lt;&gt;"",kokpit!I684,"")</f>
        <v/>
      </c>
      <c r="J684" s="5" t="str">
        <f>IF(kokpit!J684&lt;&gt;"",kokpit!J684,"")</f>
        <v/>
      </c>
      <c r="K684" s="24" t="str">
        <f>IF(I684&lt;&gt;"",SUMIFS('JPK_KR-1'!AL:AL,'JPK_KR-1'!W:W,J684),"")</f>
        <v/>
      </c>
      <c r="L684" s="141" t="str">
        <f>IF(I684&lt;&gt;"",SUMIFS('JPK_KR-1'!AM:AM,'JPK_KR-1'!W:W,J684),"")</f>
        <v/>
      </c>
      <c r="M684" s="143" t="str">
        <f>IF(kokpit!M684&lt;&gt;"",kokpit!M684,"")</f>
        <v/>
      </c>
      <c r="N684" s="117" t="str">
        <f>IF(kokpit!N684&lt;&gt;"",kokpit!N684,"")</f>
        <v/>
      </c>
      <c r="O684" s="117" t="str">
        <f>IF(kokpit!O684&lt;&gt;"",kokpit!O684,"")</f>
        <v/>
      </c>
      <c r="P684" s="141" t="str">
        <f>IF(M684&lt;&gt;"",IF(O684="",SUMIFS('JPK_KR-1'!AL:AL,'JPK_KR-1'!W:W,N684),SUMIFS('JPK_KR-1'!BF:BF,'JPK_KR-1'!BE:BE,N684,'JPK_KR-1'!BG:BG,O684)),"")</f>
        <v/>
      </c>
      <c r="Q684" s="144" t="str">
        <f>IF(M684&lt;&gt;"",IF(O684="",SUMIFS('JPK_KR-1'!AM:AM,'JPK_KR-1'!W:W,N684),SUMIFS('JPK_KR-1'!BI:BI,'JPK_KR-1'!BH:BH,N684,'JPK_KR-1'!BJ:BJ,O684)),"")</f>
        <v/>
      </c>
      <c r="R684" s="117" t="str">
        <f>IF(kokpit!R684&lt;&gt;"",kokpit!R684,"")</f>
        <v/>
      </c>
      <c r="S684" s="117" t="str">
        <f>IF(kokpit!S684&lt;&gt;"",kokpit!S684,"")</f>
        <v/>
      </c>
      <c r="T684" s="117" t="str">
        <f>IF(kokpit!T684&lt;&gt;"",kokpit!T684,"")</f>
        <v/>
      </c>
      <c r="U684" s="141" t="str">
        <f>IF(R684&lt;&gt;"",SUMIFS('JPK_KR-1'!AL:AL,'JPK_KR-1'!W:W,S684),"")</f>
        <v/>
      </c>
      <c r="V684" s="144" t="str">
        <f>IF(R684&lt;&gt;"",SUMIFS('JPK_KR-1'!AM:AM,'JPK_KR-1'!W:W,S684),"")</f>
        <v/>
      </c>
    </row>
    <row r="685" spans="1:22" x14ac:dyDescent="0.3">
      <c r="A685" s="5" t="str">
        <f>IF(kokpit!A685&lt;&gt;"",kokpit!A685,"")</f>
        <v/>
      </c>
      <c r="B685" s="5" t="str">
        <f>IF(kokpit!B685&lt;&gt;"",kokpit!B685,"")</f>
        <v/>
      </c>
      <c r="C685" s="24" t="str">
        <f>IF(A685&lt;&gt;"",SUMIFS('JPK_KR-1'!AL:AL,'JPK_KR-1'!W:W,B685),"")</f>
        <v/>
      </c>
      <c r="D685" s="126" t="str">
        <f>IF(A685&lt;&gt;"",SUMIFS('JPK_KR-1'!AM:AM,'JPK_KR-1'!W:W,B685),"")</f>
        <v/>
      </c>
      <c r="E685" s="5" t="str">
        <f>IF(kokpit!E685&lt;&gt;"",kokpit!E685,"")</f>
        <v/>
      </c>
      <c r="F685" s="127" t="str">
        <f>IF(kokpit!F685&lt;&gt;"",kokpit!F685,"")</f>
        <v/>
      </c>
      <c r="G685" s="24" t="str">
        <f>IF(E685&lt;&gt;"",SUMIFS('JPK_KR-1'!AL:AL,'JPK_KR-1'!W:W,F685),"")</f>
        <v/>
      </c>
      <c r="H685" s="126" t="str">
        <f>IF(E685&lt;&gt;"",SUMIFS('JPK_KR-1'!AM:AM,'JPK_KR-1'!W:W,F685),"")</f>
        <v/>
      </c>
      <c r="I685" s="5" t="str">
        <f>IF(kokpit!I685&lt;&gt;"",kokpit!I685,"")</f>
        <v/>
      </c>
      <c r="J685" s="5" t="str">
        <f>IF(kokpit!J685&lt;&gt;"",kokpit!J685,"")</f>
        <v/>
      </c>
      <c r="K685" s="24" t="str">
        <f>IF(I685&lt;&gt;"",SUMIFS('JPK_KR-1'!AL:AL,'JPK_KR-1'!W:W,J685),"")</f>
        <v/>
      </c>
      <c r="L685" s="141" t="str">
        <f>IF(I685&lt;&gt;"",SUMIFS('JPK_KR-1'!AM:AM,'JPK_KR-1'!W:W,J685),"")</f>
        <v/>
      </c>
      <c r="M685" s="143" t="str">
        <f>IF(kokpit!M685&lt;&gt;"",kokpit!M685,"")</f>
        <v/>
      </c>
      <c r="N685" s="117" t="str">
        <f>IF(kokpit!N685&lt;&gt;"",kokpit!N685,"")</f>
        <v/>
      </c>
      <c r="O685" s="117" t="str">
        <f>IF(kokpit!O685&lt;&gt;"",kokpit!O685,"")</f>
        <v/>
      </c>
      <c r="P685" s="141" t="str">
        <f>IF(M685&lt;&gt;"",IF(O685="",SUMIFS('JPK_KR-1'!AL:AL,'JPK_KR-1'!W:W,N685),SUMIFS('JPK_KR-1'!BF:BF,'JPK_KR-1'!BE:BE,N685,'JPK_KR-1'!BG:BG,O685)),"")</f>
        <v/>
      </c>
      <c r="Q685" s="144" t="str">
        <f>IF(M685&lt;&gt;"",IF(O685="",SUMIFS('JPK_KR-1'!AM:AM,'JPK_KR-1'!W:W,N685),SUMIFS('JPK_KR-1'!BI:BI,'JPK_KR-1'!BH:BH,N685,'JPK_KR-1'!BJ:BJ,O685)),"")</f>
        <v/>
      </c>
      <c r="R685" s="117" t="str">
        <f>IF(kokpit!R685&lt;&gt;"",kokpit!R685,"")</f>
        <v/>
      </c>
      <c r="S685" s="117" t="str">
        <f>IF(kokpit!S685&lt;&gt;"",kokpit!S685,"")</f>
        <v/>
      </c>
      <c r="T685" s="117" t="str">
        <f>IF(kokpit!T685&lt;&gt;"",kokpit!T685,"")</f>
        <v/>
      </c>
      <c r="U685" s="141" t="str">
        <f>IF(R685&lt;&gt;"",SUMIFS('JPK_KR-1'!AL:AL,'JPK_KR-1'!W:W,S685),"")</f>
        <v/>
      </c>
      <c r="V685" s="144" t="str">
        <f>IF(R685&lt;&gt;"",SUMIFS('JPK_KR-1'!AM:AM,'JPK_KR-1'!W:W,S685),"")</f>
        <v/>
      </c>
    </row>
    <row r="686" spans="1:22" x14ac:dyDescent="0.3">
      <c r="A686" s="5" t="str">
        <f>IF(kokpit!A686&lt;&gt;"",kokpit!A686,"")</f>
        <v/>
      </c>
      <c r="B686" s="5" t="str">
        <f>IF(kokpit!B686&lt;&gt;"",kokpit!B686,"")</f>
        <v/>
      </c>
      <c r="C686" s="24" t="str">
        <f>IF(A686&lt;&gt;"",SUMIFS('JPK_KR-1'!AL:AL,'JPK_KR-1'!W:W,B686),"")</f>
        <v/>
      </c>
      <c r="D686" s="126" t="str">
        <f>IF(A686&lt;&gt;"",SUMIFS('JPK_KR-1'!AM:AM,'JPK_KR-1'!W:W,B686),"")</f>
        <v/>
      </c>
      <c r="E686" s="5" t="str">
        <f>IF(kokpit!E686&lt;&gt;"",kokpit!E686,"")</f>
        <v/>
      </c>
      <c r="F686" s="127" t="str">
        <f>IF(kokpit!F686&lt;&gt;"",kokpit!F686,"")</f>
        <v/>
      </c>
      <c r="G686" s="24" t="str">
        <f>IF(E686&lt;&gt;"",SUMIFS('JPK_KR-1'!AL:AL,'JPK_KR-1'!W:W,F686),"")</f>
        <v/>
      </c>
      <c r="H686" s="126" t="str">
        <f>IF(E686&lt;&gt;"",SUMIFS('JPK_KR-1'!AM:AM,'JPK_KR-1'!W:W,F686),"")</f>
        <v/>
      </c>
      <c r="I686" s="5" t="str">
        <f>IF(kokpit!I686&lt;&gt;"",kokpit!I686,"")</f>
        <v/>
      </c>
      <c r="J686" s="5" t="str">
        <f>IF(kokpit!J686&lt;&gt;"",kokpit!J686,"")</f>
        <v/>
      </c>
      <c r="K686" s="24" t="str">
        <f>IF(I686&lt;&gt;"",SUMIFS('JPK_KR-1'!AL:AL,'JPK_KR-1'!W:W,J686),"")</f>
        <v/>
      </c>
      <c r="L686" s="141" t="str">
        <f>IF(I686&lt;&gt;"",SUMIFS('JPK_KR-1'!AM:AM,'JPK_KR-1'!W:W,J686),"")</f>
        <v/>
      </c>
      <c r="M686" s="143" t="str">
        <f>IF(kokpit!M686&lt;&gt;"",kokpit!M686,"")</f>
        <v/>
      </c>
      <c r="N686" s="117" t="str">
        <f>IF(kokpit!N686&lt;&gt;"",kokpit!N686,"")</f>
        <v/>
      </c>
      <c r="O686" s="117" t="str">
        <f>IF(kokpit!O686&lt;&gt;"",kokpit!O686,"")</f>
        <v/>
      </c>
      <c r="P686" s="141" t="str">
        <f>IF(M686&lt;&gt;"",IF(O686="",SUMIFS('JPK_KR-1'!AL:AL,'JPK_KR-1'!W:W,N686),SUMIFS('JPK_KR-1'!BF:BF,'JPK_KR-1'!BE:BE,N686,'JPK_KR-1'!BG:BG,O686)),"")</f>
        <v/>
      </c>
      <c r="Q686" s="144" t="str">
        <f>IF(M686&lt;&gt;"",IF(O686="",SUMIFS('JPK_KR-1'!AM:AM,'JPK_KR-1'!W:W,N686),SUMIFS('JPK_KR-1'!BI:BI,'JPK_KR-1'!BH:BH,N686,'JPK_KR-1'!BJ:BJ,O686)),"")</f>
        <v/>
      </c>
      <c r="R686" s="117" t="str">
        <f>IF(kokpit!R686&lt;&gt;"",kokpit!R686,"")</f>
        <v/>
      </c>
      <c r="S686" s="117" t="str">
        <f>IF(kokpit!S686&lt;&gt;"",kokpit!S686,"")</f>
        <v/>
      </c>
      <c r="T686" s="117" t="str">
        <f>IF(kokpit!T686&lt;&gt;"",kokpit!T686,"")</f>
        <v/>
      </c>
      <c r="U686" s="141" t="str">
        <f>IF(R686&lt;&gt;"",SUMIFS('JPK_KR-1'!AL:AL,'JPK_KR-1'!W:W,S686),"")</f>
        <v/>
      </c>
      <c r="V686" s="144" t="str">
        <f>IF(R686&lt;&gt;"",SUMIFS('JPK_KR-1'!AM:AM,'JPK_KR-1'!W:W,S686),"")</f>
        <v/>
      </c>
    </row>
    <row r="687" spans="1:22" x14ac:dyDescent="0.3">
      <c r="A687" s="5" t="str">
        <f>IF(kokpit!A687&lt;&gt;"",kokpit!A687,"")</f>
        <v/>
      </c>
      <c r="B687" s="5" t="str">
        <f>IF(kokpit!B687&lt;&gt;"",kokpit!B687,"")</f>
        <v/>
      </c>
      <c r="C687" s="24" t="str">
        <f>IF(A687&lt;&gt;"",SUMIFS('JPK_KR-1'!AL:AL,'JPK_KR-1'!W:W,B687),"")</f>
        <v/>
      </c>
      <c r="D687" s="126" t="str">
        <f>IF(A687&lt;&gt;"",SUMIFS('JPK_KR-1'!AM:AM,'JPK_KR-1'!W:W,B687),"")</f>
        <v/>
      </c>
      <c r="E687" s="5" t="str">
        <f>IF(kokpit!E687&lt;&gt;"",kokpit!E687,"")</f>
        <v/>
      </c>
      <c r="F687" s="127" t="str">
        <f>IF(kokpit!F687&lt;&gt;"",kokpit!F687,"")</f>
        <v/>
      </c>
      <c r="G687" s="24" t="str">
        <f>IF(E687&lt;&gt;"",SUMIFS('JPK_KR-1'!AL:AL,'JPK_KR-1'!W:W,F687),"")</f>
        <v/>
      </c>
      <c r="H687" s="126" t="str">
        <f>IF(E687&lt;&gt;"",SUMIFS('JPK_KR-1'!AM:AM,'JPK_KR-1'!W:W,F687),"")</f>
        <v/>
      </c>
      <c r="I687" s="5" t="str">
        <f>IF(kokpit!I687&lt;&gt;"",kokpit!I687,"")</f>
        <v/>
      </c>
      <c r="J687" s="5" t="str">
        <f>IF(kokpit!J687&lt;&gt;"",kokpit!J687,"")</f>
        <v/>
      </c>
      <c r="K687" s="24" t="str">
        <f>IF(I687&lt;&gt;"",SUMIFS('JPK_KR-1'!AL:AL,'JPK_KR-1'!W:W,J687),"")</f>
        <v/>
      </c>
      <c r="L687" s="141" t="str">
        <f>IF(I687&lt;&gt;"",SUMIFS('JPK_KR-1'!AM:AM,'JPK_KR-1'!W:W,J687),"")</f>
        <v/>
      </c>
      <c r="M687" s="143" t="str">
        <f>IF(kokpit!M687&lt;&gt;"",kokpit!M687,"")</f>
        <v/>
      </c>
      <c r="N687" s="117" t="str">
        <f>IF(kokpit!N687&lt;&gt;"",kokpit!N687,"")</f>
        <v/>
      </c>
      <c r="O687" s="117" t="str">
        <f>IF(kokpit!O687&lt;&gt;"",kokpit!O687,"")</f>
        <v/>
      </c>
      <c r="P687" s="141" t="str">
        <f>IF(M687&lt;&gt;"",IF(O687="",SUMIFS('JPK_KR-1'!AL:AL,'JPK_KR-1'!W:W,N687),SUMIFS('JPK_KR-1'!BF:BF,'JPK_KR-1'!BE:BE,N687,'JPK_KR-1'!BG:BG,O687)),"")</f>
        <v/>
      </c>
      <c r="Q687" s="144" t="str">
        <f>IF(M687&lt;&gt;"",IF(O687="",SUMIFS('JPK_KR-1'!AM:AM,'JPK_KR-1'!W:W,N687),SUMIFS('JPK_KR-1'!BI:BI,'JPK_KR-1'!BH:BH,N687,'JPK_KR-1'!BJ:BJ,O687)),"")</f>
        <v/>
      </c>
      <c r="R687" s="117" t="str">
        <f>IF(kokpit!R687&lt;&gt;"",kokpit!R687,"")</f>
        <v/>
      </c>
      <c r="S687" s="117" t="str">
        <f>IF(kokpit!S687&lt;&gt;"",kokpit!S687,"")</f>
        <v/>
      </c>
      <c r="T687" s="117" t="str">
        <f>IF(kokpit!T687&lt;&gt;"",kokpit!T687,"")</f>
        <v/>
      </c>
      <c r="U687" s="141" t="str">
        <f>IF(R687&lt;&gt;"",SUMIFS('JPK_KR-1'!AL:AL,'JPK_KR-1'!W:W,S687),"")</f>
        <v/>
      </c>
      <c r="V687" s="144" t="str">
        <f>IF(R687&lt;&gt;"",SUMIFS('JPK_KR-1'!AM:AM,'JPK_KR-1'!W:W,S687),"")</f>
        <v/>
      </c>
    </row>
    <row r="688" spans="1:22" x14ac:dyDescent="0.3">
      <c r="A688" s="5" t="str">
        <f>IF(kokpit!A688&lt;&gt;"",kokpit!A688,"")</f>
        <v/>
      </c>
      <c r="B688" s="5" t="str">
        <f>IF(kokpit!B688&lt;&gt;"",kokpit!B688,"")</f>
        <v/>
      </c>
      <c r="C688" s="24" t="str">
        <f>IF(A688&lt;&gt;"",SUMIFS('JPK_KR-1'!AL:AL,'JPK_KR-1'!W:W,B688),"")</f>
        <v/>
      </c>
      <c r="D688" s="126" t="str">
        <f>IF(A688&lt;&gt;"",SUMIFS('JPK_KR-1'!AM:AM,'JPK_KR-1'!W:W,B688),"")</f>
        <v/>
      </c>
      <c r="E688" s="5" t="str">
        <f>IF(kokpit!E688&lt;&gt;"",kokpit!E688,"")</f>
        <v/>
      </c>
      <c r="F688" s="127" t="str">
        <f>IF(kokpit!F688&lt;&gt;"",kokpit!F688,"")</f>
        <v/>
      </c>
      <c r="G688" s="24" t="str">
        <f>IF(E688&lt;&gt;"",SUMIFS('JPK_KR-1'!AL:AL,'JPK_KR-1'!W:W,F688),"")</f>
        <v/>
      </c>
      <c r="H688" s="126" t="str">
        <f>IF(E688&lt;&gt;"",SUMIFS('JPK_KR-1'!AM:AM,'JPK_KR-1'!W:W,F688),"")</f>
        <v/>
      </c>
      <c r="I688" s="5" t="str">
        <f>IF(kokpit!I688&lt;&gt;"",kokpit!I688,"")</f>
        <v/>
      </c>
      <c r="J688" s="5" t="str">
        <f>IF(kokpit!J688&lt;&gt;"",kokpit!J688,"")</f>
        <v/>
      </c>
      <c r="K688" s="24" t="str">
        <f>IF(I688&lt;&gt;"",SUMIFS('JPK_KR-1'!AL:AL,'JPK_KR-1'!W:W,J688),"")</f>
        <v/>
      </c>
      <c r="L688" s="141" t="str">
        <f>IF(I688&lt;&gt;"",SUMIFS('JPK_KR-1'!AM:AM,'JPK_KR-1'!W:W,J688),"")</f>
        <v/>
      </c>
      <c r="M688" s="143" t="str">
        <f>IF(kokpit!M688&lt;&gt;"",kokpit!M688,"")</f>
        <v/>
      </c>
      <c r="N688" s="117" t="str">
        <f>IF(kokpit!N688&lt;&gt;"",kokpit!N688,"")</f>
        <v/>
      </c>
      <c r="O688" s="117" t="str">
        <f>IF(kokpit!O688&lt;&gt;"",kokpit!O688,"")</f>
        <v/>
      </c>
      <c r="P688" s="141" t="str">
        <f>IF(M688&lt;&gt;"",IF(O688="",SUMIFS('JPK_KR-1'!AL:AL,'JPK_KR-1'!W:W,N688),SUMIFS('JPK_KR-1'!BF:BF,'JPK_KR-1'!BE:BE,N688,'JPK_KR-1'!BG:BG,O688)),"")</f>
        <v/>
      </c>
      <c r="Q688" s="144" t="str">
        <f>IF(M688&lt;&gt;"",IF(O688="",SUMIFS('JPK_KR-1'!AM:AM,'JPK_KR-1'!W:W,N688),SUMIFS('JPK_KR-1'!BI:BI,'JPK_KR-1'!BH:BH,N688,'JPK_KR-1'!BJ:BJ,O688)),"")</f>
        <v/>
      </c>
      <c r="R688" s="117" t="str">
        <f>IF(kokpit!R688&lt;&gt;"",kokpit!R688,"")</f>
        <v/>
      </c>
      <c r="S688" s="117" t="str">
        <f>IF(kokpit!S688&lt;&gt;"",kokpit!S688,"")</f>
        <v/>
      </c>
      <c r="T688" s="117" t="str">
        <f>IF(kokpit!T688&lt;&gt;"",kokpit!T688,"")</f>
        <v/>
      </c>
      <c r="U688" s="141" t="str">
        <f>IF(R688&lt;&gt;"",SUMIFS('JPK_KR-1'!AL:AL,'JPK_KR-1'!W:W,S688),"")</f>
        <v/>
      </c>
      <c r="V688" s="144" t="str">
        <f>IF(R688&lt;&gt;"",SUMIFS('JPK_KR-1'!AM:AM,'JPK_KR-1'!W:W,S688),"")</f>
        <v/>
      </c>
    </row>
    <row r="689" spans="1:22" x14ac:dyDescent="0.3">
      <c r="A689" s="5" t="str">
        <f>IF(kokpit!A689&lt;&gt;"",kokpit!A689,"")</f>
        <v/>
      </c>
      <c r="B689" s="5" t="str">
        <f>IF(kokpit!B689&lt;&gt;"",kokpit!B689,"")</f>
        <v/>
      </c>
      <c r="C689" s="24" t="str">
        <f>IF(A689&lt;&gt;"",SUMIFS('JPK_KR-1'!AL:AL,'JPK_KR-1'!W:W,B689),"")</f>
        <v/>
      </c>
      <c r="D689" s="126" t="str">
        <f>IF(A689&lt;&gt;"",SUMIFS('JPK_KR-1'!AM:AM,'JPK_KR-1'!W:W,B689),"")</f>
        <v/>
      </c>
      <c r="E689" s="5" t="str">
        <f>IF(kokpit!E689&lt;&gt;"",kokpit!E689,"")</f>
        <v/>
      </c>
      <c r="F689" s="127" t="str">
        <f>IF(kokpit!F689&lt;&gt;"",kokpit!F689,"")</f>
        <v/>
      </c>
      <c r="G689" s="24" t="str">
        <f>IF(E689&lt;&gt;"",SUMIFS('JPK_KR-1'!AL:AL,'JPK_KR-1'!W:W,F689),"")</f>
        <v/>
      </c>
      <c r="H689" s="126" t="str">
        <f>IF(E689&lt;&gt;"",SUMIFS('JPK_KR-1'!AM:AM,'JPK_KR-1'!W:W,F689),"")</f>
        <v/>
      </c>
      <c r="I689" s="5" t="str">
        <f>IF(kokpit!I689&lt;&gt;"",kokpit!I689,"")</f>
        <v/>
      </c>
      <c r="J689" s="5" t="str">
        <f>IF(kokpit!J689&lt;&gt;"",kokpit!J689,"")</f>
        <v/>
      </c>
      <c r="K689" s="24" t="str">
        <f>IF(I689&lt;&gt;"",SUMIFS('JPK_KR-1'!AL:AL,'JPK_KR-1'!W:W,J689),"")</f>
        <v/>
      </c>
      <c r="L689" s="141" t="str">
        <f>IF(I689&lt;&gt;"",SUMIFS('JPK_KR-1'!AM:AM,'JPK_KR-1'!W:W,J689),"")</f>
        <v/>
      </c>
      <c r="M689" s="143" t="str">
        <f>IF(kokpit!M689&lt;&gt;"",kokpit!M689,"")</f>
        <v/>
      </c>
      <c r="N689" s="117" t="str">
        <f>IF(kokpit!N689&lt;&gt;"",kokpit!N689,"")</f>
        <v/>
      </c>
      <c r="O689" s="117" t="str">
        <f>IF(kokpit!O689&lt;&gt;"",kokpit!O689,"")</f>
        <v/>
      </c>
      <c r="P689" s="141" t="str">
        <f>IF(M689&lt;&gt;"",IF(O689="",SUMIFS('JPK_KR-1'!AL:AL,'JPK_KR-1'!W:W,N689),SUMIFS('JPK_KR-1'!BF:BF,'JPK_KR-1'!BE:BE,N689,'JPK_KR-1'!BG:BG,O689)),"")</f>
        <v/>
      </c>
      <c r="Q689" s="144" t="str">
        <f>IF(M689&lt;&gt;"",IF(O689="",SUMIFS('JPK_KR-1'!AM:AM,'JPK_KR-1'!W:W,N689),SUMIFS('JPK_KR-1'!BI:BI,'JPK_KR-1'!BH:BH,N689,'JPK_KR-1'!BJ:BJ,O689)),"")</f>
        <v/>
      </c>
      <c r="R689" s="117" t="str">
        <f>IF(kokpit!R689&lt;&gt;"",kokpit!R689,"")</f>
        <v/>
      </c>
      <c r="S689" s="117" t="str">
        <f>IF(kokpit!S689&lt;&gt;"",kokpit!S689,"")</f>
        <v/>
      </c>
      <c r="T689" s="117" t="str">
        <f>IF(kokpit!T689&lt;&gt;"",kokpit!T689,"")</f>
        <v/>
      </c>
      <c r="U689" s="141" t="str">
        <f>IF(R689&lt;&gt;"",SUMIFS('JPK_KR-1'!AL:AL,'JPK_KR-1'!W:W,S689),"")</f>
        <v/>
      </c>
      <c r="V689" s="144" t="str">
        <f>IF(R689&lt;&gt;"",SUMIFS('JPK_KR-1'!AM:AM,'JPK_KR-1'!W:W,S689),"")</f>
        <v/>
      </c>
    </row>
    <row r="690" spans="1:22" x14ac:dyDescent="0.3">
      <c r="A690" s="5" t="str">
        <f>IF(kokpit!A690&lt;&gt;"",kokpit!A690,"")</f>
        <v/>
      </c>
      <c r="B690" s="5" t="str">
        <f>IF(kokpit!B690&lt;&gt;"",kokpit!B690,"")</f>
        <v/>
      </c>
      <c r="C690" s="24" t="str">
        <f>IF(A690&lt;&gt;"",SUMIFS('JPK_KR-1'!AL:AL,'JPK_KR-1'!W:W,B690),"")</f>
        <v/>
      </c>
      <c r="D690" s="126" t="str">
        <f>IF(A690&lt;&gt;"",SUMIFS('JPK_KR-1'!AM:AM,'JPK_KR-1'!W:W,B690),"")</f>
        <v/>
      </c>
      <c r="E690" s="5" t="str">
        <f>IF(kokpit!E690&lt;&gt;"",kokpit!E690,"")</f>
        <v/>
      </c>
      <c r="F690" s="127" t="str">
        <f>IF(kokpit!F690&lt;&gt;"",kokpit!F690,"")</f>
        <v/>
      </c>
      <c r="G690" s="24" t="str">
        <f>IF(E690&lt;&gt;"",SUMIFS('JPK_KR-1'!AL:AL,'JPK_KR-1'!W:W,F690),"")</f>
        <v/>
      </c>
      <c r="H690" s="126" t="str">
        <f>IF(E690&lt;&gt;"",SUMIFS('JPK_KR-1'!AM:AM,'JPK_KR-1'!W:W,F690),"")</f>
        <v/>
      </c>
      <c r="I690" s="5" t="str">
        <f>IF(kokpit!I690&lt;&gt;"",kokpit!I690,"")</f>
        <v/>
      </c>
      <c r="J690" s="5" t="str">
        <f>IF(kokpit!J690&lt;&gt;"",kokpit!J690,"")</f>
        <v/>
      </c>
      <c r="K690" s="24" t="str">
        <f>IF(I690&lt;&gt;"",SUMIFS('JPK_KR-1'!AL:AL,'JPK_KR-1'!W:W,J690),"")</f>
        <v/>
      </c>
      <c r="L690" s="141" t="str">
        <f>IF(I690&lt;&gt;"",SUMIFS('JPK_KR-1'!AM:AM,'JPK_KR-1'!W:W,J690),"")</f>
        <v/>
      </c>
      <c r="M690" s="143" t="str">
        <f>IF(kokpit!M690&lt;&gt;"",kokpit!M690,"")</f>
        <v/>
      </c>
      <c r="N690" s="117" t="str">
        <f>IF(kokpit!N690&lt;&gt;"",kokpit!N690,"")</f>
        <v/>
      </c>
      <c r="O690" s="117" t="str">
        <f>IF(kokpit!O690&lt;&gt;"",kokpit!O690,"")</f>
        <v/>
      </c>
      <c r="P690" s="141" t="str">
        <f>IF(M690&lt;&gt;"",IF(O690="",SUMIFS('JPK_KR-1'!AL:AL,'JPK_KR-1'!W:W,N690),SUMIFS('JPK_KR-1'!BF:BF,'JPK_KR-1'!BE:BE,N690,'JPK_KR-1'!BG:BG,O690)),"")</f>
        <v/>
      </c>
      <c r="Q690" s="144" t="str">
        <f>IF(M690&lt;&gt;"",IF(O690="",SUMIFS('JPK_KR-1'!AM:AM,'JPK_KR-1'!W:W,N690),SUMIFS('JPK_KR-1'!BI:BI,'JPK_KR-1'!BH:BH,N690,'JPK_KR-1'!BJ:BJ,O690)),"")</f>
        <v/>
      </c>
      <c r="R690" s="117" t="str">
        <f>IF(kokpit!R690&lt;&gt;"",kokpit!R690,"")</f>
        <v/>
      </c>
      <c r="S690" s="117" t="str">
        <f>IF(kokpit!S690&lt;&gt;"",kokpit!S690,"")</f>
        <v/>
      </c>
      <c r="T690" s="117" t="str">
        <f>IF(kokpit!T690&lt;&gt;"",kokpit!T690,"")</f>
        <v/>
      </c>
      <c r="U690" s="141" t="str">
        <f>IF(R690&lt;&gt;"",SUMIFS('JPK_KR-1'!AL:AL,'JPK_KR-1'!W:W,S690),"")</f>
        <v/>
      </c>
      <c r="V690" s="144" t="str">
        <f>IF(R690&lt;&gt;"",SUMIFS('JPK_KR-1'!AM:AM,'JPK_KR-1'!W:W,S690),"")</f>
        <v/>
      </c>
    </row>
    <row r="691" spans="1:22" x14ac:dyDescent="0.3">
      <c r="A691" s="5" t="str">
        <f>IF(kokpit!A691&lt;&gt;"",kokpit!A691,"")</f>
        <v/>
      </c>
      <c r="B691" s="5" t="str">
        <f>IF(kokpit!B691&lt;&gt;"",kokpit!B691,"")</f>
        <v/>
      </c>
      <c r="C691" s="24" t="str">
        <f>IF(A691&lt;&gt;"",SUMIFS('JPK_KR-1'!AL:AL,'JPK_KR-1'!W:W,B691),"")</f>
        <v/>
      </c>
      <c r="D691" s="126" t="str">
        <f>IF(A691&lt;&gt;"",SUMIFS('JPK_KR-1'!AM:AM,'JPK_KR-1'!W:W,B691),"")</f>
        <v/>
      </c>
      <c r="E691" s="5" t="str">
        <f>IF(kokpit!E691&lt;&gt;"",kokpit!E691,"")</f>
        <v/>
      </c>
      <c r="F691" s="127" t="str">
        <f>IF(kokpit!F691&lt;&gt;"",kokpit!F691,"")</f>
        <v/>
      </c>
      <c r="G691" s="24" t="str">
        <f>IF(E691&lt;&gt;"",SUMIFS('JPK_KR-1'!AL:AL,'JPK_KR-1'!W:W,F691),"")</f>
        <v/>
      </c>
      <c r="H691" s="126" t="str">
        <f>IF(E691&lt;&gt;"",SUMIFS('JPK_KR-1'!AM:AM,'JPK_KR-1'!W:W,F691),"")</f>
        <v/>
      </c>
      <c r="I691" s="5" t="str">
        <f>IF(kokpit!I691&lt;&gt;"",kokpit!I691,"")</f>
        <v/>
      </c>
      <c r="J691" s="5" t="str">
        <f>IF(kokpit!J691&lt;&gt;"",kokpit!J691,"")</f>
        <v/>
      </c>
      <c r="K691" s="24" t="str">
        <f>IF(I691&lt;&gt;"",SUMIFS('JPK_KR-1'!AL:AL,'JPK_KR-1'!W:W,J691),"")</f>
        <v/>
      </c>
      <c r="L691" s="141" t="str">
        <f>IF(I691&lt;&gt;"",SUMIFS('JPK_KR-1'!AM:AM,'JPK_KR-1'!W:W,J691),"")</f>
        <v/>
      </c>
      <c r="M691" s="143" t="str">
        <f>IF(kokpit!M691&lt;&gt;"",kokpit!M691,"")</f>
        <v/>
      </c>
      <c r="N691" s="117" t="str">
        <f>IF(kokpit!N691&lt;&gt;"",kokpit!N691,"")</f>
        <v/>
      </c>
      <c r="O691" s="117" t="str">
        <f>IF(kokpit!O691&lt;&gt;"",kokpit!O691,"")</f>
        <v/>
      </c>
      <c r="P691" s="141" t="str">
        <f>IF(M691&lt;&gt;"",IF(O691="",SUMIFS('JPK_KR-1'!AL:AL,'JPK_KR-1'!W:W,N691),SUMIFS('JPK_KR-1'!BF:BF,'JPK_KR-1'!BE:BE,N691,'JPK_KR-1'!BG:BG,O691)),"")</f>
        <v/>
      </c>
      <c r="Q691" s="144" t="str">
        <f>IF(M691&lt;&gt;"",IF(O691="",SUMIFS('JPK_KR-1'!AM:AM,'JPK_KR-1'!W:W,N691),SUMIFS('JPK_KR-1'!BI:BI,'JPK_KR-1'!BH:BH,N691,'JPK_KR-1'!BJ:BJ,O691)),"")</f>
        <v/>
      </c>
      <c r="R691" s="117" t="str">
        <f>IF(kokpit!R691&lt;&gt;"",kokpit!R691,"")</f>
        <v/>
      </c>
      <c r="S691" s="117" t="str">
        <f>IF(kokpit!S691&lt;&gt;"",kokpit!S691,"")</f>
        <v/>
      </c>
      <c r="T691" s="117" t="str">
        <f>IF(kokpit!T691&lt;&gt;"",kokpit!T691,"")</f>
        <v/>
      </c>
      <c r="U691" s="141" t="str">
        <f>IF(R691&lt;&gt;"",SUMIFS('JPK_KR-1'!AL:AL,'JPK_KR-1'!W:W,S691),"")</f>
        <v/>
      </c>
      <c r="V691" s="144" t="str">
        <f>IF(R691&lt;&gt;"",SUMIFS('JPK_KR-1'!AM:AM,'JPK_KR-1'!W:W,S691),"")</f>
        <v/>
      </c>
    </row>
    <row r="692" spans="1:22" x14ac:dyDescent="0.3">
      <c r="A692" s="5" t="str">
        <f>IF(kokpit!A692&lt;&gt;"",kokpit!A692,"")</f>
        <v/>
      </c>
      <c r="B692" s="5" t="str">
        <f>IF(kokpit!B692&lt;&gt;"",kokpit!B692,"")</f>
        <v/>
      </c>
      <c r="C692" s="24" t="str">
        <f>IF(A692&lt;&gt;"",SUMIFS('JPK_KR-1'!AL:AL,'JPK_KR-1'!W:W,B692),"")</f>
        <v/>
      </c>
      <c r="D692" s="126" t="str">
        <f>IF(A692&lt;&gt;"",SUMIFS('JPK_KR-1'!AM:AM,'JPK_KR-1'!W:W,B692),"")</f>
        <v/>
      </c>
      <c r="E692" s="5" t="str">
        <f>IF(kokpit!E692&lt;&gt;"",kokpit!E692,"")</f>
        <v/>
      </c>
      <c r="F692" s="127" t="str">
        <f>IF(kokpit!F692&lt;&gt;"",kokpit!F692,"")</f>
        <v/>
      </c>
      <c r="G692" s="24" t="str">
        <f>IF(E692&lt;&gt;"",SUMIFS('JPK_KR-1'!AL:AL,'JPK_KR-1'!W:W,F692),"")</f>
        <v/>
      </c>
      <c r="H692" s="126" t="str">
        <f>IF(E692&lt;&gt;"",SUMIFS('JPK_KR-1'!AM:AM,'JPK_KR-1'!W:W,F692),"")</f>
        <v/>
      </c>
      <c r="I692" s="5" t="str">
        <f>IF(kokpit!I692&lt;&gt;"",kokpit!I692,"")</f>
        <v/>
      </c>
      <c r="J692" s="5" t="str">
        <f>IF(kokpit!J692&lt;&gt;"",kokpit!J692,"")</f>
        <v/>
      </c>
      <c r="K692" s="24" t="str">
        <f>IF(I692&lt;&gt;"",SUMIFS('JPK_KR-1'!AL:AL,'JPK_KR-1'!W:W,J692),"")</f>
        <v/>
      </c>
      <c r="L692" s="141" t="str">
        <f>IF(I692&lt;&gt;"",SUMIFS('JPK_KR-1'!AM:AM,'JPK_KR-1'!W:W,J692),"")</f>
        <v/>
      </c>
      <c r="M692" s="143" t="str">
        <f>IF(kokpit!M692&lt;&gt;"",kokpit!M692,"")</f>
        <v/>
      </c>
      <c r="N692" s="117" t="str">
        <f>IF(kokpit!N692&lt;&gt;"",kokpit!N692,"")</f>
        <v/>
      </c>
      <c r="O692" s="117" t="str">
        <f>IF(kokpit!O692&lt;&gt;"",kokpit!O692,"")</f>
        <v/>
      </c>
      <c r="P692" s="141" t="str">
        <f>IF(M692&lt;&gt;"",IF(O692="",SUMIFS('JPK_KR-1'!AL:AL,'JPK_KR-1'!W:W,N692),SUMIFS('JPK_KR-1'!BF:BF,'JPK_KR-1'!BE:BE,N692,'JPK_KR-1'!BG:BG,O692)),"")</f>
        <v/>
      </c>
      <c r="Q692" s="144" t="str">
        <f>IF(M692&lt;&gt;"",IF(O692="",SUMIFS('JPK_KR-1'!AM:AM,'JPK_KR-1'!W:W,N692),SUMIFS('JPK_KR-1'!BI:BI,'JPK_KR-1'!BH:BH,N692,'JPK_KR-1'!BJ:BJ,O692)),"")</f>
        <v/>
      </c>
      <c r="R692" s="117" t="str">
        <f>IF(kokpit!R692&lt;&gt;"",kokpit!R692,"")</f>
        <v/>
      </c>
      <c r="S692" s="117" t="str">
        <f>IF(kokpit!S692&lt;&gt;"",kokpit!S692,"")</f>
        <v/>
      </c>
      <c r="T692" s="117" t="str">
        <f>IF(kokpit!T692&lt;&gt;"",kokpit!T692,"")</f>
        <v/>
      </c>
      <c r="U692" s="141" t="str">
        <f>IF(R692&lt;&gt;"",SUMIFS('JPK_KR-1'!AL:AL,'JPK_KR-1'!W:W,S692),"")</f>
        <v/>
      </c>
      <c r="V692" s="144" t="str">
        <f>IF(R692&lt;&gt;"",SUMIFS('JPK_KR-1'!AM:AM,'JPK_KR-1'!W:W,S692),"")</f>
        <v/>
      </c>
    </row>
    <row r="693" spans="1:22" x14ac:dyDescent="0.3">
      <c r="A693" s="5" t="str">
        <f>IF(kokpit!A693&lt;&gt;"",kokpit!A693,"")</f>
        <v/>
      </c>
      <c r="B693" s="5" t="str">
        <f>IF(kokpit!B693&lt;&gt;"",kokpit!B693,"")</f>
        <v/>
      </c>
      <c r="C693" s="24" t="str">
        <f>IF(A693&lt;&gt;"",SUMIFS('JPK_KR-1'!AL:AL,'JPK_KR-1'!W:W,B693),"")</f>
        <v/>
      </c>
      <c r="D693" s="126" t="str">
        <f>IF(A693&lt;&gt;"",SUMIFS('JPK_KR-1'!AM:AM,'JPK_KR-1'!W:W,B693),"")</f>
        <v/>
      </c>
      <c r="E693" s="5" t="str">
        <f>IF(kokpit!E693&lt;&gt;"",kokpit!E693,"")</f>
        <v/>
      </c>
      <c r="F693" s="127" t="str">
        <f>IF(kokpit!F693&lt;&gt;"",kokpit!F693,"")</f>
        <v/>
      </c>
      <c r="G693" s="24" t="str">
        <f>IF(E693&lt;&gt;"",SUMIFS('JPK_KR-1'!AL:AL,'JPK_KR-1'!W:W,F693),"")</f>
        <v/>
      </c>
      <c r="H693" s="126" t="str">
        <f>IF(E693&lt;&gt;"",SUMIFS('JPK_KR-1'!AM:AM,'JPK_KR-1'!W:W,F693),"")</f>
        <v/>
      </c>
      <c r="I693" s="5" t="str">
        <f>IF(kokpit!I693&lt;&gt;"",kokpit!I693,"")</f>
        <v/>
      </c>
      <c r="J693" s="5" t="str">
        <f>IF(kokpit!J693&lt;&gt;"",kokpit!J693,"")</f>
        <v/>
      </c>
      <c r="K693" s="24" t="str">
        <f>IF(I693&lt;&gt;"",SUMIFS('JPK_KR-1'!AL:AL,'JPK_KR-1'!W:W,J693),"")</f>
        <v/>
      </c>
      <c r="L693" s="141" t="str">
        <f>IF(I693&lt;&gt;"",SUMIFS('JPK_KR-1'!AM:AM,'JPK_KR-1'!W:W,J693),"")</f>
        <v/>
      </c>
      <c r="M693" s="143" t="str">
        <f>IF(kokpit!M693&lt;&gt;"",kokpit!M693,"")</f>
        <v/>
      </c>
      <c r="N693" s="117" t="str">
        <f>IF(kokpit!N693&lt;&gt;"",kokpit!N693,"")</f>
        <v/>
      </c>
      <c r="O693" s="117" t="str">
        <f>IF(kokpit!O693&lt;&gt;"",kokpit!O693,"")</f>
        <v/>
      </c>
      <c r="P693" s="141" t="str">
        <f>IF(M693&lt;&gt;"",IF(O693="",SUMIFS('JPK_KR-1'!AL:AL,'JPK_KR-1'!W:W,N693),SUMIFS('JPK_KR-1'!BF:BF,'JPK_KR-1'!BE:BE,N693,'JPK_KR-1'!BG:BG,O693)),"")</f>
        <v/>
      </c>
      <c r="Q693" s="144" t="str">
        <f>IF(M693&lt;&gt;"",IF(O693="",SUMIFS('JPK_KR-1'!AM:AM,'JPK_KR-1'!W:W,N693),SUMIFS('JPK_KR-1'!BI:BI,'JPK_KR-1'!BH:BH,N693,'JPK_KR-1'!BJ:BJ,O693)),"")</f>
        <v/>
      </c>
      <c r="R693" s="117" t="str">
        <f>IF(kokpit!R693&lt;&gt;"",kokpit!R693,"")</f>
        <v/>
      </c>
      <c r="S693" s="117" t="str">
        <f>IF(kokpit!S693&lt;&gt;"",kokpit!S693,"")</f>
        <v/>
      </c>
      <c r="T693" s="117" t="str">
        <f>IF(kokpit!T693&lt;&gt;"",kokpit!T693,"")</f>
        <v/>
      </c>
      <c r="U693" s="141" t="str">
        <f>IF(R693&lt;&gt;"",SUMIFS('JPK_KR-1'!AL:AL,'JPK_KR-1'!W:W,S693),"")</f>
        <v/>
      </c>
      <c r="V693" s="144" t="str">
        <f>IF(R693&lt;&gt;"",SUMIFS('JPK_KR-1'!AM:AM,'JPK_KR-1'!W:W,S693),"")</f>
        <v/>
      </c>
    </row>
    <row r="694" spans="1:22" x14ac:dyDescent="0.3">
      <c r="A694" s="5" t="str">
        <f>IF(kokpit!A694&lt;&gt;"",kokpit!A694,"")</f>
        <v/>
      </c>
      <c r="B694" s="5" t="str">
        <f>IF(kokpit!B694&lt;&gt;"",kokpit!B694,"")</f>
        <v/>
      </c>
      <c r="C694" s="24" t="str">
        <f>IF(A694&lt;&gt;"",SUMIFS('JPK_KR-1'!AL:AL,'JPK_KR-1'!W:W,B694),"")</f>
        <v/>
      </c>
      <c r="D694" s="126" t="str">
        <f>IF(A694&lt;&gt;"",SUMIFS('JPK_KR-1'!AM:AM,'JPK_KR-1'!W:W,B694),"")</f>
        <v/>
      </c>
      <c r="E694" s="5" t="str">
        <f>IF(kokpit!E694&lt;&gt;"",kokpit!E694,"")</f>
        <v/>
      </c>
      <c r="F694" s="127" t="str">
        <f>IF(kokpit!F694&lt;&gt;"",kokpit!F694,"")</f>
        <v/>
      </c>
      <c r="G694" s="24" t="str">
        <f>IF(E694&lt;&gt;"",SUMIFS('JPK_KR-1'!AL:AL,'JPK_KR-1'!W:W,F694),"")</f>
        <v/>
      </c>
      <c r="H694" s="126" t="str">
        <f>IF(E694&lt;&gt;"",SUMIFS('JPK_KR-1'!AM:AM,'JPK_KR-1'!W:W,F694),"")</f>
        <v/>
      </c>
      <c r="I694" s="5" t="str">
        <f>IF(kokpit!I694&lt;&gt;"",kokpit!I694,"")</f>
        <v/>
      </c>
      <c r="J694" s="5" t="str">
        <f>IF(kokpit!J694&lt;&gt;"",kokpit!J694,"")</f>
        <v/>
      </c>
      <c r="K694" s="24" t="str">
        <f>IF(I694&lt;&gt;"",SUMIFS('JPK_KR-1'!AL:AL,'JPK_KR-1'!W:W,J694),"")</f>
        <v/>
      </c>
      <c r="L694" s="141" t="str">
        <f>IF(I694&lt;&gt;"",SUMIFS('JPK_KR-1'!AM:AM,'JPK_KR-1'!W:W,J694),"")</f>
        <v/>
      </c>
      <c r="M694" s="143" t="str">
        <f>IF(kokpit!M694&lt;&gt;"",kokpit!M694,"")</f>
        <v/>
      </c>
      <c r="N694" s="117" t="str">
        <f>IF(kokpit!N694&lt;&gt;"",kokpit!N694,"")</f>
        <v/>
      </c>
      <c r="O694" s="117" t="str">
        <f>IF(kokpit!O694&lt;&gt;"",kokpit!O694,"")</f>
        <v/>
      </c>
      <c r="P694" s="141" t="str">
        <f>IF(M694&lt;&gt;"",IF(O694="",SUMIFS('JPK_KR-1'!AL:AL,'JPK_KR-1'!W:W,N694),SUMIFS('JPK_KR-1'!BF:BF,'JPK_KR-1'!BE:BE,N694,'JPK_KR-1'!BG:BG,O694)),"")</f>
        <v/>
      </c>
      <c r="Q694" s="144" t="str">
        <f>IF(M694&lt;&gt;"",IF(O694="",SUMIFS('JPK_KR-1'!AM:AM,'JPK_KR-1'!W:W,N694),SUMIFS('JPK_KR-1'!BI:BI,'JPK_KR-1'!BH:BH,N694,'JPK_KR-1'!BJ:BJ,O694)),"")</f>
        <v/>
      </c>
      <c r="R694" s="117" t="str">
        <f>IF(kokpit!R694&lt;&gt;"",kokpit!R694,"")</f>
        <v/>
      </c>
      <c r="S694" s="117" t="str">
        <f>IF(kokpit!S694&lt;&gt;"",kokpit!S694,"")</f>
        <v/>
      </c>
      <c r="T694" s="117" t="str">
        <f>IF(kokpit!T694&lt;&gt;"",kokpit!T694,"")</f>
        <v/>
      </c>
      <c r="U694" s="141" t="str">
        <f>IF(R694&lt;&gt;"",SUMIFS('JPK_KR-1'!AL:AL,'JPK_KR-1'!W:W,S694),"")</f>
        <v/>
      </c>
      <c r="V694" s="144" t="str">
        <f>IF(R694&lt;&gt;"",SUMIFS('JPK_KR-1'!AM:AM,'JPK_KR-1'!W:W,S694),"")</f>
        <v/>
      </c>
    </row>
    <row r="695" spans="1:22" x14ac:dyDescent="0.3">
      <c r="A695" s="5" t="str">
        <f>IF(kokpit!A695&lt;&gt;"",kokpit!A695,"")</f>
        <v/>
      </c>
      <c r="B695" s="5" t="str">
        <f>IF(kokpit!B695&lt;&gt;"",kokpit!B695,"")</f>
        <v/>
      </c>
      <c r="C695" s="24" t="str">
        <f>IF(A695&lt;&gt;"",SUMIFS('JPK_KR-1'!AL:AL,'JPK_KR-1'!W:W,B695),"")</f>
        <v/>
      </c>
      <c r="D695" s="126" t="str">
        <f>IF(A695&lt;&gt;"",SUMIFS('JPK_KR-1'!AM:AM,'JPK_KR-1'!W:W,B695),"")</f>
        <v/>
      </c>
      <c r="E695" s="5" t="str">
        <f>IF(kokpit!E695&lt;&gt;"",kokpit!E695,"")</f>
        <v/>
      </c>
      <c r="F695" s="127" t="str">
        <f>IF(kokpit!F695&lt;&gt;"",kokpit!F695,"")</f>
        <v/>
      </c>
      <c r="G695" s="24" t="str">
        <f>IF(E695&lt;&gt;"",SUMIFS('JPK_KR-1'!AL:AL,'JPK_KR-1'!W:W,F695),"")</f>
        <v/>
      </c>
      <c r="H695" s="126" t="str">
        <f>IF(E695&lt;&gt;"",SUMIFS('JPK_KR-1'!AM:AM,'JPK_KR-1'!W:W,F695),"")</f>
        <v/>
      </c>
      <c r="I695" s="5" t="str">
        <f>IF(kokpit!I695&lt;&gt;"",kokpit!I695,"")</f>
        <v/>
      </c>
      <c r="J695" s="5" t="str">
        <f>IF(kokpit!J695&lt;&gt;"",kokpit!J695,"")</f>
        <v/>
      </c>
      <c r="K695" s="24" t="str">
        <f>IF(I695&lt;&gt;"",SUMIFS('JPK_KR-1'!AL:AL,'JPK_KR-1'!W:W,J695),"")</f>
        <v/>
      </c>
      <c r="L695" s="141" t="str">
        <f>IF(I695&lt;&gt;"",SUMIFS('JPK_KR-1'!AM:AM,'JPK_KR-1'!W:W,J695),"")</f>
        <v/>
      </c>
      <c r="M695" s="143" t="str">
        <f>IF(kokpit!M695&lt;&gt;"",kokpit!M695,"")</f>
        <v/>
      </c>
      <c r="N695" s="117" t="str">
        <f>IF(kokpit!N695&lt;&gt;"",kokpit!N695,"")</f>
        <v/>
      </c>
      <c r="O695" s="117" t="str">
        <f>IF(kokpit!O695&lt;&gt;"",kokpit!O695,"")</f>
        <v/>
      </c>
      <c r="P695" s="141" t="str">
        <f>IF(M695&lt;&gt;"",IF(O695="",SUMIFS('JPK_KR-1'!AL:AL,'JPK_KR-1'!W:W,N695),SUMIFS('JPK_KR-1'!BF:BF,'JPK_KR-1'!BE:BE,N695,'JPK_KR-1'!BG:BG,O695)),"")</f>
        <v/>
      </c>
      <c r="Q695" s="144" t="str">
        <f>IF(M695&lt;&gt;"",IF(O695="",SUMIFS('JPK_KR-1'!AM:AM,'JPK_KR-1'!W:W,N695),SUMIFS('JPK_KR-1'!BI:BI,'JPK_KR-1'!BH:BH,N695,'JPK_KR-1'!BJ:BJ,O695)),"")</f>
        <v/>
      </c>
      <c r="R695" s="117" t="str">
        <f>IF(kokpit!R695&lt;&gt;"",kokpit!R695,"")</f>
        <v/>
      </c>
      <c r="S695" s="117" t="str">
        <f>IF(kokpit!S695&lt;&gt;"",kokpit!S695,"")</f>
        <v/>
      </c>
      <c r="T695" s="117" t="str">
        <f>IF(kokpit!T695&lt;&gt;"",kokpit!T695,"")</f>
        <v/>
      </c>
      <c r="U695" s="141" t="str">
        <f>IF(R695&lt;&gt;"",SUMIFS('JPK_KR-1'!AL:AL,'JPK_KR-1'!W:W,S695),"")</f>
        <v/>
      </c>
      <c r="V695" s="144" t="str">
        <f>IF(R695&lt;&gt;"",SUMIFS('JPK_KR-1'!AM:AM,'JPK_KR-1'!W:W,S695),"")</f>
        <v/>
      </c>
    </row>
    <row r="696" spans="1:22" x14ac:dyDescent="0.3">
      <c r="A696" s="5" t="str">
        <f>IF(kokpit!A696&lt;&gt;"",kokpit!A696,"")</f>
        <v/>
      </c>
      <c r="B696" s="5" t="str">
        <f>IF(kokpit!B696&lt;&gt;"",kokpit!B696,"")</f>
        <v/>
      </c>
      <c r="C696" s="24" t="str">
        <f>IF(A696&lt;&gt;"",SUMIFS('JPK_KR-1'!AL:AL,'JPK_KR-1'!W:W,B696),"")</f>
        <v/>
      </c>
      <c r="D696" s="126" t="str">
        <f>IF(A696&lt;&gt;"",SUMIFS('JPK_KR-1'!AM:AM,'JPK_KR-1'!W:W,B696),"")</f>
        <v/>
      </c>
      <c r="E696" s="5" t="str">
        <f>IF(kokpit!E696&lt;&gt;"",kokpit!E696,"")</f>
        <v/>
      </c>
      <c r="F696" s="127" t="str">
        <f>IF(kokpit!F696&lt;&gt;"",kokpit!F696,"")</f>
        <v/>
      </c>
      <c r="G696" s="24" t="str">
        <f>IF(E696&lt;&gt;"",SUMIFS('JPK_KR-1'!AL:AL,'JPK_KR-1'!W:W,F696),"")</f>
        <v/>
      </c>
      <c r="H696" s="126" t="str">
        <f>IF(E696&lt;&gt;"",SUMIFS('JPK_KR-1'!AM:AM,'JPK_KR-1'!W:W,F696),"")</f>
        <v/>
      </c>
      <c r="I696" s="5" t="str">
        <f>IF(kokpit!I696&lt;&gt;"",kokpit!I696,"")</f>
        <v/>
      </c>
      <c r="J696" s="5" t="str">
        <f>IF(kokpit!J696&lt;&gt;"",kokpit!J696,"")</f>
        <v/>
      </c>
      <c r="K696" s="24" t="str">
        <f>IF(I696&lt;&gt;"",SUMIFS('JPK_KR-1'!AL:AL,'JPK_KR-1'!W:W,J696),"")</f>
        <v/>
      </c>
      <c r="L696" s="141" t="str">
        <f>IF(I696&lt;&gt;"",SUMIFS('JPK_KR-1'!AM:AM,'JPK_KR-1'!W:W,J696),"")</f>
        <v/>
      </c>
      <c r="M696" s="143" t="str">
        <f>IF(kokpit!M696&lt;&gt;"",kokpit!M696,"")</f>
        <v/>
      </c>
      <c r="N696" s="117" t="str">
        <f>IF(kokpit!N696&lt;&gt;"",kokpit!N696,"")</f>
        <v/>
      </c>
      <c r="O696" s="117" t="str">
        <f>IF(kokpit!O696&lt;&gt;"",kokpit!O696,"")</f>
        <v/>
      </c>
      <c r="P696" s="141" t="str">
        <f>IF(M696&lt;&gt;"",IF(O696="",SUMIFS('JPK_KR-1'!AL:AL,'JPK_KR-1'!W:W,N696),SUMIFS('JPK_KR-1'!BF:BF,'JPK_KR-1'!BE:BE,N696,'JPK_KR-1'!BG:BG,O696)),"")</f>
        <v/>
      </c>
      <c r="Q696" s="144" t="str">
        <f>IF(M696&lt;&gt;"",IF(O696="",SUMIFS('JPK_KR-1'!AM:AM,'JPK_KR-1'!W:W,N696),SUMIFS('JPK_KR-1'!BI:BI,'JPK_KR-1'!BH:BH,N696,'JPK_KR-1'!BJ:BJ,O696)),"")</f>
        <v/>
      </c>
      <c r="R696" s="117" t="str">
        <f>IF(kokpit!R696&lt;&gt;"",kokpit!R696,"")</f>
        <v/>
      </c>
      <c r="S696" s="117" t="str">
        <f>IF(kokpit!S696&lt;&gt;"",kokpit!S696,"")</f>
        <v/>
      </c>
      <c r="T696" s="117" t="str">
        <f>IF(kokpit!T696&lt;&gt;"",kokpit!T696,"")</f>
        <v/>
      </c>
      <c r="U696" s="141" t="str">
        <f>IF(R696&lt;&gt;"",SUMIFS('JPK_KR-1'!AL:AL,'JPK_KR-1'!W:W,S696),"")</f>
        <v/>
      </c>
      <c r="V696" s="144" t="str">
        <f>IF(R696&lt;&gt;"",SUMIFS('JPK_KR-1'!AM:AM,'JPK_KR-1'!W:W,S696),"")</f>
        <v/>
      </c>
    </row>
    <row r="697" spans="1:22" x14ac:dyDescent="0.3">
      <c r="A697" s="5" t="str">
        <f>IF(kokpit!A697&lt;&gt;"",kokpit!A697,"")</f>
        <v/>
      </c>
      <c r="B697" s="5" t="str">
        <f>IF(kokpit!B697&lt;&gt;"",kokpit!B697,"")</f>
        <v/>
      </c>
      <c r="C697" s="24" t="str">
        <f>IF(A697&lt;&gt;"",SUMIFS('JPK_KR-1'!AL:AL,'JPK_KR-1'!W:W,B697),"")</f>
        <v/>
      </c>
      <c r="D697" s="126" t="str">
        <f>IF(A697&lt;&gt;"",SUMIFS('JPK_KR-1'!AM:AM,'JPK_KR-1'!W:W,B697),"")</f>
        <v/>
      </c>
      <c r="E697" s="5" t="str">
        <f>IF(kokpit!E697&lt;&gt;"",kokpit!E697,"")</f>
        <v/>
      </c>
      <c r="F697" s="127" t="str">
        <f>IF(kokpit!F697&lt;&gt;"",kokpit!F697,"")</f>
        <v/>
      </c>
      <c r="G697" s="24" t="str">
        <f>IF(E697&lt;&gt;"",SUMIFS('JPK_KR-1'!AL:AL,'JPK_KR-1'!W:W,F697),"")</f>
        <v/>
      </c>
      <c r="H697" s="126" t="str">
        <f>IF(E697&lt;&gt;"",SUMIFS('JPK_KR-1'!AM:AM,'JPK_KR-1'!W:W,F697),"")</f>
        <v/>
      </c>
      <c r="I697" s="5" t="str">
        <f>IF(kokpit!I697&lt;&gt;"",kokpit!I697,"")</f>
        <v/>
      </c>
      <c r="J697" s="5" t="str">
        <f>IF(kokpit!J697&lt;&gt;"",kokpit!J697,"")</f>
        <v/>
      </c>
      <c r="K697" s="24" t="str">
        <f>IF(I697&lt;&gt;"",SUMIFS('JPK_KR-1'!AL:AL,'JPK_KR-1'!W:W,J697),"")</f>
        <v/>
      </c>
      <c r="L697" s="141" t="str">
        <f>IF(I697&lt;&gt;"",SUMIFS('JPK_KR-1'!AM:AM,'JPK_KR-1'!W:W,J697),"")</f>
        <v/>
      </c>
      <c r="M697" s="143" t="str">
        <f>IF(kokpit!M697&lt;&gt;"",kokpit!M697,"")</f>
        <v/>
      </c>
      <c r="N697" s="117" t="str">
        <f>IF(kokpit!N697&lt;&gt;"",kokpit!N697,"")</f>
        <v/>
      </c>
      <c r="O697" s="117" t="str">
        <f>IF(kokpit!O697&lt;&gt;"",kokpit!O697,"")</f>
        <v/>
      </c>
      <c r="P697" s="141" t="str">
        <f>IF(M697&lt;&gt;"",IF(O697="",SUMIFS('JPK_KR-1'!AL:AL,'JPK_KR-1'!W:W,N697),SUMIFS('JPK_KR-1'!BF:BF,'JPK_KR-1'!BE:BE,N697,'JPK_KR-1'!BG:BG,O697)),"")</f>
        <v/>
      </c>
      <c r="Q697" s="144" t="str">
        <f>IF(M697&lt;&gt;"",IF(O697="",SUMIFS('JPK_KR-1'!AM:AM,'JPK_KR-1'!W:W,N697),SUMIFS('JPK_KR-1'!BI:BI,'JPK_KR-1'!BH:BH,N697,'JPK_KR-1'!BJ:BJ,O697)),"")</f>
        <v/>
      </c>
      <c r="R697" s="117" t="str">
        <f>IF(kokpit!R697&lt;&gt;"",kokpit!R697,"")</f>
        <v/>
      </c>
      <c r="S697" s="117" t="str">
        <f>IF(kokpit!S697&lt;&gt;"",kokpit!S697,"")</f>
        <v/>
      </c>
      <c r="T697" s="117" t="str">
        <f>IF(kokpit!T697&lt;&gt;"",kokpit!T697,"")</f>
        <v/>
      </c>
      <c r="U697" s="141" t="str">
        <f>IF(R697&lt;&gt;"",SUMIFS('JPK_KR-1'!AL:AL,'JPK_KR-1'!W:W,S697),"")</f>
        <v/>
      </c>
      <c r="V697" s="144" t="str">
        <f>IF(R697&lt;&gt;"",SUMIFS('JPK_KR-1'!AM:AM,'JPK_KR-1'!W:W,S697),"")</f>
        <v/>
      </c>
    </row>
    <row r="698" spans="1:22" x14ac:dyDescent="0.3">
      <c r="A698" s="5" t="str">
        <f>IF(kokpit!A698&lt;&gt;"",kokpit!A698,"")</f>
        <v/>
      </c>
      <c r="B698" s="5" t="str">
        <f>IF(kokpit!B698&lt;&gt;"",kokpit!B698,"")</f>
        <v/>
      </c>
      <c r="C698" s="24" t="str">
        <f>IF(A698&lt;&gt;"",SUMIFS('JPK_KR-1'!AL:AL,'JPK_KR-1'!W:W,B698),"")</f>
        <v/>
      </c>
      <c r="D698" s="126" t="str">
        <f>IF(A698&lt;&gt;"",SUMIFS('JPK_KR-1'!AM:AM,'JPK_KR-1'!W:W,B698),"")</f>
        <v/>
      </c>
      <c r="E698" s="5" t="str">
        <f>IF(kokpit!E698&lt;&gt;"",kokpit!E698,"")</f>
        <v/>
      </c>
      <c r="F698" s="127" t="str">
        <f>IF(kokpit!F698&lt;&gt;"",kokpit!F698,"")</f>
        <v/>
      </c>
      <c r="G698" s="24" t="str">
        <f>IF(E698&lt;&gt;"",SUMIFS('JPK_KR-1'!AL:AL,'JPK_KR-1'!W:W,F698),"")</f>
        <v/>
      </c>
      <c r="H698" s="126" t="str">
        <f>IF(E698&lt;&gt;"",SUMIFS('JPK_KR-1'!AM:AM,'JPK_KR-1'!W:W,F698),"")</f>
        <v/>
      </c>
      <c r="I698" s="5" t="str">
        <f>IF(kokpit!I698&lt;&gt;"",kokpit!I698,"")</f>
        <v/>
      </c>
      <c r="J698" s="5" t="str">
        <f>IF(kokpit!J698&lt;&gt;"",kokpit!J698,"")</f>
        <v/>
      </c>
      <c r="K698" s="24" t="str">
        <f>IF(I698&lt;&gt;"",SUMIFS('JPK_KR-1'!AL:AL,'JPK_KR-1'!W:W,J698),"")</f>
        <v/>
      </c>
      <c r="L698" s="141" t="str">
        <f>IF(I698&lt;&gt;"",SUMIFS('JPK_KR-1'!AM:AM,'JPK_KR-1'!W:W,J698),"")</f>
        <v/>
      </c>
      <c r="M698" s="143" t="str">
        <f>IF(kokpit!M698&lt;&gt;"",kokpit!M698,"")</f>
        <v/>
      </c>
      <c r="N698" s="117" t="str">
        <f>IF(kokpit!N698&lt;&gt;"",kokpit!N698,"")</f>
        <v/>
      </c>
      <c r="O698" s="117" t="str">
        <f>IF(kokpit!O698&lt;&gt;"",kokpit!O698,"")</f>
        <v/>
      </c>
      <c r="P698" s="141" t="str">
        <f>IF(M698&lt;&gt;"",IF(O698="",SUMIFS('JPK_KR-1'!AL:AL,'JPK_KR-1'!W:W,N698),SUMIFS('JPK_KR-1'!BF:BF,'JPK_KR-1'!BE:BE,N698,'JPK_KR-1'!BG:BG,O698)),"")</f>
        <v/>
      </c>
      <c r="Q698" s="144" t="str">
        <f>IF(M698&lt;&gt;"",IF(O698="",SUMIFS('JPK_KR-1'!AM:AM,'JPK_KR-1'!W:W,N698),SUMIFS('JPK_KR-1'!BI:BI,'JPK_KR-1'!BH:BH,N698,'JPK_KR-1'!BJ:BJ,O698)),"")</f>
        <v/>
      </c>
      <c r="R698" s="117" t="str">
        <f>IF(kokpit!R698&lt;&gt;"",kokpit!R698,"")</f>
        <v/>
      </c>
      <c r="S698" s="117" t="str">
        <f>IF(kokpit!S698&lt;&gt;"",kokpit!S698,"")</f>
        <v/>
      </c>
      <c r="T698" s="117" t="str">
        <f>IF(kokpit!T698&lt;&gt;"",kokpit!T698,"")</f>
        <v/>
      </c>
      <c r="U698" s="141" t="str">
        <f>IF(R698&lt;&gt;"",SUMIFS('JPK_KR-1'!AL:AL,'JPK_KR-1'!W:W,S698),"")</f>
        <v/>
      </c>
      <c r="V698" s="144" t="str">
        <f>IF(R698&lt;&gt;"",SUMIFS('JPK_KR-1'!AM:AM,'JPK_KR-1'!W:W,S698),"")</f>
        <v/>
      </c>
    </row>
    <row r="699" spans="1:22" x14ac:dyDescent="0.3">
      <c r="A699" s="5" t="str">
        <f>IF(kokpit!A699&lt;&gt;"",kokpit!A699,"")</f>
        <v/>
      </c>
      <c r="B699" s="5" t="str">
        <f>IF(kokpit!B699&lt;&gt;"",kokpit!B699,"")</f>
        <v/>
      </c>
      <c r="C699" s="24" t="str">
        <f>IF(A699&lt;&gt;"",SUMIFS('JPK_KR-1'!AL:AL,'JPK_KR-1'!W:W,B699),"")</f>
        <v/>
      </c>
      <c r="D699" s="126" t="str">
        <f>IF(A699&lt;&gt;"",SUMIFS('JPK_KR-1'!AM:AM,'JPK_KR-1'!W:W,B699),"")</f>
        <v/>
      </c>
      <c r="E699" s="5" t="str">
        <f>IF(kokpit!E699&lt;&gt;"",kokpit!E699,"")</f>
        <v/>
      </c>
      <c r="F699" s="127" t="str">
        <f>IF(kokpit!F699&lt;&gt;"",kokpit!F699,"")</f>
        <v/>
      </c>
      <c r="G699" s="24" t="str">
        <f>IF(E699&lt;&gt;"",SUMIFS('JPK_KR-1'!AL:AL,'JPK_KR-1'!W:W,F699),"")</f>
        <v/>
      </c>
      <c r="H699" s="126" t="str">
        <f>IF(E699&lt;&gt;"",SUMIFS('JPK_KR-1'!AM:AM,'JPK_KR-1'!W:W,F699),"")</f>
        <v/>
      </c>
      <c r="I699" s="5" t="str">
        <f>IF(kokpit!I699&lt;&gt;"",kokpit!I699,"")</f>
        <v/>
      </c>
      <c r="J699" s="5" t="str">
        <f>IF(kokpit!J699&lt;&gt;"",kokpit!J699,"")</f>
        <v/>
      </c>
      <c r="K699" s="24" t="str">
        <f>IF(I699&lt;&gt;"",SUMIFS('JPK_KR-1'!AL:AL,'JPK_KR-1'!W:W,J699),"")</f>
        <v/>
      </c>
      <c r="L699" s="141" t="str">
        <f>IF(I699&lt;&gt;"",SUMIFS('JPK_KR-1'!AM:AM,'JPK_KR-1'!W:W,J699),"")</f>
        <v/>
      </c>
      <c r="M699" s="143" t="str">
        <f>IF(kokpit!M699&lt;&gt;"",kokpit!M699,"")</f>
        <v/>
      </c>
      <c r="N699" s="117" t="str">
        <f>IF(kokpit!N699&lt;&gt;"",kokpit!N699,"")</f>
        <v/>
      </c>
      <c r="O699" s="117" t="str">
        <f>IF(kokpit!O699&lt;&gt;"",kokpit!O699,"")</f>
        <v/>
      </c>
      <c r="P699" s="141" t="str">
        <f>IF(M699&lt;&gt;"",IF(O699="",SUMIFS('JPK_KR-1'!AL:AL,'JPK_KR-1'!W:W,N699),SUMIFS('JPK_KR-1'!BF:BF,'JPK_KR-1'!BE:BE,N699,'JPK_KR-1'!BG:BG,O699)),"")</f>
        <v/>
      </c>
      <c r="Q699" s="144" t="str">
        <f>IF(M699&lt;&gt;"",IF(O699="",SUMIFS('JPK_KR-1'!AM:AM,'JPK_KR-1'!W:W,N699),SUMIFS('JPK_KR-1'!BI:BI,'JPK_KR-1'!BH:BH,N699,'JPK_KR-1'!BJ:BJ,O699)),"")</f>
        <v/>
      </c>
      <c r="R699" s="117" t="str">
        <f>IF(kokpit!R699&lt;&gt;"",kokpit!R699,"")</f>
        <v/>
      </c>
      <c r="S699" s="117" t="str">
        <f>IF(kokpit!S699&lt;&gt;"",kokpit!S699,"")</f>
        <v/>
      </c>
      <c r="T699" s="117" t="str">
        <f>IF(kokpit!T699&lt;&gt;"",kokpit!T699,"")</f>
        <v/>
      </c>
      <c r="U699" s="141" t="str">
        <f>IF(R699&lt;&gt;"",SUMIFS('JPK_KR-1'!AL:AL,'JPK_KR-1'!W:W,S699),"")</f>
        <v/>
      </c>
      <c r="V699" s="144" t="str">
        <f>IF(R699&lt;&gt;"",SUMIFS('JPK_KR-1'!AM:AM,'JPK_KR-1'!W:W,S699),"")</f>
        <v/>
      </c>
    </row>
    <row r="700" spans="1:22" x14ac:dyDescent="0.3">
      <c r="A700" s="5" t="str">
        <f>IF(kokpit!A700&lt;&gt;"",kokpit!A700,"")</f>
        <v/>
      </c>
      <c r="B700" s="5" t="str">
        <f>IF(kokpit!B700&lt;&gt;"",kokpit!B700,"")</f>
        <v/>
      </c>
      <c r="C700" s="24" t="str">
        <f>IF(A700&lt;&gt;"",SUMIFS('JPK_KR-1'!AL:AL,'JPK_KR-1'!W:W,B700),"")</f>
        <v/>
      </c>
      <c r="D700" s="126" t="str">
        <f>IF(A700&lt;&gt;"",SUMIFS('JPK_KR-1'!AM:AM,'JPK_KR-1'!W:W,B700),"")</f>
        <v/>
      </c>
      <c r="E700" s="5" t="str">
        <f>IF(kokpit!E700&lt;&gt;"",kokpit!E700,"")</f>
        <v/>
      </c>
      <c r="F700" s="127" t="str">
        <f>IF(kokpit!F700&lt;&gt;"",kokpit!F700,"")</f>
        <v/>
      </c>
      <c r="G700" s="24" t="str">
        <f>IF(E700&lt;&gt;"",SUMIFS('JPK_KR-1'!AL:AL,'JPK_KR-1'!W:W,F700),"")</f>
        <v/>
      </c>
      <c r="H700" s="126" t="str">
        <f>IF(E700&lt;&gt;"",SUMIFS('JPK_KR-1'!AM:AM,'JPK_KR-1'!W:W,F700),"")</f>
        <v/>
      </c>
      <c r="I700" s="5" t="str">
        <f>IF(kokpit!I700&lt;&gt;"",kokpit!I700,"")</f>
        <v/>
      </c>
      <c r="J700" s="5" t="str">
        <f>IF(kokpit!J700&lt;&gt;"",kokpit!J700,"")</f>
        <v/>
      </c>
      <c r="K700" s="24" t="str">
        <f>IF(I700&lt;&gt;"",SUMIFS('JPK_KR-1'!AL:AL,'JPK_KR-1'!W:W,J700),"")</f>
        <v/>
      </c>
      <c r="L700" s="141" t="str">
        <f>IF(I700&lt;&gt;"",SUMIFS('JPK_KR-1'!AM:AM,'JPK_KR-1'!W:W,J700),"")</f>
        <v/>
      </c>
      <c r="M700" s="143" t="str">
        <f>IF(kokpit!M700&lt;&gt;"",kokpit!M700,"")</f>
        <v/>
      </c>
      <c r="N700" s="117" t="str">
        <f>IF(kokpit!N700&lt;&gt;"",kokpit!N700,"")</f>
        <v/>
      </c>
      <c r="O700" s="117" t="str">
        <f>IF(kokpit!O700&lt;&gt;"",kokpit!O700,"")</f>
        <v/>
      </c>
      <c r="P700" s="141" t="str">
        <f>IF(M700&lt;&gt;"",IF(O700="",SUMIFS('JPK_KR-1'!AL:AL,'JPK_KR-1'!W:W,N700),SUMIFS('JPK_KR-1'!BF:BF,'JPK_KR-1'!BE:BE,N700,'JPK_KR-1'!BG:BG,O700)),"")</f>
        <v/>
      </c>
      <c r="Q700" s="144" t="str">
        <f>IF(M700&lt;&gt;"",IF(O700="",SUMIFS('JPK_KR-1'!AM:AM,'JPK_KR-1'!W:W,N700),SUMIFS('JPK_KR-1'!BI:BI,'JPK_KR-1'!BH:BH,N700,'JPK_KR-1'!BJ:BJ,O700)),"")</f>
        <v/>
      </c>
      <c r="R700" s="117" t="str">
        <f>IF(kokpit!R700&lt;&gt;"",kokpit!R700,"")</f>
        <v/>
      </c>
      <c r="S700" s="117" t="str">
        <f>IF(kokpit!S700&lt;&gt;"",kokpit!S700,"")</f>
        <v/>
      </c>
      <c r="T700" s="117" t="str">
        <f>IF(kokpit!T700&lt;&gt;"",kokpit!T700,"")</f>
        <v/>
      </c>
      <c r="U700" s="141" t="str">
        <f>IF(R700&lt;&gt;"",SUMIFS('JPK_KR-1'!AL:AL,'JPK_KR-1'!W:W,S700),"")</f>
        <v/>
      </c>
      <c r="V700" s="144" t="str">
        <f>IF(R700&lt;&gt;"",SUMIFS('JPK_KR-1'!AM:AM,'JPK_KR-1'!W:W,S700),"")</f>
        <v/>
      </c>
    </row>
    <row r="701" spans="1:22" x14ac:dyDescent="0.3">
      <c r="A701" s="5" t="str">
        <f>IF(kokpit!A701&lt;&gt;"",kokpit!A701,"")</f>
        <v/>
      </c>
      <c r="B701" s="5" t="str">
        <f>IF(kokpit!B701&lt;&gt;"",kokpit!B701,"")</f>
        <v/>
      </c>
      <c r="C701" s="24" t="str">
        <f>IF(A701&lt;&gt;"",SUMIFS('JPK_KR-1'!AL:AL,'JPK_KR-1'!W:W,B701),"")</f>
        <v/>
      </c>
      <c r="D701" s="126" t="str">
        <f>IF(A701&lt;&gt;"",SUMIFS('JPK_KR-1'!AM:AM,'JPK_KR-1'!W:W,B701),"")</f>
        <v/>
      </c>
      <c r="E701" s="5" t="str">
        <f>IF(kokpit!E701&lt;&gt;"",kokpit!E701,"")</f>
        <v/>
      </c>
      <c r="F701" s="127" t="str">
        <f>IF(kokpit!F701&lt;&gt;"",kokpit!F701,"")</f>
        <v/>
      </c>
      <c r="G701" s="24" t="str">
        <f>IF(E701&lt;&gt;"",SUMIFS('JPK_KR-1'!AL:AL,'JPK_KR-1'!W:W,F701),"")</f>
        <v/>
      </c>
      <c r="H701" s="126" t="str">
        <f>IF(E701&lt;&gt;"",SUMIFS('JPK_KR-1'!AM:AM,'JPK_KR-1'!W:W,F701),"")</f>
        <v/>
      </c>
      <c r="I701" s="5" t="str">
        <f>IF(kokpit!I701&lt;&gt;"",kokpit!I701,"")</f>
        <v/>
      </c>
      <c r="J701" s="5" t="str">
        <f>IF(kokpit!J701&lt;&gt;"",kokpit!J701,"")</f>
        <v/>
      </c>
      <c r="K701" s="24" t="str">
        <f>IF(I701&lt;&gt;"",SUMIFS('JPK_KR-1'!AL:AL,'JPK_KR-1'!W:W,J701),"")</f>
        <v/>
      </c>
      <c r="L701" s="141" t="str">
        <f>IF(I701&lt;&gt;"",SUMIFS('JPK_KR-1'!AM:AM,'JPK_KR-1'!W:W,J701),"")</f>
        <v/>
      </c>
      <c r="M701" s="143" t="str">
        <f>IF(kokpit!M701&lt;&gt;"",kokpit!M701,"")</f>
        <v/>
      </c>
      <c r="N701" s="117" t="str">
        <f>IF(kokpit!N701&lt;&gt;"",kokpit!N701,"")</f>
        <v/>
      </c>
      <c r="O701" s="117" t="str">
        <f>IF(kokpit!O701&lt;&gt;"",kokpit!O701,"")</f>
        <v/>
      </c>
      <c r="P701" s="141" t="str">
        <f>IF(M701&lt;&gt;"",IF(O701="",SUMIFS('JPK_KR-1'!AL:AL,'JPK_KR-1'!W:W,N701),SUMIFS('JPK_KR-1'!BF:BF,'JPK_KR-1'!BE:BE,N701,'JPK_KR-1'!BG:BG,O701)),"")</f>
        <v/>
      </c>
      <c r="Q701" s="144" t="str">
        <f>IF(M701&lt;&gt;"",IF(O701="",SUMIFS('JPK_KR-1'!AM:AM,'JPK_KR-1'!W:W,N701),SUMIFS('JPK_KR-1'!BI:BI,'JPK_KR-1'!BH:BH,N701,'JPK_KR-1'!BJ:BJ,O701)),"")</f>
        <v/>
      </c>
      <c r="R701" s="117" t="str">
        <f>IF(kokpit!R701&lt;&gt;"",kokpit!R701,"")</f>
        <v/>
      </c>
      <c r="S701" s="117" t="str">
        <f>IF(kokpit!S701&lt;&gt;"",kokpit!S701,"")</f>
        <v/>
      </c>
      <c r="T701" s="117" t="str">
        <f>IF(kokpit!T701&lt;&gt;"",kokpit!T701,"")</f>
        <v/>
      </c>
      <c r="U701" s="141" t="str">
        <f>IF(R701&lt;&gt;"",SUMIFS('JPK_KR-1'!AL:AL,'JPK_KR-1'!W:W,S701),"")</f>
        <v/>
      </c>
      <c r="V701" s="144" t="str">
        <f>IF(R701&lt;&gt;"",SUMIFS('JPK_KR-1'!AM:AM,'JPK_KR-1'!W:W,S701),"")</f>
        <v/>
      </c>
    </row>
    <row r="702" spans="1:22" x14ac:dyDescent="0.3">
      <c r="A702" s="5" t="str">
        <f>IF(kokpit!A702&lt;&gt;"",kokpit!A702,"")</f>
        <v/>
      </c>
      <c r="B702" s="5" t="str">
        <f>IF(kokpit!B702&lt;&gt;"",kokpit!B702,"")</f>
        <v/>
      </c>
      <c r="C702" s="24" t="str">
        <f>IF(A702&lt;&gt;"",SUMIFS('JPK_KR-1'!AL:AL,'JPK_KR-1'!W:W,B702),"")</f>
        <v/>
      </c>
      <c r="D702" s="126" t="str">
        <f>IF(A702&lt;&gt;"",SUMIFS('JPK_KR-1'!AM:AM,'JPK_KR-1'!W:W,B702),"")</f>
        <v/>
      </c>
      <c r="E702" s="5" t="str">
        <f>IF(kokpit!E702&lt;&gt;"",kokpit!E702,"")</f>
        <v/>
      </c>
      <c r="F702" s="127" t="str">
        <f>IF(kokpit!F702&lt;&gt;"",kokpit!F702,"")</f>
        <v/>
      </c>
      <c r="G702" s="24" t="str">
        <f>IF(E702&lt;&gt;"",SUMIFS('JPK_KR-1'!AL:AL,'JPK_KR-1'!W:W,F702),"")</f>
        <v/>
      </c>
      <c r="H702" s="126" t="str">
        <f>IF(E702&lt;&gt;"",SUMIFS('JPK_KR-1'!AM:AM,'JPK_KR-1'!W:W,F702),"")</f>
        <v/>
      </c>
      <c r="I702" s="5" t="str">
        <f>IF(kokpit!I702&lt;&gt;"",kokpit!I702,"")</f>
        <v/>
      </c>
      <c r="J702" s="5" t="str">
        <f>IF(kokpit!J702&lt;&gt;"",kokpit!J702,"")</f>
        <v/>
      </c>
      <c r="K702" s="24" t="str">
        <f>IF(I702&lt;&gt;"",SUMIFS('JPK_KR-1'!AL:AL,'JPK_KR-1'!W:W,J702),"")</f>
        <v/>
      </c>
      <c r="L702" s="141" t="str">
        <f>IF(I702&lt;&gt;"",SUMIFS('JPK_KR-1'!AM:AM,'JPK_KR-1'!W:W,J702),"")</f>
        <v/>
      </c>
      <c r="M702" s="143" t="str">
        <f>IF(kokpit!M702&lt;&gt;"",kokpit!M702,"")</f>
        <v/>
      </c>
      <c r="N702" s="117" t="str">
        <f>IF(kokpit!N702&lt;&gt;"",kokpit!N702,"")</f>
        <v/>
      </c>
      <c r="O702" s="117" t="str">
        <f>IF(kokpit!O702&lt;&gt;"",kokpit!O702,"")</f>
        <v/>
      </c>
      <c r="P702" s="141" t="str">
        <f>IF(M702&lt;&gt;"",IF(O702="",SUMIFS('JPK_KR-1'!AL:AL,'JPK_KR-1'!W:W,N702),SUMIFS('JPK_KR-1'!BF:BF,'JPK_KR-1'!BE:BE,N702,'JPK_KR-1'!BG:BG,O702)),"")</f>
        <v/>
      </c>
      <c r="Q702" s="144" t="str">
        <f>IF(M702&lt;&gt;"",IF(O702="",SUMIFS('JPK_KR-1'!AM:AM,'JPK_KR-1'!W:W,N702),SUMIFS('JPK_KR-1'!BI:BI,'JPK_KR-1'!BH:BH,N702,'JPK_KR-1'!BJ:BJ,O702)),"")</f>
        <v/>
      </c>
      <c r="R702" s="117" t="str">
        <f>IF(kokpit!R702&lt;&gt;"",kokpit!R702,"")</f>
        <v/>
      </c>
      <c r="S702" s="117" t="str">
        <f>IF(kokpit!S702&lt;&gt;"",kokpit!S702,"")</f>
        <v/>
      </c>
      <c r="T702" s="117" t="str">
        <f>IF(kokpit!T702&lt;&gt;"",kokpit!T702,"")</f>
        <v/>
      </c>
      <c r="U702" s="141" t="str">
        <f>IF(R702&lt;&gt;"",SUMIFS('JPK_KR-1'!AL:AL,'JPK_KR-1'!W:W,S702),"")</f>
        <v/>
      </c>
      <c r="V702" s="144" t="str">
        <f>IF(R702&lt;&gt;"",SUMIFS('JPK_KR-1'!AM:AM,'JPK_KR-1'!W:W,S702),"")</f>
        <v/>
      </c>
    </row>
    <row r="703" spans="1:22" x14ac:dyDescent="0.3">
      <c r="A703" s="5" t="str">
        <f>IF(kokpit!A703&lt;&gt;"",kokpit!A703,"")</f>
        <v/>
      </c>
      <c r="B703" s="5" t="str">
        <f>IF(kokpit!B703&lt;&gt;"",kokpit!B703,"")</f>
        <v/>
      </c>
      <c r="C703" s="24" t="str">
        <f>IF(A703&lt;&gt;"",SUMIFS('JPK_KR-1'!AL:AL,'JPK_KR-1'!W:W,B703),"")</f>
        <v/>
      </c>
      <c r="D703" s="126" t="str">
        <f>IF(A703&lt;&gt;"",SUMIFS('JPK_KR-1'!AM:AM,'JPK_KR-1'!W:W,B703),"")</f>
        <v/>
      </c>
      <c r="E703" s="5" t="str">
        <f>IF(kokpit!E703&lt;&gt;"",kokpit!E703,"")</f>
        <v/>
      </c>
      <c r="F703" s="127" t="str">
        <f>IF(kokpit!F703&lt;&gt;"",kokpit!F703,"")</f>
        <v/>
      </c>
      <c r="G703" s="24" t="str">
        <f>IF(E703&lt;&gt;"",SUMIFS('JPK_KR-1'!AL:AL,'JPK_KR-1'!W:W,F703),"")</f>
        <v/>
      </c>
      <c r="H703" s="126" t="str">
        <f>IF(E703&lt;&gt;"",SUMIFS('JPK_KR-1'!AM:AM,'JPK_KR-1'!W:W,F703),"")</f>
        <v/>
      </c>
      <c r="I703" s="5" t="str">
        <f>IF(kokpit!I703&lt;&gt;"",kokpit!I703,"")</f>
        <v/>
      </c>
      <c r="J703" s="5" t="str">
        <f>IF(kokpit!J703&lt;&gt;"",kokpit!J703,"")</f>
        <v/>
      </c>
      <c r="K703" s="24" t="str">
        <f>IF(I703&lt;&gt;"",SUMIFS('JPK_KR-1'!AL:AL,'JPK_KR-1'!W:W,J703),"")</f>
        <v/>
      </c>
      <c r="L703" s="141" t="str">
        <f>IF(I703&lt;&gt;"",SUMIFS('JPK_KR-1'!AM:AM,'JPK_KR-1'!W:W,J703),"")</f>
        <v/>
      </c>
      <c r="M703" s="143" t="str">
        <f>IF(kokpit!M703&lt;&gt;"",kokpit!M703,"")</f>
        <v/>
      </c>
      <c r="N703" s="117" t="str">
        <f>IF(kokpit!N703&lt;&gt;"",kokpit!N703,"")</f>
        <v/>
      </c>
      <c r="O703" s="117" t="str">
        <f>IF(kokpit!O703&lt;&gt;"",kokpit!O703,"")</f>
        <v/>
      </c>
      <c r="P703" s="141" t="str">
        <f>IF(M703&lt;&gt;"",IF(O703="",SUMIFS('JPK_KR-1'!AL:AL,'JPK_KR-1'!W:W,N703),SUMIFS('JPK_KR-1'!BF:BF,'JPK_KR-1'!BE:BE,N703,'JPK_KR-1'!BG:BG,O703)),"")</f>
        <v/>
      </c>
      <c r="Q703" s="144" t="str">
        <f>IF(M703&lt;&gt;"",IF(O703="",SUMIFS('JPK_KR-1'!AM:AM,'JPK_KR-1'!W:W,N703),SUMIFS('JPK_KR-1'!BI:BI,'JPK_KR-1'!BH:BH,N703,'JPK_KR-1'!BJ:BJ,O703)),"")</f>
        <v/>
      </c>
      <c r="R703" s="117" t="str">
        <f>IF(kokpit!R703&lt;&gt;"",kokpit!R703,"")</f>
        <v/>
      </c>
      <c r="S703" s="117" t="str">
        <f>IF(kokpit!S703&lt;&gt;"",kokpit!S703,"")</f>
        <v/>
      </c>
      <c r="T703" s="117" t="str">
        <f>IF(kokpit!T703&lt;&gt;"",kokpit!T703,"")</f>
        <v/>
      </c>
      <c r="U703" s="141" t="str">
        <f>IF(R703&lt;&gt;"",SUMIFS('JPK_KR-1'!AL:AL,'JPK_KR-1'!W:W,S703),"")</f>
        <v/>
      </c>
      <c r="V703" s="144" t="str">
        <f>IF(R703&lt;&gt;"",SUMIFS('JPK_KR-1'!AM:AM,'JPK_KR-1'!W:W,S703),"")</f>
        <v/>
      </c>
    </row>
    <row r="704" spans="1:22" x14ac:dyDescent="0.3">
      <c r="A704" s="5" t="str">
        <f>IF(kokpit!A704&lt;&gt;"",kokpit!A704,"")</f>
        <v/>
      </c>
      <c r="B704" s="5" t="str">
        <f>IF(kokpit!B704&lt;&gt;"",kokpit!B704,"")</f>
        <v/>
      </c>
      <c r="C704" s="24" t="str">
        <f>IF(A704&lt;&gt;"",SUMIFS('JPK_KR-1'!AL:AL,'JPK_KR-1'!W:W,B704),"")</f>
        <v/>
      </c>
      <c r="D704" s="126" t="str">
        <f>IF(A704&lt;&gt;"",SUMIFS('JPK_KR-1'!AM:AM,'JPK_KR-1'!W:W,B704),"")</f>
        <v/>
      </c>
      <c r="E704" s="5" t="str">
        <f>IF(kokpit!E704&lt;&gt;"",kokpit!E704,"")</f>
        <v/>
      </c>
      <c r="F704" s="127" t="str">
        <f>IF(kokpit!F704&lt;&gt;"",kokpit!F704,"")</f>
        <v/>
      </c>
      <c r="G704" s="24" t="str">
        <f>IF(E704&lt;&gt;"",SUMIFS('JPK_KR-1'!AL:AL,'JPK_KR-1'!W:W,F704),"")</f>
        <v/>
      </c>
      <c r="H704" s="126" t="str">
        <f>IF(E704&lt;&gt;"",SUMIFS('JPK_KR-1'!AM:AM,'JPK_KR-1'!W:W,F704),"")</f>
        <v/>
      </c>
      <c r="I704" s="5" t="str">
        <f>IF(kokpit!I704&lt;&gt;"",kokpit!I704,"")</f>
        <v/>
      </c>
      <c r="J704" s="5" t="str">
        <f>IF(kokpit!J704&lt;&gt;"",kokpit!J704,"")</f>
        <v/>
      </c>
      <c r="K704" s="24" t="str">
        <f>IF(I704&lt;&gt;"",SUMIFS('JPK_KR-1'!AL:AL,'JPK_KR-1'!W:W,J704),"")</f>
        <v/>
      </c>
      <c r="L704" s="141" t="str">
        <f>IF(I704&lt;&gt;"",SUMIFS('JPK_KR-1'!AM:AM,'JPK_KR-1'!W:W,J704),"")</f>
        <v/>
      </c>
      <c r="M704" s="143" t="str">
        <f>IF(kokpit!M704&lt;&gt;"",kokpit!M704,"")</f>
        <v/>
      </c>
      <c r="N704" s="117" t="str">
        <f>IF(kokpit!N704&lt;&gt;"",kokpit!N704,"")</f>
        <v/>
      </c>
      <c r="O704" s="117" t="str">
        <f>IF(kokpit!O704&lt;&gt;"",kokpit!O704,"")</f>
        <v/>
      </c>
      <c r="P704" s="141" t="str">
        <f>IF(M704&lt;&gt;"",IF(O704="",SUMIFS('JPK_KR-1'!AL:AL,'JPK_KR-1'!W:W,N704),SUMIFS('JPK_KR-1'!BF:BF,'JPK_KR-1'!BE:BE,N704,'JPK_KR-1'!BG:BG,O704)),"")</f>
        <v/>
      </c>
      <c r="Q704" s="144" t="str">
        <f>IF(M704&lt;&gt;"",IF(O704="",SUMIFS('JPK_KR-1'!AM:AM,'JPK_KR-1'!W:W,N704),SUMIFS('JPK_KR-1'!BI:BI,'JPK_KR-1'!BH:BH,N704,'JPK_KR-1'!BJ:BJ,O704)),"")</f>
        <v/>
      </c>
      <c r="R704" s="117" t="str">
        <f>IF(kokpit!R704&lt;&gt;"",kokpit!R704,"")</f>
        <v/>
      </c>
      <c r="S704" s="117" t="str">
        <f>IF(kokpit!S704&lt;&gt;"",kokpit!S704,"")</f>
        <v/>
      </c>
      <c r="T704" s="117" t="str">
        <f>IF(kokpit!T704&lt;&gt;"",kokpit!T704,"")</f>
        <v/>
      </c>
      <c r="U704" s="141" t="str">
        <f>IF(R704&lt;&gt;"",SUMIFS('JPK_KR-1'!AL:AL,'JPK_KR-1'!W:W,S704),"")</f>
        <v/>
      </c>
      <c r="V704" s="144" t="str">
        <f>IF(R704&lt;&gt;"",SUMIFS('JPK_KR-1'!AM:AM,'JPK_KR-1'!W:W,S704),"")</f>
        <v/>
      </c>
    </row>
    <row r="705" spans="1:22" x14ac:dyDescent="0.3">
      <c r="A705" s="5" t="str">
        <f>IF(kokpit!A705&lt;&gt;"",kokpit!A705,"")</f>
        <v/>
      </c>
      <c r="B705" s="5" t="str">
        <f>IF(kokpit!B705&lt;&gt;"",kokpit!B705,"")</f>
        <v/>
      </c>
      <c r="C705" s="24" t="str">
        <f>IF(A705&lt;&gt;"",SUMIFS('JPK_KR-1'!AL:AL,'JPK_KR-1'!W:W,B705),"")</f>
        <v/>
      </c>
      <c r="D705" s="126" t="str">
        <f>IF(A705&lt;&gt;"",SUMIFS('JPK_KR-1'!AM:AM,'JPK_KR-1'!W:W,B705),"")</f>
        <v/>
      </c>
      <c r="E705" s="5" t="str">
        <f>IF(kokpit!E705&lt;&gt;"",kokpit!E705,"")</f>
        <v/>
      </c>
      <c r="F705" s="127" t="str">
        <f>IF(kokpit!F705&lt;&gt;"",kokpit!F705,"")</f>
        <v/>
      </c>
      <c r="G705" s="24" t="str">
        <f>IF(E705&lt;&gt;"",SUMIFS('JPK_KR-1'!AL:AL,'JPK_KR-1'!W:W,F705),"")</f>
        <v/>
      </c>
      <c r="H705" s="126" t="str">
        <f>IF(E705&lt;&gt;"",SUMIFS('JPK_KR-1'!AM:AM,'JPK_KR-1'!W:W,F705),"")</f>
        <v/>
      </c>
      <c r="I705" s="5" t="str">
        <f>IF(kokpit!I705&lt;&gt;"",kokpit!I705,"")</f>
        <v/>
      </c>
      <c r="J705" s="5" t="str">
        <f>IF(kokpit!J705&lt;&gt;"",kokpit!J705,"")</f>
        <v/>
      </c>
      <c r="K705" s="24" t="str">
        <f>IF(I705&lt;&gt;"",SUMIFS('JPK_KR-1'!AL:AL,'JPK_KR-1'!W:W,J705),"")</f>
        <v/>
      </c>
      <c r="L705" s="141" t="str">
        <f>IF(I705&lt;&gt;"",SUMIFS('JPK_KR-1'!AM:AM,'JPK_KR-1'!W:W,J705),"")</f>
        <v/>
      </c>
      <c r="M705" s="143" t="str">
        <f>IF(kokpit!M705&lt;&gt;"",kokpit!M705,"")</f>
        <v/>
      </c>
      <c r="N705" s="117" t="str">
        <f>IF(kokpit!N705&lt;&gt;"",kokpit!N705,"")</f>
        <v/>
      </c>
      <c r="O705" s="117" t="str">
        <f>IF(kokpit!O705&lt;&gt;"",kokpit!O705,"")</f>
        <v/>
      </c>
      <c r="P705" s="141" t="str">
        <f>IF(M705&lt;&gt;"",IF(O705="",SUMIFS('JPK_KR-1'!AL:AL,'JPK_KR-1'!W:W,N705),SUMIFS('JPK_KR-1'!BF:BF,'JPK_KR-1'!BE:BE,N705,'JPK_KR-1'!BG:BG,O705)),"")</f>
        <v/>
      </c>
      <c r="Q705" s="144" t="str">
        <f>IF(M705&lt;&gt;"",IF(O705="",SUMIFS('JPK_KR-1'!AM:AM,'JPK_KR-1'!W:W,N705),SUMIFS('JPK_KR-1'!BI:BI,'JPK_KR-1'!BH:BH,N705,'JPK_KR-1'!BJ:BJ,O705)),"")</f>
        <v/>
      </c>
      <c r="R705" s="117" t="str">
        <f>IF(kokpit!R705&lt;&gt;"",kokpit!R705,"")</f>
        <v/>
      </c>
      <c r="S705" s="117" t="str">
        <f>IF(kokpit!S705&lt;&gt;"",kokpit!S705,"")</f>
        <v/>
      </c>
      <c r="T705" s="117" t="str">
        <f>IF(kokpit!T705&lt;&gt;"",kokpit!T705,"")</f>
        <v/>
      </c>
      <c r="U705" s="141" t="str">
        <f>IF(R705&lt;&gt;"",SUMIFS('JPK_KR-1'!AL:AL,'JPK_KR-1'!W:W,S705),"")</f>
        <v/>
      </c>
      <c r="V705" s="144" t="str">
        <f>IF(R705&lt;&gt;"",SUMIFS('JPK_KR-1'!AM:AM,'JPK_KR-1'!W:W,S705),"")</f>
        <v/>
      </c>
    </row>
    <row r="706" spans="1:22" x14ac:dyDescent="0.3">
      <c r="A706" s="5" t="str">
        <f>IF(kokpit!A706&lt;&gt;"",kokpit!A706,"")</f>
        <v/>
      </c>
      <c r="B706" s="5" t="str">
        <f>IF(kokpit!B706&lt;&gt;"",kokpit!B706,"")</f>
        <v/>
      </c>
      <c r="C706" s="24" t="str">
        <f>IF(A706&lt;&gt;"",SUMIFS('JPK_KR-1'!AL:AL,'JPK_KR-1'!W:W,B706),"")</f>
        <v/>
      </c>
      <c r="D706" s="126" t="str">
        <f>IF(A706&lt;&gt;"",SUMIFS('JPK_KR-1'!AM:AM,'JPK_KR-1'!W:W,B706),"")</f>
        <v/>
      </c>
      <c r="E706" s="5" t="str">
        <f>IF(kokpit!E706&lt;&gt;"",kokpit!E706,"")</f>
        <v/>
      </c>
      <c r="F706" s="127" t="str">
        <f>IF(kokpit!F706&lt;&gt;"",kokpit!F706,"")</f>
        <v/>
      </c>
      <c r="G706" s="24" t="str">
        <f>IF(E706&lt;&gt;"",SUMIFS('JPK_KR-1'!AL:AL,'JPK_KR-1'!W:W,F706),"")</f>
        <v/>
      </c>
      <c r="H706" s="126" t="str">
        <f>IF(E706&lt;&gt;"",SUMIFS('JPK_KR-1'!AM:AM,'JPK_KR-1'!W:W,F706),"")</f>
        <v/>
      </c>
      <c r="I706" s="5" t="str">
        <f>IF(kokpit!I706&lt;&gt;"",kokpit!I706,"")</f>
        <v/>
      </c>
      <c r="J706" s="5" t="str">
        <f>IF(kokpit!J706&lt;&gt;"",kokpit!J706,"")</f>
        <v/>
      </c>
      <c r="K706" s="24" t="str">
        <f>IF(I706&lt;&gt;"",SUMIFS('JPK_KR-1'!AL:AL,'JPK_KR-1'!W:W,J706),"")</f>
        <v/>
      </c>
      <c r="L706" s="141" t="str">
        <f>IF(I706&lt;&gt;"",SUMIFS('JPK_KR-1'!AM:AM,'JPK_KR-1'!W:W,J706),"")</f>
        <v/>
      </c>
      <c r="M706" s="143" t="str">
        <f>IF(kokpit!M706&lt;&gt;"",kokpit!M706,"")</f>
        <v/>
      </c>
      <c r="N706" s="117" t="str">
        <f>IF(kokpit!N706&lt;&gt;"",kokpit!N706,"")</f>
        <v/>
      </c>
      <c r="O706" s="117" t="str">
        <f>IF(kokpit!O706&lt;&gt;"",kokpit!O706,"")</f>
        <v/>
      </c>
      <c r="P706" s="141" t="str">
        <f>IF(M706&lt;&gt;"",IF(O706="",SUMIFS('JPK_KR-1'!AL:AL,'JPK_KR-1'!W:W,N706),SUMIFS('JPK_KR-1'!BF:BF,'JPK_KR-1'!BE:BE,N706,'JPK_KR-1'!BG:BG,O706)),"")</f>
        <v/>
      </c>
      <c r="Q706" s="144" t="str">
        <f>IF(M706&lt;&gt;"",IF(O706="",SUMIFS('JPK_KR-1'!AM:AM,'JPK_KR-1'!W:W,N706),SUMIFS('JPK_KR-1'!BI:BI,'JPK_KR-1'!BH:BH,N706,'JPK_KR-1'!BJ:BJ,O706)),"")</f>
        <v/>
      </c>
      <c r="R706" s="117" t="str">
        <f>IF(kokpit!R706&lt;&gt;"",kokpit!R706,"")</f>
        <v/>
      </c>
      <c r="S706" s="117" t="str">
        <f>IF(kokpit!S706&lt;&gt;"",kokpit!S706,"")</f>
        <v/>
      </c>
      <c r="T706" s="117" t="str">
        <f>IF(kokpit!T706&lt;&gt;"",kokpit!T706,"")</f>
        <v/>
      </c>
      <c r="U706" s="141" t="str">
        <f>IF(R706&lt;&gt;"",SUMIFS('JPK_KR-1'!AL:AL,'JPK_KR-1'!W:W,S706),"")</f>
        <v/>
      </c>
      <c r="V706" s="144" t="str">
        <f>IF(R706&lt;&gt;"",SUMIFS('JPK_KR-1'!AM:AM,'JPK_KR-1'!W:W,S706),"")</f>
        <v/>
      </c>
    </row>
    <row r="707" spans="1:22" x14ac:dyDescent="0.3">
      <c r="A707" s="5" t="str">
        <f>IF(kokpit!A707&lt;&gt;"",kokpit!A707,"")</f>
        <v/>
      </c>
      <c r="B707" s="5" t="str">
        <f>IF(kokpit!B707&lt;&gt;"",kokpit!B707,"")</f>
        <v/>
      </c>
      <c r="C707" s="24" t="str">
        <f>IF(A707&lt;&gt;"",SUMIFS('JPK_KR-1'!AL:AL,'JPK_KR-1'!W:W,B707),"")</f>
        <v/>
      </c>
      <c r="D707" s="126" t="str">
        <f>IF(A707&lt;&gt;"",SUMIFS('JPK_KR-1'!AM:AM,'JPK_KR-1'!W:W,B707),"")</f>
        <v/>
      </c>
      <c r="E707" s="5" t="str">
        <f>IF(kokpit!E707&lt;&gt;"",kokpit!E707,"")</f>
        <v/>
      </c>
      <c r="F707" s="127" t="str">
        <f>IF(kokpit!F707&lt;&gt;"",kokpit!F707,"")</f>
        <v/>
      </c>
      <c r="G707" s="24" t="str">
        <f>IF(E707&lt;&gt;"",SUMIFS('JPK_KR-1'!AL:AL,'JPK_KR-1'!W:W,F707),"")</f>
        <v/>
      </c>
      <c r="H707" s="126" t="str">
        <f>IF(E707&lt;&gt;"",SUMIFS('JPK_KR-1'!AM:AM,'JPK_KR-1'!W:W,F707),"")</f>
        <v/>
      </c>
      <c r="I707" s="5" t="str">
        <f>IF(kokpit!I707&lt;&gt;"",kokpit!I707,"")</f>
        <v/>
      </c>
      <c r="J707" s="5" t="str">
        <f>IF(kokpit!J707&lt;&gt;"",kokpit!J707,"")</f>
        <v/>
      </c>
      <c r="K707" s="24" t="str">
        <f>IF(I707&lt;&gt;"",SUMIFS('JPK_KR-1'!AL:AL,'JPK_KR-1'!W:W,J707),"")</f>
        <v/>
      </c>
      <c r="L707" s="141" t="str">
        <f>IF(I707&lt;&gt;"",SUMIFS('JPK_KR-1'!AM:AM,'JPK_KR-1'!W:W,J707),"")</f>
        <v/>
      </c>
      <c r="M707" s="143" t="str">
        <f>IF(kokpit!M707&lt;&gt;"",kokpit!M707,"")</f>
        <v/>
      </c>
      <c r="N707" s="117" t="str">
        <f>IF(kokpit!N707&lt;&gt;"",kokpit!N707,"")</f>
        <v/>
      </c>
      <c r="O707" s="117" t="str">
        <f>IF(kokpit!O707&lt;&gt;"",kokpit!O707,"")</f>
        <v/>
      </c>
      <c r="P707" s="141" t="str">
        <f>IF(M707&lt;&gt;"",IF(O707="",SUMIFS('JPK_KR-1'!AL:AL,'JPK_KR-1'!W:W,N707),SUMIFS('JPK_KR-1'!BF:BF,'JPK_KR-1'!BE:BE,N707,'JPK_KR-1'!BG:BG,O707)),"")</f>
        <v/>
      </c>
      <c r="Q707" s="144" t="str">
        <f>IF(M707&lt;&gt;"",IF(O707="",SUMIFS('JPK_KR-1'!AM:AM,'JPK_KR-1'!W:W,N707),SUMIFS('JPK_KR-1'!BI:BI,'JPK_KR-1'!BH:BH,N707,'JPK_KR-1'!BJ:BJ,O707)),"")</f>
        <v/>
      </c>
      <c r="R707" s="117" t="str">
        <f>IF(kokpit!R707&lt;&gt;"",kokpit!R707,"")</f>
        <v/>
      </c>
      <c r="S707" s="117" t="str">
        <f>IF(kokpit!S707&lt;&gt;"",kokpit!S707,"")</f>
        <v/>
      </c>
      <c r="T707" s="117" t="str">
        <f>IF(kokpit!T707&lt;&gt;"",kokpit!T707,"")</f>
        <v/>
      </c>
      <c r="U707" s="141" t="str">
        <f>IF(R707&lt;&gt;"",SUMIFS('JPK_KR-1'!AL:AL,'JPK_KR-1'!W:W,S707),"")</f>
        <v/>
      </c>
      <c r="V707" s="144" t="str">
        <f>IF(R707&lt;&gt;"",SUMIFS('JPK_KR-1'!AM:AM,'JPK_KR-1'!W:W,S707),"")</f>
        <v/>
      </c>
    </row>
    <row r="708" spans="1:22" x14ac:dyDescent="0.3">
      <c r="A708" s="5" t="str">
        <f>IF(kokpit!A708&lt;&gt;"",kokpit!A708,"")</f>
        <v/>
      </c>
      <c r="B708" s="5" t="str">
        <f>IF(kokpit!B708&lt;&gt;"",kokpit!B708,"")</f>
        <v/>
      </c>
      <c r="C708" s="24" t="str">
        <f>IF(A708&lt;&gt;"",SUMIFS('JPK_KR-1'!AL:AL,'JPK_KR-1'!W:W,B708),"")</f>
        <v/>
      </c>
      <c r="D708" s="126" t="str">
        <f>IF(A708&lt;&gt;"",SUMIFS('JPK_KR-1'!AM:AM,'JPK_KR-1'!W:W,B708),"")</f>
        <v/>
      </c>
      <c r="E708" s="5" t="str">
        <f>IF(kokpit!E708&lt;&gt;"",kokpit!E708,"")</f>
        <v/>
      </c>
      <c r="F708" s="127" t="str">
        <f>IF(kokpit!F708&lt;&gt;"",kokpit!F708,"")</f>
        <v/>
      </c>
      <c r="G708" s="24" t="str">
        <f>IF(E708&lt;&gt;"",SUMIFS('JPK_KR-1'!AL:AL,'JPK_KR-1'!W:W,F708),"")</f>
        <v/>
      </c>
      <c r="H708" s="126" t="str">
        <f>IF(E708&lt;&gt;"",SUMIFS('JPK_KR-1'!AM:AM,'JPK_KR-1'!W:W,F708),"")</f>
        <v/>
      </c>
      <c r="I708" s="5" t="str">
        <f>IF(kokpit!I708&lt;&gt;"",kokpit!I708,"")</f>
        <v/>
      </c>
      <c r="J708" s="5" t="str">
        <f>IF(kokpit!J708&lt;&gt;"",kokpit!J708,"")</f>
        <v/>
      </c>
      <c r="K708" s="24" t="str">
        <f>IF(I708&lt;&gt;"",SUMIFS('JPK_KR-1'!AL:AL,'JPK_KR-1'!W:W,J708),"")</f>
        <v/>
      </c>
      <c r="L708" s="141" t="str">
        <f>IF(I708&lt;&gt;"",SUMIFS('JPK_KR-1'!AM:AM,'JPK_KR-1'!W:W,J708),"")</f>
        <v/>
      </c>
      <c r="M708" s="143" t="str">
        <f>IF(kokpit!M708&lt;&gt;"",kokpit!M708,"")</f>
        <v/>
      </c>
      <c r="N708" s="117" t="str">
        <f>IF(kokpit!N708&lt;&gt;"",kokpit!N708,"")</f>
        <v/>
      </c>
      <c r="O708" s="117" t="str">
        <f>IF(kokpit!O708&lt;&gt;"",kokpit!O708,"")</f>
        <v/>
      </c>
      <c r="P708" s="141" t="str">
        <f>IF(M708&lt;&gt;"",IF(O708="",SUMIFS('JPK_KR-1'!AL:AL,'JPK_KR-1'!W:W,N708),SUMIFS('JPK_KR-1'!BF:BF,'JPK_KR-1'!BE:BE,N708,'JPK_KR-1'!BG:BG,O708)),"")</f>
        <v/>
      </c>
      <c r="Q708" s="144" t="str">
        <f>IF(M708&lt;&gt;"",IF(O708="",SUMIFS('JPK_KR-1'!AM:AM,'JPK_KR-1'!W:W,N708),SUMIFS('JPK_KR-1'!BI:BI,'JPK_KR-1'!BH:BH,N708,'JPK_KR-1'!BJ:BJ,O708)),"")</f>
        <v/>
      </c>
      <c r="R708" s="117" t="str">
        <f>IF(kokpit!R708&lt;&gt;"",kokpit!R708,"")</f>
        <v/>
      </c>
      <c r="S708" s="117" t="str">
        <f>IF(kokpit!S708&lt;&gt;"",kokpit!S708,"")</f>
        <v/>
      </c>
      <c r="T708" s="117" t="str">
        <f>IF(kokpit!T708&lt;&gt;"",kokpit!T708,"")</f>
        <v/>
      </c>
      <c r="U708" s="141" t="str">
        <f>IF(R708&lt;&gt;"",SUMIFS('JPK_KR-1'!AL:AL,'JPK_KR-1'!W:W,S708),"")</f>
        <v/>
      </c>
      <c r="V708" s="144" t="str">
        <f>IF(R708&lt;&gt;"",SUMIFS('JPK_KR-1'!AM:AM,'JPK_KR-1'!W:W,S708),"")</f>
        <v/>
      </c>
    </row>
    <row r="709" spans="1:22" x14ac:dyDescent="0.3">
      <c r="A709" s="5" t="str">
        <f>IF(kokpit!A709&lt;&gt;"",kokpit!A709,"")</f>
        <v/>
      </c>
      <c r="B709" s="5" t="str">
        <f>IF(kokpit!B709&lt;&gt;"",kokpit!B709,"")</f>
        <v/>
      </c>
      <c r="C709" s="24" t="str">
        <f>IF(A709&lt;&gt;"",SUMIFS('JPK_KR-1'!AL:AL,'JPK_KR-1'!W:W,B709),"")</f>
        <v/>
      </c>
      <c r="D709" s="126" t="str">
        <f>IF(A709&lt;&gt;"",SUMIFS('JPK_KR-1'!AM:AM,'JPK_KR-1'!W:W,B709),"")</f>
        <v/>
      </c>
      <c r="E709" s="5" t="str">
        <f>IF(kokpit!E709&lt;&gt;"",kokpit!E709,"")</f>
        <v/>
      </c>
      <c r="F709" s="127" t="str">
        <f>IF(kokpit!F709&lt;&gt;"",kokpit!F709,"")</f>
        <v/>
      </c>
      <c r="G709" s="24" t="str">
        <f>IF(E709&lt;&gt;"",SUMIFS('JPK_KR-1'!AL:AL,'JPK_KR-1'!W:W,F709),"")</f>
        <v/>
      </c>
      <c r="H709" s="126" t="str">
        <f>IF(E709&lt;&gt;"",SUMIFS('JPK_KR-1'!AM:AM,'JPK_KR-1'!W:W,F709),"")</f>
        <v/>
      </c>
      <c r="I709" s="5" t="str">
        <f>IF(kokpit!I709&lt;&gt;"",kokpit!I709,"")</f>
        <v/>
      </c>
      <c r="J709" s="5" t="str">
        <f>IF(kokpit!J709&lt;&gt;"",kokpit!J709,"")</f>
        <v/>
      </c>
      <c r="K709" s="24" t="str">
        <f>IF(I709&lt;&gt;"",SUMIFS('JPK_KR-1'!AL:AL,'JPK_KR-1'!W:W,J709),"")</f>
        <v/>
      </c>
      <c r="L709" s="141" t="str">
        <f>IF(I709&lt;&gt;"",SUMIFS('JPK_KR-1'!AM:AM,'JPK_KR-1'!W:W,J709),"")</f>
        <v/>
      </c>
      <c r="M709" s="143" t="str">
        <f>IF(kokpit!M709&lt;&gt;"",kokpit!M709,"")</f>
        <v/>
      </c>
      <c r="N709" s="117" t="str">
        <f>IF(kokpit!N709&lt;&gt;"",kokpit!N709,"")</f>
        <v/>
      </c>
      <c r="O709" s="117" t="str">
        <f>IF(kokpit!O709&lt;&gt;"",kokpit!O709,"")</f>
        <v/>
      </c>
      <c r="P709" s="141" t="str">
        <f>IF(M709&lt;&gt;"",IF(O709="",SUMIFS('JPK_KR-1'!AL:AL,'JPK_KR-1'!W:W,N709),SUMIFS('JPK_KR-1'!BF:BF,'JPK_KR-1'!BE:BE,N709,'JPK_KR-1'!BG:BG,O709)),"")</f>
        <v/>
      </c>
      <c r="Q709" s="144" t="str">
        <f>IF(M709&lt;&gt;"",IF(O709="",SUMIFS('JPK_KR-1'!AM:AM,'JPK_KR-1'!W:W,N709),SUMIFS('JPK_KR-1'!BI:BI,'JPK_KR-1'!BH:BH,N709,'JPK_KR-1'!BJ:BJ,O709)),"")</f>
        <v/>
      </c>
      <c r="R709" s="117" t="str">
        <f>IF(kokpit!R709&lt;&gt;"",kokpit!R709,"")</f>
        <v/>
      </c>
      <c r="S709" s="117" t="str">
        <f>IF(kokpit!S709&lt;&gt;"",kokpit!S709,"")</f>
        <v/>
      </c>
      <c r="T709" s="117" t="str">
        <f>IF(kokpit!T709&lt;&gt;"",kokpit!T709,"")</f>
        <v/>
      </c>
      <c r="U709" s="141" t="str">
        <f>IF(R709&lt;&gt;"",SUMIFS('JPK_KR-1'!AL:AL,'JPK_KR-1'!W:W,S709),"")</f>
        <v/>
      </c>
      <c r="V709" s="144" t="str">
        <f>IF(R709&lt;&gt;"",SUMIFS('JPK_KR-1'!AM:AM,'JPK_KR-1'!W:W,S709),"")</f>
        <v/>
      </c>
    </row>
    <row r="710" spans="1:22" x14ac:dyDescent="0.3">
      <c r="A710" s="5" t="str">
        <f>IF(kokpit!A710&lt;&gt;"",kokpit!A710,"")</f>
        <v/>
      </c>
      <c r="B710" s="5" t="str">
        <f>IF(kokpit!B710&lt;&gt;"",kokpit!B710,"")</f>
        <v/>
      </c>
      <c r="C710" s="24" t="str">
        <f>IF(A710&lt;&gt;"",SUMIFS('JPK_KR-1'!AL:AL,'JPK_KR-1'!W:W,B710),"")</f>
        <v/>
      </c>
      <c r="D710" s="126" t="str">
        <f>IF(A710&lt;&gt;"",SUMIFS('JPK_KR-1'!AM:AM,'JPK_KR-1'!W:W,B710),"")</f>
        <v/>
      </c>
      <c r="E710" s="5" t="str">
        <f>IF(kokpit!E710&lt;&gt;"",kokpit!E710,"")</f>
        <v/>
      </c>
      <c r="F710" s="127" t="str">
        <f>IF(kokpit!F710&lt;&gt;"",kokpit!F710,"")</f>
        <v/>
      </c>
      <c r="G710" s="24" t="str">
        <f>IF(E710&lt;&gt;"",SUMIFS('JPK_KR-1'!AL:AL,'JPK_KR-1'!W:W,F710),"")</f>
        <v/>
      </c>
      <c r="H710" s="126" t="str">
        <f>IF(E710&lt;&gt;"",SUMIFS('JPK_KR-1'!AM:AM,'JPK_KR-1'!W:W,F710),"")</f>
        <v/>
      </c>
      <c r="I710" s="5" t="str">
        <f>IF(kokpit!I710&lt;&gt;"",kokpit!I710,"")</f>
        <v/>
      </c>
      <c r="J710" s="5" t="str">
        <f>IF(kokpit!J710&lt;&gt;"",kokpit!J710,"")</f>
        <v/>
      </c>
      <c r="K710" s="24" t="str">
        <f>IF(I710&lt;&gt;"",SUMIFS('JPK_KR-1'!AL:AL,'JPK_KR-1'!W:W,J710),"")</f>
        <v/>
      </c>
      <c r="L710" s="141" t="str">
        <f>IF(I710&lt;&gt;"",SUMIFS('JPK_KR-1'!AM:AM,'JPK_KR-1'!W:W,J710),"")</f>
        <v/>
      </c>
      <c r="M710" s="143" t="str">
        <f>IF(kokpit!M710&lt;&gt;"",kokpit!M710,"")</f>
        <v/>
      </c>
      <c r="N710" s="117" t="str">
        <f>IF(kokpit!N710&lt;&gt;"",kokpit!N710,"")</f>
        <v/>
      </c>
      <c r="O710" s="117" t="str">
        <f>IF(kokpit!O710&lt;&gt;"",kokpit!O710,"")</f>
        <v/>
      </c>
      <c r="P710" s="141" t="str">
        <f>IF(M710&lt;&gt;"",IF(O710="",SUMIFS('JPK_KR-1'!AL:AL,'JPK_KR-1'!W:W,N710),SUMIFS('JPK_KR-1'!BF:BF,'JPK_KR-1'!BE:BE,N710,'JPK_KR-1'!BG:BG,O710)),"")</f>
        <v/>
      </c>
      <c r="Q710" s="144" t="str">
        <f>IF(M710&lt;&gt;"",IF(O710="",SUMIFS('JPK_KR-1'!AM:AM,'JPK_KR-1'!W:W,N710),SUMIFS('JPK_KR-1'!BI:BI,'JPK_KR-1'!BH:BH,N710,'JPK_KR-1'!BJ:BJ,O710)),"")</f>
        <v/>
      </c>
      <c r="R710" s="117" t="str">
        <f>IF(kokpit!R710&lt;&gt;"",kokpit!R710,"")</f>
        <v/>
      </c>
      <c r="S710" s="117" t="str">
        <f>IF(kokpit!S710&lt;&gt;"",kokpit!S710,"")</f>
        <v/>
      </c>
      <c r="T710" s="117" t="str">
        <f>IF(kokpit!T710&lt;&gt;"",kokpit!T710,"")</f>
        <v/>
      </c>
      <c r="U710" s="141" t="str">
        <f>IF(R710&lt;&gt;"",SUMIFS('JPK_KR-1'!AL:AL,'JPK_KR-1'!W:W,S710),"")</f>
        <v/>
      </c>
      <c r="V710" s="144" t="str">
        <f>IF(R710&lt;&gt;"",SUMIFS('JPK_KR-1'!AM:AM,'JPK_KR-1'!W:W,S710),"")</f>
        <v/>
      </c>
    </row>
    <row r="711" spans="1:22" x14ac:dyDescent="0.3">
      <c r="A711" s="5" t="str">
        <f>IF(kokpit!A711&lt;&gt;"",kokpit!A711,"")</f>
        <v/>
      </c>
      <c r="B711" s="5" t="str">
        <f>IF(kokpit!B711&lt;&gt;"",kokpit!B711,"")</f>
        <v/>
      </c>
      <c r="C711" s="24" t="str">
        <f>IF(A711&lt;&gt;"",SUMIFS('JPK_KR-1'!AL:AL,'JPK_KR-1'!W:W,B711),"")</f>
        <v/>
      </c>
      <c r="D711" s="126" t="str">
        <f>IF(A711&lt;&gt;"",SUMIFS('JPK_KR-1'!AM:AM,'JPK_KR-1'!W:W,B711),"")</f>
        <v/>
      </c>
      <c r="E711" s="5" t="str">
        <f>IF(kokpit!E711&lt;&gt;"",kokpit!E711,"")</f>
        <v/>
      </c>
      <c r="F711" s="127" t="str">
        <f>IF(kokpit!F711&lt;&gt;"",kokpit!F711,"")</f>
        <v/>
      </c>
      <c r="G711" s="24" t="str">
        <f>IF(E711&lt;&gt;"",SUMIFS('JPK_KR-1'!AL:AL,'JPK_KR-1'!W:W,F711),"")</f>
        <v/>
      </c>
      <c r="H711" s="126" t="str">
        <f>IF(E711&lt;&gt;"",SUMIFS('JPK_KR-1'!AM:AM,'JPK_KR-1'!W:W,F711),"")</f>
        <v/>
      </c>
      <c r="I711" s="5" t="str">
        <f>IF(kokpit!I711&lt;&gt;"",kokpit!I711,"")</f>
        <v/>
      </c>
      <c r="J711" s="5" t="str">
        <f>IF(kokpit!J711&lt;&gt;"",kokpit!J711,"")</f>
        <v/>
      </c>
      <c r="K711" s="24" t="str">
        <f>IF(I711&lt;&gt;"",SUMIFS('JPK_KR-1'!AL:AL,'JPK_KR-1'!W:W,J711),"")</f>
        <v/>
      </c>
      <c r="L711" s="141" t="str">
        <f>IF(I711&lt;&gt;"",SUMIFS('JPK_KR-1'!AM:AM,'JPK_KR-1'!W:W,J711),"")</f>
        <v/>
      </c>
      <c r="M711" s="143" t="str">
        <f>IF(kokpit!M711&lt;&gt;"",kokpit!M711,"")</f>
        <v/>
      </c>
      <c r="N711" s="117" t="str">
        <f>IF(kokpit!N711&lt;&gt;"",kokpit!N711,"")</f>
        <v/>
      </c>
      <c r="O711" s="117" t="str">
        <f>IF(kokpit!O711&lt;&gt;"",kokpit!O711,"")</f>
        <v/>
      </c>
      <c r="P711" s="141" t="str">
        <f>IF(M711&lt;&gt;"",IF(O711="",SUMIFS('JPK_KR-1'!AL:AL,'JPK_KR-1'!W:W,N711),SUMIFS('JPK_KR-1'!BF:BF,'JPK_KR-1'!BE:BE,N711,'JPK_KR-1'!BG:BG,O711)),"")</f>
        <v/>
      </c>
      <c r="Q711" s="144" t="str">
        <f>IF(M711&lt;&gt;"",IF(O711="",SUMIFS('JPK_KR-1'!AM:AM,'JPK_KR-1'!W:W,N711),SUMIFS('JPK_KR-1'!BI:BI,'JPK_KR-1'!BH:BH,N711,'JPK_KR-1'!BJ:BJ,O711)),"")</f>
        <v/>
      </c>
      <c r="R711" s="117" t="str">
        <f>IF(kokpit!R711&lt;&gt;"",kokpit!R711,"")</f>
        <v/>
      </c>
      <c r="S711" s="117" t="str">
        <f>IF(kokpit!S711&lt;&gt;"",kokpit!S711,"")</f>
        <v/>
      </c>
      <c r="T711" s="117" t="str">
        <f>IF(kokpit!T711&lt;&gt;"",kokpit!T711,"")</f>
        <v/>
      </c>
      <c r="U711" s="141" t="str">
        <f>IF(R711&lt;&gt;"",SUMIFS('JPK_KR-1'!AL:AL,'JPK_KR-1'!W:W,S711),"")</f>
        <v/>
      </c>
      <c r="V711" s="144" t="str">
        <f>IF(R711&lt;&gt;"",SUMIFS('JPK_KR-1'!AM:AM,'JPK_KR-1'!W:W,S711),"")</f>
        <v/>
      </c>
    </row>
    <row r="712" spans="1:22" x14ac:dyDescent="0.3">
      <c r="A712" s="5" t="str">
        <f>IF(kokpit!A712&lt;&gt;"",kokpit!A712,"")</f>
        <v/>
      </c>
      <c r="B712" s="5" t="str">
        <f>IF(kokpit!B712&lt;&gt;"",kokpit!B712,"")</f>
        <v/>
      </c>
      <c r="C712" s="24" t="str">
        <f>IF(A712&lt;&gt;"",SUMIFS('JPK_KR-1'!AL:AL,'JPK_KR-1'!W:W,B712),"")</f>
        <v/>
      </c>
      <c r="D712" s="126" t="str">
        <f>IF(A712&lt;&gt;"",SUMIFS('JPK_KR-1'!AM:AM,'JPK_KR-1'!W:W,B712),"")</f>
        <v/>
      </c>
      <c r="E712" s="5" t="str">
        <f>IF(kokpit!E712&lt;&gt;"",kokpit!E712,"")</f>
        <v/>
      </c>
      <c r="F712" s="127" t="str">
        <f>IF(kokpit!F712&lt;&gt;"",kokpit!F712,"")</f>
        <v/>
      </c>
      <c r="G712" s="24" t="str">
        <f>IF(E712&lt;&gt;"",SUMIFS('JPK_KR-1'!AL:AL,'JPK_KR-1'!W:W,F712),"")</f>
        <v/>
      </c>
      <c r="H712" s="126" t="str">
        <f>IF(E712&lt;&gt;"",SUMIFS('JPK_KR-1'!AM:AM,'JPK_KR-1'!W:W,F712),"")</f>
        <v/>
      </c>
      <c r="I712" s="5" t="str">
        <f>IF(kokpit!I712&lt;&gt;"",kokpit!I712,"")</f>
        <v/>
      </c>
      <c r="J712" s="5" t="str">
        <f>IF(kokpit!J712&lt;&gt;"",kokpit!J712,"")</f>
        <v/>
      </c>
      <c r="K712" s="24" t="str">
        <f>IF(I712&lt;&gt;"",SUMIFS('JPK_KR-1'!AL:AL,'JPK_KR-1'!W:W,J712),"")</f>
        <v/>
      </c>
      <c r="L712" s="141" t="str">
        <f>IF(I712&lt;&gt;"",SUMIFS('JPK_KR-1'!AM:AM,'JPK_KR-1'!W:W,J712),"")</f>
        <v/>
      </c>
      <c r="M712" s="143" t="str">
        <f>IF(kokpit!M712&lt;&gt;"",kokpit!M712,"")</f>
        <v/>
      </c>
      <c r="N712" s="117" t="str">
        <f>IF(kokpit!N712&lt;&gt;"",kokpit!N712,"")</f>
        <v/>
      </c>
      <c r="O712" s="117" t="str">
        <f>IF(kokpit!O712&lt;&gt;"",kokpit!O712,"")</f>
        <v/>
      </c>
      <c r="P712" s="141" t="str">
        <f>IF(M712&lt;&gt;"",IF(O712="",SUMIFS('JPK_KR-1'!AL:AL,'JPK_KR-1'!W:W,N712),SUMIFS('JPK_KR-1'!BF:BF,'JPK_KR-1'!BE:BE,N712,'JPK_KR-1'!BG:BG,O712)),"")</f>
        <v/>
      </c>
      <c r="Q712" s="144" t="str">
        <f>IF(M712&lt;&gt;"",IF(O712="",SUMIFS('JPK_KR-1'!AM:AM,'JPK_KR-1'!W:W,N712),SUMIFS('JPK_KR-1'!BI:BI,'JPK_KR-1'!BH:BH,N712,'JPK_KR-1'!BJ:BJ,O712)),"")</f>
        <v/>
      </c>
      <c r="R712" s="117" t="str">
        <f>IF(kokpit!R712&lt;&gt;"",kokpit!R712,"")</f>
        <v/>
      </c>
      <c r="S712" s="117" t="str">
        <f>IF(kokpit!S712&lt;&gt;"",kokpit!S712,"")</f>
        <v/>
      </c>
      <c r="T712" s="117" t="str">
        <f>IF(kokpit!T712&lt;&gt;"",kokpit!T712,"")</f>
        <v/>
      </c>
      <c r="U712" s="141" t="str">
        <f>IF(R712&lt;&gt;"",SUMIFS('JPK_KR-1'!AL:AL,'JPK_KR-1'!W:W,S712),"")</f>
        <v/>
      </c>
      <c r="V712" s="144" t="str">
        <f>IF(R712&lt;&gt;"",SUMIFS('JPK_KR-1'!AM:AM,'JPK_KR-1'!W:W,S712),"")</f>
        <v/>
      </c>
    </row>
    <row r="713" spans="1:22" x14ac:dyDescent="0.3">
      <c r="A713" s="5" t="str">
        <f>IF(kokpit!A713&lt;&gt;"",kokpit!A713,"")</f>
        <v/>
      </c>
      <c r="B713" s="5" t="str">
        <f>IF(kokpit!B713&lt;&gt;"",kokpit!B713,"")</f>
        <v/>
      </c>
      <c r="C713" s="24" t="str">
        <f>IF(A713&lt;&gt;"",SUMIFS('JPK_KR-1'!AL:AL,'JPK_KR-1'!W:W,B713),"")</f>
        <v/>
      </c>
      <c r="D713" s="126" t="str">
        <f>IF(A713&lt;&gt;"",SUMIFS('JPK_KR-1'!AM:AM,'JPK_KR-1'!W:W,B713),"")</f>
        <v/>
      </c>
      <c r="E713" s="5" t="str">
        <f>IF(kokpit!E713&lt;&gt;"",kokpit!E713,"")</f>
        <v/>
      </c>
      <c r="F713" s="127" t="str">
        <f>IF(kokpit!F713&lt;&gt;"",kokpit!F713,"")</f>
        <v/>
      </c>
      <c r="G713" s="24" t="str">
        <f>IF(E713&lt;&gt;"",SUMIFS('JPK_KR-1'!AL:AL,'JPK_KR-1'!W:W,F713),"")</f>
        <v/>
      </c>
      <c r="H713" s="126" t="str">
        <f>IF(E713&lt;&gt;"",SUMIFS('JPK_KR-1'!AM:AM,'JPK_KR-1'!W:W,F713),"")</f>
        <v/>
      </c>
      <c r="I713" s="5" t="str">
        <f>IF(kokpit!I713&lt;&gt;"",kokpit!I713,"")</f>
        <v/>
      </c>
      <c r="J713" s="5" t="str">
        <f>IF(kokpit!J713&lt;&gt;"",kokpit!J713,"")</f>
        <v/>
      </c>
      <c r="K713" s="24" t="str">
        <f>IF(I713&lt;&gt;"",SUMIFS('JPK_KR-1'!AL:AL,'JPK_KR-1'!W:W,J713),"")</f>
        <v/>
      </c>
      <c r="L713" s="141" t="str">
        <f>IF(I713&lt;&gt;"",SUMIFS('JPK_KR-1'!AM:AM,'JPK_KR-1'!W:W,J713),"")</f>
        <v/>
      </c>
      <c r="M713" s="143" t="str">
        <f>IF(kokpit!M713&lt;&gt;"",kokpit!M713,"")</f>
        <v/>
      </c>
      <c r="N713" s="117" t="str">
        <f>IF(kokpit!N713&lt;&gt;"",kokpit!N713,"")</f>
        <v/>
      </c>
      <c r="O713" s="117" t="str">
        <f>IF(kokpit!O713&lt;&gt;"",kokpit!O713,"")</f>
        <v/>
      </c>
      <c r="P713" s="141" t="str">
        <f>IF(M713&lt;&gt;"",IF(O713="",SUMIFS('JPK_KR-1'!AL:AL,'JPK_KR-1'!W:W,N713),SUMIFS('JPK_KR-1'!BF:BF,'JPK_KR-1'!BE:BE,N713,'JPK_KR-1'!BG:BG,O713)),"")</f>
        <v/>
      </c>
      <c r="Q713" s="144" t="str">
        <f>IF(M713&lt;&gt;"",IF(O713="",SUMIFS('JPK_KR-1'!AM:AM,'JPK_KR-1'!W:W,N713),SUMIFS('JPK_KR-1'!BI:BI,'JPK_KR-1'!BH:BH,N713,'JPK_KR-1'!BJ:BJ,O713)),"")</f>
        <v/>
      </c>
      <c r="R713" s="117" t="str">
        <f>IF(kokpit!R713&lt;&gt;"",kokpit!R713,"")</f>
        <v/>
      </c>
      <c r="S713" s="117" t="str">
        <f>IF(kokpit!S713&lt;&gt;"",kokpit!S713,"")</f>
        <v/>
      </c>
      <c r="T713" s="117" t="str">
        <f>IF(kokpit!T713&lt;&gt;"",kokpit!T713,"")</f>
        <v/>
      </c>
      <c r="U713" s="141" t="str">
        <f>IF(R713&lt;&gt;"",SUMIFS('JPK_KR-1'!AL:AL,'JPK_KR-1'!W:W,S713),"")</f>
        <v/>
      </c>
      <c r="V713" s="144" t="str">
        <f>IF(R713&lt;&gt;"",SUMIFS('JPK_KR-1'!AM:AM,'JPK_KR-1'!W:W,S713),"")</f>
        <v/>
      </c>
    </row>
    <row r="714" spans="1:22" x14ac:dyDescent="0.3">
      <c r="A714" s="5" t="str">
        <f>IF(kokpit!A714&lt;&gt;"",kokpit!A714,"")</f>
        <v/>
      </c>
      <c r="B714" s="5" t="str">
        <f>IF(kokpit!B714&lt;&gt;"",kokpit!B714,"")</f>
        <v/>
      </c>
      <c r="C714" s="24" t="str">
        <f>IF(A714&lt;&gt;"",SUMIFS('JPK_KR-1'!AL:AL,'JPK_KR-1'!W:W,B714),"")</f>
        <v/>
      </c>
      <c r="D714" s="126" t="str">
        <f>IF(A714&lt;&gt;"",SUMIFS('JPK_KR-1'!AM:AM,'JPK_KR-1'!W:W,B714),"")</f>
        <v/>
      </c>
      <c r="E714" s="5" t="str">
        <f>IF(kokpit!E714&lt;&gt;"",kokpit!E714,"")</f>
        <v/>
      </c>
      <c r="F714" s="127" t="str">
        <f>IF(kokpit!F714&lt;&gt;"",kokpit!F714,"")</f>
        <v/>
      </c>
      <c r="G714" s="24" t="str">
        <f>IF(E714&lt;&gt;"",SUMIFS('JPK_KR-1'!AL:AL,'JPK_KR-1'!W:W,F714),"")</f>
        <v/>
      </c>
      <c r="H714" s="126" t="str">
        <f>IF(E714&lt;&gt;"",SUMIFS('JPK_KR-1'!AM:AM,'JPK_KR-1'!W:W,F714),"")</f>
        <v/>
      </c>
      <c r="I714" s="5" t="str">
        <f>IF(kokpit!I714&lt;&gt;"",kokpit!I714,"")</f>
        <v/>
      </c>
      <c r="J714" s="5" t="str">
        <f>IF(kokpit!J714&lt;&gt;"",kokpit!J714,"")</f>
        <v/>
      </c>
      <c r="K714" s="24" t="str">
        <f>IF(I714&lt;&gt;"",SUMIFS('JPK_KR-1'!AL:AL,'JPK_KR-1'!W:W,J714),"")</f>
        <v/>
      </c>
      <c r="L714" s="141" t="str">
        <f>IF(I714&lt;&gt;"",SUMIFS('JPK_KR-1'!AM:AM,'JPK_KR-1'!W:W,J714),"")</f>
        <v/>
      </c>
      <c r="M714" s="143" t="str">
        <f>IF(kokpit!M714&lt;&gt;"",kokpit!M714,"")</f>
        <v/>
      </c>
      <c r="N714" s="117" t="str">
        <f>IF(kokpit!N714&lt;&gt;"",kokpit!N714,"")</f>
        <v/>
      </c>
      <c r="O714" s="117" t="str">
        <f>IF(kokpit!O714&lt;&gt;"",kokpit!O714,"")</f>
        <v/>
      </c>
      <c r="P714" s="141" t="str">
        <f>IF(M714&lt;&gt;"",IF(O714="",SUMIFS('JPK_KR-1'!AL:AL,'JPK_KR-1'!W:W,N714),SUMIFS('JPK_KR-1'!BF:BF,'JPK_KR-1'!BE:BE,N714,'JPK_KR-1'!BG:BG,O714)),"")</f>
        <v/>
      </c>
      <c r="Q714" s="144" t="str">
        <f>IF(M714&lt;&gt;"",IF(O714="",SUMIFS('JPK_KR-1'!AM:AM,'JPK_KR-1'!W:W,N714),SUMIFS('JPK_KR-1'!BI:BI,'JPK_KR-1'!BH:BH,N714,'JPK_KR-1'!BJ:BJ,O714)),"")</f>
        <v/>
      </c>
      <c r="R714" s="117" t="str">
        <f>IF(kokpit!R714&lt;&gt;"",kokpit!R714,"")</f>
        <v/>
      </c>
      <c r="S714" s="117" t="str">
        <f>IF(kokpit!S714&lt;&gt;"",kokpit!S714,"")</f>
        <v/>
      </c>
      <c r="T714" s="117" t="str">
        <f>IF(kokpit!T714&lt;&gt;"",kokpit!T714,"")</f>
        <v/>
      </c>
      <c r="U714" s="141" t="str">
        <f>IF(R714&lt;&gt;"",SUMIFS('JPK_KR-1'!AL:AL,'JPK_KR-1'!W:W,S714),"")</f>
        <v/>
      </c>
      <c r="V714" s="144" t="str">
        <f>IF(R714&lt;&gt;"",SUMIFS('JPK_KR-1'!AM:AM,'JPK_KR-1'!W:W,S714),"")</f>
        <v/>
      </c>
    </row>
    <row r="715" spans="1:22" x14ac:dyDescent="0.3">
      <c r="A715" s="5" t="str">
        <f>IF(kokpit!A715&lt;&gt;"",kokpit!A715,"")</f>
        <v/>
      </c>
      <c r="B715" s="5" t="str">
        <f>IF(kokpit!B715&lt;&gt;"",kokpit!B715,"")</f>
        <v/>
      </c>
      <c r="C715" s="24" t="str">
        <f>IF(A715&lt;&gt;"",SUMIFS('JPK_KR-1'!AL:AL,'JPK_KR-1'!W:W,B715),"")</f>
        <v/>
      </c>
      <c r="D715" s="126" t="str">
        <f>IF(A715&lt;&gt;"",SUMIFS('JPK_KR-1'!AM:AM,'JPK_KR-1'!W:W,B715),"")</f>
        <v/>
      </c>
      <c r="E715" s="5" t="str">
        <f>IF(kokpit!E715&lt;&gt;"",kokpit!E715,"")</f>
        <v/>
      </c>
      <c r="F715" s="127" t="str">
        <f>IF(kokpit!F715&lt;&gt;"",kokpit!F715,"")</f>
        <v/>
      </c>
      <c r="G715" s="24" t="str">
        <f>IF(E715&lt;&gt;"",SUMIFS('JPK_KR-1'!AL:AL,'JPK_KR-1'!W:W,F715),"")</f>
        <v/>
      </c>
      <c r="H715" s="126" t="str">
        <f>IF(E715&lt;&gt;"",SUMIFS('JPK_KR-1'!AM:AM,'JPK_KR-1'!W:W,F715),"")</f>
        <v/>
      </c>
      <c r="I715" s="5" t="str">
        <f>IF(kokpit!I715&lt;&gt;"",kokpit!I715,"")</f>
        <v/>
      </c>
      <c r="J715" s="5" t="str">
        <f>IF(kokpit!J715&lt;&gt;"",kokpit!J715,"")</f>
        <v/>
      </c>
      <c r="K715" s="24" t="str">
        <f>IF(I715&lt;&gt;"",SUMIFS('JPK_KR-1'!AL:AL,'JPK_KR-1'!W:W,J715),"")</f>
        <v/>
      </c>
      <c r="L715" s="141" t="str">
        <f>IF(I715&lt;&gt;"",SUMIFS('JPK_KR-1'!AM:AM,'JPK_KR-1'!W:W,J715),"")</f>
        <v/>
      </c>
      <c r="M715" s="143" t="str">
        <f>IF(kokpit!M715&lt;&gt;"",kokpit!M715,"")</f>
        <v/>
      </c>
      <c r="N715" s="117" t="str">
        <f>IF(kokpit!N715&lt;&gt;"",kokpit!N715,"")</f>
        <v/>
      </c>
      <c r="O715" s="117" t="str">
        <f>IF(kokpit!O715&lt;&gt;"",kokpit!O715,"")</f>
        <v/>
      </c>
      <c r="P715" s="141" t="str">
        <f>IF(M715&lt;&gt;"",IF(O715="",SUMIFS('JPK_KR-1'!AL:AL,'JPK_KR-1'!W:W,N715),SUMIFS('JPK_KR-1'!BF:BF,'JPK_KR-1'!BE:BE,N715,'JPK_KR-1'!BG:BG,O715)),"")</f>
        <v/>
      </c>
      <c r="Q715" s="144" t="str">
        <f>IF(M715&lt;&gt;"",IF(O715="",SUMIFS('JPK_KR-1'!AM:AM,'JPK_KR-1'!W:W,N715),SUMIFS('JPK_KR-1'!BI:BI,'JPK_KR-1'!BH:BH,N715,'JPK_KR-1'!BJ:BJ,O715)),"")</f>
        <v/>
      </c>
      <c r="R715" s="117" t="str">
        <f>IF(kokpit!R715&lt;&gt;"",kokpit!R715,"")</f>
        <v/>
      </c>
      <c r="S715" s="117" t="str">
        <f>IF(kokpit!S715&lt;&gt;"",kokpit!S715,"")</f>
        <v/>
      </c>
      <c r="T715" s="117" t="str">
        <f>IF(kokpit!T715&lt;&gt;"",kokpit!T715,"")</f>
        <v/>
      </c>
      <c r="U715" s="141" t="str">
        <f>IF(R715&lt;&gt;"",SUMIFS('JPK_KR-1'!AL:AL,'JPK_KR-1'!W:W,S715),"")</f>
        <v/>
      </c>
      <c r="V715" s="144" t="str">
        <f>IF(R715&lt;&gt;"",SUMIFS('JPK_KR-1'!AM:AM,'JPK_KR-1'!W:W,S715),"")</f>
        <v/>
      </c>
    </row>
    <row r="716" spans="1:22" x14ac:dyDescent="0.3">
      <c r="A716" s="5" t="str">
        <f>IF(kokpit!A716&lt;&gt;"",kokpit!A716,"")</f>
        <v/>
      </c>
      <c r="B716" s="5" t="str">
        <f>IF(kokpit!B716&lt;&gt;"",kokpit!B716,"")</f>
        <v/>
      </c>
      <c r="C716" s="24" t="str">
        <f>IF(A716&lt;&gt;"",SUMIFS('JPK_KR-1'!AL:AL,'JPK_KR-1'!W:W,B716),"")</f>
        <v/>
      </c>
      <c r="D716" s="126" t="str">
        <f>IF(A716&lt;&gt;"",SUMIFS('JPK_KR-1'!AM:AM,'JPK_KR-1'!W:W,B716),"")</f>
        <v/>
      </c>
      <c r="E716" s="5" t="str">
        <f>IF(kokpit!E716&lt;&gt;"",kokpit!E716,"")</f>
        <v/>
      </c>
      <c r="F716" s="127" t="str">
        <f>IF(kokpit!F716&lt;&gt;"",kokpit!F716,"")</f>
        <v/>
      </c>
      <c r="G716" s="24" t="str">
        <f>IF(E716&lt;&gt;"",SUMIFS('JPK_KR-1'!AL:AL,'JPK_KR-1'!W:W,F716),"")</f>
        <v/>
      </c>
      <c r="H716" s="126" t="str">
        <f>IF(E716&lt;&gt;"",SUMIFS('JPK_KR-1'!AM:AM,'JPK_KR-1'!W:W,F716),"")</f>
        <v/>
      </c>
      <c r="I716" s="5" t="str">
        <f>IF(kokpit!I716&lt;&gt;"",kokpit!I716,"")</f>
        <v/>
      </c>
      <c r="J716" s="5" t="str">
        <f>IF(kokpit!J716&lt;&gt;"",kokpit!J716,"")</f>
        <v/>
      </c>
      <c r="K716" s="24" t="str">
        <f>IF(I716&lt;&gt;"",SUMIFS('JPK_KR-1'!AL:AL,'JPK_KR-1'!W:W,J716),"")</f>
        <v/>
      </c>
      <c r="L716" s="141" t="str">
        <f>IF(I716&lt;&gt;"",SUMIFS('JPK_KR-1'!AM:AM,'JPK_KR-1'!W:W,J716),"")</f>
        <v/>
      </c>
      <c r="M716" s="143" t="str">
        <f>IF(kokpit!M716&lt;&gt;"",kokpit!M716,"")</f>
        <v/>
      </c>
      <c r="N716" s="117" t="str">
        <f>IF(kokpit!N716&lt;&gt;"",kokpit!N716,"")</f>
        <v/>
      </c>
      <c r="O716" s="117" t="str">
        <f>IF(kokpit!O716&lt;&gt;"",kokpit!O716,"")</f>
        <v/>
      </c>
      <c r="P716" s="141" t="str">
        <f>IF(M716&lt;&gt;"",IF(O716="",SUMIFS('JPK_KR-1'!AL:AL,'JPK_KR-1'!W:W,N716),SUMIFS('JPK_KR-1'!BF:BF,'JPK_KR-1'!BE:BE,N716,'JPK_KR-1'!BG:BG,O716)),"")</f>
        <v/>
      </c>
      <c r="Q716" s="144" t="str">
        <f>IF(M716&lt;&gt;"",IF(O716="",SUMIFS('JPK_KR-1'!AM:AM,'JPK_KR-1'!W:W,N716),SUMIFS('JPK_KR-1'!BI:BI,'JPK_KR-1'!BH:BH,N716,'JPK_KR-1'!BJ:BJ,O716)),"")</f>
        <v/>
      </c>
      <c r="R716" s="117" t="str">
        <f>IF(kokpit!R716&lt;&gt;"",kokpit!R716,"")</f>
        <v/>
      </c>
      <c r="S716" s="117" t="str">
        <f>IF(kokpit!S716&lt;&gt;"",kokpit!S716,"")</f>
        <v/>
      </c>
      <c r="T716" s="117" t="str">
        <f>IF(kokpit!T716&lt;&gt;"",kokpit!T716,"")</f>
        <v/>
      </c>
      <c r="U716" s="141" t="str">
        <f>IF(R716&lt;&gt;"",SUMIFS('JPK_KR-1'!AL:AL,'JPK_KR-1'!W:W,S716),"")</f>
        <v/>
      </c>
      <c r="V716" s="144" t="str">
        <f>IF(R716&lt;&gt;"",SUMIFS('JPK_KR-1'!AM:AM,'JPK_KR-1'!W:W,S716),"")</f>
        <v/>
      </c>
    </row>
    <row r="717" spans="1:22" x14ac:dyDescent="0.3">
      <c r="A717" s="5" t="str">
        <f>IF(kokpit!A717&lt;&gt;"",kokpit!A717,"")</f>
        <v/>
      </c>
      <c r="B717" s="5" t="str">
        <f>IF(kokpit!B717&lt;&gt;"",kokpit!B717,"")</f>
        <v/>
      </c>
      <c r="C717" s="24" t="str">
        <f>IF(A717&lt;&gt;"",SUMIFS('JPK_KR-1'!AL:AL,'JPK_KR-1'!W:W,B717),"")</f>
        <v/>
      </c>
      <c r="D717" s="126" t="str">
        <f>IF(A717&lt;&gt;"",SUMIFS('JPK_KR-1'!AM:AM,'JPK_KR-1'!W:W,B717),"")</f>
        <v/>
      </c>
      <c r="E717" s="5" t="str">
        <f>IF(kokpit!E717&lt;&gt;"",kokpit!E717,"")</f>
        <v/>
      </c>
      <c r="F717" s="127" t="str">
        <f>IF(kokpit!F717&lt;&gt;"",kokpit!F717,"")</f>
        <v/>
      </c>
      <c r="G717" s="24" t="str">
        <f>IF(E717&lt;&gt;"",SUMIFS('JPK_KR-1'!AL:AL,'JPK_KR-1'!W:W,F717),"")</f>
        <v/>
      </c>
      <c r="H717" s="126" t="str">
        <f>IF(E717&lt;&gt;"",SUMIFS('JPK_KR-1'!AM:AM,'JPK_KR-1'!W:W,F717),"")</f>
        <v/>
      </c>
      <c r="I717" s="5" t="str">
        <f>IF(kokpit!I717&lt;&gt;"",kokpit!I717,"")</f>
        <v/>
      </c>
      <c r="J717" s="5" t="str">
        <f>IF(kokpit!J717&lt;&gt;"",kokpit!J717,"")</f>
        <v/>
      </c>
      <c r="K717" s="24" t="str">
        <f>IF(I717&lt;&gt;"",SUMIFS('JPK_KR-1'!AL:AL,'JPK_KR-1'!W:W,J717),"")</f>
        <v/>
      </c>
      <c r="L717" s="141" t="str">
        <f>IF(I717&lt;&gt;"",SUMIFS('JPK_KR-1'!AM:AM,'JPK_KR-1'!W:W,J717),"")</f>
        <v/>
      </c>
      <c r="M717" s="143" t="str">
        <f>IF(kokpit!M717&lt;&gt;"",kokpit!M717,"")</f>
        <v/>
      </c>
      <c r="N717" s="117" t="str">
        <f>IF(kokpit!N717&lt;&gt;"",kokpit!N717,"")</f>
        <v/>
      </c>
      <c r="O717" s="117" t="str">
        <f>IF(kokpit!O717&lt;&gt;"",kokpit!O717,"")</f>
        <v/>
      </c>
      <c r="P717" s="141" t="str">
        <f>IF(M717&lt;&gt;"",IF(O717="",SUMIFS('JPK_KR-1'!AL:AL,'JPK_KR-1'!W:W,N717),SUMIFS('JPK_KR-1'!BF:BF,'JPK_KR-1'!BE:BE,N717,'JPK_KR-1'!BG:BG,O717)),"")</f>
        <v/>
      </c>
      <c r="Q717" s="144" t="str">
        <f>IF(M717&lt;&gt;"",IF(O717="",SUMIFS('JPK_KR-1'!AM:AM,'JPK_KR-1'!W:W,N717),SUMIFS('JPK_KR-1'!BI:BI,'JPK_KR-1'!BH:BH,N717,'JPK_KR-1'!BJ:BJ,O717)),"")</f>
        <v/>
      </c>
      <c r="R717" s="117" t="str">
        <f>IF(kokpit!R717&lt;&gt;"",kokpit!R717,"")</f>
        <v/>
      </c>
      <c r="S717" s="117" t="str">
        <f>IF(kokpit!S717&lt;&gt;"",kokpit!S717,"")</f>
        <v/>
      </c>
      <c r="T717" s="117" t="str">
        <f>IF(kokpit!T717&lt;&gt;"",kokpit!T717,"")</f>
        <v/>
      </c>
      <c r="U717" s="141" t="str">
        <f>IF(R717&lt;&gt;"",SUMIFS('JPK_KR-1'!AL:AL,'JPK_KR-1'!W:W,S717),"")</f>
        <v/>
      </c>
      <c r="V717" s="144" t="str">
        <f>IF(R717&lt;&gt;"",SUMIFS('JPK_KR-1'!AM:AM,'JPK_KR-1'!W:W,S717),"")</f>
        <v/>
      </c>
    </row>
    <row r="718" spans="1:22" x14ac:dyDescent="0.3">
      <c r="A718" s="5" t="str">
        <f>IF(kokpit!A718&lt;&gt;"",kokpit!A718,"")</f>
        <v/>
      </c>
      <c r="B718" s="5" t="str">
        <f>IF(kokpit!B718&lt;&gt;"",kokpit!B718,"")</f>
        <v/>
      </c>
      <c r="C718" s="24" t="str">
        <f>IF(A718&lt;&gt;"",SUMIFS('JPK_KR-1'!AL:AL,'JPK_KR-1'!W:W,B718),"")</f>
        <v/>
      </c>
      <c r="D718" s="126" t="str">
        <f>IF(A718&lt;&gt;"",SUMIFS('JPK_KR-1'!AM:AM,'JPK_KR-1'!W:W,B718),"")</f>
        <v/>
      </c>
      <c r="E718" s="5" t="str">
        <f>IF(kokpit!E718&lt;&gt;"",kokpit!E718,"")</f>
        <v/>
      </c>
      <c r="F718" s="127" t="str">
        <f>IF(kokpit!F718&lt;&gt;"",kokpit!F718,"")</f>
        <v/>
      </c>
      <c r="G718" s="24" t="str">
        <f>IF(E718&lt;&gt;"",SUMIFS('JPK_KR-1'!AL:AL,'JPK_KR-1'!W:W,F718),"")</f>
        <v/>
      </c>
      <c r="H718" s="126" t="str">
        <f>IF(E718&lt;&gt;"",SUMIFS('JPK_KR-1'!AM:AM,'JPK_KR-1'!W:W,F718),"")</f>
        <v/>
      </c>
      <c r="I718" s="5" t="str">
        <f>IF(kokpit!I718&lt;&gt;"",kokpit!I718,"")</f>
        <v/>
      </c>
      <c r="J718" s="5" t="str">
        <f>IF(kokpit!J718&lt;&gt;"",kokpit!J718,"")</f>
        <v/>
      </c>
      <c r="K718" s="24" t="str">
        <f>IF(I718&lt;&gt;"",SUMIFS('JPK_KR-1'!AL:AL,'JPK_KR-1'!W:W,J718),"")</f>
        <v/>
      </c>
      <c r="L718" s="141" t="str">
        <f>IF(I718&lt;&gt;"",SUMIFS('JPK_KR-1'!AM:AM,'JPK_KR-1'!W:W,J718),"")</f>
        <v/>
      </c>
      <c r="M718" s="143" t="str">
        <f>IF(kokpit!M718&lt;&gt;"",kokpit!M718,"")</f>
        <v/>
      </c>
      <c r="N718" s="117" t="str">
        <f>IF(kokpit!N718&lt;&gt;"",kokpit!N718,"")</f>
        <v/>
      </c>
      <c r="O718" s="117" t="str">
        <f>IF(kokpit!O718&lt;&gt;"",kokpit!O718,"")</f>
        <v/>
      </c>
      <c r="P718" s="141" t="str">
        <f>IF(M718&lt;&gt;"",IF(O718="",SUMIFS('JPK_KR-1'!AL:AL,'JPK_KR-1'!W:W,N718),SUMIFS('JPK_KR-1'!BF:BF,'JPK_KR-1'!BE:BE,N718,'JPK_KR-1'!BG:BG,O718)),"")</f>
        <v/>
      </c>
      <c r="Q718" s="144" t="str">
        <f>IF(M718&lt;&gt;"",IF(O718="",SUMIFS('JPK_KR-1'!AM:AM,'JPK_KR-1'!W:W,N718),SUMIFS('JPK_KR-1'!BI:BI,'JPK_KR-1'!BH:BH,N718,'JPK_KR-1'!BJ:BJ,O718)),"")</f>
        <v/>
      </c>
      <c r="R718" s="117" t="str">
        <f>IF(kokpit!R718&lt;&gt;"",kokpit!R718,"")</f>
        <v/>
      </c>
      <c r="S718" s="117" t="str">
        <f>IF(kokpit!S718&lt;&gt;"",kokpit!S718,"")</f>
        <v/>
      </c>
      <c r="T718" s="117" t="str">
        <f>IF(kokpit!T718&lt;&gt;"",kokpit!T718,"")</f>
        <v/>
      </c>
      <c r="U718" s="141" t="str">
        <f>IF(R718&lt;&gt;"",SUMIFS('JPK_KR-1'!AL:AL,'JPK_KR-1'!W:W,S718),"")</f>
        <v/>
      </c>
      <c r="V718" s="144" t="str">
        <f>IF(R718&lt;&gt;"",SUMIFS('JPK_KR-1'!AM:AM,'JPK_KR-1'!W:W,S718),"")</f>
        <v/>
      </c>
    </row>
    <row r="719" spans="1:22" x14ac:dyDescent="0.3">
      <c r="A719" s="5" t="str">
        <f>IF(kokpit!A719&lt;&gt;"",kokpit!A719,"")</f>
        <v/>
      </c>
      <c r="B719" s="5" t="str">
        <f>IF(kokpit!B719&lt;&gt;"",kokpit!B719,"")</f>
        <v/>
      </c>
      <c r="C719" s="24" t="str">
        <f>IF(A719&lt;&gt;"",SUMIFS('JPK_KR-1'!AL:AL,'JPK_KR-1'!W:W,B719),"")</f>
        <v/>
      </c>
      <c r="D719" s="126" t="str">
        <f>IF(A719&lt;&gt;"",SUMIFS('JPK_KR-1'!AM:AM,'JPK_KR-1'!W:W,B719),"")</f>
        <v/>
      </c>
      <c r="E719" s="5" t="str">
        <f>IF(kokpit!E719&lt;&gt;"",kokpit!E719,"")</f>
        <v/>
      </c>
      <c r="F719" s="127" t="str">
        <f>IF(kokpit!F719&lt;&gt;"",kokpit!F719,"")</f>
        <v/>
      </c>
      <c r="G719" s="24" t="str">
        <f>IF(E719&lt;&gt;"",SUMIFS('JPK_KR-1'!AL:AL,'JPK_KR-1'!W:W,F719),"")</f>
        <v/>
      </c>
      <c r="H719" s="126" t="str">
        <f>IF(E719&lt;&gt;"",SUMIFS('JPK_KR-1'!AM:AM,'JPK_KR-1'!W:W,F719),"")</f>
        <v/>
      </c>
      <c r="I719" s="5" t="str">
        <f>IF(kokpit!I719&lt;&gt;"",kokpit!I719,"")</f>
        <v/>
      </c>
      <c r="J719" s="5" t="str">
        <f>IF(kokpit!J719&lt;&gt;"",kokpit!J719,"")</f>
        <v/>
      </c>
      <c r="K719" s="24" t="str">
        <f>IF(I719&lt;&gt;"",SUMIFS('JPK_KR-1'!AL:AL,'JPK_KR-1'!W:W,J719),"")</f>
        <v/>
      </c>
      <c r="L719" s="141" t="str">
        <f>IF(I719&lt;&gt;"",SUMIFS('JPK_KR-1'!AM:AM,'JPK_KR-1'!W:W,J719),"")</f>
        <v/>
      </c>
      <c r="M719" s="143" t="str">
        <f>IF(kokpit!M719&lt;&gt;"",kokpit!M719,"")</f>
        <v/>
      </c>
      <c r="N719" s="117" t="str">
        <f>IF(kokpit!N719&lt;&gt;"",kokpit!N719,"")</f>
        <v/>
      </c>
      <c r="O719" s="117" t="str">
        <f>IF(kokpit!O719&lt;&gt;"",kokpit!O719,"")</f>
        <v/>
      </c>
      <c r="P719" s="141" t="str">
        <f>IF(M719&lt;&gt;"",IF(O719="",SUMIFS('JPK_KR-1'!AL:AL,'JPK_KR-1'!W:W,N719),SUMIFS('JPK_KR-1'!BF:BF,'JPK_KR-1'!BE:BE,N719,'JPK_KR-1'!BG:BG,O719)),"")</f>
        <v/>
      </c>
      <c r="Q719" s="144" t="str">
        <f>IF(M719&lt;&gt;"",IF(O719="",SUMIFS('JPK_KR-1'!AM:AM,'JPK_KR-1'!W:W,N719),SUMIFS('JPK_KR-1'!BI:BI,'JPK_KR-1'!BH:BH,N719,'JPK_KR-1'!BJ:BJ,O719)),"")</f>
        <v/>
      </c>
      <c r="R719" s="117" t="str">
        <f>IF(kokpit!R719&lt;&gt;"",kokpit!R719,"")</f>
        <v/>
      </c>
      <c r="S719" s="117" t="str">
        <f>IF(kokpit!S719&lt;&gt;"",kokpit!S719,"")</f>
        <v/>
      </c>
      <c r="T719" s="117" t="str">
        <f>IF(kokpit!T719&lt;&gt;"",kokpit!T719,"")</f>
        <v/>
      </c>
      <c r="U719" s="141" t="str">
        <f>IF(R719&lt;&gt;"",SUMIFS('JPK_KR-1'!AL:AL,'JPK_KR-1'!W:W,S719),"")</f>
        <v/>
      </c>
      <c r="V719" s="144" t="str">
        <f>IF(R719&lt;&gt;"",SUMIFS('JPK_KR-1'!AM:AM,'JPK_KR-1'!W:W,S719),"")</f>
        <v/>
      </c>
    </row>
    <row r="720" spans="1:22" x14ac:dyDescent="0.3">
      <c r="A720" s="5" t="str">
        <f>IF(kokpit!A720&lt;&gt;"",kokpit!A720,"")</f>
        <v/>
      </c>
      <c r="B720" s="5" t="str">
        <f>IF(kokpit!B720&lt;&gt;"",kokpit!B720,"")</f>
        <v/>
      </c>
      <c r="C720" s="24" t="str">
        <f>IF(A720&lt;&gt;"",SUMIFS('JPK_KR-1'!AL:AL,'JPK_KR-1'!W:W,B720),"")</f>
        <v/>
      </c>
      <c r="D720" s="126" t="str">
        <f>IF(A720&lt;&gt;"",SUMIFS('JPK_KR-1'!AM:AM,'JPK_KR-1'!W:W,B720),"")</f>
        <v/>
      </c>
      <c r="E720" s="5" t="str">
        <f>IF(kokpit!E720&lt;&gt;"",kokpit!E720,"")</f>
        <v/>
      </c>
      <c r="F720" s="127" t="str">
        <f>IF(kokpit!F720&lt;&gt;"",kokpit!F720,"")</f>
        <v/>
      </c>
      <c r="G720" s="24" t="str">
        <f>IF(E720&lt;&gt;"",SUMIFS('JPK_KR-1'!AL:AL,'JPK_KR-1'!W:W,F720),"")</f>
        <v/>
      </c>
      <c r="H720" s="126" t="str">
        <f>IF(E720&lt;&gt;"",SUMIFS('JPK_KR-1'!AM:AM,'JPK_KR-1'!W:W,F720),"")</f>
        <v/>
      </c>
      <c r="I720" s="5" t="str">
        <f>IF(kokpit!I720&lt;&gt;"",kokpit!I720,"")</f>
        <v/>
      </c>
      <c r="J720" s="5" t="str">
        <f>IF(kokpit!J720&lt;&gt;"",kokpit!J720,"")</f>
        <v/>
      </c>
      <c r="K720" s="24" t="str">
        <f>IF(I720&lt;&gt;"",SUMIFS('JPK_KR-1'!AL:AL,'JPK_KR-1'!W:W,J720),"")</f>
        <v/>
      </c>
      <c r="L720" s="141" t="str">
        <f>IF(I720&lt;&gt;"",SUMIFS('JPK_KR-1'!AM:AM,'JPK_KR-1'!W:W,J720),"")</f>
        <v/>
      </c>
      <c r="M720" s="143" t="str">
        <f>IF(kokpit!M720&lt;&gt;"",kokpit!M720,"")</f>
        <v/>
      </c>
      <c r="N720" s="117" t="str">
        <f>IF(kokpit!N720&lt;&gt;"",kokpit!N720,"")</f>
        <v/>
      </c>
      <c r="O720" s="117" t="str">
        <f>IF(kokpit!O720&lt;&gt;"",kokpit!O720,"")</f>
        <v/>
      </c>
      <c r="P720" s="141" t="str">
        <f>IF(M720&lt;&gt;"",IF(O720="",SUMIFS('JPK_KR-1'!AL:AL,'JPK_KR-1'!W:W,N720),SUMIFS('JPK_KR-1'!BF:BF,'JPK_KR-1'!BE:BE,N720,'JPK_KR-1'!BG:BG,O720)),"")</f>
        <v/>
      </c>
      <c r="Q720" s="144" t="str">
        <f>IF(M720&lt;&gt;"",IF(O720="",SUMIFS('JPK_KR-1'!AM:AM,'JPK_KR-1'!W:W,N720),SUMIFS('JPK_KR-1'!BI:BI,'JPK_KR-1'!BH:BH,N720,'JPK_KR-1'!BJ:BJ,O720)),"")</f>
        <v/>
      </c>
      <c r="R720" s="117" t="str">
        <f>IF(kokpit!R720&lt;&gt;"",kokpit!R720,"")</f>
        <v/>
      </c>
      <c r="S720" s="117" t="str">
        <f>IF(kokpit!S720&lt;&gt;"",kokpit!S720,"")</f>
        <v/>
      </c>
      <c r="T720" s="117" t="str">
        <f>IF(kokpit!T720&lt;&gt;"",kokpit!T720,"")</f>
        <v/>
      </c>
      <c r="U720" s="141" t="str">
        <f>IF(R720&lt;&gt;"",SUMIFS('JPK_KR-1'!AL:AL,'JPK_KR-1'!W:W,S720),"")</f>
        <v/>
      </c>
      <c r="V720" s="144" t="str">
        <f>IF(R720&lt;&gt;"",SUMIFS('JPK_KR-1'!AM:AM,'JPK_KR-1'!W:W,S720),"")</f>
        <v/>
      </c>
    </row>
    <row r="721" spans="1:22" x14ac:dyDescent="0.3">
      <c r="A721" s="5" t="str">
        <f>IF(kokpit!A721&lt;&gt;"",kokpit!A721,"")</f>
        <v/>
      </c>
      <c r="B721" s="5" t="str">
        <f>IF(kokpit!B721&lt;&gt;"",kokpit!B721,"")</f>
        <v/>
      </c>
      <c r="C721" s="24" t="str">
        <f>IF(A721&lt;&gt;"",SUMIFS('JPK_KR-1'!AL:AL,'JPK_KR-1'!W:W,B721),"")</f>
        <v/>
      </c>
      <c r="D721" s="126" t="str">
        <f>IF(A721&lt;&gt;"",SUMIFS('JPK_KR-1'!AM:AM,'JPK_KR-1'!W:W,B721),"")</f>
        <v/>
      </c>
      <c r="E721" s="5" t="str">
        <f>IF(kokpit!E721&lt;&gt;"",kokpit!E721,"")</f>
        <v/>
      </c>
      <c r="F721" s="127" t="str">
        <f>IF(kokpit!F721&lt;&gt;"",kokpit!F721,"")</f>
        <v/>
      </c>
      <c r="G721" s="24" t="str">
        <f>IF(E721&lt;&gt;"",SUMIFS('JPK_KR-1'!AL:AL,'JPK_KR-1'!W:W,F721),"")</f>
        <v/>
      </c>
      <c r="H721" s="126" t="str">
        <f>IF(E721&lt;&gt;"",SUMIFS('JPK_KR-1'!AM:AM,'JPK_KR-1'!W:W,F721),"")</f>
        <v/>
      </c>
      <c r="I721" s="5" t="str">
        <f>IF(kokpit!I721&lt;&gt;"",kokpit!I721,"")</f>
        <v/>
      </c>
      <c r="J721" s="5" t="str">
        <f>IF(kokpit!J721&lt;&gt;"",kokpit!J721,"")</f>
        <v/>
      </c>
      <c r="K721" s="24" t="str">
        <f>IF(I721&lt;&gt;"",SUMIFS('JPK_KR-1'!AL:AL,'JPK_KR-1'!W:W,J721),"")</f>
        <v/>
      </c>
      <c r="L721" s="141" t="str">
        <f>IF(I721&lt;&gt;"",SUMIFS('JPK_KR-1'!AM:AM,'JPK_KR-1'!W:W,J721),"")</f>
        <v/>
      </c>
      <c r="M721" s="143" t="str">
        <f>IF(kokpit!M721&lt;&gt;"",kokpit!M721,"")</f>
        <v/>
      </c>
      <c r="N721" s="117" t="str">
        <f>IF(kokpit!N721&lt;&gt;"",kokpit!N721,"")</f>
        <v/>
      </c>
      <c r="O721" s="117" t="str">
        <f>IF(kokpit!O721&lt;&gt;"",kokpit!O721,"")</f>
        <v/>
      </c>
      <c r="P721" s="141" t="str">
        <f>IF(M721&lt;&gt;"",IF(O721="",SUMIFS('JPK_KR-1'!AL:AL,'JPK_KR-1'!W:W,N721),SUMIFS('JPK_KR-1'!BF:BF,'JPK_KR-1'!BE:BE,N721,'JPK_KR-1'!BG:BG,O721)),"")</f>
        <v/>
      </c>
      <c r="Q721" s="144" t="str">
        <f>IF(M721&lt;&gt;"",IF(O721="",SUMIFS('JPK_KR-1'!AM:AM,'JPK_KR-1'!W:W,N721),SUMIFS('JPK_KR-1'!BI:BI,'JPK_KR-1'!BH:BH,N721,'JPK_KR-1'!BJ:BJ,O721)),"")</f>
        <v/>
      </c>
      <c r="R721" s="117" t="str">
        <f>IF(kokpit!R721&lt;&gt;"",kokpit!R721,"")</f>
        <v/>
      </c>
      <c r="S721" s="117" t="str">
        <f>IF(kokpit!S721&lt;&gt;"",kokpit!S721,"")</f>
        <v/>
      </c>
      <c r="T721" s="117" t="str">
        <f>IF(kokpit!T721&lt;&gt;"",kokpit!T721,"")</f>
        <v/>
      </c>
      <c r="U721" s="141" t="str">
        <f>IF(R721&lt;&gt;"",SUMIFS('JPK_KR-1'!AL:AL,'JPK_KR-1'!W:W,S721),"")</f>
        <v/>
      </c>
      <c r="V721" s="144" t="str">
        <f>IF(R721&lt;&gt;"",SUMIFS('JPK_KR-1'!AM:AM,'JPK_KR-1'!W:W,S721),"")</f>
        <v/>
      </c>
    </row>
    <row r="722" spans="1:22" x14ac:dyDescent="0.3">
      <c r="A722" s="5" t="str">
        <f>IF(kokpit!A722&lt;&gt;"",kokpit!A722,"")</f>
        <v/>
      </c>
      <c r="B722" s="5" t="str">
        <f>IF(kokpit!B722&lt;&gt;"",kokpit!B722,"")</f>
        <v/>
      </c>
      <c r="C722" s="24" t="str">
        <f>IF(A722&lt;&gt;"",SUMIFS('JPK_KR-1'!AL:AL,'JPK_KR-1'!W:W,B722),"")</f>
        <v/>
      </c>
      <c r="D722" s="126" t="str">
        <f>IF(A722&lt;&gt;"",SUMIFS('JPK_KR-1'!AM:AM,'JPK_KR-1'!W:W,B722),"")</f>
        <v/>
      </c>
      <c r="E722" s="5" t="str">
        <f>IF(kokpit!E722&lt;&gt;"",kokpit!E722,"")</f>
        <v/>
      </c>
      <c r="F722" s="127" t="str">
        <f>IF(kokpit!F722&lt;&gt;"",kokpit!F722,"")</f>
        <v/>
      </c>
      <c r="G722" s="24" t="str">
        <f>IF(E722&lt;&gt;"",SUMIFS('JPK_KR-1'!AL:AL,'JPK_KR-1'!W:W,F722),"")</f>
        <v/>
      </c>
      <c r="H722" s="126" t="str">
        <f>IF(E722&lt;&gt;"",SUMIFS('JPK_KR-1'!AM:AM,'JPK_KR-1'!W:W,F722),"")</f>
        <v/>
      </c>
      <c r="I722" s="5" t="str">
        <f>IF(kokpit!I722&lt;&gt;"",kokpit!I722,"")</f>
        <v/>
      </c>
      <c r="J722" s="5" t="str">
        <f>IF(kokpit!J722&lt;&gt;"",kokpit!J722,"")</f>
        <v/>
      </c>
      <c r="K722" s="24" t="str">
        <f>IF(I722&lt;&gt;"",SUMIFS('JPK_KR-1'!AL:AL,'JPK_KR-1'!W:W,J722),"")</f>
        <v/>
      </c>
      <c r="L722" s="141" t="str">
        <f>IF(I722&lt;&gt;"",SUMIFS('JPK_KR-1'!AM:AM,'JPK_KR-1'!W:W,J722),"")</f>
        <v/>
      </c>
      <c r="M722" s="143" t="str">
        <f>IF(kokpit!M722&lt;&gt;"",kokpit!M722,"")</f>
        <v/>
      </c>
      <c r="N722" s="117" t="str">
        <f>IF(kokpit!N722&lt;&gt;"",kokpit!N722,"")</f>
        <v/>
      </c>
      <c r="O722" s="117" t="str">
        <f>IF(kokpit!O722&lt;&gt;"",kokpit!O722,"")</f>
        <v/>
      </c>
      <c r="P722" s="141" t="str">
        <f>IF(M722&lt;&gt;"",IF(O722="",SUMIFS('JPK_KR-1'!AL:AL,'JPK_KR-1'!W:W,N722),SUMIFS('JPK_KR-1'!BF:BF,'JPK_KR-1'!BE:BE,N722,'JPK_KR-1'!BG:BG,O722)),"")</f>
        <v/>
      </c>
      <c r="Q722" s="144" t="str">
        <f>IF(M722&lt;&gt;"",IF(O722="",SUMIFS('JPK_KR-1'!AM:AM,'JPK_KR-1'!W:W,N722),SUMIFS('JPK_KR-1'!BI:BI,'JPK_KR-1'!BH:BH,N722,'JPK_KR-1'!BJ:BJ,O722)),"")</f>
        <v/>
      </c>
      <c r="R722" s="117" t="str">
        <f>IF(kokpit!R722&lt;&gt;"",kokpit!R722,"")</f>
        <v/>
      </c>
      <c r="S722" s="117" t="str">
        <f>IF(kokpit!S722&lt;&gt;"",kokpit!S722,"")</f>
        <v/>
      </c>
      <c r="T722" s="117" t="str">
        <f>IF(kokpit!T722&lt;&gt;"",kokpit!T722,"")</f>
        <v/>
      </c>
      <c r="U722" s="141" t="str">
        <f>IF(R722&lt;&gt;"",SUMIFS('JPK_KR-1'!AL:AL,'JPK_KR-1'!W:W,S722),"")</f>
        <v/>
      </c>
      <c r="V722" s="144" t="str">
        <f>IF(R722&lt;&gt;"",SUMIFS('JPK_KR-1'!AM:AM,'JPK_KR-1'!W:W,S722),"")</f>
        <v/>
      </c>
    </row>
    <row r="723" spans="1:22" x14ac:dyDescent="0.3">
      <c r="A723" s="5" t="str">
        <f>IF(kokpit!A723&lt;&gt;"",kokpit!A723,"")</f>
        <v/>
      </c>
      <c r="B723" s="5" t="str">
        <f>IF(kokpit!B723&lt;&gt;"",kokpit!B723,"")</f>
        <v/>
      </c>
      <c r="C723" s="24" t="str">
        <f>IF(A723&lt;&gt;"",SUMIFS('JPK_KR-1'!AL:AL,'JPK_KR-1'!W:W,B723),"")</f>
        <v/>
      </c>
      <c r="D723" s="126" t="str">
        <f>IF(A723&lt;&gt;"",SUMIFS('JPK_KR-1'!AM:AM,'JPK_KR-1'!W:W,B723),"")</f>
        <v/>
      </c>
      <c r="E723" s="5" t="str">
        <f>IF(kokpit!E723&lt;&gt;"",kokpit!E723,"")</f>
        <v/>
      </c>
      <c r="F723" s="127" t="str">
        <f>IF(kokpit!F723&lt;&gt;"",kokpit!F723,"")</f>
        <v/>
      </c>
      <c r="G723" s="24" t="str">
        <f>IF(E723&lt;&gt;"",SUMIFS('JPK_KR-1'!AL:AL,'JPK_KR-1'!W:W,F723),"")</f>
        <v/>
      </c>
      <c r="H723" s="126" t="str">
        <f>IF(E723&lt;&gt;"",SUMIFS('JPK_KR-1'!AM:AM,'JPK_KR-1'!W:W,F723),"")</f>
        <v/>
      </c>
      <c r="I723" s="5" t="str">
        <f>IF(kokpit!I723&lt;&gt;"",kokpit!I723,"")</f>
        <v/>
      </c>
      <c r="J723" s="5" t="str">
        <f>IF(kokpit!J723&lt;&gt;"",kokpit!J723,"")</f>
        <v/>
      </c>
      <c r="K723" s="24" t="str">
        <f>IF(I723&lt;&gt;"",SUMIFS('JPK_KR-1'!AL:AL,'JPK_KR-1'!W:W,J723),"")</f>
        <v/>
      </c>
      <c r="L723" s="141" t="str">
        <f>IF(I723&lt;&gt;"",SUMIFS('JPK_KR-1'!AM:AM,'JPK_KR-1'!W:W,J723),"")</f>
        <v/>
      </c>
      <c r="M723" s="143" t="str">
        <f>IF(kokpit!M723&lt;&gt;"",kokpit!M723,"")</f>
        <v/>
      </c>
      <c r="N723" s="117" t="str">
        <f>IF(kokpit!N723&lt;&gt;"",kokpit!N723,"")</f>
        <v/>
      </c>
      <c r="O723" s="117" t="str">
        <f>IF(kokpit!O723&lt;&gt;"",kokpit!O723,"")</f>
        <v/>
      </c>
      <c r="P723" s="141" t="str">
        <f>IF(M723&lt;&gt;"",IF(O723="",SUMIFS('JPK_KR-1'!AL:AL,'JPK_KR-1'!W:W,N723),SUMIFS('JPK_KR-1'!BF:BF,'JPK_KR-1'!BE:BE,N723,'JPK_KR-1'!BG:BG,O723)),"")</f>
        <v/>
      </c>
      <c r="Q723" s="144" t="str">
        <f>IF(M723&lt;&gt;"",IF(O723="",SUMIFS('JPK_KR-1'!AM:AM,'JPK_KR-1'!W:W,N723),SUMIFS('JPK_KR-1'!BI:BI,'JPK_KR-1'!BH:BH,N723,'JPK_KR-1'!BJ:BJ,O723)),"")</f>
        <v/>
      </c>
      <c r="R723" s="117" t="str">
        <f>IF(kokpit!R723&lt;&gt;"",kokpit!R723,"")</f>
        <v/>
      </c>
      <c r="S723" s="117" t="str">
        <f>IF(kokpit!S723&lt;&gt;"",kokpit!S723,"")</f>
        <v/>
      </c>
      <c r="T723" s="117" t="str">
        <f>IF(kokpit!T723&lt;&gt;"",kokpit!T723,"")</f>
        <v/>
      </c>
      <c r="U723" s="141" t="str">
        <f>IF(R723&lt;&gt;"",SUMIFS('JPK_KR-1'!AL:AL,'JPK_KR-1'!W:W,S723),"")</f>
        <v/>
      </c>
      <c r="V723" s="144" t="str">
        <f>IF(R723&lt;&gt;"",SUMIFS('JPK_KR-1'!AM:AM,'JPK_KR-1'!W:W,S723),"")</f>
        <v/>
      </c>
    </row>
    <row r="724" spans="1:22" x14ac:dyDescent="0.3">
      <c r="A724" s="5" t="str">
        <f>IF(kokpit!A724&lt;&gt;"",kokpit!A724,"")</f>
        <v/>
      </c>
      <c r="B724" s="5" t="str">
        <f>IF(kokpit!B724&lt;&gt;"",kokpit!B724,"")</f>
        <v/>
      </c>
      <c r="C724" s="24" t="str">
        <f>IF(A724&lt;&gt;"",SUMIFS('JPK_KR-1'!AL:AL,'JPK_KR-1'!W:W,B724),"")</f>
        <v/>
      </c>
      <c r="D724" s="126" t="str">
        <f>IF(A724&lt;&gt;"",SUMIFS('JPK_KR-1'!AM:AM,'JPK_KR-1'!W:W,B724),"")</f>
        <v/>
      </c>
      <c r="E724" s="5" t="str">
        <f>IF(kokpit!E724&lt;&gt;"",kokpit!E724,"")</f>
        <v/>
      </c>
      <c r="F724" s="127" t="str">
        <f>IF(kokpit!F724&lt;&gt;"",kokpit!F724,"")</f>
        <v/>
      </c>
      <c r="G724" s="24" t="str">
        <f>IF(E724&lt;&gt;"",SUMIFS('JPK_KR-1'!AL:AL,'JPK_KR-1'!W:W,F724),"")</f>
        <v/>
      </c>
      <c r="H724" s="126" t="str">
        <f>IF(E724&lt;&gt;"",SUMIFS('JPK_KR-1'!AM:AM,'JPK_KR-1'!W:W,F724),"")</f>
        <v/>
      </c>
      <c r="I724" s="5" t="str">
        <f>IF(kokpit!I724&lt;&gt;"",kokpit!I724,"")</f>
        <v/>
      </c>
      <c r="J724" s="5" t="str">
        <f>IF(kokpit!J724&lt;&gt;"",kokpit!J724,"")</f>
        <v/>
      </c>
      <c r="K724" s="24" t="str">
        <f>IF(I724&lt;&gt;"",SUMIFS('JPK_KR-1'!AL:AL,'JPK_KR-1'!W:W,J724),"")</f>
        <v/>
      </c>
      <c r="L724" s="141" t="str">
        <f>IF(I724&lt;&gt;"",SUMIFS('JPK_KR-1'!AM:AM,'JPK_KR-1'!W:W,J724),"")</f>
        <v/>
      </c>
      <c r="M724" s="143" t="str">
        <f>IF(kokpit!M724&lt;&gt;"",kokpit!M724,"")</f>
        <v/>
      </c>
      <c r="N724" s="117" t="str">
        <f>IF(kokpit!N724&lt;&gt;"",kokpit!N724,"")</f>
        <v/>
      </c>
      <c r="O724" s="117" t="str">
        <f>IF(kokpit!O724&lt;&gt;"",kokpit!O724,"")</f>
        <v/>
      </c>
      <c r="P724" s="141" t="str">
        <f>IF(M724&lt;&gt;"",IF(O724="",SUMIFS('JPK_KR-1'!AL:AL,'JPK_KR-1'!W:W,N724),SUMIFS('JPK_KR-1'!BF:BF,'JPK_KR-1'!BE:BE,N724,'JPK_KR-1'!BG:BG,O724)),"")</f>
        <v/>
      </c>
      <c r="Q724" s="144" t="str">
        <f>IF(M724&lt;&gt;"",IF(O724="",SUMIFS('JPK_KR-1'!AM:AM,'JPK_KR-1'!W:W,N724),SUMIFS('JPK_KR-1'!BI:BI,'JPK_KR-1'!BH:BH,N724,'JPK_KR-1'!BJ:BJ,O724)),"")</f>
        <v/>
      </c>
      <c r="R724" s="117" t="str">
        <f>IF(kokpit!R724&lt;&gt;"",kokpit!R724,"")</f>
        <v/>
      </c>
      <c r="S724" s="117" t="str">
        <f>IF(kokpit!S724&lt;&gt;"",kokpit!S724,"")</f>
        <v/>
      </c>
      <c r="T724" s="117" t="str">
        <f>IF(kokpit!T724&lt;&gt;"",kokpit!T724,"")</f>
        <v/>
      </c>
      <c r="U724" s="141" t="str">
        <f>IF(R724&lt;&gt;"",SUMIFS('JPK_KR-1'!AL:AL,'JPK_KR-1'!W:W,S724),"")</f>
        <v/>
      </c>
      <c r="V724" s="144" t="str">
        <f>IF(R724&lt;&gt;"",SUMIFS('JPK_KR-1'!AM:AM,'JPK_KR-1'!W:W,S724),"")</f>
        <v/>
      </c>
    </row>
    <row r="725" spans="1:22" x14ac:dyDescent="0.3">
      <c r="A725" s="5" t="str">
        <f>IF(kokpit!A725&lt;&gt;"",kokpit!A725,"")</f>
        <v/>
      </c>
      <c r="B725" s="5" t="str">
        <f>IF(kokpit!B725&lt;&gt;"",kokpit!B725,"")</f>
        <v/>
      </c>
      <c r="C725" s="24" t="str">
        <f>IF(A725&lt;&gt;"",SUMIFS('JPK_KR-1'!AL:AL,'JPK_KR-1'!W:W,B725),"")</f>
        <v/>
      </c>
      <c r="D725" s="126" t="str">
        <f>IF(A725&lt;&gt;"",SUMIFS('JPK_KR-1'!AM:AM,'JPK_KR-1'!W:W,B725),"")</f>
        <v/>
      </c>
      <c r="E725" s="5" t="str">
        <f>IF(kokpit!E725&lt;&gt;"",kokpit!E725,"")</f>
        <v/>
      </c>
      <c r="F725" s="127" t="str">
        <f>IF(kokpit!F725&lt;&gt;"",kokpit!F725,"")</f>
        <v/>
      </c>
      <c r="G725" s="24" t="str">
        <f>IF(E725&lt;&gt;"",SUMIFS('JPK_KR-1'!AL:AL,'JPK_KR-1'!W:W,F725),"")</f>
        <v/>
      </c>
      <c r="H725" s="126" t="str">
        <f>IF(E725&lt;&gt;"",SUMIFS('JPK_KR-1'!AM:AM,'JPK_KR-1'!W:W,F725),"")</f>
        <v/>
      </c>
      <c r="I725" s="5" t="str">
        <f>IF(kokpit!I725&lt;&gt;"",kokpit!I725,"")</f>
        <v/>
      </c>
      <c r="J725" s="5" t="str">
        <f>IF(kokpit!J725&lt;&gt;"",kokpit!J725,"")</f>
        <v/>
      </c>
      <c r="K725" s="24" t="str">
        <f>IF(I725&lt;&gt;"",SUMIFS('JPK_KR-1'!AL:AL,'JPK_KR-1'!W:W,J725),"")</f>
        <v/>
      </c>
      <c r="L725" s="141" t="str">
        <f>IF(I725&lt;&gt;"",SUMIFS('JPK_KR-1'!AM:AM,'JPK_KR-1'!W:W,J725),"")</f>
        <v/>
      </c>
      <c r="M725" s="143" t="str">
        <f>IF(kokpit!M725&lt;&gt;"",kokpit!M725,"")</f>
        <v/>
      </c>
      <c r="N725" s="117" t="str">
        <f>IF(kokpit!N725&lt;&gt;"",kokpit!N725,"")</f>
        <v/>
      </c>
      <c r="O725" s="117" t="str">
        <f>IF(kokpit!O725&lt;&gt;"",kokpit!O725,"")</f>
        <v/>
      </c>
      <c r="P725" s="141" t="str">
        <f>IF(M725&lt;&gt;"",IF(O725="",SUMIFS('JPK_KR-1'!AL:AL,'JPK_KR-1'!W:W,N725),SUMIFS('JPK_KR-1'!BF:BF,'JPK_KR-1'!BE:BE,N725,'JPK_KR-1'!BG:BG,O725)),"")</f>
        <v/>
      </c>
      <c r="Q725" s="144" t="str">
        <f>IF(M725&lt;&gt;"",IF(O725="",SUMIFS('JPK_KR-1'!AM:AM,'JPK_KR-1'!W:W,N725),SUMIFS('JPK_KR-1'!BI:BI,'JPK_KR-1'!BH:BH,N725,'JPK_KR-1'!BJ:BJ,O725)),"")</f>
        <v/>
      </c>
      <c r="R725" s="117" t="str">
        <f>IF(kokpit!R725&lt;&gt;"",kokpit!R725,"")</f>
        <v/>
      </c>
      <c r="S725" s="117" t="str">
        <f>IF(kokpit!S725&lt;&gt;"",kokpit!S725,"")</f>
        <v/>
      </c>
      <c r="T725" s="117" t="str">
        <f>IF(kokpit!T725&lt;&gt;"",kokpit!T725,"")</f>
        <v/>
      </c>
      <c r="U725" s="141" t="str">
        <f>IF(R725&lt;&gt;"",SUMIFS('JPK_KR-1'!AL:AL,'JPK_KR-1'!W:W,S725),"")</f>
        <v/>
      </c>
      <c r="V725" s="144" t="str">
        <f>IF(R725&lt;&gt;"",SUMIFS('JPK_KR-1'!AM:AM,'JPK_KR-1'!W:W,S725),"")</f>
        <v/>
      </c>
    </row>
    <row r="726" spans="1:22" x14ac:dyDescent="0.3">
      <c r="A726" s="5" t="str">
        <f>IF(kokpit!A726&lt;&gt;"",kokpit!A726,"")</f>
        <v/>
      </c>
      <c r="B726" s="5" t="str">
        <f>IF(kokpit!B726&lt;&gt;"",kokpit!B726,"")</f>
        <v/>
      </c>
      <c r="C726" s="24" t="str">
        <f>IF(A726&lt;&gt;"",SUMIFS('JPK_KR-1'!AL:AL,'JPK_KR-1'!W:W,B726),"")</f>
        <v/>
      </c>
      <c r="D726" s="126" t="str">
        <f>IF(A726&lt;&gt;"",SUMIFS('JPK_KR-1'!AM:AM,'JPK_KR-1'!W:W,B726),"")</f>
        <v/>
      </c>
      <c r="E726" s="5" t="str">
        <f>IF(kokpit!E726&lt;&gt;"",kokpit!E726,"")</f>
        <v/>
      </c>
      <c r="F726" s="127" t="str">
        <f>IF(kokpit!F726&lt;&gt;"",kokpit!F726,"")</f>
        <v/>
      </c>
      <c r="G726" s="24" t="str">
        <f>IF(E726&lt;&gt;"",SUMIFS('JPK_KR-1'!AL:AL,'JPK_KR-1'!W:W,F726),"")</f>
        <v/>
      </c>
      <c r="H726" s="126" t="str">
        <f>IF(E726&lt;&gt;"",SUMIFS('JPK_KR-1'!AM:AM,'JPK_KR-1'!W:W,F726),"")</f>
        <v/>
      </c>
      <c r="I726" s="5" t="str">
        <f>IF(kokpit!I726&lt;&gt;"",kokpit!I726,"")</f>
        <v/>
      </c>
      <c r="J726" s="5" t="str">
        <f>IF(kokpit!J726&lt;&gt;"",kokpit!J726,"")</f>
        <v/>
      </c>
      <c r="K726" s="24" t="str">
        <f>IF(I726&lt;&gt;"",SUMIFS('JPK_KR-1'!AL:AL,'JPK_KR-1'!W:W,J726),"")</f>
        <v/>
      </c>
      <c r="L726" s="141" t="str">
        <f>IF(I726&lt;&gt;"",SUMIFS('JPK_KR-1'!AM:AM,'JPK_KR-1'!W:W,J726),"")</f>
        <v/>
      </c>
      <c r="M726" s="143" t="str">
        <f>IF(kokpit!M726&lt;&gt;"",kokpit!M726,"")</f>
        <v/>
      </c>
      <c r="N726" s="117" t="str">
        <f>IF(kokpit!N726&lt;&gt;"",kokpit!N726,"")</f>
        <v/>
      </c>
      <c r="O726" s="117" t="str">
        <f>IF(kokpit!O726&lt;&gt;"",kokpit!O726,"")</f>
        <v/>
      </c>
      <c r="P726" s="141" t="str">
        <f>IF(M726&lt;&gt;"",IF(O726="",SUMIFS('JPK_KR-1'!AL:AL,'JPK_KR-1'!W:W,N726),SUMIFS('JPK_KR-1'!BF:BF,'JPK_KR-1'!BE:BE,N726,'JPK_KR-1'!BG:BG,O726)),"")</f>
        <v/>
      </c>
      <c r="Q726" s="144" t="str">
        <f>IF(M726&lt;&gt;"",IF(O726="",SUMIFS('JPK_KR-1'!AM:AM,'JPK_KR-1'!W:W,N726),SUMIFS('JPK_KR-1'!BI:BI,'JPK_KR-1'!BH:BH,N726,'JPK_KR-1'!BJ:BJ,O726)),"")</f>
        <v/>
      </c>
      <c r="R726" s="117" t="str">
        <f>IF(kokpit!R726&lt;&gt;"",kokpit!R726,"")</f>
        <v/>
      </c>
      <c r="S726" s="117" t="str">
        <f>IF(kokpit!S726&lt;&gt;"",kokpit!S726,"")</f>
        <v/>
      </c>
      <c r="T726" s="117" t="str">
        <f>IF(kokpit!T726&lt;&gt;"",kokpit!T726,"")</f>
        <v/>
      </c>
      <c r="U726" s="141" t="str">
        <f>IF(R726&lt;&gt;"",SUMIFS('JPK_KR-1'!AL:AL,'JPK_KR-1'!W:W,S726),"")</f>
        <v/>
      </c>
      <c r="V726" s="144" t="str">
        <f>IF(R726&lt;&gt;"",SUMIFS('JPK_KR-1'!AM:AM,'JPK_KR-1'!W:W,S726),"")</f>
        <v/>
      </c>
    </row>
    <row r="727" spans="1:22" x14ac:dyDescent="0.3">
      <c r="A727" s="5" t="str">
        <f>IF(kokpit!A727&lt;&gt;"",kokpit!A727,"")</f>
        <v/>
      </c>
      <c r="B727" s="5" t="str">
        <f>IF(kokpit!B727&lt;&gt;"",kokpit!B727,"")</f>
        <v/>
      </c>
      <c r="C727" s="24" t="str">
        <f>IF(A727&lt;&gt;"",SUMIFS('JPK_KR-1'!AL:AL,'JPK_KR-1'!W:W,B727),"")</f>
        <v/>
      </c>
      <c r="D727" s="126" t="str">
        <f>IF(A727&lt;&gt;"",SUMIFS('JPK_KR-1'!AM:AM,'JPK_KR-1'!W:W,B727),"")</f>
        <v/>
      </c>
      <c r="E727" s="5" t="str">
        <f>IF(kokpit!E727&lt;&gt;"",kokpit!E727,"")</f>
        <v/>
      </c>
      <c r="F727" s="127" t="str">
        <f>IF(kokpit!F727&lt;&gt;"",kokpit!F727,"")</f>
        <v/>
      </c>
      <c r="G727" s="24" t="str">
        <f>IF(E727&lt;&gt;"",SUMIFS('JPK_KR-1'!AL:AL,'JPK_KR-1'!W:W,F727),"")</f>
        <v/>
      </c>
      <c r="H727" s="126" t="str">
        <f>IF(E727&lt;&gt;"",SUMIFS('JPK_KR-1'!AM:AM,'JPK_KR-1'!W:W,F727),"")</f>
        <v/>
      </c>
      <c r="I727" s="5" t="str">
        <f>IF(kokpit!I727&lt;&gt;"",kokpit!I727,"")</f>
        <v/>
      </c>
      <c r="J727" s="5" t="str">
        <f>IF(kokpit!J727&lt;&gt;"",kokpit!J727,"")</f>
        <v/>
      </c>
      <c r="K727" s="24" t="str">
        <f>IF(I727&lt;&gt;"",SUMIFS('JPK_KR-1'!AL:AL,'JPK_KR-1'!W:W,J727),"")</f>
        <v/>
      </c>
      <c r="L727" s="141" t="str">
        <f>IF(I727&lt;&gt;"",SUMIFS('JPK_KR-1'!AM:AM,'JPK_KR-1'!W:W,J727),"")</f>
        <v/>
      </c>
      <c r="M727" s="143" t="str">
        <f>IF(kokpit!M727&lt;&gt;"",kokpit!M727,"")</f>
        <v/>
      </c>
      <c r="N727" s="117" t="str">
        <f>IF(kokpit!N727&lt;&gt;"",kokpit!N727,"")</f>
        <v/>
      </c>
      <c r="O727" s="117" t="str">
        <f>IF(kokpit!O727&lt;&gt;"",kokpit!O727,"")</f>
        <v/>
      </c>
      <c r="P727" s="141" t="str">
        <f>IF(M727&lt;&gt;"",IF(O727="",SUMIFS('JPK_KR-1'!AL:AL,'JPK_KR-1'!W:W,N727),SUMIFS('JPK_KR-1'!BF:BF,'JPK_KR-1'!BE:BE,N727,'JPK_KR-1'!BG:BG,O727)),"")</f>
        <v/>
      </c>
      <c r="Q727" s="144" t="str">
        <f>IF(M727&lt;&gt;"",IF(O727="",SUMIFS('JPK_KR-1'!AM:AM,'JPK_KR-1'!W:W,N727),SUMIFS('JPK_KR-1'!BI:BI,'JPK_KR-1'!BH:BH,N727,'JPK_KR-1'!BJ:BJ,O727)),"")</f>
        <v/>
      </c>
      <c r="R727" s="117" t="str">
        <f>IF(kokpit!R727&lt;&gt;"",kokpit!R727,"")</f>
        <v/>
      </c>
      <c r="S727" s="117" t="str">
        <f>IF(kokpit!S727&lt;&gt;"",kokpit!S727,"")</f>
        <v/>
      </c>
      <c r="T727" s="117" t="str">
        <f>IF(kokpit!T727&lt;&gt;"",kokpit!T727,"")</f>
        <v/>
      </c>
      <c r="U727" s="141" t="str">
        <f>IF(R727&lt;&gt;"",SUMIFS('JPK_KR-1'!AL:AL,'JPK_KR-1'!W:W,S727),"")</f>
        <v/>
      </c>
      <c r="V727" s="144" t="str">
        <f>IF(R727&lt;&gt;"",SUMIFS('JPK_KR-1'!AM:AM,'JPK_KR-1'!W:W,S727),"")</f>
        <v/>
      </c>
    </row>
    <row r="728" spans="1:22" x14ac:dyDescent="0.3">
      <c r="A728" s="5" t="str">
        <f>IF(kokpit!A728&lt;&gt;"",kokpit!A728,"")</f>
        <v/>
      </c>
      <c r="B728" s="5" t="str">
        <f>IF(kokpit!B728&lt;&gt;"",kokpit!B728,"")</f>
        <v/>
      </c>
      <c r="C728" s="24" t="str">
        <f>IF(A728&lt;&gt;"",SUMIFS('JPK_KR-1'!AL:AL,'JPK_KR-1'!W:W,B728),"")</f>
        <v/>
      </c>
      <c r="D728" s="126" t="str">
        <f>IF(A728&lt;&gt;"",SUMIFS('JPK_KR-1'!AM:AM,'JPK_KR-1'!W:W,B728),"")</f>
        <v/>
      </c>
      <c r="E728" s="5" t="str">
        <f>IF(kokpit!E728&lt;&gt;"",kokpit!E728,"")</f>
        <v/>
      </c>
      <c r="F728" s="127" t="str">
        <f>IF(kokpit!F728&lt;&gt;"",kokpit!F728,"")</f>
        <v/>
      </c>
      <c r="G728" s="24" t="str">
        <f>IF(E728&lt;&gt;"",SUMIFS('JPK_KR-1'!AL:AL,'JPK_KR-1'!W:W,F728),"")</f>
        <v/>
      </c>
      <c r="H728" s="126" t="str">
        <f>IF(E728&lt;&gt;"",SUMIFS('JPK_KR-1'!AM:AM,'JPK_KR-1'!W:W,F728),"")</f>
        <v/>
      </c>
      <c r="I728" s="5" t="str">
        <f>IF(kokpit!I728&lt;&gt;"",kokpit!I728,"")</f>
        <v/>
      </c>
      <c r="J728" s="5" t="str">
        <f>IF(kokpit!J728&lt;&gt;"",kokpit!J728,"")</f>
        <v/>
      </c>
      <c r="K728" s="24" t="str">
        <f>IF(I728&lt;&gt;"",SUMIFS('JPK_KR-1'!AL:AL,'JPK_KR-1'!W:W,J728),"")</f>
        <v/>
      </c>
      <c r="L728" s="141" t="str">
        <f>IF(I728&lt;&gt;"",SUMIFS('JPK_KR-1'!AM:AM,'JPK_KR-1'!W:W,J728),"")</f>
        <v/>
      </c>
      <c r="M728" s="143" t="str">
        <f>IF(kokpit!M728&lt;&gt;"",kokpit!M728,"")</f>
        <v/>
      </c>
      <c r="N728" s="117" t="str">
        <f>IF(kokpit!N728&lt;&gt;"",kokpit!N728,"")</f>
        <v/>
      </c>
      <c r="O728" s="117" t="str">
        <f>IF(kokpit!O728&lt;&gt;"",kokpit!O728,"")</f>
        <v/>
      </c>
      <c r="P728" s="141" t="str">
        <f>IF(M728&lt;&gt;"",IF(O728="",SUMIFS('JPK_KR-1'!AL:AL,'JPK_KR-1'!W:W,N728),SUMIFS('JPK_KR-1'!BF:BF,'JPK_KR-1'!BE:BE,N728,'JPK_KR-1'!BG:BG,O728)),"")</f>
        <v/>
      </c>
      <c r="Q728" s="144" t="str">
        <f>IF(M728&lt;&gt;"",IF(O728="",SUMIFS('JPK_KR-1'!AM:AM,'JPK_KR-1'!W:W,N728),SUMIFS('JPK_KR-1'!BI:BI,'JPK_KR-1'!BH:BH,N728,'JPK_KR-1'!BJ:BJ,O728)),"")</f>
        <v/>
      </c>
      <c r="R728" s="117" t="str">
        <f>IF(kokpit!R728&lt;&gt;"",kokpit!R728,"")</f>
        <v/>
      </c>
      <c r="S728" s="117" t="str">
        <f>IF(kokpit!S728&lt;&gt;"",kokpit!S728,"")</f>
        <v/>
      </c>
      <c r="T728" s="117" t="str">
        <f>IF(kokpit!T728&lt;&gt;"",kokpit!T728,"")</f>
        <v/>
      </c>
      <c r="U728" s="141" t="str">
        <f>IF(R728&lt;&gt;"",SUMIFS('JPK_KR-1'!AL:AL,'JPK_KR-1'!W:W,S728),"")</f>
        <v/>
      </c>
      <c r="V728" s="144" t="str">
        <f>IF(R728&lt;&gt;"",SUMIFS('JPK_KR-1'!AM:AM,'JPK_KR-1'!W:W,S728),"")</f>
        <v/>
      </c>
    </row>
    <row r="729" spans="1:22" x14ac:dyDescent="0.3">
      <c r="A729" s="5" t="str">
        <f>IF(kokpit!A729&lt;&gt;"",kokpit!A729,"")</f>
        <v/>
      </c>
      <c r="B729" s="5" t="str">
        <f>IF(kokpit!B729&lt;&gt;"",kokpit!B729,"")</f>
        <v/>
      </c>
      <c r="C729" s="24" t="str">
        <f>IF(A729&lt;&gt;"",SUMIFS('JPK_KR-1'!AL:AL,'JPK_KR-1'!W:W,B729),"")</f>
        <v/>
      </c>
      <c r="D729" s="126" t="str">
        <f>IF(A729&lt;&gt;"",SUMIFS('JPK_KR-1'!AM:AM,'JPK_KR-1'!W:W,B729),"")</f>
        <v/>
      </c>
      <c r="E729" s="5" t="str">
        <f>IF(kokpit!E729&lt;&gt;"",kokpit!E729,"")</f>
        <v/>
      </c>
      <c r="F729" s="127" t="str">
        <f>IF(kokpit!F729&lt;&gt;"",kokpit!F729,"")</f>
        <v/>
      </c>
      <c r="G729" s="24" t="str">
        <f>IF(E729&lt;&gt;"",SUMIFS('JPK_KR-1'!AL:AL,'JPK_KR-1'!W:W,F729),"")</f>
        <v/>
      </c>
      <c r="H729" s="126" t="str">
        <f>IF(E729&lt;&gt;"",SUMIFS('JPK_KR-1'!AM:AM,'JPK_KR-1'!W:W,F729),"")</f>
        <v/>
      </c>
      <c r="I729" s="5" t="str">
        <f>IF(kokpit!I729&lt;&gt;"",kokpit!I729,"")</f>
        <v/>
      </c>
      <c r="J729" s="5" t="str">
        <f>IF(kokpit!J729&lt;&gt;"",kokpit!J729,"")</f>
        <v/>
      </c>
      <c r="K729" s="24" t="str">
        <f>IF(I729&lt;&gt;"",SUMIFS('JPK_KR-1'!AL:AL,'JPK_KR-1'!W:W,J729),"")</f>
        <v/>
      </c>
      <c r="L729" s="141" t="str">
        <f>IF(I729&lt;&gt;"",SUMIFS('JPK_KR-1'!AM:AM,'JPK_KR-1'!W:W,J729),"")</f>
        <v/>
      </c>
      <c r="M729" s="143" t="str">
        <f>IF(kokpit!M729&lt;&gt;"",kokpit!M729,"")</f>
        <v/>
      </c>
      <c r="N729" s="117" t="str">
        <f>IF(kokpit!N729&lt;&gt;"",kokpit!N729,"")</f>
        <v/>
      </c>
      <c r="O729" s="117" t="str">
        <f>IF(kokpit!O729&lt;&gt;"",kokpit!O729,"")</f>
        <v/>
      </c>
      <c r="P729" s="141" t="str">
        <f>IF(M729&lt;&gt;"",IF(O729="",SUMIFS('JPK_KR-1'!AL:AL,'JPK_KR-1'!W:W,N729),SUMIFS('JPK_KR-1'!BF:BF,'JPK_KR-1'!BE:BE,N729,'JPK_KR-1'!BG:BG,O729)),"")</f>
        <v/>
      </c>
      <c r="Q729" s="144" t="str">
        <f>IF(M729&lt;&gt;"",IF(O729="",SUMIFS('JPK_KR-1'!AM:AM,'JPK_KR-1'!W:W,N729),SUMIFS('JPK_KR-1'!BI:BI,'JPK_KR-1'!BH:BH,N729,'JPK_KR-1'!BJ:BJ,O729)),"")</f>
        <v/>
      </c>
      <c r="R729" s="117" t="str">
        <f>IF(kokpit!R729&lt;&gt;"",kokpit!R729,"")</f>
        <v/>
      </c>
      <c r="S729" s="117" t="str">
        <f>IF(kokpit!S729&lt;&gt;"",kokpit!S729,"")</f>
        <v/>
      </c>
      <c r="T729" s="117" t="str">
        <f>IF(kokpit!T729&lt;&gt;"",kokpit!T729,"")</f>
        <v/>
      </c>
      <c r="U729" s="141" t="str">
        <f>IF(R729&lt;&gt;"",SUMIFS('JPK_KR-1'!AL:AL,'JPK_KR-1'!W:W,S729),"")</f>
        <v/>
      </c>
      <c r="V729" s="144" t="str">
        <f>IF(R729&lt;&gt;"",SUMIFS('JPK_KR-1'!AM:AM,'JPK_KR-1'!W:W,S729),"")</f>
        <v/>
      </c>
    </row>
    <row r="730" spans="1:22" x14ac:dyDescent="0.3">
      <c r="A730" s="5" t="str">
        <f>IF(kokpit!A730&lt;&gt;"",kokpit!A730,"")</f>
        <v/>
      </c>
      <c r="B730" s="5" t="str">
        <f>IF(kokpit!B730&lt;&gt;"",kokpit!B730,"")</f>
        <v/>
      </c>
      <c r="C730" s="24" t="str">
        <f>IF(A730&lt;&gt;"",SUMIFS('JPK_KR-1'!AL:AL,'JPK_KR-1'!W:W,B730),"")</f>
        <v/>
      </c>
      <c r="D730" s="126" t="str">
        <f>IF(A730&lt;&gt;"",SUMIFS('JPK_KR-1'!AM:AM,'JPK_KR-1'!W:W,B730),"")</f>
        <v/>
      </c>
      <c r="E730" s="5" t="str">
        <f>IF(kokpit!E730&lt;&gt;"",kokpit!E730,"")</f>
        <v/>
      </c>
      <c r="F730" s="127" t="str">
        <f>IF(kokpit!F730&lt;&gt;"",kokpit!F730,"")</f>
        <v/>
      </c>
      <c r="G730" s="24" t="str">
        <f>IF(E730&lt;&gt;"",SUMIFS('JPK_KR-1'!AL:AL,'JPK_KR-1'!W:W,F730),"")</f>
        <v/>
      </c>
      <c r="H730" s="126" t="str">
        <f>IF(E730&lt;&gt;"",SUMIFS('JPK_KR-1'!AM:AM,'JPK_KR-1'!W:W,F730),"")</f>
        <v/>
      </c>
      <c r="I730" s="5" t="str">
        <f>IF(kokpit!I730&lt;&gt;"",kokpit!I730,"")</f>
        <v/>
      </c>
      <c r="J730" s="5" t="str">
        <f>IF(kokpit!J730&lt;&gt;"",kokpit!J730,"")</f>
        <v/>
      </c>
      <c r="K730" s="24" t="str">
        <f>IF(I730&lt;&gt;"",SUMIFS('JPK_KR-1'!AL:AL,'JPK_KR-1'!W:W,J730),"")</f>
        <v/>
      </c>
      <c r="L730" s="141" t="str">
        <f>IF(I730&lt;&gt;"",SUMIFS('JPK_KR-1'!AM:AM,'JPK_KR-1'!W:W,J730),"")</f>
        <v/>
      </c>
      <c r="M730" s="143" t="str">
        <f>IF(kokpit!M730&lt;&gt;"",kokpit!M730,"")</f>
        <v/>
      </c>
      <c r="N730" s="117" t="str">
        <f>IF(kokpit!N730&lt;&gt;"",kokpit!N730,"")</f>
        <v/>
      </c>
      <c r="O730" s="117" t="str">
        <f>IF(kokpit!O730&lt;&gt;"",kokpit!O730,"")</f>
        <v/>
      </c>
      <c r="P730" s="141" t="str">
        <f>IF(M730&lt;&gt;"",IF(O730="",SUMIFS('JPK_KR-1'!AL:AL,'JPK_KR-1'!W:W,N730),SUMIFS('JPK_KR-1'!BF:BF,'JPK_KR-1'!BE:BE,N730,'JPK_KR-1'!BG:BG,O730)),"")</f>
        <v/>
      </c>
      <c r="Q730" s="144" t="str">
        <f>IF(M730&lt;&gt;"",IF(O730="",SUMIFS('JPK_KR-1'!AM:AM,'JPK_KR-1'!W:W,N730),SUMIFS('JPK_KR-1'!BI:BI,'JPK_KR-1'!BH:BH,N730,'JPK_KR-1'!BJ:BJ,O730)),"")</f>
        <v/>
      </c>
      <c r="R730" s="117" t="str">
        <f>IF(kokpit!R730&lt;&gt;"",kokpit!R730,"")</f>
        <v/>
      </c>
      <c r="S730" s="117" t="str">
        <f>IF(kokpit!S730&lt;&gt;"",kokpit!S730,"")</f>
        <v/>
      </c>
      <c r="T730" s="117" t="str">
        <f>IF(kokpit!T730&lt;&gt;"",kokpit!T730,"")</f>
        <v/>
      </c>
      <c r="U730" s="141" t="str">
        <f>IF(R730&lt;&gt;"",SUMIFS('JPK_KR-1'!AL:AL,'JPK_KR-1'!W:W,S730),"")</f>
        <v/>
      </c>
      <c r="V730" s="144" t="str">
        <f>IF(R730&lt;&gt;"",SUMIFS('JPK_KR-1'!AM:AM,'JPK_KR-1'!W:W,S730),"")</f>
        <v/>
      </c>
    </row>
    <row r="731" spans="1:22" x14ac:dyDescent="0.3">
      <c r="A731" s="5" t="str">
        <f>IF(kokpit!A731&lt;&gt;"",kokpit!A731,"")</f>
        <v/>
      </c>
      <c r="B731" s="5" t="str">
        <f>IF(kokpit!B731&lt;&gt;"",kokpit!B731,"")</f>
        <v/>
      </c>
      <c r="C731" s="24" t="str">
        <f>IF(A731&lt;&gt;"",SUMIFS('JPK_KR-1'!AL:AL,'JPK_KR-1'!W:W,B731),"")</f>
        <v/>
      </c>
      <c r="D731" s="126" t="str">
        <f>IF(A731&lt;&gt;"",SUMIFS('JPK_KR-1'!AM:AM,'JPK_KR-1'!W:W,B731),"")</f>
        <v/>
      </c>
      <c r="E731" s="5" t="str">
        <f>IF(kokpit!E731&lt;&gt;"",kokpit!E731,"")</f>
        <v/>
      </c>
      <c r="F731" s="127" t="str">
        <f>IF(kokpit!F731&lt;&gt;"",kokpit!F731,"")</f>
        <v/>
      </c>
      <c r="G731" s="24" t="str">
        <f>IF(E731&lt;&gt;"",SUMIFS('JPK_KR-1'!AL:AL,'JPK_KR-1'!W:W,F731),"")</f>
        <v/>
      </c>
      <c r="H731" s="126" t="str">
        <f>IF(E731&lt;&gt;"",SUMIFS('JPK_KR-1'!AM:AM,'JPK_KR-1'!W:W,F731),"")</f>
        <v/>
      </c>
      <c r="I731" s="5" t="str">
        <f>IF(kokpit!I731&lt;&gt;"",kokpit!I731,"")</f>
        <v/>
      </c>
      <c r="J731" s="5" t="str">
        <f>IF(kokpit!J731&lt;&gt;"",kokpit!J731,"")</f>
        <v/>
      </c>
      <c r="K731" s="24" t="str">
        <f>IF(I731&lt;&gt;"",SUMIFS('JPK_KR-1'!AL:AL,'JPK_KR-1'!W:W,J731),"")</f>
        <v/>
      </c>
      <c r="L731" s="141" t="str">
        <f>IF(I731&lt;&gt;"",SUMIFS('JPK_KR-1'!AM:AM,'JPK_KR-1'!W:W,J731),"")</f>
        <v/>
      </c>
      <c r="M731" s="143" t="str">
        <f>IF(kokpit!M731&lt;&gt;"",kokpit!M731,"")</f>
        <v/>
      </c>
      <c r="N731" s="117" t="str">
        <f>IF(kokpit!N731&lt;&gt;"",kokpit!N731,"")</f>
        <v/>
      </c>
      <c r="O731" s="117" t="str">
        <f>IF(kokpit!O731&lt;&gt;"",kokpit!O731,"")</f>
        <v/>
      </c>
      <c r="P731" s="141" t="str">
        <f>IF(M731&lt;&gt;"",IF(O731="",SUMIFS('JPK_KR-1'!AL:AL,'JPK_KR-1'!W:W,N731),SUMIFS('JPK_KR-1'!BF:BF,'JPK_KR-1'!BE:BE,N731,'JPK_KR-1'!BG:BG,O731)),"")</f>
        <v/>
      </c>
      <c r="Q731" s="144" t="str">
        <f>IF(M731&lt;&gt;"",IF(O731="",SUMIFS('JPK_KR-1'!AM:AM,'JPK_KR-1'!W:W,N731),SUMIFS('JPK_KR-1'!BI:BI,'JPK_KR-1'!BH:BH,N731,'JPK_KR-1'!BJ:BJ,O731)),"")</f>
        <v/>
      </c>
      <c r="R731" s="117" t="str">
        <f>IF(kokpit!R731&lt;&gt;"",kokpit!R731,"")</f>
        <v/>
      </c>
      <c r="S731" s="117" t="str">
        <f>IF(kokpit!S731&lt;&gt;"",kokpit!S731,"")</f>
        <v/>
      </c>
      <c r="T731" s="117" t="str">
        <f>IF(kokpit!T731&lt;&gt;"",kokpit!T731,"")</f>
        <v/>
      </c>
      <c r="U731" s="141" t="str">
        <f>IF(R731&lt;&gt;"",SUMIFS('JPK_KR-1'!AL:AL,'JPK_KR-1'!W:W,S731),"")</f>
        <v/>
      </c>
      <c r="V731" s="144" t="str">
        <f>IF(R731&lt;&gt;"",SUMIFS('JPK_KR-1'!AM:AM,'JPK_KR-1'!W:W,S731),"")</f>
        <v/>
      </c>
    </row>
    <row r="732" spans="1:22" x14ac:dyDescent="0.3">
      <c r="A732" s="5" t="str">
        <f>IF(kokpit!A732&lt;&gt;"",kokpit!A732,"")</f>
        <v/>
      </c>
      <c r="B732" s="5" t="str">
        <f>IF(kokpit!B732&lt;&gt;"",kokpit!B732,"")</f>
        <v/>
      </c>
      <c r="C732" s="24" t="str">
        <f>IF(A732&lt;&gt;"",SUMIFS('JPK_KR-1'!AL:AL,'JPK_KR-1'!W:W,B732),"")</f>
        <v/>
      </c>
      <c r="D732" s="126" t="str">
        <f>IF(A732&lt;&gt;"",SUMIFS('JPK_KR-1'!AM:AM,'JPK_KR-1'!W:W,B732),"")</f>
        <v/>
      </c>
      <c r="E732" s="5" t="str">
        <f>IF(kokpit!E732&lt;&gt;"",kokpit!E732,"")</f>
        <v/>
      </c>
      <c r="F732" s="127" t="str">
        <f>IF(kokpit!F732&lt;&gt;"",kokpit!F732,"")</f>
        <v/>
      </c>
      <c r="G732" s="24" t="str">
        <f>IF(E732&lt;&gt;"",SUMIFS('JPK_KR-1'!AL:AL,'JPK_KR-1'!W:W,F732),"")</f>
        <v/>
      </c>
      <c r="H732" s="126" t="str">
        <f>IF(E732&lt;&gt;"",SUMIFS('JPK_KR-1'!AM:AM,'JPK_KR-1'!W:W,F732),"")</f>
        <v/>
      </c>
      <c r="I732" s="5" t="str">
        <f>IF(kokpit!I732&lt;&gt;"",kokpit!I732,"")</f>
        <v/>
      </c>
      <c r="J732" s="5" t="str">
        <f>IF(kokpit!J732&lt;&gt;"",kokpit!J732,"")</f>
        <v/>
      </c>
      <c r="K732" s="24" t="str">
        <f>IF(I732&lt;&gt;"",SUMIFS('JPK_KR-1'!AL:AL,'JPK_KR-1'!W:W,J732),"")</f>
        <v/>
      </c>
      <c r="L732" s="141" t="str">
        <f>IF(I732&lt;&gt;"",SUMIFS('JPK_KR-1'!AM:AM,'JPK_KR-1'!W:W,J732),"")</f>
        <v/>
      </c>
      <c r="M732" s="143" t="str">
        <f>IF(kokpit!M732&lt;&gt;"",kokpit!M732,"")</f>
        <v/>
      </c>
      <c r="N732" s="117" t="str">
        <f>IF(kokpit!N732&lt;&gt;"",kokpit!N732,"")</f>
        <v/>
      </c>
      <c r="O732" s="117" t="str">
        <f>IF(kokpit!O732&lt;&gt;"",kokpit!O732,"")</f>
        <v/>
      </c>
      <c r="P732" s="141" t="str">
        <f>IF(M732&lt;&gt;"",IF(O732="",SUMIFS('JPK_KR-1'!AL:AL,'JPK_KR-1'!W:W,N732),SUMIFS('JPK_KR-1'!BF:BF,'JPK_KR-1'!BE:BE,N732,'JPK_KR-1'!BG:BG,O732)),"")</f>
        <v/>
      </c>
      <c r="Q732" s="144" t="str">
        <f>IF(M732&lt;&gt;"",IF(O732="",SUMIFS('JPK_KR-1'!AM:AM,'JPK_KR-1'!W:W,N732),SUMIFS('JPK_KR-1'!BI:BI,'JPK_KR-1'!BH:BH,N732,'JPK_KR-1'!BJ:BJ,O732)),"")</f>
        <v/>
      </c>
      <c r="R732" s="117" t="str">
        <f>IF(kokpit!R732&lt;&gt;"",kokpit!R732,"")</f>
        <v/>
      </c>
      <c r="S732" s="117" t="str">
        <f>IF(kokpit!S732&lt;&gt;"",kokpit!S732,"")</f>
        <v/>
      </c>
      <c r="T732" s="117" t="str">
        <f>IF(kokpit!T732&lt;&gt;"",kokpit!T732,"")</f>
        <v/>
      </c>
      <c r="U732" s="141" t="str">
        <f>IF(R732&lt;&gt;"",SUMIFS('JPK_KR-1'!AL:AL,'JPK_KR-1'!W:W,S732),"")</f>
        <v/>
      </c>
      <c r="V732" s="144" t="str">
        <f>IF(R732&lt;&gt;"",SUMIFS('JPK_KR-1'!AM:AM,'JPK_KR-1'!W:W,S732),"")</f>
        <v/>
      </c>
    </row>
    <row r="733" spans="1:22" x14ac:dyDescent="0.3">
      <c r="A733" s="5" t="str">
        <f>IF(kokpit!A733&lt;&gt;"",kokpit!A733,"")</f>
        <v/>
      </c>
      <c r="B733" s="5" t="str">
        <f>IF(kokpit!B733&lt;&gt;"",kokpit!B733,"")</f>
        <v/>
      </c>
      <c r="C733" s="24" t="str">
        <f>IF(A733&lt;&gt;"",SUMIFS('JPK_KR-1'!AL:AL,'JPK_KR-1'!W:W,B733),"")</f>
        <v/>
      </c>
      <c r="D733" s="126" t="str">
        <f>IF(A733&lt;&gt;"",SUMIFS('JPK_KR-1'!AM:AM,'JPK_KR-1'!W:W,B733),"")</f>
        <v/>
      </c>
      <c r="E733" s="5" t="str">
        <f>IF(kokpit!E733&lt;&gt;"",kokpit!E733,"")</f>
        <v/>
      </c>
      <c r="F733" s="127" t="str">
        <f>IF(kokpit!F733&lt;&gt;"",kokpit!F733,"")</f>
        <v/>
      </c>
      <c r="G733" s="24" t="str">
        <f>IF(E733&lt;&gt;"",SUMIFS('JPK_KR-1'!AL:AL,'JPK_KR-1'!W:W,F733),"")</f>
        <v/>
      </c>
      <c r="H733" s="126" t="str">
        <f>IF(E733&lt;&gt;"",SUMIFS('JPK_KR-1'!AM:AM,'JPK_KR-1'!W:W,F733),"")</f>
        <v/>
      </c>
      <c r="I733" s="5" t="str">
        <f>IF(kokpit!I733&lt;&gt;"",kokpit!I733,"")</f>
        <v/>
      </c>
      <c r="J733" s="5" t="str">
        <f>IF(kokpit!J733&lt;&gt;"",kokpit!J733,"")</f>
        <v/>
      </c>
      <c r="K733" s="24" t="str">
        <f>IF(I733&lt;&gt;"",SUMIFS('JPK_KR-1'!AL:AL,'JPK_KR-1'!W:W,J733),"")</f>
        <v/>
      </c>
      <c r="L733" s="141" t="str">
        <f>IF(I733&lt;&gt;"",SUMIFS('JPK_KR-1'!AM:AM,'JPK_KR-1'!W:W,J733),"")</f>
        <v/>
      </c>
      <c r="M733" s="143" t="str">
        <f>IF(kokpit!M733&lt;&gt;"",kokpit!M733,"")</f>
        <v/>
      </c>
      <c r="N733" s="117" t="str">
        <f>IF(kokpit!N733&lt;&gt;"",kokpit!N733,"")</f>
        <v/>
      </c>
      <c r="O733" s="117" t="str">
        <f>IF(kokpit!O733&lt;&gt;"",kokpit!O733,"")</f>
        <v/>
      </c>
      <c r="P733" s="141" t="str">
        <f>IF(M733&lt;&gt;"",IF(O733="",SUMIFS('JPK_KR-1'!AL:AL,'JPK_KR-1'!W:W,N733),SUMIFS('JPK_KR-1'!BF:BF,'JPK_KR-1'!BE:BE,N733,'JPK_KR-1'!BG:BG,O733)),"")</f>
        <v/>
      </c>
      <c r="Q733" s="144" t="str">
        <f>IF(M733&lt;&gt;"",IF(O733="",SUMIFS('JPK_KR-1'!AM:AM,'JPK_KR-1'!W:W,N733),SUMIFS('JPK_KR-1'!BI:BI,'JPK_KR-1'!BH:BH,N733,'JPK_KR-1'!BJ:BJ,O733)),"")</f>
        <v/>
      </c>
      <c r="R733" s="117" t="str">
        <f>IF(kokpit!R733&lt;&gt;"",kokpit!R733,"")</f>
        <v/>
      </c>
      <c r="S733" s="117" t="str">
        <f>IF(kokpit!S733&lt;&gt;"",kokpit!S733,"")</f>
        <v/>
      </c>
      <c r="T733" s="117" t="str">
        <f>IF(kokpit!T733&lt;&gt;"",kokpit!T733,"")</f>
        <v/>
      </c>
      <c r="U733" s="141" t="str">
        <f>IF(R733&lt;&gt;"",SUMIFS('JPK_KR-1'!AL:AL,'JPK_KR-1'!W:W,S733),"")</f>
        <v/>
      </c>
      <c r="V733" s="144" t="str">
        <f>IF(R733&lt;&gt;"",SUMIFS('JPK_KR-1'!AM:AM,'JPK_KR-1'!W:W,S733),"")</f>
        <v/>
      </c>
    </row>
    <row r="734" spans="1:22" x14ac:dyDescent="0.3">
      <c r="A734" s="5" t="str">
        <f>IF(kokpit!A734&lt;&gt;"",kokpit!A734,"")</f>
        <v/>
      </c>
      <c r="B734" s="5" t="str">
        <f>IF(kokpit!B734&lt;&gt;"",kokpit!B734,"")</f>
        <v/>
      </c>
      <c r="C734" s="24" t="str">
        <f>IF(A734&lt;&gt;"",SUMIFS('JPK_KR-1'!AL:AL,'JPK_KR-1'!W:W,B734),"")</f>
        <v/>
      </c>
      <c r="D734" s="126" t="str">
        <f>IF(A734&lt;&gt;"",SUMIFS('JPK_KR-1'!AM:AM,'JPK_KR-1'!W:W,B734),"")</f>
        <v/>
      </c>
      <c r="E734" s="5" t="str">
        <f>IF(kokpit!E734&lt;&gt;"",kokpit!E734,"")</f>
        <v/>
      </c>
      <c r="F734" s="127" t="str">
        <f>IF(kokpit!F734&lt;&gt;"",kokpit!F734,"")</f>
        <v/>
      </c>
      <c r="G734" s="24" t="str">
        <f>IF(E734&lt;&gt;"",SUMIFS('JPK_KR-1'!AL:AL,'JPK_KR-1'!W:W,F734),"")</f>
        <v/>
      </c>
      <c r="H734" s="126" t="str">
        <f>IF(E734&lt;&gt;"",SUMIFS('JPK_KR-1'!AM:AM,'JPK_KR-1'!W:W,F734),"")</f>
        <v/>
      </c>
      <c r="I734" s="5" t="str">
        <f>IF(kokpit!I734&lt;&gt;"",kokpit!I734,"")</f>
        <v/>
      </c>
      <c r="J734" s="5" t="str">
        <f>IF(kokpit!J734&lt;&gt;"",kokpit!J734,"")</f>
        <v/>
      </c>
      <c r="K734" s="24" t="str">
        <f>IF(I734&lt;&gt;"",SUMIFS('JPK_KR-1'!AL:AL,'JPK_KR-1'!W:W,J734),"")</f>
        <v/>
      </c>
      <c r="L734" s="141" t="str">
        <f>IF(I734&lt;&gt;"",SUMIFS('JPK_KR-1'!AM:AM,'JPK_KR-1'!W:W,J734),"")</f>
        <v/>
      </c>
      <c r="M734" s="143" t="str">
        <f>IF(kokpit!M734&lt;&gt;"",kokpit!M734,"")</f>
        <v/>
      </c>
      <c r="N734" s="117" t="str">
        <f>IF(kokpit!N734&lt;&gt;"",kokpit!N734,"")</f>
        <v/>
      </c>
      <c r="O734" s="117" t="str">
        <f>IF(kokpit!O734&lt;&gt;"",kokpit!O734,"")</f>
        <v/>
      </c>
      <c r="P734" s="141" t="str">
        <f>IF(M734&lt;&gt;"",IF(O734="",SUMIFS('JPK_KR-1'!AL:AL,'JPK_KR-1'!W:W,N734),SUMIFS('JPK_KR-1'!BF:BF,'JPK_KR-1'!BE:BE,N734,'JPK_KR-1'!BG:BG,O734)),"")</f>
        <v/>
      </c>
      <c r="Q734" s="144" t="str">
        <f>IF(M734&lt;&gt;"",IF(O734="",SUMIFS('JPK_KR-1'!AM:AM,'JPK_KR-1'!W:W,N734),SUMIFS('JPK_KR-1'!BI:BI,'JPK_KR-1'!BH:BH,N734,'JPK_KR-1'!BJ:BJ,O734)),"")</f>
        <v/>
      </c>
      <c r="R734" s="117" t="str">
        <f>IF(kokpit!R734&lt;&gt;"",kokpit!R734,"")</f>
        <v/>
      </c>
      <c r="S734" s="117" t="str">
        <f>IF(kokpit!S734&lt;&gt;"",kokpit!S734,"")</f>
        <v/>
      </c>
      <c r="T734" s="117" t="str">
        <f>IF(kokpit!T734&lt;&gt;"",kokpit!T734,"")</f>
        <v/>
      </c>
      <c r="U734" s="141" t="str">
        <f>IF(R734&lt;&gt;"",SUMIFS('JPK_KR-1'!AL:AL,'JPK_KR-1'!W:W,S734),"")</f>
        <v/>
      </c>
      <c r="V734" s="144" t="str">
        <f>IF(R734&lt;&gt;"",SUMIFS('JPK_KR-1'!AM:AM,'JPK_KR-1'!W:W,S734),"")</f>
        <v/>
      </c>
    </row>
    <row r="735" spans="1:22" x14ac:dyDescent="0.3">
      <c r="A735" s="5" t="str">
        <f>IF(kokpit!A735&lt;&gt;"",kokpit!A735,"")</f>
        <v/>
      </c>
      <c r="B735" s="5" t="str">
        <f>IF(kokpit!B735&lt;&gt;"",kokpit!B735,"")</f>
        <v/>
      </c>
      <c r="C735" s="24" t="str">
        <f>IF(A735&lt;&gt;"",SUMIFS('JPK_KR-1'!AL:AL,'JPK_KR-1'!W:W,B735),"")</f>
        <v/>
      </c>
      <c r="D735" s="126" t="str">
        <f>IF(A735&lt;&gt;"",SUMIFS('JPK_KR-1'!AM:AM,'JPK_KR-1'!W:W,B735),"")</f>
        <v/>
      </c>
      <c r="E735" s="5" t="str">
        <f>IF(kokpit!E735&lt;&gt;"",kokpit!E735,"")</f>
        <v/>
      </c>
      <c r="F735" s="127" t="str">
        <f>IF(kokpit!F735&lt;&gt;"",kokpit!F735,"")</f>
        <v/>
      </c>
      <c r="G735" s="24" t="str">
        <f>IF(E735&lt;&gt;"",SUMIFS('JPK_KR-1'!AL:AL,'JPK_KR-1'!W:W,F735),"")</f>
        <v/>
      </c>
      <c r="H735" s="126" t="str">
        <f>IF(E735&lt;&gt;"",SUMIFS('JPK_KR-1'!AM:AM,'JPK_KR-1'!W:W,F735),"")</f>
        <v/>
      </c>
      <c r="I735" s="5" t="str">
        <f>IF(kokpit!I735&lt;&gt;"",kokpit!I735,"")</f>
        <v/>
      </c>
      <c r="J735" s="5" t="str">
        <f>IF(kokpit!J735&lt;&gt;"",kokpit!J735,"")</f>
        <v/>
      </c>
      <c r="K735" s="24" t="str">
        <f>IF(I735&lt;&gt;"",SUMIFS('JPK_KR-1'!AL:AL,'JPK_KR-1'!W:W,J735),"")</f>
        <v/>
      </c>
      <c r="L735" s="141" t="str">
        <f>IF(I735&lt;&gt;"",SUMIFS('JPK_KR-1'!AM:AM,'JPK_KR-1'!W:W,J735),"")</f>
        <v/>
      </c>
      <c r="M735" s="143" t="str">
        <f>IF(kokpit!M735&lt;&gt;"",kokpit!M735,"")</f>
        <v/>
      </c>
      <c r="N735" s="117" t="str">
        <f>IF(kokpit!N735&lt;&gt;"",kokpit!N735,"")</f>
        <v/>
      </c>
      <c r="O735" s="117" t="str">
        <f>IF(kokpit!O735&lt;&gt;"",kokpit!O735,"")</f>
        <v/>
      </c>
      <c r="P735" s="141" t="str">
        <f>IF(M735&lt;&gt;"",IF(O735="",SUMIFS('JPK_KR-1'!AL:AL,'JPK_KR-1'!W:W,N735),SUMIFS('JPK_KR-1'!BF:BF,'JPK_KR-1'!BE:BE,N735,'JPK_KR-1'!BG:BG,O735)),"")</f>
        <v/>
      </c>
      <c r="Q735" s="144" t="str">
        <f>IF(M735&lt;&gt;"",IF(O735="",SUMIFS('JPK_KR-1'!AM:AM,'JPK_KR-1'!W:W,N735),SUMIFS('JPK_KR-1'!BI:BI,'JPK_KR-1'!BH:BH,N735,'JPK_KR-1'!BJ:BJ,O735)),"")</f>
        <v/>
      </c>
      <c r="R735" s="117" t="str">
        <f>IF(kokpit!R735&lt;&gt;"",kokpit!R735,"")</f>
        <v/>
      </c>
      <c r="S735" s="117" t="str">
        <f>IF(kokpit!S735&lt;&gt;"",kokpit!S735,"")</f>
        <v/>
      </c>
      <c r="T735" s="117" t="str">
        <f>IF(kokpit!T735&lt;&gt;"",kokpit!T735,"")</f>
        <v/>
      </c>
      <c r="U735" s="141" t="str">
        <f>IF(R735&lt;&gt;"",SUMIFS('JPK_KR-1'!AL:AL,'JPK_KR-1'!W:W,S735),"")</f>
        <v/>
      </c>
      <c r="V735" s="144" t="str">
        <f>IF(R735&lt;&gt;"",SUMIFS('JPK_KR-1'!AM:AM,'JPK_KR-1'!W:W,S735),"")</f>
        <v/>
      </c>
    </row>
    <row r="736" spans="1:22" x14ac:dyDescent="0.3">
      <c r="A736" s="5" t="str">
        <f>IF(kokpit!A736&lt;&gt;"",kokpit!A736,"")</f>
        <v/>
      </c>
      <c r="B736" s="5" t="str">
        <f>IF(kokpit!B736&lt;&gt;"",kokpit!B736,"")</f>
        <v/>
      </c>
      <c r="C736" s="24" t="str">
        <f>IF(A736&lt;&gt;"",SUMIFS('JPK_KR-1'!AL:AL,'JPK_KR-1'!W:W,B736),"")</f>
        <v/>
      </c>
      <c r="D736" s="126" t="str">
        <f>IF(A736&lt;&gt;"",SUMIFS('JPK_KR-1'!AM:AM,'JPK_KR-1'!W:W,B736),"")</f>
        <v/>
      </c>
      <c r="E736" s="5" t="str">
        <f>IF(kokpit!E736&lt;&gt;"",kokpit!E736,"")</f>
        <v/>
      </c>
      <c r="F736" s="127" t="str">
        <f>IF(kokpit!F736&lt;&gt;"",kokpit!F736,"")</f>
        <v/>
      </c>
      <c r="G736" s="24" t="str">
        <f>IF(E736&lt;&gt;"",SUMIFS('JPK_KR-1'!AL:AL,'JPK_KR-1'!W:W,F736),"")</f>
        <v/>
      </c>
      <c r="H736" s="126" t="str">
        <f>IF(E736&lt;&gt;"",SUMIFS('JPK_KR-1'!AM:AM,'JPK_KR-1'!W:W,F736),"")</f>
        <v/>
      </c>
      <c r="I736" s="5" t="str">
        <f>IF(kokpit!I736&lt;&gt;"",kokpit!I736,"")</f>
        <v/>
      </c>
      <c r="J736" s="5" t="str">
        <f>IF(kokpit!J736&lt;&gt;"",kokpit!J736,"")</f>
        <v/>
      </c>
      <c r="K736" s="24" t="str">
        <f>IF(I736&lt;&gt;"",SUMIFS('JPK_KR-1'!AL:AL,'JPK_KR-1'!W:W,J736),"")</f>
        <v/>
      </c>
      <c r="L736" s="141" t="str">
        <f>IF(I736&lt;&gt;"",SUMIFS('JPK_KR-1'!AM:AM,'JPK_KR-1'!W:W,J736),"")</f>
        <v/>
      </c>
      <c r="M736" s="143" t="str">
        <f>IF(kokpit!M736&lt;&gt;"",kokpit!M736,"")</f>
        <v/>
      </c>
      <c r="N736" s="117" t="str">
        <f>IF(kokpit!N736&lt;&gt;"",kokpit!N736,"")</f>
        <v/>
      </c>
      <c r="O736" s="117" t="str">
        <f>IF(kokpit!O736&lt;&gt;"",kokpit!O736,"")</f>
        <v/>
      </c>
      <c r="P736" s="141" t="str">
        <f>IF(M736&lt;&gt;"",IF(O736="",SUMIFS('JPK_KR-1'!AL:AL,'JPK_KR-1'!W:W,N736),SUMIFS('JPK_KR-1'!BF:BF,'JPK_KR-1'!BE:BE,N736,'JPK_KR-1'!BG:BG,O736)),"")</f>
        <v/>
      </c>
      <c r="Q736" s="144" t="str">
        <f>IF(M736&lt;&gt;"",IF(O736="",SUMIFS('JPK_KR-1'!AM:AM,'JPK_KR-1'!W:W,N736),SUMIFS('JPK_KR-1'!BI:BI,'JPK_KR-1'!BH:BH,N736,'JPK_KR-1'!BJ:BJ,O736)),"")</f>
        <v/>
      </c>
      <c r="R736" s="117" t="str">
        <f>IF(kokpit!R736&lt;&gt;"",kokpit!R736,"")</f>
        <v/>
      </c>
      <c r="S736" s="117" t="str">
        <f>IF(kokpit!S736&lt;&gt;"",kokpit!S736,"")</f>
        <v/>
      </c>
      <c r="T736" s="117" t="str">
        <f>IF(kokpit!T736&lt;&gt;"",kokpit!T736,"")</f>
        <v/>
      </c>
      <c r="U736" s="141" t="str">
        <f>IF(R736&lt;&gt;"",SUMIFS('JPK_KR-1'!AL:AL,'JPK_KR-1'!W:W,S736),"")</f>
        <v/>
      </c>
      <c r="V736" s="144" t="str">
        <f>IF(R736&lt;&gt;"",SUMIFS('JPK_KR-1'!AM:AM,'JPK_KR-1'!W:W,S736),"")</f>
        <v/>
      </c>
    </row>
    <row r="737" spans="1:22" x14ac:dyDescent="0.3">
      <c r="A737" s="5" t="str">
        <f>IF(kokpit!A737&lt;&gt;"",kokpit!A737,"")</f>
        <v/>
      </c>
      <c r="B737" s="5" t="str">
        <f>IF(kokpit!B737&lt;&gt;"",kokpit!B737,"")</f>
        <v/>
      </c>
      <c r="C737" s="24" t="str">
        <f>IF(A737&lt;&gt;"",SUMIFS('JPK_KR-1'!AL:AL,'JPK_KR-1'!W:W,B737),"")</f>
        <v/>
      </c>
      <c r="D737" s="126" t="str">
        <f>IF(A737&lt;&gt;"",SUMIFS('JPK_KR-1'!AM:AM,'JPK_KR-1'!W:W,B737),"")</f>
        <v/>
      </c>
      <c r="E737" s="5" t="str">
        <f>IF(kokpit!E737&lt;&gt;"",kokpit!E737,"")</f>
        <v/>
      </c>
      <c r="F737" s="127" t="str">
        <f>IF(kokpit!F737&lt;&gt;"",kokpit!F737,"")</f>
        <v/>
      </c>
      <c r="G737" s="24" t="str">
        <f>IF(E737&lt;&gt;"",SUMIFS('JPK_KR-1'!AL:AL,'JPK_KR-1'!W:W,F737),"")</f>
        <v/>
      </c>
      <c r="H737" s="126" t="str">
        <f>IF(E737&lt;&gt;"",SUMIFS('JPK_KR-1'!AM:AM,'JPK_KR-1'!W:W,F737),"")</f>
        <v/>
      </c>
      <c r="I737" s="5" t="str">
        <f>IF(kokpit!I737&lt;&gt;"",kokpit!I737,"")</f>
        <v/>
      </c>
      <c r="J737" s="5" t="str">
        <f>IF(kokpit!J737&lt;&gt;"",kokpit!J737,"")</f>
        <v/>
      </c>
      <c r="K737" s="24" t="str">
        <f>IF(I737&lt;&gt;"",SUMIFS('JPK_KR-1'!AL:AL,'JPK_KR-1'!W:W,J737),"")</f>
        <v/>
      </c>
      <c r="L737" s="141" t="str">
        <f>IF(I737&lt;&gt;"",SUMIFS('JPK_KR-1'!AM:AM,'JPK_KR-1'!W:W,J737),"")</f>
        <v/>
      </c>
      <c r="M737" s="143" t="str">
        <f>IF(kokpit!M737&lt;&gt;"",kokpit!M737,"")</f>
        <v/>
      </c>
      <c r="N737" s="117" t="str">
        <f>IF(kokpit!N737&lt;&gt;"",kokpit!N737,"")</f>
        <v/>
      </c>
      <c r="O737" s="117" t="str">
        <f>IF(kokpit!O737&lt;&gt;"",kokpit!O737,"")</f>
        <v/>
      </c>
      <c r="P737" s="141" t="str">
        <f>IF(M737&lt;&gt;"",IF(O737="",SUMIFS('JPK_KR-1'!AL:AL,'JPK_KR-1'!W:W,N737),SUMIFS('JPK_KR-1'!BF:BF,'JPK_KR-1'!BE:BE,N737,'JPK_KR-1'!BG:BG,O737)),"")</f>
        <v/>
      </c>
      <c r="Q737" s="144" t="str">
        <f>IF(M737&lt;&gt;"",IF(O737="",SUMIFS('JPK_KR-1'!AM:AM,'JPK_KR-1'!W:W,N737),SUMIFS('JPK_KR-1'!BI:BI,'JPK_KR-1'!BH:BH,N737,'JPK_KR-1'!BJ:BJ,O737)),"")</f>
        <v/>
      </c>
      <c r="R737" s="117" t="str">
        <f>IF(kokpit!R737&lt;&gt;"",kokpit!R737,"")</f>
        <v/>
      </c>
      <c r="S737" s="117" t="str">
        <f>IF(kokpit!S737&lt;&gt;"",kokpit!S737,"")</f>
        <v/>
      </c>
      <c r="T737" s="117" t="str">
        <f>IF(kokpit!T737&lt;&gt;"",kokpit!T737,"")</f>
        <v/>
      </c>
      <c r="U737" s="141" t="str">
        <f>IF(R737&lt;&gt;"",SUMIFS('JPK_KR-1'!AL:AL,'JPK_KR-1'!W:W,S737),"")</f>
        <v/>
      </c>
      <c r="V737" s="144" t="str">
        <f>IF(R737&lt;&gt;"",SUMIFS('JPK_KR-1'!AM:AM,'JPK_KR-1'!W:W,S737),"")</f>
        <v/>
      </c>
    </row>
    <row r="738" spans="1:22" x14ac:dyDescent="0.3">
      <c r="A738" s="5" t="str">
        <f>IF(kokpit!A738&lt;&gt;"",kokpit!A738,"")</f>
        <v/>
      </c>
      <c r="B738" s="5" t="str">
        <f>IF(kokpit!B738&lt;&gt;"",kokpit!B738,"")</f>
        <v/>
      </c>
      <c r="C738" s="24" t="str">
        <f>IF(A738&lt;&gt;"",SUMIFS('JPK_KR-1'!AL:AL,'JPK_KR-1'!W:W,B738),"")</f>
        <v/>
      </c>
      <c r="D738" s="126" t="str">
        <f>IF(A738&lt;&gt;"",SUMIFS('JPK_KR-1'!AM:AM,'JPK_KR-1'!W:W,B738),"")</f>
        <v/>
      </c>
      <c r="E738" s="5" t="str">
        <f>IF(kokpit!E738&lt;&gt;"",kokpit!E738,"")</f>
        <v/>
      </c>
      <c r="F738" s="127" t="str">
        <f>IF(kokpit!F738&lt;&gt;"",kokpit!F738,"")</f>
        <v/>
      </c>
      <c r="G738" s="24" t="str">
        <f>IF(E738&lt;&gt;"",SUMIFS('JPK_KR-1'!AL:AL,'JPK_KR-1'!W:W,F738),"")</f>
        <v/>
      </c>
      <c r="H738" s="126" t="str">
        <f>IF(E738&lt;&gt;"",SUMIFS('JPK_KR-1'!AM:AM,'JPK_KR-1'!W:W,F738),"")</f>
        <v/>
      </c>
      <c r="I738" s="5" t="str">
        <f>IF(kokpit!I738&lt;&gt;"",kokpit!I738,"")</f>
        <v/>
      </c>
      <c r="J738" s="5" t="str">
        <f>IF(kokpit!J738&lt;&gt;"",kokpit!J738,"")</f>
        <v/>
      </c>
      <c r="K738" s="24" t="str">
        <f>IF(I738&lt;&gt;"",SUMIFS('JPK_KR-1'!AL:AL,'JPK_KR-1'!W:W,J738),"")</f>
        <v/>
      </c>
      <c r="L738" s="141" t="str">
        <f>IF(I738&lt;&gt;"",SUMIFS('JPK_KR-1'!AM:AM,'JPK_KR-1'!W:W,J738),"")</f>
        <v/>
      </c>
      <c r="M738" s="143" t="str">
        <f>IF(kokpit!M738&lt;&gt;"",kokpit!M738,"")</f>
        <v/>
      </c>
      <c r="N738" s="117" t="str">
        <f>IF(kokpit!N738&lt;&gt;"",kokpit!N738,"")</f>
        <v/>
      </c>
      <c r="O738" s="117" t="str">
        <f>IF(kokpit!O738&lt;&gt;"",kokpit!O738,"")</f>
        <v/>
      </c>
      <c r="P738" s="141" t="str">
        <f>IF(M738&lt;&gt;"",IF(O738="",SUMIFS('JPK_KR-1'!AL:AL,'JPK_KR-1'!W:W,N738),SUMIFS('JPK_KR-1'!BF:BF,'JPK_KR-1'!BE:BE,N738,'JPK_KR-1'!BG:BG,O738)),"")</f>
        <v/>
      </c>
      <c r="Q738" s="144" t="str">
        <f>IF(M738&lt;&gt;"",IF(O738="",SUMIFS('JPK_KR-1'!AM:AM,'JPK_KR-1'!W:W,N738),SUMIFS('JPK_KR-1'!BI:BI,'JPK_KR-1'!BH:BH,N738,'JPK_KR-1'!BJ:BJ,O738)),"")</f>
        <v/>
      </c>
      <c r="R738" s="117" t="str">
        <f>IF(kokpit!R738&lt;&gt;"",kokpit!R738,"")</f>
        <v/>
      </c>
      <c r="S738" s="117" t="str">
        <f>IF(kokpit!S738&lt;&gt;"",kokpit!S738,"")</f>
        <v/>
      </c>
      <c r="T738" s="117" t="str">
        <f>IF(kokpit!T738&lt;&gt;"",kokpit!T738,"")</f>
        <v/>
      </c>
      <c r="U738" s="141" t="str">
        <f>IF(R738&lt;&gt;"",SUMIFS('JPK_KR-1'!AL:AL,'JPK_KR-1'!W:W,S738),"")</f>
        <v/>
      </c>
      <c r="V738" s="144" t="str">
        <f>IF(R738&lt;&gt;"",SUMIFS('JPK_KR-1'!AM:AM,'JPK_KR-1'!W:W,S738),"")</f>
        <v/>
      </c>
    </row>
    <row r="739" spans="1:22" x14ac:dyDescent="0.3">
      <c r="A739" s="5" t="str">
        <f>IF(kokpit!A739&lt;&gt;"",kokpit!A739,"")</f>
        <v/>
      </c>
      <c r="B739" s="5" t="str">
        <f>IF(kokpit!B739&lt;&gt;"",kokpit!B739,"")</f>
        <v/>
      </c>
      <c r="C739" s="24" t="str">
        <f>IF(A739&lt;&gt;"",SUMIFS('JPK_KR-1'!AL:AL,'JPK_KR-1'!W:W,B739),"")</f>
        <v/>
      </c>
      <c r="D739" s="126" t="str">
        <f>IF(A739&lt;&gt;"",SUMIFS('JPK_KR-1'!AM:AM,'JPK_KR-1'!W:W,B739),"")</f>
        <v/>
      </c>
      <c r="E739" s="5" t="str">
        <f>IF(kokpit!E739&lt;&gt;"",kokpit!E739,"")</f>
        <v/>
      </c>
      <c r="F739" s="127" t="str">
        <f>IF(kokpit!F739&lt;&gt;"",kokpit!F739,"")</f>
        <v/>
      </c>
      <c r="G739" s="24" t="str">
        <f>IF(E739&lt;&gt;"",SUMIFS('JPK_KR-1'!AL:AL,'JPK_KR-1'!W:W,F739),"")</f>
        <v/>
      </c>
      <c r="H739" s="126" t="str">
        <f>IF(E739&lt;&gt;"",SUMIFS('JPK_KR-1'!AM:AM,'JPK_KR-1'!W:W,F739),"")</f>
        <v/>
      </c>
      <c r="I739" s="5" t="str">
        <f>IF(kokpit!I739&lt;&gt;"",kokpit!I739,"")</f>
        <v/>
      </c>
      <c r="J739" s="5" t="str">
        <f>IF(kokpit!J739&lt;&gt;"",kokpit!J739,"")</f>
        <v/>
      </c>
      <c r="K739" s="24" t="str">
        <f>IF(I739&lt;&gt;"",SUMIFS('JPK_KR-1'!AL:AL,'JPK_KR-1'!W:W,J739),"")</f>
        <v/>
      </c>
      <c r="L739" s="141" t="str">
        <f>IF(I739&lt;&gt;"",SUMIFS('JPK_KR-1'!AM:AM,'JPK_KR-1'!W:W,J739),"")</f>
        <v/>
      </c>
      <c r="M739" s="143" t="str">
        <f>IF(kokpit!M739&lt;&gt;"",kokpit!M739,"")</f>
        <v/>
      </c>
      <c r="N739" s="117" t="str">
        <f>IF(kokpit!N739&lt;&gt;"",kokpit!N739,"")</f>
        <v/>
      </c>
      <c r="O739" s="117" t="str">
        <f>IF(kokpit!O739&lt;&gt;"",kokpit!O739,"")</f>
        <v/>
      </c>
      <c r="P739" s="141" t="str">
        <f>IF(M739&lt;&gt;"",IF(O739="",SUMIFS('JPK_KR-1'!AL:AL,'JPK_KR-1'!W:W,N739),SUMIFS('JPK_KR-1'!BF:BF,'JPK_KR-1'!BE:BE,N739,'JPK_KR-1'!BG:BG,O739)),"")</f>
        <v/>
      </c>
      <c r="Q739" s="144" t="str">
        <f>IF(M739&lt;&gt;"",IF(O739="",SUMIFS('JPK_KR-1'!AM:AM,'JPK_KR-1'!W:W,N739),SUMIFS('JPK_KR-1'!BI:BI,'JPK_KR-1'!BH:BH,N739,'JPK_KR-1'!BJ:BJ,O739)),"")</f>
        <v/>
      </c>
      <c r="R739" s="117" t="str">
        <f>IF(kokpit!R739&lt;&gt;"",kokpit!R739,"")</f>
        <v/>
      </c>
      <c r="S739" s="117" t="str">
        <f>IF(kokpit!S739&lt;&gt;"",kokpit!S739,"")</f>
        <v/>
      </c>
      <c r="T739" s="117" t="str">
        <f>IF(kokpit!T739&lt;&gt;"",kokpit!T739,"")</f>
        <v/>
      </c>
      <c r="U739" s="141" t="str">
        <f>IF(R739&lt;&gt;"",SUMIFS('JPK_KR-1'!AL:AL,'JPK_KR-1'!W:W,S739),"")</f>
        <v/>
      </c>
      <c r="V739" s="144" t="str">
        <f>IF(R739&lt;&gt;"",SUMIFS('JPK_KR-1'!AM:AM,'JPK_KR-1'!W:W,S739),"")</f>
        <v/>
      </c>
    </row>
    <row r="740" spans="1:22" x14ac:dyDescent="0.3">
      <c r="A740" s="5" t="str">
        <f>IF(kokpit!A740&lt;&gt;"",kokpit!A740,"")</f>
        <v/>
      </c>
      <c r="B740" s="5" t="str">
        <f>IF(kokpit!B740&lt;&gt;"",kokpit!B740,"")</f>
        <v/>
      </c>
      <c r="C740" s="24" t="str">
        <f>IF(A740&lt;&gt;"",SUMIFS('JPK_KR-1'!AL:AL,'JPK_KR-1'!W:W,B740),"")</f>
        <v/>
      </c>
      <c r="D740" s="126" t="str">
        <f>IF(A740&lt;&gt;"",SUMIFS('JPK_KR-1'!AM:AM,'JPK_KR-1'!W:W,B740),"")</f>
        <v/>
      </c>
      <c r="E740" s="5" t="str">
        <f>IF(kokpit!E740&lt;&gt;"",kokpit!E740,"")</f>
        <v/>
      </c>
      <c r="F740" s="127" t="str">
        <f>IF(kokpit!F740&lt;&gt;"",kokpit!F740,"")</f>
        <v/>
      </c>
      <c r="G740" s="24" t="str">
        <f>IF(E740&lt;&gt;"",SUMIFS('JPK_KR-1'!AL:AL,'JPK_KR-1'!W:W,F740),"")</f>
        <v/>
      </c>
      <c r="H740" s="126" t="str">
        <f>IF(E740&lt;&gt;"",SUMIFS('JPK_KR-1'!AM:AM,'JPK_KR-1'!W:W,F740),"")</f>
        <v/>
      </c>
      <c r="I740" s="5" t="str">
        <f>IF(kokpit!I740&lt;&gt;"",kokpit!I740,"")</f>
        <v/>
      </c>
      <c r="J740" s="5" t="str">
        <f>IF(kokpit!J740&lt;&gt;"",kokpit!J740,"")</f>
        <v/>
      </c>
      <c r="K740" s="24" t="str">
        <f>IF(I740&lt;&gt;"",SUMIFS('JPK_KR-1'!AL:AL,'JPK_KR-1'!W:W,J740),"")</f>
        <v/>
      </c>
      <c r="L740" s="141" t="str">
        <f>IF(I740&lt;&gt;"",SUMIFS('JPK_KR-1'!AM:AM,'JPK_KR-1'!W:W,J740),"")</f>
        <v/>
      </c>
      <c r="M740" s="143" t="str">
        <f>IF(kokpit!M740&lt;&gt;"",kokpit!M740,"")</f>
        <v/>
      </c>
      <c r="N740" s="117" t="str">
        <f>IF(kokpit!N740&lt;&gt;"",kokpit!N740,"")</f>
        <v/>
      </c>
      <c r="O740" s="117" t="str">
        <f>IF(kokpit!O740&lt;&gt;"",kokpit!O740,"")</f>
        <v/>
      </c>
      <c r="P740" s="141" t="str">
        <f>IF(M740&lt;&gt;"",IF(O740="",SUMIFS('JPK_KR-1'!AL:AL,'JPK_KR-1'!W:W,N740),SUMIFS('JPK_KR-1'!BF:BF,'JPK_KR-1'!BE:BE,N740,'JPK_KR-1'!BG:BG,O740)),"")</f>
        <v/>
      </c>
      <c r="Q740" s="144" t="str">
        <f>IF(M740&lt;&gt;"",IF(O740="",SUMIFS('JPK_KR-1'!AM:AM,'JPK_KR-1'!W:W,N740),SUMIFS('JPK_KR-1'!BI:BI,'JPK_KR-1'!BH:BH,N740,'JPK_KR-1'!BJ:BJ,O740)),"")</f>
        <v/>
      </c>
      <c r="R740" s="117" t="str">
        <f>IF(kokpit!R740&lt;&gt;"",kokpit!R740,"")</f>
        <v/>
      </c>
      <c r="S740" s="117" t="str">
        <f>IF(kokpit!S740&lt;&gt;"",kokpit!S740,"")</f>
        <v/>
      </c>
      <c r="T740" s="117" t="str">
        <f>IF(kokpit!T740&lt;&gt;"",kokpit!T740,"")</f>
        <v/>
      </c>
      <c r="U740" s="141" t="str">
        <f>IF(R740&lt;&gt;"",SUMIFS('JPK_KR-1'!AL:AL,'JPK_KR-1'!W:W,S740),"")</f>
        <v/>
      </c>
      <c r="V740" s="144" t="str">
        <f>IF(R740&lt;&gt;"",SUMIFS('JPK_KR-1'!AM:AM,'JPK_KR-1'!W:W,S740),"")</f>
        <v/>
      </c>
    </row>
    <row r="741" spans="1:22" x14ac:dyDescent="0.3">
      <c r="A741" s="5" t="str">
        <f>IF(kokpit!A741&lt;&gt;"",kokpit!A741,"")</f>
        <v/>
      </c>
      <c r="B741" s="5" t="str">
        <f>IF(kokpit!B741&lt;&gt;"",kokpit!B741,"")</f>
        <v/>
      </c>
      <c r="C741" s="24" t="str">
        <f>IF(A741&lt;&gt;"",SUMIFS('JPK_KR-1'!AL:AL,'JPK_KR-1'!W:W,B741),"")</f>
        <v/>
      </c>
      <c r="D741" s="126" t="str">
        <f>IF(A741&lt;&gt;"",SUMIFS('JPK_KR-1'!AM:AM,'JPK_KR-1'!W:W,B741),"")</f>
        <v/>
      </c>
      <c r="E741" s="5" t="str">
        <f>IF(kokpit!E741&lt;&gt;"",kokpit!E741,"")</f>
        <v/>
      </c>
      <c r="F741" s="127" t="str">
        <f>IF(kokpit!F741&lt;&gt;"",kokpit!F741,"")</f>
        <v/>
      </c>
      <c r="G741" s="24" t="str">
        <f>IF(E741&lt;&gt;"",SUMIFS('JPK_KR-1'!AL:AL,'JPK_KR-1'!W:W,F741),"")</f>
        <v/>
      </c>
      <c r="H741" s="126" t="str">
        <f>IF(E741&lt;&gt;"",SUMIFS('JPK_KR-1'!AM:AM,'JPK_KR-1'!W:W,F741),"")</f>
        <v/>
      </c>
      <c r="I741" s="5" t="str">
        <f>IF(kokpit!I741&lt;&gt;"",kokpit!I741,"")</f>
        <v/>
      </c>
      <c r="J741" s="5" t="str">
        <f>IF(kokpit!J741&lt;&gt;"",kokpit!J741,"")</f>
        <v/>
      </c>
      <c r="K741" s="24" t="str">
        <f>IF(I741&lt;&gt;"",SUMIFS('JPK_KR-1'!AL:AL,'JPK_KR-1'!W:W,J741),"")</f>
        <v/>
      </c>
      <c r="L741" s="141" t="str">
        <f>IF(I741&lt;&gt;"",SUMIFS('JPK_KR-1'!AM:AM,'JPK_KR-1'!W:W,J741),"")</f>
        <v/>
      </c>
      <c r="M741" s="143" t="str">
        <f>IF(kokpit!M741&lt;&gt;"",kokpit!M741,"")</f>
        <v/>
      </c>
      <c r="N741" s="117" t="str">
        <f>IF(kokpit!N741&lt;&gt;"",kokpit!N741,"")</f>
        <v/>
      </c>
      <c r="O741" s="117" t="str">
        <f>IF(kokpit!O741&lt;&gt;"",kokpit!O741,"")</f>
        <v/>
      </c>
      <c r="P741" s="141" t="str">
        <f>IF(M741&lt;&gt;"",IF(O741="",SUMIFS('JPK_KR-1'!AL:AL,'JPK_KR-1'!W:W,N741),SUMIFS('JPK_KR-1'!BF:BF,'JPK_KR-1'!BE:BE,N741,'JPK_KR-1'!BG:BG,O741)),"")</f>
        <v/>
      </c>
      <c r="Q741" s="144" t="str">
        <f>IF(M741&lt;&gt;"",IF(O741="",SUMIFS('JPK_KR-1'!AM:AM,'JPK_KR-1'!W:W,N741),SUMIFS('JPK_KR-1'!BI:BI,'JPK_KR-1'!BH:BH,N741,'JPK_KR-1'!BJ:BJ,O741)),"")</f>
        <v/>
      </c>
      <c r="R741" s="117" t="str">
        <f>IF(kokpit!R741&lt;&gt;"",kokpit!R741,"")</f>
        <v/>
      </c>
      <c r="S741" s="117" t="str">
        <f>IF(kokpit!S741&lt;&gt;"",kokpit!S741,"")</f>
        <v/>
      </c>
      <c r="T741" s="117" t="str">
        <f>IF(kokpit!T741&lt;&gt;"",kokpit!T741,"")</f>
        <v/>
      </c>
      <c r="U741" s="141" t="str">
        <f>IF(R741&lt;&gt;"",SUMIFS('JPK_KR-1'!AL:AL,'JPK_KR-1'!W:W,S741),"")</f>
        <v/>
      </c>
      <c r="V741" s="144" t="str">
        <f>IF(R741&lt;&gt;"",SUMIFS('JPK_KR-1'!AM:AM,'JPK_KR-1'!W:W,S741),"")</f>
        <v/>
      </c>
    </row>
    <row r="742" spans="1:22" x14ac:dyDescent="0.3">
      <c r="A742" s="5" t="str">
        <f>IF(kokpit!A742&lt;&gt;"",kokpit!A742,"")</f>
        <v/>
      </c>
      <c r="B742" s="5" t="str">
        <f>IF(kokpit!B742&lt;&gt;"",kokpit!B742,"")</f>
        <v/>
      </c>
      <c r="C742" s="24" t="str">
        <f>IF(A742&lt;&gt;"",SUMIFS('JPK_KR-1'!AL:AL,'JPK_KR-1'!W:W,B742),"")</f>
        <v/>
      </c>
      <c r="D742" s="126" t="str">
        <f>IF(A742&lt;&gt;"",SUMIFS('JPK_KR-1'!AM:AM,'JPK_KR-1'!W:W,B742),"")</f>
        <v/>
      </c>
      <c r="E742" s="5" t="str">
        <f>IF(kokpit!E742&lt;&gt;"",kokpit!E742,"")</f>
        <v/>
      </c>
      <c r="F742" s="127" t="str">
        <f>IF(kokpit!F742&lt;&gt;"",kokpit!F742,"")</f>
        <v/>
      </c>
      <c r="G742" s="24" t="str">
        <f>IF(E742&lt;&gt;"",SUMIFS('JPK_KR-1'!AL:AL,'JPK_KR-1'!W:W,F742),"")</f>
        <v/>
      </c>
      <c r="H742" s="126" t="str">
        <f>IF(E742&lt;&gt;"",SUMIFS('JPK_KR-1'!AM:AM,'JPK_KR-1'!W:W,F742),"")</f>
        <v/>
      </c>
      <c r="I742" s="5" t="str">
        <f>IF(kokpit!I742&lt;&gt;"",kokpit!I742,"")</f>
        <v/>
      </c>
      <c r="J742" s="5" t="str">
        <f>IF(kokpit!J742&lt;&gt;"",kokpit!J742,"")</f>
        <v/>
      </c>
      <c r="K742" s="24" t="str">
        <f>IF(I742&lt;&gt;"",SUMIFS('JPK_KR-1'!AL:AL,'JPK_KR-1'!W:W,J742),"")</f>
        <v/>
      </c>
      <c r="L742" s="141" t="str">
        <f>IF(I742&lt;&gt;"",SUMIFS('JPK_KR-1'!AM:AM,'JPK_KR-1'!W:W,J742),"")</f>
        <v/>
      </c>
      <c r="M742" s="143" t="str">
        <f>IF(kokpit!M742&lt;&gt;"",kokpit!M742,"")</f>
        <v/>
      </c>
      <c r="N742" s="117" t="str">
        <f>IF(kokpit!N742&lt;&gt;"",kokpit!N742,"")</f>
        <v/>
      </c>
      <c r="O742" s="117" t="str">
        <f>IF(kokpit!O742&lt;&gt;"",kokpit!O742,"")</f>
        <v/>
      </c>
      <c r="P742" s="141" t="str">
        <f>IF(M742&lt;&gt;"",IF(O742="",SUMIFS('JPK_KR-1'!AL:AL,'JPK_KR-1'!W:W,N742),SUMIFS('JPK_KR-1'!BF:BF,'JPK_KR-1'!BE:BE,N742,'JPK_KR-1'!BG:BG,O742)),"")</f>
        <v/>
      </c>
      <c r="Q742" s="144" t="str">
        <f>IF(M742&lt;&gt;"",IF(O742="",SUMIFS('JPK_KR-1'!AM:AM,'JPK_KR-1'!W:W,N742),SUMIFS('JPK_KR-1'!BI:BI,'JPK_KR-1'!BH:BH,N742,'JPK_KR-1'!BJ:BJ,O742)),"")</f>
        <v/>
      </c>
      <c r="R742" s="117" t="str">
        <f>IF(kokpit!R742&lt;&gt;"",kokpit!R742,"")</f>
        <v/>
      </c>
      <c r="S742" s="117" t="str">
        <f>IF(kokpit!S742&lt;&gt;"",kokpit!S742,"")</f>
        <v/>
      </c>
      <c r="T742" s="117" t="str">
        <f>IF(kokpit!T742&lt;&gt;"",kokpit!T742,"")</f>
        <v/>
      </c>
      <c r="U742" s="141" t="str">
        <f>IF(R742&lt;&gt;"",SUMIFS('JPK_KR-1'!AL:AL,'JPK_KR-1'!W:W,S742),"")</f>
        <v/>
      </c>
      <c r="V742" s="144" t="str">
        <f>IF(R742&lt;&gt;"",SUMIFS('JPK_KR-1'!AM:AM,'JPK_KR-1'!W:W,S742),"")</f>
        <v/>
      </c>
    </row>
    <row r="743" spans="1:22" x14ac:dyDescent="0.3">
      <c r="A743" s="5" t="str">
        <f>IF(kokpit!A743&lt;&gt;"",kokpit!A743,"")</f>
        <v/>
      </c>
      <c r="B743" s="5" t="str">
        <f>IF(kokpit!B743&lt;&gt;"",kokpit!B743,"")</f>
        <v/>
      </c>
      <c r="C743" s="24" t="str">
        <f>IF(A743&lt;&gt;"",SUMIFS('JPK_KR-1'!AL:AL,'JPK_KR-1'!W:W,B743),"")</f>
        <v/>
      </c>
      <c r="D743" s="126" t="str">
        <f>IF(A743&lt;&gt;"",SUMIFS('JPK_KR-1'!AM:AM,'JPK_KR-1'!W:W,B743),"")</f>
        <v/>
      </c>
      <c r="E743" s="5" t="str">
        <f>IF(kokpit!E743&lt;&gt;"",kokpit!E743,"")</f>
        <v/>
      </c>
      <c r="F743" s="127" t="str">
        <f>IF(kokpit!F743&lt;&gt;"",kokpit!F743,"")</f>
        <v/>
      </c>
      <c r="G743" s="24" t="str">
        <f>IF(E743&lt;&gt;"",SUMIFS('JPK_KR-1'!AL:AL,'JPK_KR-1'!W:W,F743),"")</f>
        <v/>
      </c>
      <c r="H743" s="126" t="str">
        <f>IF(E743&lt;&gt;"",SUMIFS('JPK_KR-1'!AM:AM,'JPK_KR-1'!W:W,F743),"")</f>
        <v/>
      </c>
      <c r="I743" s="5" t="str">
        <f>IF(kokpit!I743&lt;&gt;"",kokpit!I743,"")</f>
        <v/>
      </c>
      <c r="J743" s="5" t="str">
        <f>IF(kokpit!J743&lt;&gt;"",kokpit!J743,"")</f>
        <v/>
      </c>
      <c r="K743" s="24" t="str">
        <f>IF(I743&lt;&gt;"",SUMIFS('JPK_KR-1'!AL:AL,'JPK_KR-1'!W:W,J743),"")</f>
        <v/>
      </c>
      <c r="L743" s="141" t="str">
        <f>IF(I743&lt;&gt;"",SUMIFS('JPK_KR-1'!AM:AM,'JPK_KR-1'!W:W,J743),"")</f>
        <v/>
      </c>
      <c r="M743" s="143" t="str">
        <f>IF(kokpit!M743&lt;&gt;"",kokpit!M743,"")</f>
        <v/>
      </c>
      <c r="N743" s="117" t="str">
        <f>IF(kokpit!N743&lt;&gt;"",kokpit!N743,"")</f>
        <v/>
      </c>
      <c r="O743" s="117" t="str">
        <f>IF(kokpit!O743&lt;&gt;"",kokpit!O743,"")</f>
        <v/>
      </c>
      <c r="P743" s="141" t="str">
        <f>IF(M743&lt;&gt;"",IF(O743="",SUMIFS('JPK_KR-1'!AL:AL,'JPK_KR-1'!W:W,N743),SUMIFS('JPK_KR-1'!BF:BF,'JPK_KR-1'!BE:BE,N743,'JPK_KR-1'!BG:BG,O743)),"")</f>
        <v/>
      </c>
      <c r="Q743" s="144" t="str">
        <f>IF(M743&lt;&gt;"",IF(O743="",SUMIFS('JPK_KR-1'!AM:AM,'JPK_KR-1'!W:W,N743),SUMIFS('JPK_KR-1'!BI:BI,'JPK_KR-1'!BH:BH,N743,'JPK_KR-1'!BJ:BJ,O743)),"")</f>
        <v/>
      </c>
      <c r="R743" s="117" t="str">
        <f>IF(kokpit!R743&lt;&gt;"",kokpit!R743,"")</f>
        <v/>
      </c>
      <c r="S743" s="117" t="str">
        <f>IF(kokpit!S743&lt;&gt;"",kokpit!S743,"")</f>
        <v/>
      </c>
      <c r="T743" s="117" t="str">
        <f>IF(kokpit!T743&lt;&gt;"",kokpit!T743,"")</f>
        <v/>
      </c>
      <c r="U743" s="141" t="str">
        <f>IF(R743&lt;&gt;"",SUMIFS('JPK_KR-1'!AL:AL,'JPK_KR-1'!W:W,S743),"")</f>
        <v/>
      </c>
      <c r="V743" s="144" t="str">
        <f>IF(R743&lt;&gt;"",SUMIFS('JPK_KR-1'!AM:AM,'JPK_KR-1'!W:W,S743),"")</f>
        <v/>
      </c>
    </row>
    <row r="744" spans="1:22" x14ac:dyDescent="0.3">
      <c r="A744" s="5" t="str">
        <f>IF(kokpit!A744&lt;&gt;"",kokpit!A744,"")</f>
        <v/>
      </c>
      <c r="B744" s="5" t="str">
        <f>IF(kokpit!B744&lt;&gt;"",kokpit!B744,"")</f>
        <v/>
      </c>
      <c r="C744" s="24" t="str">
        <f>IF(A744&lt;&gt;"",SUMIFS('JPK_KR-1'!AL:AL,'JPK_KR-1'!W:W,B744),"")</f>
        <v/>
      </c>
      <c r="D744" s="126" t="str">
        <f>IF(A744&lt;&gt;"",SUMIFS('JPK_KR-1'!AM:AM,'JPK_KR-1'!W:W,B744),"")</f>
        <v/>
      </c>
      <c r="E744" s="5" t="str">
        <f>IF(kokpit!E744&lt;&gt;"",kokpit!E744,"")</f>
        <v/>
      </c>
      <c r="F744" s="127" t="str">
        <f>IF(kokpit!F744&lt;&gt;"",kokpit!F744,"")</f>
        <v/>
      </c>
      <c r="G744" s="24" t="str">
        <f>IF(E744&lt;&gt;"",SUMIFS('JPK_KR-1'!AL:AL,'JPK_KR-1'!W:W,F744),"")</f>
        <v/>
      </c>
      <c r="H744" s="126" t="str">
        <f>IF(E744&lt;&gt;"",SUMIFS('JPK_KR-1'!AM:AM,'JPK_KR-1'!W:W,F744),"")</f>
        <v/>
      </c>
      <c r="I744" s="5" t="str">
        <f>IF(kokpit!I744&lt;&gt;"",kokpit!I744,"")</f>
        <v/>
      </c>
      <c r="J744" s="5" t="str">
        <f>IF(kokpit!J744&lt;&gt;"",kokpit!J744,"")</f>
        <v/>
      </c>
      <c r="K744" s="24" t="str">
        <f>IF(I744&lt;&gt;"",SUMIFS('JPK_KR-1'!AL:AL,'JPK_KR-1'!W:W,J744),"")</f>
        <v/>
      </c>
      <c r="L744" s="141" t="str">
        <f>IF(I744&lt;&gt;"",SUMIFS('JPK_KR-1'!AM:AM,'JPK_KR-1'!W:W,J744),"")</f>
        <v/>
      </c>
      <c r="M744" s="143" t="str">
        <f>IF(kokpit!M744&lt;&gt;"",kokpit!M744,"")</f>
        <v/>
      </c>
      <c r="N744" s="117" t="str">
        <f>IF(kokpit!N744&lt;&gt;"",kokpit!N744,"")</f>
        <v/>
      </c>
      <c r="O744" s="117" t="str">
        <f>IF(kokpit!O744&lt;&gt;"",kokpit!O744,"")</f>
        <v/>
      </c>
      <c r="P744" s="141" t="str">
        <f>IF(M744&lt;&gt;"",IF(O744="",SUMIFS('JPK_KR-1'!AL:AL,'JPK_KR-1'!W:W,N744),SUMIFS('JPK_KR-1'!BF:BF,'JPK_KR-1'!BE:BE,N744,'JPK_KR-1'!BG:BG,O744)),"")</f>
        <v/>
      </c>
      <c r="Q744" s="144" t="str">
        <f>IF(M744&lt;&gt;"",IF(O744="",SUMIFS('JPK_KR-1'!AM:AM,'JPK_KR-1'!W:W,N744),SUMIFS('JPK_KR-1'!BI:BI,'JPK_KR-1'!BH:BH,N744,'JPK_KR-1'!BJ:BJ,O744)),"")</f>
        <v/>
      </c>
      <c r="R744" s="117" t="str">
        <f>IF(kokpit!R744&lt;&gt;"",kokpit!R744,"")</f>
        <v/>
      </c>
      <c r="S744" s="117" t="str">
        <f>IF(kokpit!S744&lt;&gt;"",kokpit!S744,"")</f>
        <v/>
      </c>
      <c r="T744" s="117" t="str">
        <f>IF(kokpit!T744&lt;&gt;"",kokpit!T744,"")</f>
        <v/>
      </c>
      <c r="U744" s="141" t="str">
        <f>IF(R744&lt;&gt;"",SUMIFS('JPK_KR-1'!AL:AL,'JPK_KR-1'!W:W,S744),"")</f>
        <v/>
      </c>
      <c r="V744" s="144" t="str">
        <f>IF(R744&lt;&gt;"",SUMIFS('JPK_KR-1'!AM:AM,'JPK_KR-1'!W:W,S744),"")</f>
        <v/>
      </c>
    </row>
    <row r="745" spans="1:22" x14ac:dyDescent="0.3">
      <c r="A745" s="5" t="str">
        <f>IF(kokpit!A745&lt;&gt;"",kokpit!A745,"")</f>
        <v/>
      </c>
      <c r="B745" s="5" t="str">
        <f>IF(kokpit!B745&lt;&gt;"",kokpit!B745,"")</f>
        <v/>
      </c>
      <c r="C745" s="24" t="str">
        <f>IF(A745&lt;&gt;"",SUMIFS('JPK_KR-1'!AL:AL,'JPK_KR-1'!W:W,B745),"")</f>
        <v/>
      </c>
      <c r="D745" s="126" t="str">
        <f>IF(A745&lt;&gt;"",SUMIFS('JPK_KR-1'!AM:AM,'JPK_KR-1'!W:W,B745),"")</f>
        <v/>
      </c>
      <c r="E745" s="5" t="str">
        <f>IF(kokpit!E745&lt;&gt;"",kokpit!E745,"")</f>
        <v/>
      </c>
      <c r="F745" s="127" t="str">
        <f>IF(kokpit!F745&lt;&gt;"",kokpit!F745,"")</f>
        <v/>
      </c>
      <c r="G745" s="24" t="str">
        <f>IF(E745&lt;&gt;"",SUMIFS('JPK_KR-1'!AL:AL,'JPK_KR-1'!W:W,F745),"")</f>
        <v/>
      </c>
      <c r="H745" s="126" t="str">
        <f>IF(E745&lt;&gt;"",SUMIFS('JPK_KR-1'!AM:AM,'JPK_KR-1'!W:W,F745),"")</f>
        <v/>
      </c>
      <c r="I745" s="5" t="str">
        <f>IF(kokpit!I745&lt;&gt;"",kokpit!I745,"")</f>
        <v/>
      </c>
      <c r="J745" s="5" t="str">
        <f>IF(kokpit!J745&lt;&gt;"",kokpit!J745,"")</f>
        <v/>
      </c>
      <c r="K745" s="24" t="str">
        <f>IF(I745&lt;&gt;"",SUMIFS('JPK_KR-1'!AL:AL,'JPK_KR-1'!W:W,J745),"")</f>
        <v/>
      </c>
      <c r="L745" s="141" t="str">
        <f>IF(I745&lt;&gt;"",SUMIFS('JPK_KR-1'!AM:AM,'JPK_KR-1'!W:W,J745),"")</f>
        <v/>
      </c>
      <c r="M745" s="143" t="str">
        <f>IF(kokpit!M745&lt;&gt;"",kokpit!M745,"")</f>
        <v/>
      </c>
      <c r="N745" s="117" t="str">
        <f>IF(kokpit!N745&lt;&gt;"",kokpit!N745,"")</f>
        <v/>
      </c>
      <c r="O745" s="117" t="str">
        <f>IF(kokpit!O745&lt;&gt;"",kokpit!O745,"")</f>
        <v/>
      </c>
      <c r="P745" s="141" t="str">
        <f>IF(M745&lt;&gt;"",IF(O745="",SUMIFS('JPK_KR-1'!AL:AL,'JPK_KR-1'!W:W,N745),SUMIFS('JPK_KR-1'!BF:BF,'JPK_KR-1'!BE:BE,N745,'JPK_KR-1'!BG:BG,O745)),"")</f>
        <v/>
      </c>
      <c r="Q745" s="144" t="str">
        <f>IF(M745&lt;&gt;"",IF(O745="",SUMIFS('JPK_KR-1'!AM:AM,'JPK_KR-1'!W:W,N745),SUMIFS('JPK_KR-1'!BI:BI,'JPK_KR-1'!BH:BH,N745,'JPK_KR-1'!BJ:BJ,O745)),"")</f>
        <v/>
      </c>
      <c r="R745" s="117" t="str">
        <f>IF(kokpit!R745&lt;&gt;"",kokpit!R745,"")</f>
        <v/>
      </c>
      <c r="S745" s="117" t="str">
        <f>IF(kokpit!S745&lt;&gt;"",kokpit!S745,"")</f>
        <v/>
      </c>
      <c r="T745" s="117" t="str">
        <f>IF(kokpit!T745&lt;&gt;"",kokpit!T745,"")</f>
        <v/>
      </c>
      <c r="U745" s="141" t="str">
        <f>IF(R745&lt;&gt;"",SUMIFS('JPK_KR-1'!AL:AL,'JPK_KR-1'!W:W,S745),"")</f>
        <v/>
      </c>
      <c r="V745" s="144" t="str">
        <f>IF(R745&lt;&gt;"",SUMIFS('JPK_KR-1'!AM:AM,'JPK_KR-1'!W:W,S745),"")</f>
        <v/>
      </c>
    </row>
    <row r="746" spans="1:22" x14ac:dyDescent="0.3">
      <c r="A746" s="5" t="str">
        <f>IF(kokpit!A746&lt;&gt;"",kokpit!A746,"")</f>
        <v/>
      </c>
      <c r="B746" s="5" t="str">
        <f>IF(kokpit!B746&lt;&gt;"",kokpit!B746,"")</f>
        <v/>
      </c>
      <c r="C746" s="24" t="str">
        <f>IF(A746&lt;&gt;"",SUMIFS('JPK_KR-1'!AL:AL,'JPK_KR-1'!W:W,B746),"")</f>
        <v/>
      </c>
      <c r="D746" s="126" t="str">
        <f>IF(A746&lt;&gt;"",SUMIFS('JPK_KR-1'!AM:AM,'JPK_KR-1'!W:W,B746),"")</f>
        <v/>
      </c>
      <c r="E746" s="5" t="str">
        <f>IF(kokpit!E746&lt;&gt;"",kokpit!E746,"")</f>
        <v/>
      </c>
      <c r="F746" s="127" t="str">
        <f>IF(kokpit!F746&lt;&gt;"",kokpit!F746,"")</f>
        <v/>
      </c>
      <c r="G746" s="24" t="str">
        <f>IF(E746&lt;&gt;"",SUMIFS('JPK_KR-1'!AL:AL,'JPK_KR-1'!W:W,F746),"")</f>
        <v/>
      </c>
      <c r="H746" s="126" t="str">
        <f>IF(E746&lt;&gt;"",SUMIFS('JPK_KR-1'!AM:AM,'JPK_KR-1'!W:W,F746),"")</f>
        <v/>
      </c>
      <c r="I746" s="5" t="str">
        <f>IF(kokpit!I746&lt;&gt;"",kokpit!I746,"")</f>
        <v/>
      </c>
      <c r="J746" s="5" t="str">
        <f>IF(kokpit!J746&lt;&gt;"",kokpit!J746,"")</f>
        <v/>
      </c>
      <c r="K746" s="24" t="str">
        <f>IF(I746&lt;&gt;"",SUMIFS('JPK_KR-1'!AL:AL,'JPK_KR-1'!W:W,J746),"")</f>
        <v/>
      </c>
      <c r="L746" s="141" t="str">
        <f>IF(I746&lt;&gt;"",SUMIFS('JPK_KR-1'!AM:AM,'JPK_KR-1'!W:W,J746),"")</f>
        <v/>
      </c>
      <c r="M746" s="143" t="str">
        <f>IF(kokpit!M746&lt;&gt;"",kokpit!M746,"")</f>
        <v/>
      </c>
      <c r="N746" s="117" t="str">
        <f>IF(kokpit!N746&lt;&gt;"",kokpit!N746,"")</f>
        <v/>
      </c>
      <c r="O746" s="117" t="str">
        <f>IF(kokpit!O746&lt;&gt;"",kokpit!O746,"")</f>
        <v/>
      </c>
      <c r="P746" s="141" t="str">
        <f>IF(M746&lt;&gt;"",IF(O746="",SUMIFS('JPK_KR-1'!AL:AL,'JPK_KR-1'!W:W,N746),SUMIFS('JPK_KR-1'!BF:BF,'JPK_KR-1'!BE:BE,N746,'JPK_KR-1'!BG:BG,O746)),"")</f>
        <v/>
      </c>
      <c r="Q746" s="144" t="str">
        <f>IF(M746&lt;&gt;"",IF(O746="",SUMIFS('JPK_KR-1'!AM:AM,'JPK_KR-1'!W:W,N746),SUMIFS('JPK_KR-1'!BI:BI,'JPK_KR-1'!BH:BH,N746,'JPK_KR-1'!BJ:BJ,O746)),"")</f>
        <v/>
      </c>
      <c r="R746" s="117" t="str">
        <f>IF(kokpit!R746&lt;&gt;"",kokpit!R746,"")</f>
        <v/>
      </c>
      <c r="S746" s="117" t="str">
        <f>IF(kokpit!S746&lt;&gt;"",kokpit!S746,"")</f>
        <v/>
      </c>
      <c r="T746" s="117" t="str">
        <f>IF(kokpit!T746&lt;&gt;"",kokpit!T746,"")</f>
        <v/>
      </c>
      <c r="U746" s="141" t="str">
        <f>IF(R746&lt;&gt;"",SUMIFS('JPK_KR-1'!AL:AL,'JPK_KR-1'!W:W,S746),"")</f>
        <v/>
      </c>
      <c r="V746" s="144" t="str">
        <f>IF(R746&lt;&gt;"",SUMIFS('JPK_KR-1'!AM:AM,'JPK_KR-1'!W:W,S746),"")</f>
        <v/>
      </c>
    </row>
    <row r="747" spans="1:22" x14ac:dyDescent="0.3">
      <c r="A747" s="5" t="str">
        <f>IF(kokpit!A747&lt;&gt;"",kokpit!A747,"")</f>
        <v/>
      </c>
      <c r="B747" s="5" t="str">
        <f>IF(kokpit!B747&lt;&gt;"",kokpit!B747,"")</f>
        <v/>
      </c>
      <c r="C747" s="24" t="str">
        <f>IF(A747&lt;&gt;"",SUMIFS('JPK_KR-1'!AL:AL,'JPK_KR-1'!W:W,B747),"")</f>
        <v/>
      </c>
      <c r="D747" s="126" t="str">
        <f>IF(A747&lt;&gt;"",SUMIFS('JPK_KR-1'!AM:AM,'JPK_KR-1'!W:W,B747),"")</f>
        <v/>
      </c>
      <c r="E747" s="5" t="str">
        <f>IF(kokpit!E747&lt;&gt;"",kokpit!E747,"")</f>
        <v/>
      </c>
      <c r="F747" s="127" t="str">
        <f>IF(kokpit!F747&lt;&gt;"",kokpit!F747,"")</f>
        <v/>
      </c>
      <c r="G747" s="24" t="str">
        <f>IF(E747&lt;&gt;"",SUMIFS('JPK_KR-1'!AL:AL,'JPK_KR-1'!W:W,F747),"")</f>
        <v/>
      </c>
      <c r="H747" s="126" t="str">
        <f>IF(E747&lt;&gt;"",SUMIFS('JPK_KR-1'!AM:AM,'JPK_KR-1'!W:W,F747),"")</f>
        <v/>
      </c>
      <c r="I747" s="5" t="str">
        <f>IF(kokpit!I747&lt;&gt;"",kokpit!I747,"")</f>
        <v/>
      </c>
      <c r="J747" s="5" t="str">
        <f>IF(kokpit!J747&lt;&gt;"",kokpit!J747,"")</f>
        <v/>
      </c>
      <c r="K747" s="24" t="str">
        <f>IF(I747&lt;&gt;"",SUMIFS('JPK_KR-1'!AL:AL,'JPK_KR-1'!W:W,J747),"")</f>
        <v/>
      </c>
      <c r="L747" s="141" t="str">
        <f>IF(I747&lt;&gt;"",SUMIFS('JPK_KR-1'!AM:AM,'JPK_KR-1'!W:W,J747),"")</f>
        <v/>
      </c>
      <c r="M747" s="143" t="str">
        <f>IF(kokpit!M747&lt;&gt;"",kokpit!M747,"")</f>
        <v/>
      </c>
      <c r="N747" s="117" t="str">
        <f>IF(kokpit!N747&lt;&gt;"",kokpit!N747,"")</f>
        <v/>
      </c>
      <c r="O747" s="117" t="str">
        <f>IF(kokpit!O747&lt;&gt;"",kokpit!O747,"")</f>
        <v/>
      </c>
      <c r="P747" s="141" t="str">
        <f>IF(M747&lt;&gt;"",IF(O747="",SUMIFS('JPK_KR-1'!AL:AL,'JPK_KR-1'!W:W,N747),SUMIFS('JPK_KR-1'!BF:BF,'JPK_KR-1'!BE:BE,N747,'JPK_KR-1'!BG:BG,O747)),"")</f>
        <v/>
      </c>
      <c r="Q747" s="144" t="str">
        <f>IF(M747&lt;&gt;"",IF(O747="",SUMIFS('JPK_KR-1'!AM:AM,'JPK_KR-1'!W:W,N747),SUMIFS('JPK_KR-1'!BI:BI,'JPK_KR-1'!BH:BH,N747,'JPK_KR-1'!BJ:BJ,O747)),"")</f>
        <v/>
      </c>
      <c r="R747" s="117" t="str">
        <f>IF(kokpit!R747&lt;&gt;"",kokpit!R747,"")</f>
        <v/>
      </c>
      <c r="S747" s="117" t="str">
        <f>IF(kokpit!S747&lt;&gt;"",kokpit!S747,"")</f>
        <v/>
      </c>
      <c r="T747" s="117" t="str">
        <f>IF(kokpit!T747&lt;&gt;"",kokpit!T747,"")</f>
        <v/>
      </c>
      <c r="U747" s="141" t="str">
        <f>IF(R747&lt;&gt;"",SUMIFS('JPK_KR-1'!AL:AL,'JPK_KR-1'!W:W,S747),"")</f>
        <v/>
      </c>
      <c r="V747" s="144" t="str">
        <f>IF(R747&lt;&gt;"",SUMIFS('JPK_KR-1'!AM:AM,'JPK_KR-1'!W:W,S747),"")</f>
        <v/>
      </c>
    </row>
    <row r="748" spans="1:22" x14ac:dyDescent="0.3">
      <c r="A748" s="5" t="str">
        <f>IF(kokpit!A748&lt;&gt;"",kokpit!A748,"")</f>
        <v/>
      </c>
      <c r="B748" s="5" t="str">
        <f>IF(kokpit!B748&lt;&gt;"",kokpit!B748,"")</f>
        <v/>
      </c>
      <c r="C748" s="24" t="str">
        <f>IF(A748&lt;&gt;"",SUMIFS('JPK_KR-1'!AL:AL,'JPK_KR-1'!W:W,B748),"")</f>
        <v/>
      </c>
      <c r="D748" s="126" t="str">
        <f>IF(A748&lt;&gt;"",SUMIFS('JPK_KR-1'!AM:AM,'JPK_KR-1'!W:W,B748),"")</f>
        <v/>
      </c>
      <c r="E748" s="5" t="str">
        <f>IF(kokpit!E748&lt;&gt;"",kokpit!E748,"")</f>
        <v/>
      </c>
      <c r="F748" s="127" t="str">
        <f>IF(kokpit!F748&lt;&gt;"",kokpit!F748,"")</f>
        <v/>
      </c>
      <c r="G748" s="24" t="str">
        <f>IF(E748&lt;&gt;"",SUMIFS('JPK_KR-1'!AL:AL,'JPK_KR-1'!W:W,F748),"")</f>
        <v/>
      </c>
      <c r="H748" s="126" t="str">
        <f>IF(E748&lt;&gt;"",SUMIFS('JPK_KR-1'!AM:AM,'JPK_KR-1'!W:W,F748),"")</f>
        <v/>
      </c>
      <c r="I748" s="5" t="str">
        <f>IF(kokpit!I748&lt;&gt;"",kokpit!I748,"")</f>
        <v/>
      </c>
      <c r="J748" s="5" t="str">
        <f>IF(kokpit!J748&lt;&gt;"",kokpit!J748,"")</f>
        <v/>
      </c>
      <c r="K748" s="24" t="str">
        <f>IF(I748&lt;&gt;"",SUMIFS('JPK_KR-1'!AL:AL,'JPK_KR-1'!W:W,J748),"")</f>
        <v/>
      </c>
      <c r="L748" s="141" t="str">
        <f>IF(I748&lt;&gt;"",SUMIFS('JPK_KR-1'!AM:AM,'JPK_KR-1'!W:W,J748),"")</f>
        <v/>
      </c>
      <c r="M748" s="143" t="str">
        <f>IF(kokpit!M748&lt;&gt;"",kokpit!M748,"")</f>
        <v/>
      </c>
      <c r="N748" s="117" t="str">
        <f>IF(kokpit!N748&lt;&gt;"",kokpit!N748,"")</f>
        <v/>
      </c>
      <c r="O748" s="117" t="str">
        <f>IF(kokpit!O748&lt;&gt;"",kokpit!O748,"")</f>
        <v/>
      </c>
      <c r="P748" s="141" t="str">
        <f>IF(M748&lt;&gt;"",IF(O748="",SUMIFS('JPK_KR-1'!AL:AL,'JPK_KR-1'!W:W,N748),SUMIFS('JPK_KR-1'!BF:BF,'JPK_KR-1'!BE:BE,N748,'JPK_KR-1'!BG:BG,O748)),"")</f>
        <v/>
      </c>
      <c r="Q748" s="144" t="str">
        <f>IF(M748&lt;&gt;"",IF(O748="",SUMIFS('JPK_KR-1'!AM:AM,'JPK_KR-1'!W:W,N748),SUMIFS('JPK_KR-1'!BI:BI,'JPK_KR-1'!BH:BH,N748,'JPK_KR-1'!BJ:BJ,O748)),"")</f>
        <v/>
      </c>
      <c r="R748" s="117" t="str">
        <f>IF(kokpit!R748&lt;&gt;"",kokpit!R748,"")</f>
        <v/>
      </c>
      <c r="S748" s="117" t="str">
        <f>IF(kokpit!S748&lt;&gt;"",kokpit!S748,"")</f>
        <v/>
      </c>
      <c r="T748" s="117" t="str">
        <f>IF(kokpit!T748&lt;&gt;"",kokpit!T748,"")</f>
        <v/>
      </c>
      <c r="U748" s="141" t="str">
        <f>IF(R748&lt;&gt;"",SUMIFS('JPK_KR-1'!AL:AL,'JPK_KR-1'!W:W,S748),"")</f>
        <v/>
      </c>
      <c r="V748" s="144" t="str">
        <f>IF(R748&lt;&gt;"",SUMIFS('JPK_KR-1'!AM:AM,'JPK_KR-1'!W:W,S748),"")</f>
        <v/>
      </c>
    </row>
    <row r="749" spans="1:22" x14ac:dyDescent="0.3">
      <c r="A749" s="5" t="str">
        <f>IF(kokpit!A749&lt;&gt;"",kokpit!A749,"")</f>
        <v/>
      </c>
      <c r="B749" s="5" t="str">
        <f>IF(kokpit!B749&lt;&gt;"",kokpit!B749,"")</f>
        <v/>
      </c>
      <c r="C749" s="24" t="str">
        <f>IF(A749&lt;&gt;"",SUMIFS('JPK_KR-1'!AL:AL,'JPK_KR-1'!W:W,B749),"")</f>
        <v/>
      </c>
      <c r="D749" s="126" t="str">
        <f>IF(A749&lt;&gt;"",SUMIFS('JPK_KR-1'!AM:AM,'JPK_KR-1'!W:W,B749),"")</f>
        <v/>
      </c>
      <c r="E749" s="5" t="str">
        <f>IF(kokpit!E749&lt;&gt;"",kokpit!E749,"")</f>
        <v/>
      </c>
      <c r="F749" s="127" t="str">
        <f>IF(kokpit!F749&lt;&gt;"",kokpit!F749,"")</f>
        <v/>
      </c>
      <c r="G749" s="24" t="str">
        <f>IF(E749&lt;&gt;"",SUMIFS('JPK_KR-1'!AL:AL,'JPK_KR-1'!W:W,F749),"")</f>
        <v/>
      </c>
      <c r="H749" s="126" t="str">
        <f>IF(E749&lt;&gt;"",SUMIFS('JPK_KR-1'!AM:AM,'JPK_KR-1'!W:W,F749),"")</f>
        <v/>
      </c>
      <c r="I749" s="5" t="str">
        <f>IF(kokpit!I749&lt;&gt;"",kokpit!I749,"")</f>
        <v/>
      </c>
      <c r="J749" s="5" t="str">
        <f>IF(kokpit!J749&lt;&gt;"",kokpit!J749,"")</f>
        <v/>
      </c>
      <c r="K749" s="24" t="str">
        <f>IF(I749&lt;&gt;"",SUMIFS('JPK_KR-1'!AL:AL,'JPK_KR-1'!W:W,J749),"")</f>
        <v/>
      </c>
      <c r="L749" s="141" t="str">
        <f>IF(I749&lt;&gt;"",SUMIFS('JPK_KR-1'!AM:AM,'JPK_KR-1'!W:W,J749),"")</f>
        <v/>
      </c>
      <c r="M749" s="143" t="str">
        <f>IF(kokpit!M749&lt;&gt;"",kokpit!M749,"")</f>
        <v/>
      </c>
      <c r="N749" s="117" t="str">
        <f>IF(kokpit!N749&lt;&gt;"",kokpit!N749,"")</f>
        <v/>
      </c>
      <c r="O749" s="117" t="str">
        <f>IF(kokpit!O749&lt;&gt;"",kokpit!O749,"")</f>
        <v/>
      </c>
      <c r="P749" s="141" t="str">
        <f>IF(M749&lt;&gt;"",IF(O749="",SUMIFS('JPK_KR-1'!AL:AL,'JPK_KR-1'!W:W,N749),SUMIFS('JPK_KR-1'!BF:BF,'JPK_KR-1'!BE:BE,N749,'JPK_KR-1'!BG:BG,O749)),"")</f>
        <v/>
      </c>
      <c r="Q749" s="144" t="str">
        <f>IF(M749&lt;&gt;"",IF(O749="",SUMIFS('JPK_KR-1'!AM:AM,'JPK_KR-1'!W:W,N749),SUMIFS('JPK_KR-1'!BI:BI,'JPK_KR-1'!BH:BH,N749,'JPK_KR-1'!BJ:BJ,O749)),"")</f>
        <v/>
      </c>
      <c r="R749" s="117" t="str">
        <f>IF(kokpit!R749&lt;&gt;"",kokpit!R749,"")</f>
        <v/>
      </c>
      <c r="S749" s="117" t="str">
        <f>IF(kokpit!S749&lt;&gt;"",kokpit!S749,"")</f>
        <v/>
      </c>
      <c r="T749" s="117" t="str">
        <f>IF(kokpit!T749&lt;&gt;"",kokpit!T749,"")</f>
        <v/>
      </c>
      <c r="U749" s="141" t="str">
        <f>IF(R749&lt;&gt;"",SUMIFS('JPK_KR-1'!AL:AL,'JPK_KR-1'!W:W,S749),"")</f>
        <v/>
      </c>
      <c r="V749" s="144" t="str">
        <f>IF(R749&lt;&gt;"",SUMIFS('JPK_KR-1'!AM:AM,'JPK_KR-1'!W:W,S749),"")</f>
        <v/>
      </c>
    </row>
    <row r="750" spans="1:22" x14ac:dyDescent="0.3">
      <c r="A750" s="5" t="str">
        <f>IF(kokpit!A750&lt;&gt;"",kokpit!A750,"")</f>
        <v/>
      </c>
      <c r="B750" s="5" t="str">
        <f>IF(kokpit!B750&lt;&gt;"",kokpit!B750,"")</f>
        <v/>
      </c>
      <c r="C750" s="24" t="str">
        <f>IF(A750&lt;&gt;"",SUMIFS('JPK_KR-1'!AL:AL,'JPK_KR-1'!W:W,B750),"")</f>
        <v/>
      </c>
      <c r="D750" s="126" t="str">
        <f>IF(A750&lt;&gt;"",SUMIFS('JPK_KR-1'!AM:AM,'JPK_KR-1'!W:W,B750),"")</f>
        <v/>
      </c>
      <c r="E750" s="5" t="str">
        <f>IF(kokpit!E750&lt;&gt;"",kokpit!E750,"")</f>
        <v/>
      </c>
      <c r="F750" s="127" t="str">
        <f>IF(kokpit!F750&lt;&gt;"",kokpit!F750,"")</f>
        <v/>
      </c>
      <c r="G750" s="24" t="str">
        <f>IF(E750&lt;&gt;"",SUMIFS('JPK_KR-1'!AL:AL,'JPK_KR-1'!W:W,F750),"")</f>
        <v/>
      </c>
      <c r="H750" s="126" t="str">
        <f>IF(E750&lt;&gt;"",SUMIFS('JPK_KR-1'!AM:AM,'JPK_KR-1'!W:W,F750),"")</f>
        <v/>
      </c>
      <c r="I750" s="5" t="str">
        <f>IF(kokpit!I750&lt;&gt;"",kokpit!I750,"")</f>
        <v/>
      </c>
      <c r="J750" s="5" t="str">
        <f>IF(kokpit!J750&lt;&gt;"",kokpit!J750,"")</f>
        <v/>
      </c>
      <c r="K750" s="24" t="str">
        <f>IF(I750&lt;&gt;"",SUMIFS('JPK_KR-1'!AL:AL,'JPK_KR-1'!W:W,J750),"")</f>
        <v/>
      </c>
      <c r="L750" s="141" t="str">
        <f>IF(I750&lt;&gt;"",SUMIFS('JPK_KR-1'!AM:AM,'JPK_KR-1'!W:W,J750),"")</f>
        <v/>
      </c>
      <c r="M750" s="143" t="str">
        <f>IF(kokpit!M750&lt;&gt;"",kokpit!M750,"")</f>
        <v/>
      </c>
      <c r="N750" s="117" t="str">
        <f>IF(kokpit!N750&lt;&gt;"",kokpit!N750,"")</f>
        <v/>
      </c>
      <c r="O750" s="117" t="str">
        <f>IF(kokpit!O750&lt;&gt;"",kokpit!O750,"")</f>
        <v/>
      </c>
      <c r="P750" s="141" t="str">
        <f>IF(M750&lt;&gt;"",IF(O750="",SUMIFS('JPK_KR-1'!AL:AL,'JPK_KR-1'!W:W,N750),SUMIFS('JPK_KR-1'!BF:BF,'JPK_KR-1'!BE:BE,N750,'JPK_KR-1'!BG:BG,O750)),"")</f>
        <v/>
      </c>
      <c r="Q750" s="144" t="str">
        <f>IF(M750&lt;&gt;"",IF(O750="",SUMIFS('JPK_KR-1'!AM:AM,'JPK_KR-1'!W:W,N750),SUMIFS('JPK_KR-1'!BI:BI,'JPK_KR-1'!BH:BH,N750,'JPK_KR-1'!BJ:BJ,O750)),"")</f>
        <v/>
      </c>
      <c r="R750" s="117" t="str">
        <f>IF(kokpit!R750&lt;&gt;"",kokpit!R750,"")</f>
        <v/>
      </c>
      <c r="S750" s="117" t="str">
        <f>IF(kokpit!S750&lt;&gt;"",kokpit!S750,"")</f>
        <v/>
      </c>
      <c r="T750" s="117" t="str">
        <f>IF(kokpit!T750&lt;&gt;"",kokpit!T750,"")</f>
        <v/>
      </c>
      <c r="U750" s="141" t="str">
        <f>IF(R750&lt;&gt;"",SUMIFS('JPK_KR-1'!AL:AL,'JPK_KR-1'!W:W,S750),"")</f>
        <v/>
      </c>
      <c r="V750" s="144" t="str">
        <f>IF(R750&lt;&gt;"",SUMIFS('JPK_KR-1'!AM:AM,'JPK_KR-1'!W:W,S750),"")</f>
        <v/>
      </c>
    </row>
    <row r="751" spans="1:22" x14ac:dyDescent="0.3">
      <c r="A751" s="5" t="str">
        <f>IF(kokpit!A751&lt;&gt;"",kokpit!A751,"")</f>
        <v/>
      </c>
      <c r="B751" s="5" t="str">
        <f>IF(kokpit!B751&lt;&gt;"",kokpit!B751,"")</f>
        <v/>
      </c>
      <c r="C751" s="24" t="str">
        <f>IF(A751&lt;&gt;"",SUMIFS('JPK_KR-1'!AL:AL,'JPK_KR-1'!W:W,B751),"")</f>
        <v/>
      </c>
      <c r="D751" s="126" t="str">
        <f>IF(A751&lt;&gt;"",SUMIFS('JPK_KR-1'!AM:AM,'JPK_KR-1'!W:W,B751),"")</f>
        <v/>
      </c>
      <c r="E751" s="5" t="str">
        <f>IF(kokpit!E751&lt;&gt;"",kokpit!E751,"")</f>
        <v/>
      </c>
      <c r="F751" s="127" t="str">
        <f>IF(kokpit!F751&lt;&gt;"",kokpit!F751,"")</f>
        <v/>
      </c>
      <c r="G751" s="24" t="str">
        <f>IF(E751&lt;&gt;"",SUMIFS('JPK_KR-1'!AL:AL,'JPK_KR-1'!W:W,F751),"")</f>
        <v/>
      </c>
      <c r="H751" s="126" t="str">
        <f>IF(E751&lt;&gt;"",SUMIFS('JPK_KR-1'!AM:AM,'JPK_KR-1'!W:W,F751),"")</f>
        <v/>
      </c>
      <c r="I751" s="5" t="str">
        <f>IF(kokpit!I751&lt;&gt;"",kokpit!I751,"")</f>
        <v/>
      </c>
      <c r="J751" s="5" t="str">
        <f>IF(kokpit!J751&lt;&gt;"",kokpit!J751,"")</f>
        <v/>
      </c>
      <c r="K751" s="24" t="str">
        <f>IF(I751&lt;&gt;"",SUMIFS('JPK_KR-1'!AL:AL,'JPK_KR-1'!W:W,J751),"")</f>
        <v/>
      </c>
      <c r="L751" s="141" t="str">
        <f>IF(I751&lt;&gt;"",SUMIFS('JPK_KR-1'!AM:AM,'JPK_KR-1'!W:W,J751),"")</f>
        <v/>
      </c>
      <c r="M751" s="143" t="str">
        <f>IF(kokpit!M751&lt;&gt;"",kokpit!M751,"")</f>
        <v/>
      </c>
      <c r="N751" s="117" t="str">
        <f>IF(kokpit!N751&lt;&gt;"",kokpit!N751,"")</f>
        <v/>
      </c>
      <c r="O751" s="117" t="str">
        <f>IF(kokpit!O751&lt;&gt;"",kokpit!O751,"")</f>
        <v/>
      </c>
      <c r="P751" s="141" t="str">
        <f>IF(M751&lt;&gt;"",IF(O751="",SUMIFS('JPK_KR-1'!AL:AL,'JPK_KR-1'!W:W,N751),SUMIFS('JPK_KR-1'!BF:BF,'JPK_KR-1'!BE:BE,N751,'JPK_KR-1'!BG:BG,O751)),"")</f>
        <v/>
      </c>
      <c r="Q751" s="144" t="str">
        <f>IF(M751&lt;&gt;"",IF(O751="",SUMIFS('JPK_KR-1'!AM:AM,'JPK_KR-1'!W:W,N751),SUMIFS('JPK_KR-1'!BI:BI,'JPK_KR-1'!BH:BH,N751,'JPK_KR-1'!BJ:BJ,O751)),"")</f>
        <v/>
      </c>
      <c r="R751" s="117" t="str">
        <f>IF(kokpit!R751&lt;&gt;"",kokpit!R751,"")</f>
        <v/>
      </c>
      <c r="S751" s="117" t="str">
        <f>IF(kokpit!S751&lt;&gt;"",kokpit!S751,"")</f>
        <v/>
      </c>
      <c r="T751" s="117" t="str">
        <f>IF(kokpit!T751&lt;&gt;"",kokpit!T751,"")</f>
        <v/>
      </c>
      <c r="U751" s="141" t="str">
        <f>IF(R751&lt;&gt;"",SUMIFS('JPK_KR-1'!AL:AL,'JPK_KR-1'!W:W,S751),"")</f>
        <v/>
      </c>
      <c r="V751" s="144" t="str">
        <f>IF(R751&lt;&gt;"",SUMIFS('JPK_KR-1'!AM:AM,'JPK_KR-1'!W:W,S751),"")</f>
        <v/>
      </c>
    </row>
    <row r="752" spans="1:22" x14ac:dyDescent="0.3">
      <c r="A752" s="5" t="str">
        <f>IF(kokpit!A752&lt;&gt;"",kokpit!A752,"")</f>
        <v/>
      </c>
      <c r="B752" s="5" t="str">
        <f>IF(kokpit!B752&lt;&gt;"",kokpit!B752,"")</f>
        <v/>
      </c>
      <c r="C752" s="24" t="str">
        <f>IF(A752&lt;&gt;"",SUMIFS('JPK_KR-1'!AL:AL,'JPK_KR-1'!W:W,B752),"")</f>
        <v/>
      </c>
      <c r="D752" s="126" t="str">
        <f>IF(A752&lt;&gt;"",SUMIFS('JPK_KR-1'!AM:AM,'JPK_KR-1'!W:W,B752),"")</f>
        <v/>
      </c>
      <c r="E752" s="5" t="str">
        <f>IF(kokpit!E752&lt;&gt;"",kokpit!E752,"")</f>
        <v/>
      </c>
      <c r="F752" s="127" t="str">
        <f>IF(kokpit!F752&lt;&gt;"",kokpit!F752,"")</f>
        <v/>
      </c>
      <c r="G752" s="24" t="str">
        <f>IF(E752&lt;&gt;"",SUMIFS('JPK_KR-1'!AL:AL,'JPK_KR-1'!W:W,F752),"")</f>
        <v/>
      </c>
      <c r="H752" s="126" t="str">
        <f>IF(E752&lt;&gt;"",SUMIFS('JPK_KR-1'!AM:AM,'JPK_KR-1'!W:W,F752),"")</f>
        <v/>
      </c>
      <c r="I752" s="5" t="str">
        <f>IF(kokpit!I752&lt;&gt;"",kokpit!I752,"")</f>
        <v/>
      </c>
      <c r="J752" s="5" t="str">
        <f>IF(kokpit!J752&lt;&gt;"",kokpit!J752,"")</f>
        <v/>
      </c>
      <c r="K752" s="24" t="str">
        <f>IF(I752&lt;&gt;"",SUMIFS('JPK_KR-1'!AL:AL,'JPK_KR-1'!W:W,J752),"")</f>
        <v/>
      </c>
      <c r="L752" s="141" t="str">
        <f>IF(I752&lt;&gt;"",SUMIFS('JPK_KR-1'!AM:AM,'JPK_KR-1'!W:W,J752),"")</f>
        <v/>
      </c>
      <c r="M752" s="143" t="str">
        <f>IF(kokpit!M752&lt;&gt;"",kokpit!M752,"")</f>
        <v/>
      </c>
      <c r="N752" s="117" t="str">
        <f>IF(kokpit!N752&lt;&gt;"",kokpit!N752,"")</f>
        <v/>
      </c>
      <c r="O752" s="117" t="str">
        <f>IF(kokpit!O752&lt;&gt;"",kokpit!O752,"")</f>
        <v/>
      </c>
      <c r="P752" s="141" t="str">
        <f>IF(M752&lt;&gt;"",IF(O752="",SUMIFS('JPK_KR-1'!AL:AL,'JPK_KR-1'!W:W,N752),SUMIFS('JPK_KR-1'!BF:BF,'JPK_KR-1'!BE:BE,N752,'JPK_KR-1'!BG:BG,O752)),"")</f>
        <v/>
      </c>
      <c r="Q752" s="144" t="str">
        <f>IF(M752&lt;&gt;"",IF(O752="",SUMIFS('JPK_KR-1'!AM:AM,'JPK_KR-1'!W:W,N752),SUMIFS('JPK_KR-1'!BI:BI,'JPK_KR-1'!BH:BH,N752,'JPK_KR-1'!BJ:BJ,O752)),"")</f>
        <v/>
      </c>
      <c r="R752" s="117" t="str">
        <f>IF(kokpit!R752&lt;&gt;"",kokpit!R752,"")</f>
        <v/>
      </c>
      <c r="S752" s="117" t="str">
        <f>IF(kokpit!S752&lt;&gt;"",kokpit!S752,"")</f>
        <v/>
      </c>
      <c r="T752" s="117" t="str">
        <f>IF(kokpit!T752&lt;&gt;"",kokpit!T752,"")</f>
        <v/>
      </c>
      <c r="U752" s="141" t="str">
        <f>IF(R752&lt;&gt;"",SUMIFS('JPK_KR-1'!AL:AL,'JPK_KR-1'!W:W,S752),"")</f>
        <v/>
      </c>
      <c r="V752" s="144" t="str">
        <f>IF(R752&lt;&gt;"",SUMIFS('JPK_KR-1'!AM:AM,'JPK_KR-1'!W:W,S752),"")</f>
        <v/>
      </c>
    </row>
    <row r="753" spans="1:22" x14ac:dyDescent="0.3">
      <c r="A753" s="5" t="str">
        <f>IF(kokpit!A753&lt;&gt;"",kokpit!A753,"")</f>
        <v/>
      </c>
      <c r="B753" s="5" t="str">
        <f>IF(kokpit!B753&lt;&gt;"",kokpit!B753,"")</f>
        <v/>
      </c>
      <c r="C753" s="24" t="str">
        <f>IF(A753&lt;&gt;"",SUMIFS('JPK_KR-1'!AL:AL,'JPK_KR-1'!W:W,B753),"")</f>
        <v/>
      </c>
      <c r="D753" s="126" t="str">
        <f>IF(A753&lt;&gt;"",SUMIFS('JPK_KR-1'!AM:AM,'JPK_KR-1'!W:W,B753),"")</f>
        <v/>
      </c>
      <c r="E753" s="5" t="str">
        <f>IF(kokpit!E753&lt;&gt;"",kokpit!E753,"")</f>
        <v/>
      </c>
      <c r="F753" s="127" t="str">
        <f>IF(kokpit!F753&lt;&gt;"",kokpit!F753,"")</f>
        <v/>
      </c>
      <c r="G753" s="24" t="str">
        <f>IF(E753&lt;&gt;"",SUMIFS('JPK_KR-1'!AL:AL,'JPK_KR-1'!W:W,F753),"")</f>
        <v/>
      </c>
      <c r="H753" s="126" t="str">
        <f>IF(E753&lt;&gt;"",SUMIFS('JPK_KR-1'!AM:AM,'JPK_KR-1'!W:W,F753),"")</f>
        <v/>
      </c>
      <c r="I753" s="5" t="str">
        <f>IF(kokpit!I753&lt;&gt;"",kokpit!I753,"")</f>
        <v/>
      </c>
      <c r="J753" s="5" t="str">
        <f>IF(kokpit!J753&lt;&gt;"",kokpit!J753,"")</f>
        <v/>
      </c>
      <c r="K753" s="24" t="str">
        <f>IF(I753&lt;&gt;"",SUMIFS('JPK_KR-1'!AL:AL,'JPK_KR-1'!W:W,J753),"")</f>
        <v/>
      </c>
      <c r="L753" s="141" t="str">
        <f>IF(I753&lt;&gt;"",SUMIFS('JPK_KR-1'!AM:AM,'JPK_KR-1'!W:W,J753),"")</f>
        <v/>
      </c>
      <c r="M753" s="143" t="str">
        <f>IF(kokpit!M753&lt;&gt;"",kokpit!M753,"")</f>
        <v/>
      </c>
      <c r="N753" s="117" t="str">
        <f>IF(kokpit!N753&lt;&gt;"",kokpit!N753,"")</f>
        <v/>
      </c>
      <c r="O753" s="117" t="str">
        <f>IF(kokpit!O753&lt;&gt;"",kokpit!O753,"")</f>
        <v/>
      </c>
      <c r="P753" s="141" t="str">
        <f>IF(M753&lt;&gt;"",IF(O753="",SUMIFS('JPK_KR-1'!AL:AL,'JPK_KR-1'!W:W,N753),SUMIFS('JPK_KR-1'!BF:BF,'JPK_KR-1'!BE:BE,N753,'JPK_KR-1'!BG:BG,O753)),"")</f>
        <v/>
      </c>
      <c r="Q753" s="144" t="str">
        <f>IF(M753&lt;&gt;"",IF(O753="",SUMIFS('JPK_KR-1'!AM:AM,'JPK_KR-1'!W:W,N753),SUMIFS('JPK_KR-1'!BI:BI,'JPK_KR-1'!BH:BH,N753,'JPK_KR-1'!BJ:BJ,O753)),"")</f>
        <v/>
      </c>
      <c r="R753" s="117" t="str">
        <f>IF(kokpit!R753&lt;&gt;"",kokpit!R753,"")</f>
        <v/>
      </c>
      <c r="S753" s="117" t="str">
        <f>IF(kokpit!S753&lt;&gt;"",kokpit!S753,"")</f>
        <v/>
      </c>
      <c r="T753" s="117" t="str">
        <f>IF(kokpit!T753&lt;&gt;"",kokpit!T753,"")</f>
        <v/>
      </c>
      <c r="U753" s="141" t="str">
        <f>IF(R753&lt;&gt;"",SUMIFS('JPK_KR-1'!AL:AL,'JPK_KR-1'!W:W,S753),"")</f>
        <v/>
      </c>
      <c r="V753" s="144" t="str">
        <f>IF(R753&lt;&gt;"",SUMIFS('JPK_KR-1'!AM:AM,'JPK_KR-1'!W:W,S753),"")</f>
        <v/>
      </c>
    </row>
    <row r="754" spans="1:22" x14ac:dyDescent="0.3">
      <c r="A754" s="5" t="str">
        <f>IF(kokpit!A754&lt;&gt;"",kokpit!A754,"")</f>
        <v/>
      </c>
      <c r="B754" s="5" t="str">
        <f>IF(kokpit!B754&lt;&gt;"",kokpit!B754,"")</f>
        <v/>
      </c>
      <c r="C754" s="24" t="str">
        <f>IF(A754&lt;&gt;"",SUMIFS('JPK_KR-1'!AL:AL,'JPK_KR-1'!W:W,B754),"")</f>
        <v/>
      </c>
      <c r="D754" s="126" t="str">
        <f>IF(A754&lt;&gt;"",SUMIFS('JPK_KR-1'!AM:AM,'JPK_KR-1'!W:W,B754),"")</f>
        <v/>
      </c>
      <c r="E754" s="5" t="str">
        <f>IF(kokpit!E754&lt;&gt;"",kokpit!E754,"")</f>
        <v/>
      </c>
      <c r="F754" s="127" t="str">
        <f>IF(kokpit!F754&lt;&gt;"",kokpit!F754,"")</f>
        <v/>
      </c>
      <c r="G754" s="24" t="str">
        <f>IF(E754&lt;&gt;"",SUMIFS('JPK_KR-1'!AL:AL,'JPK_KR-1'!W:W,F754),"")</f>
        <v/>
      </c>
      <c r="H754" s="126" t="str">
        <f>IF(E754&lt;&gt;"",SUMIFS('JPK_KR-1'!AM:AM,'JPK_KR-1'!W:W,F754),"")</f>
        <v/>
      </c>
      <c r="I754" s="5" t="str">
        <f>IF(kokpit!I754&lt;&gt;"",kokpit!I754,"")</f>
        <v/>
      </c>
      <c r="J754" s="5" t="str">
        <f>IF(kokpit!J754&lt;&gt;"",kokpit!J754,"")</f>
        <v/>
      </c>
      <c r="K754" s="24" t="str">
        <f>IF(I754&lt;&gt;"",SUMIFS('JPK_KR-1'!AL:AL,'JPK_KR-1'!W:W,J754),"")</f>
        <v/>
      </c>
      <c r="L754" s="141" t="str">
        <f>IF(I754&lt;&gt;"",SUMIFS('JPK_KR-1'!AM:AM,'JPK_KR-1'!W:W,J754),"")</f>
        <v/>
      </c>
      <c r="M754" s="143" t="str">
        <f>IF(kokpit!M754&lt;&gt;"",kokpit!M754,"")</f>
        <v/>
      </c>
      <c r="N754" s="117" t="str">
        <f>IF(kokpit!N754&lt;&gt;"",kokpit!N754,"")</f>
        <v/>
      </c>
      <c r="O754" s="117" t="str">
        <f>IF(kokpit!O754&lt;&gt;"",kokpit!O754,"")</f>
        <v/>
      </c>
      <c r="P754" s="141" t="str">
        <f>IF(M754&lt;&gt;"",IF(O754="",SUMIFS('JPK_KR-1'!AL:AL,'JPK_KR-1'!W:W,N754),SUMIFS('JPK_KR-1'!BF:BF,'JPK_KR-1'!BE:BE,N754,'JPK_KR-1'!BG:BG,O754)),"")</f>
        <v/>
      </c>
      <c r="Q754" s="144" t="str">
        <f>IF(M754&lt;&gt;"",IF(O754="",SUMIFS('JPK_KR-1'!AM:AM,'JPK_KR-1'!W:W,N754),SUMIFS('JPK_KR-1'!BI:BI,'JPK_KR-1'!BH:BH,N754,'JPK_KR-1'!BJ:BJ,O754)),"")</f>
        <v/>
      </c>
      <c r="R754" s="117" t="str">
        <f>IF(kokpit!R754&lt;&gt;"",kokpit!R754,"")</f>
        <v/>
      </c>
      <c r="S754" s="117" t="str">
        <f>IF(kokpit!S754&lt;&gt;"",kokpit!S754,"")</f>
        <v/>
      </c>
      <c r="T754" s="117" t="str">
        <f>IF(kokpit!T754&lt;&gt;"",kokpit!T754,"")</f>
        <v/>
      </c>
      <c r="U754" s="141" t="str">
        <f>IF(R754&lt;&gt;"",SUMIFS('JPK_KR-1'!AL:AL,'JPK_KR-1'!W:W,S754),"")</f>
        <v/>
      </c>
      <c r="V754" s="144" t="str">
        <f>IF(R754&lt;&gt;"",SUMIFS('JPK_KR-1'!AM:AM,'JPK_KR-1'!W:W,S754),"")</f>
        <v/>
      </c>
    </row>
    <row r="755" spans="1:22" x14ac:dyDescent="0.3">
      <c r="A755" s="5" t="str">
        <f>IF(kokpit!A755&lt;&gt;"",kokpit!A755,"")</f>
        <v/>
      </c>
      <c r="B755" s="5" t="str">
        <f>IF(kokpit!B755&lt;&gt;"",kokpit!B755,"")</f>
        <v/>
      </c>
      <c r="C755" s="24" t="str">
        <f>IF(A755&lt;&gt;"",SUMIFS('JPK_KR-1'!AL:AL,'JPK_KR-1'!W:W,B755),"")</f>
        <v/>
      </c>
      <c r="D755" s="126" t="str">
        <f>IF(A755&lt;&gt;"",SUMIFS('JPK_KR-1'!AM:AM,'JPK_KR-1'!W:W,B755),"")</f>
        <v/>
      </c>
      <c r="E755" s="5" t="str">
        <f>IF(kokpit!E755&lt;&gt;"",kokpit!E755,"")</f>
        <v/>
      </c>
      <c r="F755" s="127" t="str">
        <f>IF(kokpit!F755&lt;&gt;"",kokpit!F755,"")</f>
        <v/>
      </c>
      <c r="G755" s="24" t="str">
        <f>IF(E755&lt;&gt;"",SUMIFS('JPK_KR-1'!AL:AL,'JPK_KR-1'!W:W,F755),"")</f>
        <v/>
      </c>
      <c r="H755" s="126" t="str">
        <f>IF(E755&lt;&gt;"",SUMIFS('JPK_KR-1'!AM:AM,'JPK_KR-1'!W:W,F755),"")</f>
        <v/>
      </c>
      <c r="I755" s="5" t="str">
        <f>IF(kokpit!I755&lt;&gt;"",kokpit!I755,"")</f>
        <v/>
      </c>
      <c r="J755" s="5" t="str">
        <f>IF(kokpit!J755&lt;&gt;"",kokpit!J755,"")</f>
        <v/>
      </c>
      <c r="K755" s="24" t="str">
        <f>IF(I755&lt;&gt;"",SUMIFS('JPK_KR-1'!AL:AL,'JPK_KR-1'!W:W,J755),"")</f>
        <v/>
      </c>
      <c r="L755" s="141" t="str">
        <f>IF(I755&lt;&gt;"",SUMIFS('JPK_KR-1'!AM:AM,'JPK_KR-1'!W:W,J755),"")</f>
        <v/>
      </c>
      <c r="M755" s="143" t="str">
        <f>IF(kokpit!M755&lt;&gt;"",kokpit!M755,"")</f>
        <v/>
      </c>
      <c r="N755" s="117" t="str">
        <f>IF(kokpit!N755&lt;&gt;"",kokpit!N755,"")</f>
        <v/>
      </c>
      <c r="O755" s="117" t="str">
        <f>IF(kokpit!O755&lt;&gt;"",kokpit!O755,"")</f>
        <v/>
      </c>
      <c r="P755" s="141" t="str">
        <f>IF(M755&lt;&gt;"",IF(O755="",SUMIFS('JPK_KR-1'!AL:AL,'JPK_KR-1'!W:W,N755),SUMIFS('JPK_KR-1'!BF:BF,'JPK_KR-1'!BE:BE,N755,'JPK_KR-1'!BG:BG,O755)),"")</f>
        <v/>
      </c>
      <c r="Q755" s="144" t="str">
        <f>IF(M755&lt;&gt;"",IF(O755="",SUMIFS('JPK_KR-1'!AM:AM,'JPK_KR-1'!W:W,N755),SUMIFS('JPK_KR-1'!BI:BI,'JPK_KR-1'!BH:BH,N755,'JPK_KR-1'!BJ:BJ,O755)),"")</f>
        <v/>
      </c>
      <c r="R755" s="117" t="str">
        <f>IF(kokpit!R755&lt;&gt;"",kokpit!R755,"")</f>
        <v/>
      </c>
      <c r="S755" s="117" t="str">
        <f>IF(kokpit!S755&lt;&gt;"",kokpit!S755,"")</f>
        <v/>
      </c>
      <c r="T755" s="117" t="str">
        <f>IF(kokpit!T755&lt;&gt;"",kokpit!T755,"")</f>
        <v/>
      </c>
      <c r="U755" s="141" t="str">
        <f>IF(R755&lt;&gt;"",SUMIFS('JPK_KR-1'!AL:AL,'JPK_KR-1'!W:W,S755),"")</f>
        <v/>
      </c>
      <c r="V755" s="144" t="str">
        <f>IF(R755&lt;&gt;"",SUMIFS('JPK_KR-1'!AM:AM,'JPK_KR-1'!W:W,S755),"")</f>
        <v/>
      </c>
    </row>
    <row r="756" spans="1:22" x14ac:dyDescent="0.3">
      <c r="A756" s="5" t="str">
        <f>IF(kokpit!A756&lt;&gt;"",kokpit!A756,"")</f>
        <v/>
      </c>
      <c r="B756" s="5" t="str">
        <f>IF(kokpit!B756&lt;&gt;"",kokpit!B756,"")</f>
        <v/>
      </c>
      <c r="C756" s="24" t="str">
        <f>IF(A756&lt;&gt;"",SUMIFS('JPK_KR-1'!AL:AL,'JPK_KR-1'!W:W,B756),"")</f>
        <v/>
      </c>
      <c r="D756" s="126" t="str">
        <f>IF(A756&lt;&gt;"",SUMIFS('JPK_KR-1'!AM:AM,'JPK_KR-1'!W:W,B756),"")</f>
        <v/>
      </c>
      <c r="E756" s="5" t="str">
        <f>IF(kokpit!E756&lt;&gt;"",kokpit!E756,"")</f>
        <v/>
      </c>
      <c r="F756" s="127" t="str">
        <f>IF(kokpit!F756&lt;&gt;"",kokpit!F756,"")</f>
        <v/>
      </c>
      <c r="G756" s="24" t="str">
        <f>IF(E756&lt;&gt;"",SUMIFS('JPK_KR-1'!AL:AL,'JPK_KR-1'!W:W,F756),"")</f>
        <v/>
      </c>
      <c r="H756" s="126" t="str">
        <f>IF(E756&lt;&gt;"",SUMIFS('JPK_KR-1'!AM:AM,'JPK_KR-1'!W:W,F756),"")</f>
        <v/>
      </c>
      <c r="I756" s="5" t="str">
        <f>IF(kokpit!I756&lt;&gt;"",kokpit!I756,"")</f>
        <v/>
      </c>
      <c r="J756" s="5" t="str">
        <f>IF(kokpit!J756&lt;&gt;"",kokpit!J756,"")</f>
        <v/>
      </c>
      <c r="K756" s="24" t="str">
        <f>IF(I756&lt;&gt;"",SUMIFS('JPK_KR-1'!AL:AL,'JPK_KR-1'!W:W,J756),"")</f>
        <v/>
      </c>
      <c r="L756" s="141" t="str">
        <f>IF(I756&lt;&gt;"",SUMIFS('JPK_KR-1'!AM:AM,'JPK_KR-1'!W:W,J756),"")</f>
        <v/>
      </c>
      <c r="M756" s="143" t="str">
        <f>IF(kokpit!M756&lt;&gt;"",kokpit!M756,"")</f>
        <v/>
      </c>
      <c r="N756" s="117" t="str">
        <f>IF(kokpit!N756&lt;&gt;"",kokpit!N756,"")</f>
        <v/>
      </c>
      <c r="O756" s="117" t="str">
        <f>IF(kokpit!O756&lt;&gt;"",kokpit!O756,"")</f>
        <v/>
      </c>
      <c r="P756" s="141" t="str">
        <f>IF(M756&lt;&gt;"",IF(O756="",SUMIFS('JPK_KR-1'!AL:AL,'JPK_KR-1'!W:W,N756),SUMIFS('JPK_KR-1'!BF:BF,'JPK_KR-1'!BE:BE,N756,'JPK_KR-1'!BG:BG,O756)),"")</f>
        <v/>
      </c>
      <c r="Q756" s="144" t="str">
        <f>IF(M756&lt;&gt;"",IF(O756="",SUMIFS('JPK_KR-1'!AM:AM,'JPK_KR-1'!W:W,N756),SUMIFS('JPK_KR-1'!BI:BI,'JPK_KR-1'!BH:BH,N756,'JPK_KR-1'!BJ:BJ,O756)),"")</f>
        <v/>
      </c>
      <c r="R756" s="117" t="str">
        <f>IF(kokpit!R756&lt;&gt;"",kokpit!R756,"")</f>
        <v/>
      </c>
      <c r="S756" s="117" t="str">
        <f>IF(kokpit!S756&lt;&gt;"",kokpit!S756,"")</f>
        <v/>
      </c>
      <c r="T756" s="117" t="str">
        <f>IF(kokpit!T756&lt;&gt;"",kokpit!T756,"")</f>
        <v/>
      </c>
      <c r="U756" s="141" t="str">
        <f>IF(R756&lt;&gt;"",SUMIFS('JPK_KR-1'!AL:AL,'JPK_KR-1'!W:W,S756),"")</f>
        <v/>
      </c>
      <c r="V756" s="144" t="str">
        <f>IF(R756&lt;&gt;"",SUMIFS('JPK_KR-1'!AM:AM,'JPK_KR-1'!W:W,S756),"")</f>
        <v/>
      </c>
    </row>
    <row r="757" spans="1:22" x14ac:dyDescent="0.3">
      <c r="A757" s="5" t="str">
        <f>IF(kokpit!A757&lt;&gt;"",kokpit!A757,"")</f>
        <v/>
      </c>
      <c r="B757" s="5" t="str">
        <f>IF(kokpit!B757&lt;&gt;"",kokpit!B757,"")</f>
        <v/>
      </c>
      <c r="C757" s="24" t="str">
        <f>IF(A757&lt;&gt;"",SUMIFS('JPK_KR-1'!AL:AL,'JPK_KR-1'!W:W,B757),"")</f>
        <v/>
      </c>
      <c r="D757" s="126" t="str">
        <f>IF(A757&lt;&gt;"",SUMIFS('JPK_KR-1'!AM:AM,'JPK_KR-1'!W:W,B757),"")</f>
        <v/>
      </c>
      <c r="E757" s="5" t="str">
        <f>IF(kokpit!E757&lt;&gt;"",kokpit!E757,"")</f>
        <v/>
      </c>
      <c r="F757" s="127" t="str">
        <f>IF(kokpit!F757&lt;&gt;"",kokpit!F757,"")</f>
        <v/>
      </c>
      <c r="G757" s="24" t="str">
        <f>IF(E757&lt;&gt;"",SUMIFS('JPK_KR-1'!AL:AL,'JPK_KR-1'!W:W,F757),"")</f>
        <v/>
      </c>
      <c r="H757" s="126" t="str">
        <f>IF(E757&lt;&gt;"",SUMIFS('JPK_KR-1'!AM:AM,'JPK_KR-1'!W:W,F757),"")</f>
        <v/>
      </c>
      <c r="I757" s="5" t="str">
        <f>IF(kokpit!I757&lt;&gt;"",kokpit!I757,"")</f>
        <v/>
      </c>
      <c r="J757" s="5" t="str">
        <f>IF(kokpit!J757&lt;&gt;"",kokpit!J757,"")</f>
        <v/>
      </c>
      <c r="K757" s="24" t="str">
        <f>IF(I757&lt;&gt;"",SUMIFS('JPK_KR-1'!AL:AL,'JPK_KR-1'!W:W,J757),"")</f>
        <v/>
      </c>
      <c r="L757" s="141" t="str">
        <f>IF(I757&lt;&gt;"",SUMIFS('JPK_KR-1'!AM:AM,'JPK_KR-1'!W:W,J757),"")</f>
        <v/>
      </c>
      <c r="M757" s="143" t="str">
        <f>IF(kokpit!M757&lt;&gt;"",kokpit!M757,"")</f>
        <v/>
      </c>
      <c r="N757" s="117" t="str">
        <f>IF(kokpit!N757&lt;&gt;"",kokpit!N757,"")</f>
        <v/>
      </c>
      <c r="O757" s="117" t="str">
        <f>IF(kokpit!O757&lt;&gt;"",kokpit!O757,"")</f>
        <v/>
      </c>
      <c r="P757" s="141" t="str">
        <f>IF(M757&lt;&gt;"",IF(O757="",SUMIFS('JPK_KR-1'!AL:AL,'JPK_KR-1'!W:W,N757),SUMIFS('JPK_KR-1'!BF:BF,'JPK_KR-1'!BE:BE,N757,'JPK_KR-1'!BG:BG,O757)),"")</f>
        <v/>
      </c>
      <c r="Q757" s="144" t="str">
        <f>IF(M757&lt;&gt;"",IF(O757="",SUMIFS('JPK_KR-1'!AM:AM,'JPK_KR-1'!W:W,N757),SUMIFS('JPK_KR-1'!BI:BI,'JPK_KR-1'!BH:BH,N757,'JPK_KR-1'!BJ:BJ,O757)),"")</f>
        <v/>
      </c>
      <c r="R757" s="117" t="str">
        <f>IF(kokpit!R757&lt;&gt;"",kokpit!R757,"")</f>
        <v/>
      </c>
      <c r="S757" s="117" t="str">
        <f>IF(kokpit!S757&lt;&gt;"",kokpit!S757,"")</f>
        <v/>
      </c>
      <c r="T757" s="117" t="str">
        <f>IF(kokpit!T757&lt;&gt;"",kokpit!T757,"")</f>
        <v/>
      </c>
      <c r="U757" s="141" t="str">
        <f>IF(R757&lt;&gt;"",SUMIFS('JPK_KR-1'!AL:AL,'JPK_KR-1'!W:W,S757),"")</f>
        <v/>
      </c>
      <c r="V757" s="144" t="str">
        <f>IF(R757&lt;&gt;"",SUMIFS('JPK_KR-1'!AM:AM,'JPK_KR-1'!W:W,S757),"")</f>
        <v/>
      </c>
    </row>
    <row r="758" spans="1:22" x14ac:dyDescent="0.3">
      <c r="A758" s="5" t="str">
        <f>IF(kokpit!A758&lt;&gt;"",kokpit!A758,"")</f>
        <v/>
      </c>
      <c r="B758" s="5" t="str">
        <f>IF(kokpit!B758&lt;&gt;"",kokpit!B758,"")</f>
        <v/>
      </c>
      <c r="C758" s="24" t="str">
        <f>IF(A758&lt;&gt;"",SUMIFS('JPK_KR-1'!AL:AL,'JPK_KR-1'!W:W,B758),"")</f>
        <v/>
      </c>
      <c r="D758" s="126" t="str">
        <f>IF(A758&lt;&gt;"",SUMIFS('JPK_KR-1'!AM:AM,'JPK_KR-1'!W:W,B758),"")</f>
        <v/>
      </c>
      <c r="E758" s="5" t="str">
        <f>IF(kokpit!E758&lt;&gt;"",kokpit!E758,"")</f>
        <v/>
      </c>
      <c r="F758" s="127" t="str">
        <f>IF(kokpit!F758&lt;&gt;"",kokpit!F758,"")</f>
        <v/>
      </c>
      <c r="G758" s="24" t="str">
        <f>IF(E758&lt;&gt;"",SUMIFS('JPK_KR-1'!AL:AL,'JPK_KR-1'!W:W,F758),"")</f>
        <v/>
      </c>
      <c r="H758" s="126" t="str">
        <f>IF(E758&lt;&gt;"",SUMIFS('JPK_KR-1'!AM:AM,'JPK_KR-1'!W:W,F758),"")</f>
        <v/>
      </c>
      <c r="I758" s="5" t="str">
        <f>IF(kokpit!I758&lt;&gt;"",kokpit!I758,"")</f>
        <v/>
      </c>
      <c r="J758" s="5" t="str">
        <f>IF(kokpit!J758&lt;&gt;"",kokpit!J758,"")</f>
        <v/>
      </c>
      <c r="K758" s="24" t="str">
        <f>IF(I758&lt;&gt;"",SUMIFS('JPK_KR-1'!AL:AL,'JPK_KR-1'!W:W,J758),"")</f>
        <v/>
      </c>
      <c r="L758" s="141" t="str">
        <f>IF(I758&lt;&gt;"",SUMIFS('JPK_KR-1'!AM:AM,'JPK_KR-1'!W:W,J758),"")</f>
        <v/>
      </c>
      <c r="M758" s="143" t="str">
        <f>IF(kokpit!M758&lt;&gt;"",kokpit!M758,"")</f>
        <v/>
      </c>
      <c r="N758" s="117" t="str">
        <f>IF(kokpit!N758&lt;&gt;"",kokpit!N758,"")</f>
        <v/>
      </c>
      <c r="O758" s="117" t="str">
        <f>IF(kokpit!O758&lt;&gt;"",kokpit!O758,"")</f>
        <v/>
      </c>
      <c r="P758" s="141" t="str">
        <f>IF(M758&lt;&gt;"",IF(O758="",SUMIFS('JPK_KR-1'!AL:AL,'JPK_KR-1'!W:W,N758),SUMIFS('JPK_KR-1'!BF:BF,'JPK_KR-1'!BE:BE,N758,'JPK_KR-1'!BG:BG,O758)),"")</f>
        <v/>
      </c>
      <c r="Q758" s="144" t="str">
        <f>IF(M758&lt;&gt;"",IF(O758="",SUMIFS('JPK_KR-1'!AM:AM,'JPK_KR-1'!W:W,N758),SUMIFS('JPK_KR-1'!BI:BI,'JPK_KR-1'!BH:BH,N758,'JPK_KR-1'!BJ:BJ,O758)),"")</f>
        <v/>
      </c>
      <c r="R758" s="117" t="str">
        <f>IF(kokpit!R758&lt;&gt;"",kokpit!R758,"")</f>
        <v/>
      </c>
      <c r="S758" s="117" t="str">
        <f>IF(kokpit!S758&lt;&gt;"",kokpit!S758,"")</f>
        <v/>
      </c>
      <c r="T758" s="117" t="str">
        <f>IF(kokpit!T758&lt;&gt;"",kokpit!T758,"")</f>
        <v/>
      </c>
      <c r="U758" s="141" t="str">
        <f>IF(R758&lt;&gt;"",SUMIFS('JPK_KR-1'!AL:AL,'JPK_KR-1'!W:W,S758),"")</f>
        <v/>
      </c>
      <c r="V758" s="144" t="str">
        <f>IF(R758&lt;&gt;"",SUMIFS('JPK_KR-1'!AM:AM,'JPK_KR-1'!W:W,S758),"")</f>
        <v/>
      </c>
    </row>
    <row r="759" spans="1:22" x14ac:dyDescent="0.3">
      <c r="A759" s="5" t="str">
        <f>IF(kokpit!A759&lt;&gt;"",kokpit!A759,"")</f>
        <v/>
      </c>
      <c r="B759" s="5" t="str">
        <f>IF(kokpit!B759&lt;&gt;"",kokpit!B759,"")</f>
        <v/>
      </c>
      <c r="C759" s="24" t="str">
        <f>IF(A759&lt;&gt;"",SUMIFS('JPK_KR-1'!AL:AL,'JPK_KR-1'!W:W,B759),"")</f>
        <v/>
      </c>
      <c r="D759" s="126" t="str">
        <f>IF(A759&lt;&gt;"",SUMIFS('JPK_KR-1'!AM:AM,'JPK_KR-1'!W:W,B759),"")</f>
        <v/>
      </c>
      <c r="E759" s="5" t="str">
        <f>IF(kokpit!E759&lt;&gt;"",kokpit!E759,"")</f>
        <v/>
      </c>
      <c r="F759" s="127" t="str">
        <f>IF(kokpit!F759&lt;&gt;"",kokpit!F759,"")</f>
        <v/>
      </c>
      <c r="G759" s="24" t="str">
        <f>IF(E759&lt;&gt;"",SUMIFS('JPK_KR-1'!AL:AL,'JPK_KR-1'!W:W,F759),"")</f>
        <v/>
      </c>
      <c r="H759" s="126" t="str">
        <f>IF(E759&lt;&gt;"",SUMIFS('JPK_KR-1'!AM:AM,'JPK_KR-1'!W:W,F759),"")</f>
        <v/>
      </c>
      <c r="I759" s="5" t="str">
        <f>IF(kokpit!I759&lt;&gt;"",kokpit!I759,"")</f>
        <v/>
      </c>
      <c r="J759" s="5" t="str">
        <f>IF(kokpit!J759&lt;&gt;"",kokpit!J759,"")</f>
        <v/>
      </c>
      <c r="K759" s="24" t="str">
        <f>IF(I759&lt;&gt;"",SUMIFS('JPK_KR-1'!AL:AL,'JPK_KR-1'!W:W,J759),"")</f>
        <v/>
      </c>
      <c r="L759" s="141" t="str">
        <f>IF(I759&lt;&gt;"",SUMIFS('JPK_KR-1'!AM:AM,'JPK_KR-1'!W:W,J759),"")</f>
        <v/>
      </c>
      <c r="M759" s="143" t="str">
        <f>IF(kokpit!M759&lt;&gt;"",kokpit!M759,"")</f>
        <v/>
      </c>
      <c r="N759" s="117" t="str">
        <f>IF(kokpit!N759&lt;&gt;"",kokpit!N759,"")</f>
        <v/>
      </c>
      <c r="O759" s="117" t="str">
        <f>IF(kokpit!O759&lt;&gt;"",kokpit!O759,"")</f>
        <v/>
      </c>
      <c r="P759" s="141" t="str">
        <f>IF(M759&lt;&gt;"",IF(O759="",SUMIFS('JPK_KR-1'!AL:AL,'JPK_KR-1'!W:W,N759),SUMIFS('JPK_KR-1'!BF:BF,'JPK_KR-1'!BE:BE,N759,'JPK_KR-1'!BG:BG,O759)),"")</f>
        <v/>
      </c>
      <c r="Q759" s="144" t="str">
        <f>IF(M759&lt;&gt;"",IF(O759="",SUMIFS('JPK_KR-1'!AM:AM,'JPK_KR-1'!W:W,N759),SUMIFS('JPK_KR-1'!BI:BI,'JPK_KR-1'!BH:BH,N759,'JPK_KR-1'!BJ:BJ,O759)),"")</f>
        <v/>
      </c>
      <c r="R759" s="117" t="str">
        <f>IF(kokpit!R759&lt;&gt;"",kokpit!R759,"")</f>
        <v/>
      </c>
      <c r="S759" s="117" t="str">
        <f>IF(kokpit!S759&lt;&gt;"",kokpit!S759,"")</f>
        <v/>
      </c>
      <c r="T759" s="117" t="str">
        <f>IF(kokpit!T759&lt;&gt;"",kokpit!T759,"")</f>
        <v/>
      </c>
      <c r="U759" s="141" t="str">
        <f>IF(R759&lt;&gt;"",SUMIFS('JPK_KR-1'!AL:AL,'JPK_KR-1'!W:W,S759),"")</f>
        <v/>
      </c>
      <c r="V759" s="144" t="str">
        <f>IF(R759&lt;&gt;"",SUMIFS('JPK_KR-1'!AM:AM,'JPK_KR-1'!W:W,S759),"")</f>
        <v/>
      </c>
    </row>
    <row r="760" spans="1:22" x14ac:dyDescent="0.3">
      <c r="A760" s="5" t="str">
        <f>IF(kokpit!A760&lt;&gt;"",kokpit!A760,"")</f>
        <v/>
      </c>
      <c r="B760" s="5" t="str">
        <f>IF(kokpit!B760&lt;&gt;"",kokpit!B760,"")</f>
        <v/>
      </c>
      <c r="C760" s="24" t="str">
        <f>IF(A760&lt;&gt;"",SUMIFS('JPK_KR-1'!AL:AL,'JPK_KR-1'!W:W,B760),"")</f>
        <v/>
      </c>
      <c r="D760" s="126" t="str">
        <f>IF(A760&lt;&gt;"",SUMIFS('JPK_KR-1'!AM:AM,'JPK_KR-1'!W:W,B760),"")</f>
        <v/>
      </c>
      <c r="E760" s="5" t="str">
        <f>IF(kokpit!E760&lt;&gt;"",kokpit!E760,"")</f>
        <v/>
      </c>
      <c r="F760" s="127" t="str">
        <f>IF(kokpit!F760&lt;&gt;"",kokpit!F760,"")</f>
        <v/>
      </c>
      <c r="G760" s="24" t="str">
        <f>IF(E760&lt;&gt;"",SUMIFS('JPK_KR-1'!AL:AL,'JPK_KR-1'!W:W,F760),"")</f>
        <v/>
      </c>
      <c r="H760" s="126" t="str">
        <f>IF(E760&lt;&gt;"",SUMIFS('JPK_KR-1'!AM:AM,'JPK_KR-1'!W:W,F760),"")</f>
        <v/>
      </c>
      <c r="I760" s="5" t="str">
        <f>IF(kokpit!I760&lt;&gt;"",kokpit!I760,"")</f>
        <v/>
      </c>
      <c r="J760" s="5" t="str">
        <f>IF(kokpit!J760&lt;&gt;"",kokpit!J760,"")</f>
        <v/>
      </c>
      <c r="K760" s="24" t="str">
        <f>IF(I760&lt;&gt;"",SUMIFS('JPK_KR-1'!AL:AL,'JPK_KR-1'!W:W,J760),"")</f>
        <v/>
      </c>
      <c r="L760" s="141" t="str">
        <f>IF(I760&lt;&gt;"",SUMIFS('JPK_KR-1'!AM:AM,'JPK_KR-1'!W:W,J760),"")</f>
        <v/>
      </c>
      <c r="M760" s="143" t="str">
        <f>IF(kokpit!M760&lt;&gt;"",kokpit!M760,"")</f>
        <v/>
      </c>
      <c r="N760" s="117" t="str">
        <f>IF(kokpit!N760&lt;&gt;"",kokpit!N760,"")</f>
        <v/>
      </c>
      <c r="O760" s="117" t="str">
        <f>IF(kokpit!O760&lt;&gt;"",kokpit!O760,"")</f>
        <v/>
      </c>
      <c r="P760" s="141" t="str">
        <f>IF(M760&lt;&gt;"",IF(O760="",SUMIFS('JPK_KR-1'!AL:AL,'JPK_KR-1'!W:W,N760),SUMIFS('JPK_KR-1'!BF:BF,'JPK_KR-1'!BE:BE,N760,'JPK_KR-1'!BG:BG,O760)),"")</f>
        <v/>
      </c>
      <c r="Q760" s="144" t="str">
        <f>IF(M760&lt;&gt;"",IF(O760="",SUMIFS('JPK_KR-1'!AM:AM,'JPK_KR-1'!W:W,N760),SUMIFS('JPK_KR-1'!BI:BI,'JPK_KR-1'!BH:BH,N760,'JPK_KR-1'!BJ:BJ,O760)),"")</f>
        <v/>
      </c>
      <c r="R760" s="117" t="str">
        <f>IF(kokpit!R760&lt;&gt;"",kokpit!R760,"")</f>
        <v/>
      </c>
      <c r="S760" s="117" t="str">
        <f>IF(kokpit!S760&lt;&gt;"",kokpit!S760,"")</f>
        <v/>
      </c>
      <c r="T760" s="117" t="str">
        <f>IF(kokpit!T760&lt;&gt;"",kokpit!T760,"")</f>
        <v/>
      </c>
      <c r="U760" s="141" t="str">
        <f>IF(R760&lt;&gt;"",SUMIFS('JPK_KR-1'!AL:AL,'JPK_KR-1'!W:W,S760),"")</f>
        <v/>
      </c>
      <c r="V760" s="144" t="str">
        <f>IF(R760&lt;&gt;"",SUMIFS('JPK_KR-1'!AM:AM,'JPK_KR-1'!W:W,S760),"")</f>
        <v/>
      </c>
    </row>
    <row r="761" spans="1:22" x14ac:dyDescent="0.3">
      <c r="A761" s="5" t="str">
        <f>IF(kokpit!A761&lt;&gt;"",kokpit!A761,"")</f>
        <v/>
      </c>
      <c r="B761" s="5" t="str">
        <f>IF(kokpit!B761&lt;&gt;"",kokpit!B761,"")</f>
        <v/>
      </c>
      <c r="C761" s="24" t="str">
        <f>IF(A761&lt;&gt;"",SUMIFS('JPK_KR-1'!AL:AL,'JPK_KR-1'!W:W,B761),"")</f>
        <v/>
      </c>
      <c r="D761" s="126" t="str">
        <f>IF(A761&lt;&gt;"",SUMIFS('JPK_KR-1'!AM:AM,'JPK_KR-1'!W:W,B761),"")</f>
        <v/>
      </c>
      <c r="E761" s="5" t="str">
        <f>IF(kokpit!E761&lt;&gt;"",kokpit!E761,"")</f>
        <v/>
      </c>
      <c r="F761" s="127" t="str">
        <f>IF(kokpit!F761&lt;&gt;"",kokpit!F761,"")</f>
        <v/>
      </c>
      <c r="G761" s="24" t="str">
        <f>IF(E761&lt;&gt;"",SUMIFS('JPK_KR-1'!AL:AL,'JPK_KR-1'!W:W,F761),"")</f>
        <v/>
      </c>
      <c r="H761" s="126" t="str">
        <f>IF(E761&lt;&gt;"",SUMIFS('JPK_KR-1'!AM:AM,'JPK_KR-1'!W:W,F761),"")</f>
        <v/>
      </c>
      <c r="I761" s="5" t="str">
        <f>IF(kokpit!I761&lt;&gt;"",kokpit!I761,"")</f>
        <v/>
      </c>
      <c r="J761" s="5" t="str">
        <f>IF(kokpit!J761&lt;&gt;"",kokpit!J761,"")</f>
        <v/>
      </c>
      <c r="K761" s="24" t="str">
        <f>IF(I761&lt;&gt;"",SUMIFS('JPK_KR-1'!AL:AL,'JPK_KR-1'!W:W,J761),"")</f>
        <v/>
      </c>
      <c r="L761" s="141" t="str">
        <f>IF(I761&lt;&gt;"",SUMIFS('JPK_KR-1'!AM:AM,'JPK_KR-1'!W:W,J761),"")</f>
        <v/>
      </c>
      <c r="M761" s="143" t="str">
        <f>IF(kokpit!M761&lt;&gt;"",kokpit!M761,"")</f>
        <v/>
      </c>
      <c r="N761" s="117" t="str">
        <f>IF(kokpit!N761&lt;&gt;"",kokpit!N761,"")</f>
        <v/>
      </c>
      <c r="O761" s="117" t="str">
        <f>IF(kokpit!O761&lt;&gt;"",kokpit!O761,"")</f>
        <v/>
      </c>
      <c r="P761" s="141" t="str">
        <f>IF(M761&lt;&gt;"",IF(O761="",SUMIFS('JPK_KR-1'!AL:AL,'JPK_KR-1'!W:W,N761),SUMIFS('JPK_KR-1'!BF:BF,'JPK_KR-1'!BE:BE,N761,'JPK_KR-1'!BG:BG,O761)),"")</f>
        <v/>
      </c>
      <c r="Q761" s="144" t="str">
        <f>IF(M761&lt;&gt;"",IF(O761="",SUMIFS('JPK_KR-1'!AM:AM,'JPK_KR-1'!W:W,N761),SUMIFS('JPK_KR-1'!BI:BI,'JPK_KR-1'!BH:BH,N761,'JPK_KR-1'!BJ:BJ,O761)),"")</f>
        <v/>
      </c>
      <c r="R761" s="117" t="str">
        <f>IF(kokpit!R761&lt;&gt;"",kokpit!R761,"")</f>
        <v/>
      </c>
      <c r="S761" s="117" t="str">
        <f>IF(kokpit!S761&lt;&gt;"",kokpit!S761,"")</f>
        <v/>
      </c>
      <c r="T761" s="117" t="str">
        <f>IF(kokpit!T761&lt;&gt;"",kokpit!T761,"")</f>
        <v/>
      </c>
      <c r="U761" s="141" t="str">
        <f>IF(R761&lt;&gt;"",SUMIFS('JPK_KR-1'!AL:AL,'JPK_KR-1'!W:W,S761),"")</f>
        <v/>
      </c>
      <c r="V761" s="144" t="str">
        <f>IF(R761&lt;&gt;"",SUMIFS('JPK_KR-1'!AM:AM,'JPK_KR-1'!W:W,S761),"")</f>
        <v/>
      </c>
    </row>
    <row r="762" spans="1:22" x14ac:dyDescent="0.3">
      <c r="A762" s="5" t="str">
        <f>IF(kokpit!A762&lt;&gt;"",kokpit!A762,"")</f>
        <v/>
      </c>
      <c r="B762" s="5" t="str">
        <f>IF(kokpit!B762&lt;&gt;"",kokpit!B762,"")</f>
        <v/>
      </c>
      <c r="C762" s="24" t="str">
        <f>IF(A762&lt;&gt;"",SUMIFS('JPK_KR-1'!AL:AL,'JPK_KR-1'!W:W,B762),"")</f>
        <v/>
      </c>
      <c r="D762" s="126" t="str">
        <f>IF(A762&lt;&gt;"",SUMIFS('JPK_KR-1'!AM:AM,'JPK_KR-1'!W:W,B762),"")</f>
        <v/>
      </c>
      <c r="E762" s="5" t="str">
        <f>IF(kokpit!E762&lt;&gt;"",kokpit!E762,"")</f>
        <v/>
      </c>
      <c r="F762" s="127" t="str">
        <f>IF(kokpit!F762&lt;&gt;"",kokpit!F762,"")</f>
        <v/>
      </c>
      <c r="G762" s="24" t="str">
        <f>IF(E762&lt;&gt;"",SUMIFS('JPK_KR-1'!AL:AL,'JPK_KR-1'!W:W,F762),"")</f>
        <v/>
      </c>
      <c r="H762" s="126" t="str">
        <f>IF(E762&lt;&gt;"",SUMIFS('JPK_KR-1'!AM:AM,'JPK_KR-1'!W:W,F762),"")</f>
        <v/>
      </c>
      <c r="I762" s="5" t="str">
        <f>IF(kokpit!I762&lt;&gt;"",kokpit!I762,"")</f>
        <v/>
      </c>
      <c r="J762" s="5" t="str">
        <f>IF(kokpit!J762&lt;&gt;"",kokpit!J762,"")</f>
        <v/>
      </c>
      <c r="K762" s="24" t="str">
        <f>IF(I762&lt;&gt;"",SUMIFS('JPK_KR-1'!AL:AL,'JPK_KR-1'!W:W,J762),"")</f>
        <v/>
      </c>
      <c r="L762" s="141" t="str">
        <f>IF(I762&lt;&gt;"",SUMIFS('JPK_KR-1'!AM:AM,'JPK_KR-1'!W:W,J762),"")</f>
        <v/>
      </c>
      <c r="M762" s="143" t="str">
        <f>IF(kokpit!M762&lt;&gt;"",kokpit!M762,"")</f>
        <v/>
      </c>
      <c r="N762" s="117" t="str">
        <f>IF(kokpit!N762&lt;&gt;"",kokpit!N762,"")</f>
        <v/>
      </c>
      <c r="O762" s="117" t="str">
        <f>IF(kokpit!O762&lt;&gt;"",kokpit!O762,"")</f>
        <v/>
      </c>
      <c r="P762" s="141" t="str">
        <f>IF(M762&lt;&gt;"",IF(O762="",SUMIFS('JPK_KR-1'!AL:AL,'JPK_KR-1'!W:W,N762),SUMIFS('JPK_KR-1'!BF:BF,'JPK_KR-1'!BE:BE,N762,'JPK_KR-1'!BG:BG,O762)),"")</f>
        <v/>
      </c>
      <c r="Q762" s="144" t="str">
        <f>IF(M762&lt;&gt;"",IF(O762="",SUMIFS('JPK_KR-1'!AM:AM,'JPK_KR-1'!W:W,N762),SUMIFS('JPK_KR-1'!BI:BI,'JPK_KR-1'!BH:BH,N762,'JPK_KR-1'!BJ:BJ,O762)),"")</f>
        <v/>
      </c>
      <c r="R762" s="117" t="str">
        <f>IF(kokpit!R762&lt;&gt;"",kokpit!R762,"")</f>
        <v/>
      </c>
      <c r="S762" s="117" t="str">
        <f>IF(kokpit!S762&lt;&gt;"",kokpit!S762,"")</f>
        <v/>
      </c>
      <c r="T762" s="117" t="str">
        <f>IF(kokpit!T762&lt;&gt;"",kokpit!T762,"")</f>
        <v/>
      </c>
      <c r="U762" s="141" t="str">
        <f>IF(R762&lt;&gt;"",SUMIFS('JPK_KR-1'!AL:AL,'JPK_KR-1'!W:W,S762),"")</f>
        <v/>
      </c>
      <c r="V762" s="144" t="str">
        <f>IF(R762&lt;&gt;"",SUMIFS('JPK_KR-1'!AM:AM,'JPK_KR-1'!W:W,S762),"")</f>
        <v/>
      </c>
    </row>
    <row r="763" spans="1:22" x14ac:dyDescent="0.3">
      <c r="A763" s="5" t="str">
        <f>IF(kokpit!A763&lt;&gt;"",kokpit!A763,"")</f>
        <v/>
      </c>
      <c r="B763" s="5" t="str">
        <f>IF(kokpit!B763&lt;&gt;"",kokpit!B763,"")</f>
        <v/>
      </c>
      <c r="C763" s="24" t="str">
        <f>IF(A763&lt;&gt;"",SUMIFS('JPK_KR-1'!AL:AL,'JPK_KR-1'!W:W,B763),"")</f>
        <v/>
      </c>
      <c r="D763" s="126" t="str">
        <f>IF(A763&lt;&gt;"",SUMIFS('JPK_KR-1'!AM:AM,'JPK_KR-1'!W:W,B763),"")</f>
        <v/>
      </c>
      <c r="E763" s="5" t="str">
        <f>IF(kokpit!E763&lt;&gt;"",kokpit!E763,"")</f>
        <v/>
      </c>
      <c r="F763" s="127" t="str">
        <f>IF(kokpit!F763&lt;&gt;"",kokpit!F763,"")</f>
        <v/>
      </c>
      <c r="G763" s="24" t="str">
        <f>IF(E763&lt;&gt;"",SUMIFS('JPK_KR-1'!AL:AL,'JPK_KR-1'!W:W,F763),"")</f>
        <v/>
      </c>
      <c r="H763" s="126" t="str">
        <f>IF(E763&lt;&gt;"",SUMIFS('JPK_KR-1'!AM:AM,'JPK_KR-1'!W:W,F763),"")</f>
        <v/>
      </c>
      <c r="I763" s="5" t="str">
        <f>IF(kokpit!I763&lt;&gt;"",kokpit!I763,"")</f>
        <v/>
      </c>
      <c r="J763" s="5" t="str">
        <f>IF(kokpit!J763&lt;&gt;"",kokpit!J763,"")</f>
        <v/>
      </c>
      <c r="K763" s="24" t="str">
        <f>IF(I763&lt;&gt;"",SUMIFS('JPK_KR-1'!AL:AL,'JPK_KR-1'!W:W,J763),"")</f>
        <v/>
      </c>
      <c r="L763" s="141" t="str">
        <f>IF(I763&lt;&gt;"",SUMIFS('JPK_KR-1'!AM:AM,'JPK_KR-1'!W:W,J763),"")</f>
        <v/>
      </c>
      <c r="M763" s="143" t="str">
        <f>IF(kokpit!M763&lt;&gt;"",kokpit!M763,"")</f>
        <v/>
      </c>
      <c r="N763" s="117" t="str">
        <f>IF(kokpit!N763&lt;&gt;"",kokpit!N763,"")</f>
        <v/>
      </c>
      <c r="O763" s="117" t="str">
        <f>IF(kokpit!O763&lt;&gt;"",kokpit!O763,"")</f>
        <v/>
      </c>
      <c r="P763" s="141" t="str">
        <f>IF(M763&lt;&gt;"",IF(O763="",SUMIFS('JPK_KR-1'!AL:AL,'JPK_KR-1'!W:W,N763),SUMIFS('JPK_KR-1'!BF:BF,'JPK_KR-1'!BE:BE,N763,'JPK_KR-1'!BG:BG,O763)),"")</f>
        <v/>
      </c>
      <c r="Q763" s="144" t="str">
        <f>IF(M763&lt;&gt;"",IF(O763="",SUMIFS('JPK_KR-1'!AM:AM,'JPK_KR-1'!W:W,N763),SUMIFS('JPK_KR-1'!BI:BI,'JPK_KR-1'!BH:BH,N763,'JPK_KR-1'!BJ:BJ,O763)),"")</f>
        <v/>
      </c>
      <c r="R763" s="117" t="str">
        <f>IF(kokpit!R763&lt;&gt;"",kokpit!R763,"")</f>
        <v/>
      </c>
      <c r="S763" s="117" t="str">
        <f>IF(kokpit!S763&lt;&gt;"",kokpit!S763,"")</f>
        <v/>
      </c>
      <c r="T763" s="117" t="str">
        <f>IF(kokpit!T763&lt;&gt;"",kokpit!T763,"")</f>
        <v/>
      </c>
      <c r="U763" s="141" t="str">
        <f>IF(R763&lt;&gt;"",SUMIFS('JPK_KR-1'!AL:AL,'JPK_KR-1'!W:W,S763),"")</f>
        <v/>
      </c>
      <c r="V763" s="144" t="str">
        <f>IF(R763&lt;&gt;"",SUMIFS('JPK_KR-1'!AM:AM,'JPK_KR-1'!W:W,S763),"")</f>
        <v/>
      </c>
    </row>
    <row r="764" spans="1:22" x14ac:dyDescent="0.3">
      <c r="A764" s="5" t="str">
        <f>IF(kokpit!A764&lt;&gt;"",kokpit!A764,"")</f>
        <v/>
      </c>
      <c r="B764" s="5" t="str">
        <f>IF(kokpit!B764&lt;&gt;"",kokpit!B764,"")</f>
        <v/>
      </c>
      <c r="C764" s="24" t="str">
        <f>IF(A764&lt;&gt;"",SUMIFS('JPK_KR-1'!AL:AL,'JPK_KR-1'!W:W,B764),"")</f>
        <v/>
      </c>
      <c r="D764" s="126" t="str">
        <f>IF(A764&lt;&gt;"",SUMIFS('JPK_KR-1'!AM:AM,'JPK_KR-1'!W:W,B764),"")</f>
        <v/>
      </c>
      <c r="E764" s="5" t="str">
        <f>IF(kokpit!E764&lt;&gt;"",kokpit!E764,"")</f>
        <v/>
      </c>
      <c r="F764" s="127" t="str">
        <f>IF(kokpit!F764&lt;&gt;"",kokpit!F764,"")</f>
        <v/>
      </c>
      <c r="G764" s="24" t="str">
        <f>IF(E764&lt;&gt;"",SUMIFS('JPK_KR-1'!AL:AL,'JPK_KR-1'!W:W,F764),"")</f>
        <v/>
      </c>
      <c r="H764" s="126" t="str">
        <f>IF(E764&lt;&gt;"",SUMIFS('JPK_KR-1'!AM:AM,'JPK_KR-1'!W:W,F764),"")</f>
        <v/>
      </c>
      <c r="I764" s="5" t="str">
        <f>IF(kokpit!I764&lt;&gt;"",kokpit!I764,"")</f>
        <v/>
      </c>
      <c r="J764" s="5" t="str">
        <f>IF(kokpit!J764&lt;&gt;"",kokpit!J764,"")</f>
        <v/>
      </c>
      <c r="K764" s="24" t="str">
        <f>IF(I764&lt;&gt;"",SUMIFS('JPK_KR-1'!AL:AL,'JPK_KR-1'!W:W,J764),"")</f>
        <v/>
      </c>
      <c r="L764" s="141" t="str">
        <f>IF(I764&lt;&gt;"",SUMIFS('JPK_KR-1'!AM:AM,'JPK_KR-1'!W:W,J764),"")</f>
        <v/>
      </c>
      <c r="M764" s="143" t="str">
        <f>IF(kokpit!M764&lt;&gt;"",kokpit!M764,"")</f>
        <v/>
      </c>
      <c r="N764" s="117" t="str">
        <f>IF(kokpit!N764&lt;&gt;"",kokpit!N764,"")</f>
        <v/>
      </c>
      <c r="O764" s="117" t="str">
        <f>IF(kokpit!O764&lt;&gt;"",kokpit!O764,"")</f>
        <v/>
      </c>
      <c r="P764" s="141" t="str">
        <f>IF(M764&lt;&gt;"",IF(O764="",SUMIFS('JPK_KR-1'!AL:AL,'JPK_KR-1'!W:W,N764),SUMIFS('JPK_KR-1'!BF:BF,'JPK_KR-1'!BE:BE,N764,'JPK_KR-1'!BG:BG,O764)),"")</f>
        <v/>
      </c>
      <c r="Q764" s="144" t="str">
        <f>IF(M764&lt;&gt;"",IF(O764="",SUMIFS('JPK_KR-1'!AM:AM,'JPK_KR-1'!W:W,N764),SUMIFS('JPK_KR-1'!BI:BI,'JPK_KR-1'!BH:BH,N764,'JPK_KR-1'!BJ:BJ,O764)),"")</f>
        <v/>
      </c>
      <c r="R764" s="117" t="str">
        <f>IF(kokpit!R764&lt;&gt;"",kokpit!R764,"")</f>
        <v/>
      </c>
      <c r="S764" s="117" t="str">
        <f>IF(kokpit!S764&lt;&gt;"",kokpit!S764,"")</f>
        <v/>
      </c>
      <c r="T764" s="117" t="str">
        <f>IF(kokpit!T764&lt;&gt;"",kokpit!T764,"")</f>
        <v/>
      </c>
      <c r="U764" s="141" t="str">
        <f>IF(R764&lt;&gt;"",SUMIFS('JPK_KR-1'!AL:AL,'JPK_KR-1'!W:W,S764),"")</f>
        <v/>
      </c>
      <c r="V764" s="144" t="str">
        <f>IF(R764&lt;&gt;"",SUMIFS('JPK_KR-1'!AM:AM,'JPK_KR-1'!W:W,S764),"")</f>
        <v/>
      </c>
    </row>
    <row r="765" spans="1:22" x14ac:dyDescent="0.3">
      <c r="A765" s="5" t="str">
        <f>IF(kokpit!A765&lt;&gt;"",kokpit!A765,"")</f>
        <v/>
      </c>
      <c r="B765" s="5" t="str">
        <f>IF(kokpit!B765&lt;&gt;"",kokpit!B765,"")</f>
        <v/>
      </c>
      <c r="C765" s="24" t="str">
        <f>IF(A765&lt;&gt;"",SUMIFS('JPK_KR-1'!AL:AL,'JPK_KR-1'!W:W,B765),"")</f>
        <v/>
      </c>
      <c r="D765" s="126" t="str">
        <f>IF(A765&lt;&gt;"",SUMIFS('JPK_KR-1'!AM:AM,'JPK_KR-1'!W:W,B765),"")</f>
        <v/>
      </c>
      <c r="E765" s="5" t="str">
        <f>IF(kokpit!E765&lt;&gt;"",kokpit!E765,"")</f>
        <v/>
      </c>
      <c r="F765" s="127" t="str">
        <f>IF(kokpit!F765&lt;&gt;"",kokpit!F765,"")</f>
        <v/>
      </c>
      <c r="G765" s="24" t="str">
        <f>IF(E765&lt;&gt;"",SUMIFS('JPK_KR-1'!AL:AL,'JPK_KR-1'!W:W,F765),"")</f>
        <v/>
      </c>
      <c r="H765" s="126" t="str">
        <f>IF(E765&lt;&gt;"",SUMIFS('JPK_KR-1'!AM:AM,'JPK_KR-1'!W:W,F765),"")</f>
        <v/>
      </c>
      <c r="I765" s="5" t="str">
        <f>IF(kokpit!I765&lt;&gt;"",kokpit!I765,"")</f>
        <v/>
      </c>
      <c r="J765" s="5" t="str">
        <f>IF(kokpit!J765&lt;&gt;"",kokpit!J765,"")</f>
        <v/>
      </c>
      <c r="K765" s="24" t="str">
        <f>IF(I765&lt;&gt;"",SUMIFS('JPK_KR-1'!AL:AL,'JPK_KR-1'!W:W,J765),"")</f>
        <v/>
      </c>
      <c r="L765" s="141" t="str">
        <f>IF(I765&lt;&gt;"",SUMIFS('JPK_KR-1'!AM:AM,'JPK_KR-1'!W:W,J765),"")</f>
        <v/>
      </c>
      <c r="M765" s="143" t="str">
        <f>IF(kokpit!M765&lt;&gt;"",kokpit!M765,"")</f>
        <v/>
      </c>
      <c r="N765" s="117" t="str">
        <f>IF(kokpit!N765&lt;&gt;"",kokpit!N765,"")</f>
        <v/>
      </c>
      <c r="O765" s="117" t="str">
        <f>IF(kokpit!O765&lt;&gt;"",kokpit!O765,"")</f>
        <v/>
      </c>
      <c r="P765" s="141" t="str">
        <f>IF(M765&lt;&gt;"",IF(O765="",SUMIFS('JPK_KR-1'!AL:AL,'JPK_KR-1'!W:W,N765),SUMIFS('JPK_KR-1'!BF:BF,'JPK_KR-1'!BE:BE,N765,'JPK_KR-1'!BG:BG,O765)),"")</f>
        <v/>
      </c>
      <c r="Q765" s="144" t="str">
        <f>IF(M765&lt;&gt;"",IF(O765="",SUMIFS('JPK_KR-1'!AM:AM,'JPK_KR-1'!W:W,N765),SUMIFS('JPK_KR-1'!BI:BI,'JPK_KR-1'!BH:BH,N765,'JPK_KR-1'!BJ:BJ,O765)),"")</f>
        <v/>
      </c>
      <c r="R765" s="117" t="str">
        <f>IF(kokpit!R765&lt;&gt;"",kokpit!R765,"")</f>
        <v/>
      </c>
      <c r="S765" s="117" t="str">
        <f>IF(kokpit!S765&lt;&gt;"",kokpit!S765,"")</f>
        <v/>
      </c>
      <c r="T765" s="117" t="str">
        <f>IF(kokpit!T765&lt;&gt;"",kokpit!T765,"")</f>
        <v/>
      </c>
      <c r="U765" s="141" t="str">
        <f>IF(R765&lt;&gt;"",SUMIFS('JPK_KR-1'!AL:AL,'JPK_KR-1'!W:W,S765),"")</f>
        <v/>
      </c>
      <c r="V765" s="144" t="str">
        <f>IF(R765&lt;&gt;"",SUMIFS('JPK_KR-1'!AM:AM,'JPK_KR-1'!W:W,S765),"")</f>
        <v/>
      </c>
    </row>
    <row r="766" spans="1:22" x14ac:dyDescent="0.3">
      <c r="A766" s="5" t="str">
        <f>IF(kokpit!A766&lt;&gt;"",kokpit!A766,"")</f>
        <v/>
      </c>
      <c r="B766" s="5" t="str">
        <f>IF(kokpit!B766&lt;&gt;"",kokpit!B766,"")</f>
        <v/>
      </c>
      <c r="C766" s="24" t="str">
        <f>IF(A766&lt;&gt;"",SUMIFS('JPK_KR-1'!AL:AL,'JPK_KR-1'!W:W,B766),"")</f>
        <v/>
      </c>
      <c r="D766" s="126" t="str">
        <f>IF(A766&lt;&gt;"",SUMIFS('JPK_KR-1'!AM:AM,'JPK_KR-1'!W:W,B766),"")</f>
        <v/>
      </c>
      <c r="E766" s="5" t="str">
        <f>IF(kokpit!E766&lt;&gt;"",kokpit!E766,"")</f>
        <v/>
      </c>
      <c r="F766" s="127" t="str">
        <f>IF(kokpit!F766&lt;&gt;"",kokpit!F766,"")</f>
        <v/>
      </c>
      <c r="G766" s="24" t="str">
        <f>IF(E766&lt;&gt;"",SUMIFS('JPK_KR-1'!AL:AL,'JPK_KR-1'!W:W,F766),"")</f>
        <v/>
      </c>
      <c r="H766" s="126" t="str">
        <f>IF(E766&lt;&gt;"",SUMIFS('JPK_KR-1'!AM:AM,'JPK_KR-1'!W:W,F766),"")</f>
        <v/>
      </c>
      <c r="I766" s="5" t="str">
        <f>IF(kokpit!I766&lt;&gt;"",kokpit!I766,"")</f>
        <v/>
      </c>
      <c r="J766" s="5" t="str">
        <f>IF(kokpit!J766&lt;&gt;"",kokpit!J766,"")</f>
        <v/>
      </c>
      <c r="K766" s="24" t="str">
        <f>IF(I766&lt;&gt;"",SUMIFS('JPK_KR-1'!AL:AL,'JPK_KR-1'!W:W,J766),"")</f>
        <v/>
      </c>
      <c r="L766" s="141" t="str">
        <f>IF(I766&lt;&gt;"",SUMIFS('JPK_KR-1'!AM:AM,'JPK_KR-1'!W:W,J766),"")</f>
        <v/>
      </c>
      <c r="M766" s="143" t="str">
        <f>IF(kokpit!M766&lt;&gt;"",kokpit!M766,"")</f>
        <v/>
      </c>
      <c r="N766" s="117" t="str">
        <f>IF(kokpit!N766&lt;&gt;"",kokpit!N766,"")</f>
        <v/>
      </c>
      <c r="O766" s="117" t="str">
        <f>IF(kokpit!O766&lt;&gt;"",kokpit!O766,"")</f>
        <v/>
      </c>
      <c r="P766" s="141" t="str">
        <f>IF(M766&lt;&gt;"",IF(O766="",SUMIFS('JPK_KR-1'!AL:AL,'JPK_KR-1'!W:W,N766),SUMIFS('JPK_KR-1'!BF:BF,'JPK_KR-1'!BE:BE,N766,'JPK_KR-1'!BG:BG,O766)),"")</f>
        <v/>
      </c>
      <c r="Q766" s="144" t="str">
        <f>IF(M766&lt;&gt;"",IF(O766="",SUMIFS('JPK_KR-1'!AM:AM,'JPK_KR-1'!W:W,N766),SUMIFS('JPK_KR-1'!BI:BI,'JPK_KR-1'!BH:BH,N766,'JPK_KR-1'!BJ:BJ,O766)),"")</f>
        <v/>
      </c>
      <c r="R766" s="117" t="str">
        <f>IF(kokpit!R766&lt;&gt;"",kokpit!R766,"")</f>
        <v/>
      </c>
      <c r="S766" s="117" t="str">
        <f>IF(kokpit!S766&lt;&gt;"",kokpit!S766,"")</f>
        <v/>
      </c>
      <c r="T766" s="117" t="str">
        <f>IF(kokpit!T766&lt;&gt;"",kokpit!T766,"")</f>
        <v/>
      </c>
      <c r="U766" s="141" t="str">
        <f>IF(R766&lt;&gt;"",SUMIFS('JPK_KR-1'!AL:AL,'JPK_KR-1'!W:W,S766),"")</f>
        <v/>
      </c>
      <c r="V766" s="144" t="str">
        <f>IF(R766&lt;&gt;"",SUMIFS('JPK_KR-1'!AM:AM,'JPK_KR-1'!W:W,S766),"")</f>
        <v/>
      </c>
    </row>
    <row r="767" spans="1:22" x14ac:dyDescent="0.3">
      <c r="A767" s="5" t="str">
        <f>IF(kokpit!A767&lt;&gt;"",kokpit!A767,"")</f>
        <v/>
      </c>
      <c r="B767" s="5" t="str">
        <f>IF(kokpit!B767&lt;&gt;"",kokpit!B767,"")</f>
        <v/>
      </c>
      <c r="C767" s="24" t="str">
        <f>IF(A767&lt;&gt;"",SUMIFS('JPK_KR-1'!AL:AL,'JPK_KR-1'!W:W,B767),"")</f>
        <v/>
      </c>
      <c r="D767" s="126" t="str">
        <f>IF(A767&lt;&gt;"",SUMIFS('JPK_KR-1'!AM:AM,'JPK_KR-1'!W:W,B767),"")</f>
        <v/>
      </c>
      <c r="E767" s="5" t="str">
        <f>IF(kokpit!E767&lt;&gt;"",kokpit!E767,"")</f>
        <v/>
      </c>
      <c r="F767" s="127" t="str">
        <f>IF(kokpit!F767&lt;&gt;"",kokpit!F767,"")</f>
        <v/>
      </c>
      <c r="G767" s="24" t="str">
        <f>IF(E767&lt;&gt;"",SUMIFS('JPK_KR-1'!AL:AL,'JPK_KR-1'!W:W,F767),"")</f>
        <v/>
      </c>
      <c r="H767" s="126" t="str">
        <f>IF(E767&lt;&gt;"",SUMIFS('JPK_KR-1'!AM:AM,'JPK_KR-1'!W:W,F767),"")</f>
        <v/>
      </c>
      <c r="I767" s="5" t="str">
        <f>IF(kokpit!I767&lt;&gt;"",kokpit!I767,"")</f>
        <v/>
      </c>
      <c r="J767" s="5" t="str">
        <f>IF(kokpit!J767&lt;&gt;"",kokpit!J767,"")</f>
        <v/>
      </c>
      <c r="K767" s="24" t="str">
        <f>IF(I767&lt;&gt;"",SUMIFS('JPK_KR-1'!AL:AL,'JPK_KR-1'!W:W,J767),"")</f>
        <v/>
      </c>
      <c r="L767" s="141" t="str">
        <f>IF(I767&lt;&gt;"",SUMIFS('JPK_KR-1'!AM:AM,'JPK_KR-1'!W:W,J767),"")</f>
        <v/>
      </c>
      <c r="M767" s="143" t="str">
        <f>IF(kokpit!M767&lt;&gt;"",kokpit!M767,"")</f>
        <v/>
      </c>
      <c r="N767" s="117" t="str">
        <f>IF(kokpit!N767&lt;&gt;"",kokpit!N767,"")</f>
        <v/>
      </c>
      <c r="O767" s="117" t="str">
        <f>IF(kokpit!O767&lt;&gt;"",kokpit!O767,"")</f>
        <v/>
      </c>
      <c r="P767" s="141" t="str">
        <f>IF(M767&lt;&gt;"",IF(O767="",SUMIFS('JPK_KR-1'!AL:AL,'JPK_KR-1'!W:W,N767),SUMIFS('JPK_KR-1'!BF:BF,'JPK_KR-1'!BE:BE,N767,'JPK_KR-1'!BG:BG,O767)),"")</f>
        <v/>
      </c>
      <c r="Q767" s="144" t="str">
        <f>IF(M767&lt;&gt;"",IF(O767="",SUMIFS('JPK_KR-1'!AM:AM,'JPK_KR-1'!W:W,N767),SUMIFS('JPK_KR-1'!BI:BI,'JPK_KR-1'!BH:BH,N767,'JPK_KR-1'!BJ:BJ,O767)),"")</f>
        <v/>
      </c>
      <c r="R767" s="117" t="str">
        <f>IF(kokpit!R767&lt;&gt;"",kokpit!R767,"")</f>
        <v/>
      </c>
      <c r="S767" s="117" t="str">
        <f>IF(kokpit!S767&lt;&gt;"",kokpit!S767,"")</f>
        <v/>
      </c>
      <c r="T767" s="117" t="str">
        <f>IF(kokpit!T767&lt;&gt;"",kokpit!T767,"")</f>
        <v/>
      </c>
      <c r="U767" s="141" t="str">
        <f>IF(R767&lt;&gt;"",SUMIFS('JPK_KR-1'!AL:AL,'JPK_KR-1'!W:W,S767),"")</f>
        <v/>
      </c>
      <c r="V767" s="144" t="str">
        <f>IF(R767&lt;&gt;"",SUMIFS('JPK_KR-1'!AM:AM,'JPK_KR-1'!W:W,S767),"")</f>
        <v/>
      </c>
    </row>
    <row r="768" spans="1:22" x14ac:dyDescent="0.3">
      <c r="A768" s="5" t="str">
        <f>IF(kokpit!A768&lt;&gt;"",kokpit!A768,"")</f>
        <v/>
      </c>
      <c r="B768" s="5" t="str">
        <f>IF(kokpit!B768&lt;&gt;"",kokpit!B768,"")</f>
        <v/>
      </c>
      <c r="C768" s="24" t="str">
        <f>IF(A768&lt;&gt;"",SUMIFS('JPK_KR-1'!AL:AL,'JPK_KR-1'!W:W,B768),"")</f>
        <v/>
      </c>
      <c r="D768" s="126" t="str">
        <f>IF(A768&lt;&gt;"",SUMIFS('JPK_KR-1'!AM:AM,'JPK_KR-1'!W:W,B768),"")</f>
        <v/>
      </c>
      <c r="E768" s="5" t="str">
        <f>IF(kokpit!E768&lt;&gt;"",kokpit!E768,"")</f>
        <v/>
      </c>
      <c r="F768" s="127" t="str">
        <f>IF(kokpit!F768&lt;&gt;"",kokpit!F768,"")</f>
        <v/>
      </c>
      <c r="G768" s="24" t="str">
        <f>IF(E768&lt;&gt;"",SUMIFS('JPK_KR-1'!AL:AL,'JPK_KR-1'!W:W,F768),"")</f>
        <v/>
      </c>
      <c r="H768" s="126" t="str">
        <f>IF(E768&lt;&gt;"",SUMIFS('JPK_KR-1'!AM:AM,'JPK_KR-1'!W:W,F768),"")</f>
        <v/>
      </c>
      <c r="I768" s="5" t="str">
        <f>IF(kokpit!I768&lt;&gt;"",kokpit!I768,"")</f>
        <v/>
      </c>
      <c r="J768" s="5" t="str">
        <f>IF(kokpit!J768&lt;&gt;"",kokpit!J768,"")</f>
        <v/>
      </c>
      <c r="K768" s="24" t="str">
        <f>IF(I768&lt;&gt;"",SUMIFS('JPK_KR-1'!AL:AL,'JPK_KR-1'!W:W,J768),"")</f>
        <v/>
      </c>
      <c r="L768" s="141" t="str">
        <f>IF(I768&lt;&gt;"",SUMIFS('JPK_KR-1'!AM:AM,'JPK_KR-1'!W:W,J768),"")</f>
        <v/>
      </c>
      <c r="M768" s="143" t="str">
        <f>IF(kokpit!M768&lt;&gt;"",kokpit!M768,"")</f>
        <v/>
      </c>
      <c r="N768" s="117" t="str">
        <f>IF(kokpit!N768&lt;&gt;"",kokpit!N768,"")</f>
        <v/>
      </c>
      <c r="O768" s="117" t="str">
        <f>IF(kokpit!O768&lt;&gt;"",kokpit!O768,"")</f>
        <v/>
      </c>
      <c r="P768" s="141" t="str">
        <f>IF(M768&lt;&gt;"",IF(O768="",SUMIFS('JPK_KR-1'!AL:AL,'JPK_KR-1'!W:W,N768),SUMIFS('JPK_KR-1'!BF:BF,'JPK_KR-1'!BE:BE,N768,'JPK_KR-1'!BG:BG,O768)),"")</f>
        <v/>
      </c>
      <c r="Q768" s="144" t="str">
        <f>IF(M768&lt;&gt;"",IF(O768="",SUMIFS('JPK_KR-1'!AM:AM,'JPK_KR-1'!W:W,N768),SUMIFS('JPK_KR-1'!BI:BI,'JPK_KR-1'!BH:BH,N768,'JPK_KR-1'!BJ:BJ,O768)),"")</f>
        <v/>
      </c>
      <c r="R768" s="117" t="str">
        <f>IF(kokpit!R768&lt;&gt;"",kokpit!R768,"")</f>
        <v/>
      </c>
      <c r="S768" s="117" t="str">
        <f>IF(kokpit!S768&lt;&gt;"",kokpit!S768,"")</f>
        <v/>
      </c>
      <c r="T768" s="117" t="str">
        <f>IF(kokpit!T768&lt;&gt;"",kokpit!T768,"")</f>
        <v/>
      </c>
      <c r="U768" s="141" t="str">
        <f>IF(R768&lt;&gt;"",SUMIFS('JPK_KR-1'!AL:AL,'JPK_KR-1'!W:W,S768),"")</f>
        <v/>
      </c>
      <c r="V768" s="144" t="str">
        <f>IF(R768&lt;&gt;"",SUMIFS('JPK_KR-1'!AM:AM,'JPK_KR-1'!W:W,S768),"")</f>
        <v/>
      </c>
    </row>
    <row r="769" spans="1:22" x14ac:dyDescent="0.3">
      <c r="A769" s="5" t="str">
        <f>IF(kokpit!A769&lt;&gt;"",kokpit!A769,"")</f>
        <v/>
      </c>
      <c r="B769" s="5" t="str">
        <f>IF(kokpit!B769&lt;&gt;"",kokpit!B769,"")</f>
        <v/>
      </c>
      <c r="C769" s="24" t="str">
        <f>IF(A769&lt;&gt;"",SUMIFS('JPK_KR-1'!AL:AL,'JPK_KR-1'!W:W,B769),"")</f>
        <v/>
      </c>
      <c r="D769" s="126" t="str">
        <f>IF(A769&lt;&gt;"",SUMIFS('JPK_KR-1'!AM:AM,'JPK_KR-1'!W:W,B769),"")</f>
        <v/>
      </c>
      <c r="E769" s="5" t="str">
        <f>IF(kokpit!E769&lt;&gt;"",kokpit!E769,"")</f>
        <v/>
      </c>
      <c r="F769" s="127" t="str">
        <f>IF(kokpit!F769&lt;&gt;"",kokpit!F769,"")</f>
        <v/>
      </c>
      <c r="G769" s="24" t="str">
        <f>IF(E769&lt;&gt;"",SUMIFS('JPK_KR-1'!AL:AL,'JPK_KR-1'!W:W,F769),"")</f>
        <v/>
      </c>
      <c r="H769" s="126" t="str">
        <f>IF(E769&lt;&gt;"",SUMIFS('JPK_KR-1'!AM:AM,'JPK_KR-1'!W:W,F769),"")</f>
        <v/>
      </c>
      <c r="I769" s="5" t="str">
        <f>IF(kokpit!I769&lt;&gt;"",kokpit!I769,"")</f>
        <v/>
      </c>
      <c r="J769" s="5" t="str">
        <f>IF(kokpit!J769&lt;&gt;"",kokpit!J769,"")</f>
        <v/>
      </c>
      <c r="K769" s="24" t="str">
        <f>IF(I769&lt;&gt;"",SUMIFS('JPK_KR-1'!AL:AL,'JPK_KR-1'!W:W,J769),"")</f>
        <v/>
      </c>
      <c r="L769" s="141" t="str">
        <f>IF(I769&lt;&gt;"",SUMIFS('JPK_KR-1'!AM:AM,'JPK_KR-1'!W:W,J769),"")</f>
        <v/>
      </c>
      <c r="M769" s="143" t="str">
        <f>IF(kokpit!M769&lt;&gt;"",kokpit!M769,"")</f>
        <v/>
      </c>
      <c r="N769" s="117" t="str">
        <f>IF(kokpit!N769&lt;&gt;"",kokpit!N769,"")</f>
        <v/>
      </c>
      <c r="O769" s="117" t="str">
        <f>IF(kokpit!O769&lt;&gt;"",kokpit!O769,"")</f>
        <v/>
      </c>
      <c r="P769" s="141" t="str">
        <f>IF(M769&lt;&gt;"",IF(O769="",SUMIFS('JPK_KR-1'!AL:AL,'JPK_KR-1'!W:W,N769),SUMIFS('JPK_KR-1'!BF:BF,'JPK_KR-1'!BE:BE,N769,'JPK_KR-1'!BG:BG,O769)),"")</f>
        <v/>
      </c>
      <c r="Q769" s="144" t="str">
        <f>IF(M769&lt;&gt;"",IF(O769="",SUMIFS('JPK_KR-1'!AM:AM,'JPK_KR-1'!W:W,N769),SUMIFS('JPK_KR-1'!BI:BI,'JPK_KR-1'!BH:BH,N769,'JPK_KR-1'!BJ:BJ,O769)),"")</f>
        <v/>
      </c>
      <c r="R769" s="117" t="str">
        <f>IF(kokpit!R769&lt;&gt;"",kokpit!R769,"")</f>
        <v/>
      </c>
      <c r="S769" s="117" t="str">
        <f>IF(kokpit!S769&lt;&gt;"",kokpit!S769,"")</f>
        <v/>
      </c>
      <c r="T769" s="117" t="str">
        <f>IF(kokpit!T769&lt;&gt;"",kokpit!T769,"")</f>
        <v/>
      </c>
      <c r="U769" s="141" t="str">
        <f>IF(R769&lt;&gt;"",SUMIFS('JPK_KR-1'!AL:AL,'JPK_KR-1'!W:W,S769),"")</f>
        <v/>
      </c>
      <c r="V769" s="144" t="str">
        <f>IF(R769&lt;&gt;"",SUMIFS('JPK_KR-1'!AM:AM,'JPK_KR-1'!W:W,S769),"")</f>
        <v/>
      </c>
    </row>
    <row r="770" spans="1:22" x14ac:dyDescent="0.3">
      <c r="A770" s="5" t="str">
        <f>IF(kokpit!A770&lt;&gt;"",kokpit!A770,"")</f>
        <v/>
      </c>
      <c r="B770" s="5" t="str">
        <f>IF(kokpit!B770&lt;&gt;"",kokpit!B770,"")</f>
        <v/>
      </c>
      <c r="C770" s="24" t="str">
        <f>IF(A770&lt;&gt;"",SUMIFS('JPK_KR-1'!AL:AL,'JPK_KR-1'!W:W,B770),"")</f>
        <v/>
      </c>
      <c r="D770" s="126" t="str">
        <f>IF(A770&lt;&gt;"",SUMIFS('JPK_KR-1'!AM:AM,'JPK_KR-1'!W:W,B770),"")</f>
        <v/>
      </c>
      <c r="E770" s="5" t="str">
        <f>IF(kokpit!E770&lt;&gt;"",kokpit!E770,"")</f>
        <v/>
      </c>
      <c r="F770" s="127" t="str">
        <f>IF(kokpit!F770&lt;&gt;"",kokpit!F770,"")</f>
        <v/>
      </c>
      <c r="G770" s="24" t="str">
        <f>IF(E770&lt;&gt;"",SUMIFS('JPK_KR-1'!AL:AL,'JPK_KR-1'!W:W,F770),"")</f>
        <v/>
      </c>
      <c r="H770" s="126" t="str">
        <f>IF(E770&lt;&gt;"",SUMIFS('JPK_KR-1'!AM:AM,'JPK_KR-1'!W:W,F770),"")</f>
        <v/>
      </c>
      <c r="I770" s="5" t="str">
        <f>IF(kokpit!I770&lt;&gt;"",kokpit!I770,"")</f>
        <v/>
      </c>
      <c r="J770" s="5" t="str">
        <f>IF(kokpit!J770&lt;&gt;"",kokpit!J770,"")</f>
        <v/>
      </c>
      <c r="K770" s="24" t="str">
        <f>IF(I770&lt;&gt;"",SUMIFS('JPK_KR-1'!AL:AL,'JPK_KR-1'!W:W,J770),"")</f>
        <v/>
      </c>
      <c r="L770" s="141" t="str">
        <f>IF(I770&lt;&gt;"",SUMIFS('JPK_KR-1'!AM:AM,'JPK_KR-1'!W:W,J770),"")</f>
        <v/>
      </c>
      <c r="M770" s="143" t="str">
        <f>IF(kokpit!M770&lt;&gt;"",kokpit!M770,"")</f>
        <v/>
      </c>
      <c r="N770" s="117" t="str">
        <f>IF(kokpit!N770&lt;&gt;"",kokpit!N770,"")</f>
        <v/>
      </c>
      <c r="O770" s="117" t="str">
        <f>IF(kokpit!O770&lt;&gt;"",kokpit!O770,"")</f>
        <v/>
      </c>
      <c r="P770" s="141" t="str">
        <f>IF(M770&lt;&gt;"",IF(O770="",SUMIFS('JPK_KR-1'!AL:AL,'JPK_KR-1'!W:W,N770),SUMIFS('JPK_KR-1'!BF:BF,'JPK_KR-1'!BE:BE,N770,'JPK_KR-1'!BG:BG,O770)),"")</f>
        <v/>
      </c>
      <c r="Q770" s="144" t="str">
        <f>IF(M770&lt;&gt;"",IF(O770="",SUMIFS('JPK_KR-1'!AM:AM,'JPK_KR-1'!W:W,N770),SUMIFS('JPK_KR-1'!BI:BI,'JPK_KR-1'!BH:BH,N770,'JPK_KR-1'!BJ:BJ,O770)),"")</f>
        <v/>
      </c>
      <c r="R770" s="117" t="str">
        <f>IF(kokpit!R770&lt;&gt;"",kokpit!R770,"")</f>
        <v/>
      </c>
      <c r="S770" s="117" t="str">
        <f>IF(kokpit!S770&lt;&gt;"",kokpit!S770,"")</f>
        <v/>
      </c>
      <c r="T770" s="117" t="str">
        <f>IF(kokpit!T770&lt;&gt;"",kokpit!T770,"")</f>
        <v/>
      </c>
      <c r="U770" s="141" t="str">
        <f>IF(R770&lt;&gt;"",SUMIFS('JPK_KR-1'!AL:AL,'JPK_KR-1'!W:W,S770),"")</f>
        <v/>
      </c>
      <c r="V770" s="144" t="str">
        <f>IF(R770&lt;&gt;"",SUMIFS('JPK_KR-1'!AM:AM,'JPK_KR-1'!W:W,S770),"")</f>
        <v/>
      </c>
    </row>
    <row r="771" spans="1:22" x14ac:dyDescent="0.3">
      <c r="A771" s="5" t="str">
        <f>IF(kokpit!A771&lt;&gt;"",kokpit!A771,"")</f>
        <v/>
      </c>
      <c r="B771" s="5" t="str">
        <f>IF(kokpit!B771&lt;&gt;"",kokpit!B771,"")</f>
        <v/>
      </c>
      <c r="C771" s="24" t="str">
        <f>IF(A771&lt;&gt;"",SUMIFS('JPK_KR-1'!AL:AL,'JPK_KR-1'!W:W,B771),"")</f>
        <v/>
      </c>
      <c r="D771" s="126" t="str">
        <f>IF(A771&lt;&gt;"",SUMIFS('JPK_KR-1'!AM:AM,'JPK_KR-1'!W:W,B771),"")</f>
        <v/>
      </c>
      <c r="E771" s="5" t="str">
        <f>IF(kokpit!E771&lt;&gt;"",kokpit!E771,"")</f>
        <v/>
      </c>
      <c r="F771" s="127" t="str">
        <f>IF(kokpit!F771&lt;&gt;"",kokpit!F771,"")</f>
        <v/>
      </c>
      <c r="G771" s="24" t="str">
        <f>IF(E771&lt;&gt;"",SUMIFS('JPK_KR-1'!AL:AL,'JPK_KR-1'!W:W,F771),"")</f>
        <v/>
      </c>
      <c r="H771" s="126" t="str">
        <f>IF(E771&lt;&gt;"",SUMIFS('JPK_KR-1'!AM:AM,'JPK_KR-1'!W:W,F771),"")</f>
        <v/>
      </c>
      <c r="I771" s="5" t="str">
        <f>IF(kokpit!I771&lt;&gt;"",kokpit!I771,"")</f>
        <v/>
      </c>
      <c r="J771" s="5" t="str">
        <f>IF(kokpit!J771&lt;&gt;"",kokpit!J771,"")</f>
        <v/>
      </c>
      <c r="K771" s="24" t="str">
        <f>IF(I771&lt;&gt;"",SUMIFS('JPK_KR-1'!AL:AL,'JPK_KR-1'!W:W,J771),"")</f>
        <v/>
      </c>
      <c r="L771" s="141" t="str">
        <f>IF(I771&lt;&gt;"",SUMIFS('JPK_KR-1'!AM:AM,'JPK_KR-1'!W:W,J771),"")</f>
        <v/>
      </c>
      <c r="M771" s="143" t="str">
        <f>IF(kokpit!M771&lt;&gt;"",kokpit!M771,"")</f>
        <v/>
      </c>
      <c r="N771" s="117" t="str">
        <f>IF(kokpit!N771&lt;&gt;"",kokpit!N771,"")</f>
        <v/>
      </c>
      <c r="O771" s="117" t="str">
        <f>IF(kokpit!O771&lt;&gt;"",kokpit!O771,"")</f>
        <v/>
      </c>
      <c r="P771" s="141" t="str">
        <f>IF(M771&lt;&gt;"",IF(O771="",SUMIFS('JPK_KR-1'!AL:AL,'JPK_KR-1'!W:W,N771),SUMIFS('JPK_KR-1'!BF:BF,'JPK_KR-1'!BE:BE,N771,'JPK_KR-1'!BG:BG,O771)),"")</f>
        <v/>
      </c>
      <c r="Q771" s="144" t="str">
        <f>IF(M771&lt;&gt;"",IF(O771="",SUMIFS('JPK_KR-1'!AM:AM,'JPK_KR-1'!W:W,N771),SUMIFS('JPK_KR-1'!BI:BI,'JPK_KR-1'!BH:BH,N771,'JPK_KR-1'!BJ:BJ,O771)),"")</f>
        <v/>
      </c>
      <c r="R771" s="117" t="str">
        <f>IF(kokpit!R771&lt;&gt;"",kokpit!R771,"")</f>
        <v/>
      </c>
      <c r="S771" s="117" t="str">
        <f>IF(kokpit!S771&lt;&gt;"",kokpit!S771,"")</f>
        <v/>
      </c>
      <c r="T771" s="117" t="str">
        <f>IF(kokpit!T771&lt;&gt;"",kokpit!T771,"")</f>
        <v/>
      </c>
      <c r="U771" s="141" t="str">
        <f>IF(R771&lt;&gt;"",SUMIFS('JPK_KR-1'!AL:AL,'JPK_KR-1'!W:W,S771),"")</f>
        <v/>
      </c>
      <c r="V771" s="144" t="str">
        <f>IF(R771&lt;&gt;"",SUMIFS('JPK_KR-1'!AM:AM,'JPK_KR-1'!W:W,S771),"")</f>
        <v/>
      </c>
    </row>
    <row r="772" spans="1:22" x14ac:dyDescent="0.3">
      <c r="A772" s="5" t="str">
        <f>IF(kokpit!A772&lt;&gt;"",kokpit!A772,"")</f>
        <v/>
      </c>
      <c r="B772" s="5" t="str">
        <f>IF(kokpit!B772&lt;&gt;"",kokpit!B772,"")</f>
        <v/>
      </c>
      <c r="C772" s="24" t="str">
        <f>IF(A772&lt;&gt;"",SUMIFS('JPK_KR-1'!AL:AL,'JPK_KR-1'!W:W,B772),"")</f>
        <v/>
      </c>
      <c r="D772" s="126" t="str">
        <f>IF(A772&lt;&gt;"",SUMIFS('JPK_KR-1'!AM:AM,'JPK_KR-1'!W:W,B772),"")</f>
        <v/>
      </c>
      <c r="E772" s="5" t="str">
        <f>IF(kokpit!E772&lt;&gt;"",kokpit!E772,"")</f>
        <v/>
      </c>
      <c r="F772" s="127" t="str">
        <f>IF(kokpit!F772&lt;&gt;"",kokpit!F772,"")</f>
        <v/>
      </c>
      <c r="G772" s="24" t="str">
        <f>IF(E772&lt;&gt;"",SUMIFS('JPK_KR-1'!AL:AL,'JPK_KR-1'!W:W,F772),"")</f>
        <v/>
      </c>
      <c r="H772" s="126" t="str">
        <f>IF(E772&lt;&gt;"",SUMIFS('JPK_KR-1'!AM:AM,'JPK_KR-1'!W:W,F772),"")</f>
        <v/>
      </c>
      <c r="I772" s="5" t="str">
        <f>IF(kokpit!I772&lt;&gt;"",kokpit!I772,"")</f>
        <v/>
      </c>
      <c r="J772" s="5" t="str">
        <f>IF(kokpit!J772&lt;&gt;"",kokpit!J772,"")</f>
        <v/>
      </c>
      <c r="K772" s="24" t="str">
        <f>IF(I772&lt;&gt;"",SUMIFS('JPK_KR-1'!AL:AL,'JPK_KR-1'!W:W,J772),"")</f>
        <v/>
      </c>
      <c r="L772" s="141" t="str">
        <f>IF(I772&lt;&gt;"",SUMIFS('JPK_KR-1'!AM:AM,'JPK_KR-1'!W:W,J772),"")</f>
        <v/>
      </c>
      <c r="M772" s="143" t="str">
        <f>IF(kokpit!M772&lt;&gt;"",kokpit!M772,"")</f>
        <v/>
      </c>
      <c r="N772" s="117" t="str">
        <f>IF(kokpit!N772&lt;&gt;"",kokpit!N772,"")</f>
        <v/>
      </c>
      <c r="O772" s="117" t="str">
        <f>IF(kokpit!O772&lt;&gt;"",kokpit!O772,"")</f>
        <v/>
      </c>
      <c r="P772" s="141" t="str">
        <f>IF(M772&lt;&gt;"",IF(O772="",SUMIFS('JPK_KR-1'!AL:AL,'JPK_KR-1'!W:W,N772),SUMIFS('JPK_KR-1'!BF:BF,'JPK_KR-1'!BE:BE,N772,'JPK_KR-1'!BG:BG,O772)),"")</f>
        <v/>
      </c>
      <c r="Q772" s="144" t="str">
        <f>IF(M772&lt;&gt;"",IF(O772="",SUMIFS('JPK_KR-1'!AM:AM,'JPK_KR-1'!W:W,N772),SUMIFS('JPK_KR-1'!BI:BI,'JPK_KR-1'!BH:BH,N772,'JPK_KR-1'!BJ:BJ,O772)),"")</f>
        <v/>
      </c>
      <c r="R772" s="117" t="str">
        <f>IF(kokpit!R772&lt;&gt;"",kokpit!R772,"")</f>
        <v/>
      </c>
      <c r="S772" s="117" t="str">
        <f>IF(kokpit!S772&lt;&gt;"",kokpit!S772,"")</f>
        <v/>
      </c>
      <c r="T772" s="117" t="str">
        <f>IF(kokpit!T772&lt;&gt;"",kokpit!T772,"")</f>
        <v/>
      </c>
      <c r="U772" s="141" t="str">
        <f>IF(R772&lt;&gt;"",SUMIFS('JPK_KR-1'!AL:AL,'JPK_KR-1'!W:W,S772),"")</f>
        <v/>
      </c>
      <c r="V772" s="144" t="str">
        <f>IF(R772&lt;&gt;"",SUMIFS('JPK_KR-1'!AM:AM,'JPK_KR-1'!W:W,S772),"")</f>
        <v/>
      </c>
    </row>
    <row r="773" spans="1:22" x14ac:dyDescent="0.3">
      <c r="A773" s="5" t="str">
        <f>IF(kokpit!A773&lt;&gt;"",kokpit!A773,"")</f>
        <v/>
      </c>
      <c r="B773" s="5" t="str">
        <f>IF(kokpit!B773&lt;&gt;"",kokpit!B773,"")</f>
        <v/>
      </c>
      <c r="C773" s="24" t="str">
        <f>IF(A773&lt;&gt;"",SUMIFS('JPK_KR-1'!AL:AL,'JPK_KR-1'!W:W,B773),"")</f>
        <v/>
      </c>
      <c r="D773" s="126" t="str">
        <f>IF(A773&lt;&gt;"",SUMIFS('JPK_KR-1'!AM:AM,'JPK_KR-1'!W:W,B773),"")</f>
        <v/>
      </c>
      <c r="E773" s="5" t="str">
        <f>IF(kokpit!E773&lt;&gt;"",kokpit!E773,"")</f>
        <v/>
      </c>
      <c r="F773" s="127" t="str">
        <f>IF(kokpit!F773&lt;&gt;"",kokpit!F773,"")</f>
        <v/>
      </c>
      <c r="G773" s="24" t="str">
        <f>IF(E773&lt;&gt;"",SUMIFS('JPK_KR-1'!AL:AL,'JPK_KR-1'!W:W,F773),"")</f>
        <v/>
      </c>
      <c r="H773" s="126" t="str">
        <f>IF(E773&lt;&gt;"",SUMIFS('JPK_KR-1'!AM:AM,'JPK_KR-1'!W:W,F773),"")</f>
        <v/>
      </c>
      <c r="I773" s="5" t="str">
        <f>IF(kokpit!I773&lt;&gt;"",kokpit!I773,"")</f>
        <v/>
      </c>
      <c r="J773" s="5" t="str">
        <f>IF(kokpit!J773&lt;&gt;"",kokpit!J773,"")</f>
        <v/>
      </c>
      <c r="K773" s="24" t="str">
        <f>IF(I773&lt;&gt;"",SUMIFS('JPK_KR-1'!AL:AL,'JPK_KR-1'!W:W,J773),"")</f>
        <v/>
      </c>
      <c r="L773" s="141" t="str">
        <f>IF(I773&lt;&gt;"",SUMIFS('JPK_KR-1'!AM:AM,'JPK_KR-1'!W:W,J773),"")</f>
        <v/>
      </c>
      <c r="M773" s="143" t="str">
        <f>IF(kokpit!M773&lt;&gt;"",kokpit!M773,"")</f>
        <v/>
      </c>
      <c r="N773" s="117" t="str">
        <f>IF(kokpit!N773&lt;&gt;"",kokpit!N773,"")</f>
        <v/>
      </c>
      <c r="O773" s="117" t="str">
        <f>IF(kokpit!O773&lt;&gt;"",kokpit!O773,"")</f>
        <v/>
      </c>
      <c r="P773" s="141" t="str">
        <f>IF(M773&lt;&gt;"",IF(O773="",SUMIFS('JPK_KR-1'!AL:AL,'JPK_KR-1'!W:W,N773),SUMIFS('JPK_KR-1'!BF:BF,'JPK_KR-1'!BE:BE,N773,'JPK_KR-1'!BG:BG,O773)),"")</f>
        <v/>
      </c>
      <c r="Q773" s="144" t="str">
        <f>IF(M773&lt;&gt;"",IF(O773="",SUMIFS('JPK_KR-1'!AM:AM,'JPK_KR-1'!W:W,N773),SUMIFS('JPK_KR-1'!BI:BI,'JPK_KR-1'!BH:BH,N773,'JPK_KR-1'!BJ:BJ,O773)),"")</f>
        <v/>
      </c>
      <c r="R773" s="117" t="str">
        <f>IF(kokpit!R773&lt;&gt;"",kokpit!R773,"")</f>
        <v/>
      </c>
      <c r="S773" s="117" t="str">
        <f>IF(kokpit!S773&lt;&gt;"",kokpit!S773,"")</f>
        <v/>
      </c>
      <c r="T773" s="117" t="str">
        <f>IF(kokpit!T773&lt;&gt;"",kokpit!T773,"")</f>
        <v/>
      </c>
      <c r="U773" s="141" t="str">
        <f>IF(R773&lt;&gt;"",SUMIFS('JPK_KR-1'!AL:AL,'JPK_KR-1'!W:W,S773),"")</f>
        <v/>
      </c>
      <c r="V773" s="144" t="str">
        <f>IF(R773&lt;&gt;"",SUMIFS('JPK_KR-1'!AM:AM,'JPK_KR-1'!W:W,S773),"")</f>
        <v/>
      </c>
    </row>
    <row r="774" spans="1:22" x14ac:dyDescent="0.3">
      <c r="A774" s="5" t="str">
        <f>IF(kokpit!A774&lt;&gt;"",kokpit!A774,"")</f>
        <v/>
      </c>
      <c r="B774" s="5" t="str">
        <f>IF(kokpit!B774&lt;&gt;"",kokpit!B774,"")</f>
        <v/>
      </c>
      <c r="C774" s="24" t="str">
        <f>IF(A774&lt;&gt;"",SUMIFS('JPK_KR-1'!AL:AL,'JPK_KR-1'!W:W,B774),"")</f>
        <v/>
      </c>
      <c r="D774" s="126" t="str">
        <f>IF(A774&lt;&gt;"",SUMIFS('JPK_KR-1'!AM:AM,'JPK_KR-1'!W:W,B774),"")</f>
        <v/>
      </c>
      <c r="E774" s="5" t="str">
        <f>IF(kokpit!E774&lt;&gt;"",kokpit!E774,"")</f>
        <v/>
      </c>
      <c r="F774" s="127" t="str">
        <f>IF(kokpit!F774&lt;&gt;"",kokpit!F774,"")</f>
        <v/>
      </c>
      <c r="G774" s="24" t="str">
        <f>IF(E774&lt;&gt;"",SUMIFS('JPK_KR-1'!AL:AL,'JPK_KR-1'!W:W,F774),"")</f>
        <v/>
      </c>
      <c r="H774" s="126" t="str">
        <f>IF(E774&lt;&gt;"",SUMIFS('JPK_KR-1'!AM:AM,'JPK_KR-1'!W:W,F774),"")</f>
        <v/>
      </c>
      <c r="I774" s="5" t="str">
        <f>IF(kokpit!I774&lt;&gt;"",kokpit!I774,"")</f>
        <v/>
      </c>
      <c r="J774" s="5" t="str">
        <f>IF(kokpit!J774&lt;&gt;"",kokpit!J774,"")</f>
        <v/>
      </c>
      <c r="K774" s="24" t="str">
        <f>IF(I774&lt;&gt;"",SUMIFS('JPK_KR-1'!AL:AL,'JPK_KR-1'!W:W,J774),"")</f>
        <v/>
      </c>
      <c r="L774" s="141" t="str">
        <f>IF(I774&lt;&gt;"",SUMIFS('JPK_KR-1'!AM:AM,'JPK_KR-1'!W:W,J774),"")</f>
        <v/>
      </c>
      <c r="M774" s="143" t="str">
        <f>IF(kokpit!M774&lt;&gt;"",kokpit!M774,"")</f>
        <v/>
      </c>
      <c r="N774" s="117" t="str">
        <f>IF(kokpit!N774&lt;&gt;"",kokpit!N774,"")</f>
        <v/>
      </c>
      <c r="O774" s="117" t="str">
        <f>IF(kokpit!O774&lt;&gt;"",kokpit!O774,"")</f>
        <v/>
      </c>
      <c r="P774" s="141" t="str">
        <f>IF(M774&lt;&gt;"",IF(O774="",SUMIFS('JPK_KR-1'!AL:AL,'JPK_KR-1'!W:W,N774),SUMIFS('JPK_KR-1'!BF:BF,'JPK_KR-1'!BE:BE,N774,'JPK_KR-1'!BG:BG,O774)),"")</f>
        <v/>
      </c>
      <c r="Q774" s="144" t="str">
        <f>IF(M774&lt;&gt;"",IF(O774="",SUMIFS('JPK_KR-1'!AM:AM,'JPK_KR-1'!W:W,N774),SUMIFS('JPK_KR-1'!BI:BI,'JPK_KR-1'!BH:BH,N774,'JPK_KR-1'!BJ:BJ,O774)),"")</f>
        <v/>
      </c>
      <c r="R774" s="117" t="str">
        <f>IF(kokpit!R774&lt;&gt;"",kokpit!R774,"")</f>
        <v/>
      </c>
      <c r="S774" s="117" t="str">
        <f>IF(kokpit!S774&lt;&gt;"",kokpit!S774,"")</f>
        <v/>
      </c>
      <c r="T774" s="117" t="str">
        <f>IF(kokpit!T774&lt;&gt;"",kokpit!T774,"")</f>
        <v/>
      </c>
      <c r="U774" s="141" t="str">
        <f>IF(R774&lt;&gt;"",SUMIFS('JPK_KR-1'!AL:AL,'JPK_KR-1'!W:W,S774),"")</f>
        <v/>
      </c>
      <c r="V774" s="144" t="str">
        <f>IF(R774&lt;&gt;"",SUMIFS('JPK_KR-1'!AM:AM,'JPK_KR-1'!W:W,S774),"")</f>
        <v/>
      </c>
    </row>
    <row r="775" spans="1:22" x14ac:dyDescent="0.3">
      <c r="A775" s="5" t="str">
        <f>IF(kokpit!A775&lt;&gt;"",kokpit!A775,"")</f>
        <v/>
      </c>
      <c r="B775" s="5" t="str">
        <f>IF(kokpit!B775&lt;&gt;"",kokpit!B775,"")</f>
        <v/>
      </c>
      <c r="C775" s="24" t="str">
        <f>IF(A775&lt;&gt;"",SUMIFS('JPK_KR-1'!AL:AL,'JPK_KR-1'!W:W,B775),"")</f>
        <v/>
      </c>
      <c r="D775" s="126" t="str">
        <f>IF(A775&lt;&gt;"",SUMIFS('JPK_KR-1'!AM:AM,'JPK_KR-1'!W:W,B775),"")</f>
        <v/>
      </c>
      <c r="E775" s="5" t="str">
        <f>IF(kokpit!E775&lt;&gt;"",kokpit!E775,"")</f>
        <v/>
      </c>
      <c r="F775" s="127" t="str">
        <f>IF(kokpit!F775&lt;&gt;"",kokpit!F775,"")</f>
        <v/>
      </c>
      <c r="G775" s="24" t="str">
        <f>IF(E775&lt;&gt;"",SUMIFS('JPK_KR-1'!AL:AL,'JPK_KR-1'!W:W,F775),"")</f>
        <v/>
      </c>
      <c r="H775" s="126" t="str">
        <f>IF(E775&lt;&gt;"",SUMIFS('JPK_KR-1'!AM:AM,'JPK_KR-1'!W:W,F775),"")</f>
        <v/>
      </c>
      <c r="I775" s="5" t="str">
        <f>IF(kokpit!I775&lt;&gt;"",kokpit!I775,"")</f>
        <v/>
      </c>
      <c r="J775" s="5" t="str">
        <f>IF(kokpit!J775&lt;&gt;"",kokpit!J775,"")</f>
        <v/>
      </c>
      <c r="K775" s="24" t="str">
        <f>IF(I775&lt;&gt;"",SUMIFS('JPK_KR-1'!AL:AL,'JPK_KR-1'!W:W,J775),"")</f>
        <v/>
      </c>
      <c r="L775" s="141" t="str">
        <f>IF(I775&lt;&gt;"",SUMIFS('JPK_KR-1'!AM:AM,'JPK_KR-1'!W:W,J775),"")</f>
        <v/>
      </c>
      <c r="M775" s="143" t="str">
        <f>IF(kokpit!M775&lt;&gt;"",kokpit!M775,"")</f>
        <v/>
      </c>
      <c r="N775" s="117" t="str">
        <f>IF(kokpit!N775&lt;&gt;"",kokpit!N775,"")</f>
        <v/>
      </c>
      <c r="O775" s="117" t="str">
        <f>IF(kokpit!O775&lt;&gt;"",kokpit!O775,"")</f>
        <v/>
      </c>
      <c r="P775" s="141" t="str">
        <f>IF(M775&lt;&gt;"",IF(O775="",SUMIFS('JPK_KR-1'!AL:AL,'JPK_KR-1'!W:W,N775),SUMIFS('JPK_KR-1'!BF:BF,'JPK_KR-1'!BE:BE,N775,'JPK_KR-1'!BG:BG,O775)),"")</f>
        <v/>
      </c>
      <c r="Q775" s="144" t="str">
        <f>IF(M775&lt;&gt;"",IF(O775="",SUMIFS('JPK_KR-1'!AM:AM,'JPK_KR-1'!W:W,N775),SUMIFS('JPK_KR-1'!BI:BI,'JPK_KR-1'!BH:BH,N775,'JPK_KR-1'!BJ:BJ,O775)),"")</f>
        <v/>
      </c>
      <c r="R775" s="117" t="str">
        <f>IF(kokpit!R775&lt;&gt;"",kokpit!R775,"")</f>
        <v/>
      </c>
      <c r="S775" s="117" t="str">
        <f>IF(kokpit!S775&lt;&gt;"",kokpit!S775,"")</f>
        <v/>
      </c>
      <c r="T775" s="117" t="str">
        <f>IF(kokpit!T775&lt;&gt;"",kokpit!T775,"")</f>
        <v/>
      </c>
      <c r="U775" s="141" t="str">
        <f>IF(R775&lt;&gt;"",SUMIFS('JPK_KR-1'!AL:AL,'JPK_KR-1'!W:W,S775),"")</f>
        <v/>
      </c>
      <c r="V775" s="144" t="str">
        <f>IF(R775&lt;&gt;"",SUMIFS('JPK_KR-1'!AM:AM,'JPK_KR-1'!W:W,S775),"")</f>
        <v/>
      </c>
    </row>
    <row r="776" spans="1:22" x14ac:dyDescent="0.3">
      <c r="A776" s="5" t="str">
        <f>IF(kokpit!A776&lt;&gt;"",kokpit!A776,"")</f>
        <v/>
      </c>
      <c r="B776" s="5" t="str">
        <f>IF(kokpit!B776&lt;&gt;"",kokpit!B776,"")</f>
        <v/>
      </c>
      <c r="C776" s="24" t="str">
        <f>IF(A776&lt;&gt;"",SUMIFS('JPK_KR-1'!AL:AL,'JPK_KR-1'!W:W,B776),"")</f>
        <v/>
      </c>
      <c r="D776" s="126" t="str">
        <f>IF(A776&lt;&gt;"",SUMIFS('JPK_KR-1'!AM:AM,'JPK_KR-1'!W:W,B776),"")</f>
        <v/>
      </c>
      <c r="E776" s="5" t="str">
        <f>IF(kokpit!E776&lt;&gt;"",kokpit!E776,"")</f>
        <v/>
      </c>
      <c r="F776" s="127" t="str">
        <f>IF(kokpit!F776&lt;&gt;"",kokpit!F776,"")</f>
        <v/>
      </c>
      <c r="G776" s="24" t="str">
        <f>IF(E776&lt;&gt;"",SUMIFS('JPK_KR-1'!AL:AL,'JPK_KR-1'!W:W,F776),"")</f>
        <v/>
      </c>
      <c r="H776" s="126" t="str">
        <f>IF(E776&lt;&gt;"",SUMIFS('JPK_KR-1'!AM:AM,'JPK_KR-1'!W:W,F776),"")</f>
        <v/>
      </c>
      <c r="I776" s="5" t="str">
        <f>IF(kokpit!I776&lt;&gt;"",kokpit!I776,"")</f>
        <v/>
      </c>
      <c r="J776" s="5" t="str">
        <f>IF(kokpit!J776&lt;&gt;"",kokpit!J776,"")</f>
        <v/>
      </c>
      <c r="K776" s="24" t="str">
        <f>IF(I776&lt;&gt;"",SUMIFS('JPK_KR-1'!AL:AL,'JPK_KR-1'!W:W,J776),"")</f>
        <v/>
      </c>
      <c r="L776" s="141" t="str">
        <f>IF(I776&lt;&gt;"",SUMIFS('JPK_KR-1'!AM:AM,'JPK_KR-1'!W:W,J776),"")</f>
        <v/>
      </c>
      <c r="M776" s="143" t="str">
        <f>IF(kokpit!M776&lt;&gt;"",kokpit!M776,"")</f>
        <v/>
      </c>
      <c r="N776" s="117" t="str">
        <f>IF(kokpit!N776&lt;&gt;"",kokpit!N776,"")</f>
        <v/>
      </c>
      <c r="O776" s="117" t="str">
        <f>IF(kokpit!O776&lt;&gt;"",kokpit!O776,"")</f>
        <v/>
      </c>
      <c r="P776" s="141" t="str">
        <f>IF(M776&lt;&gt;"",IF(O776="",SUMIFS('JPK_KR-1'!AL:AL,'JPK_KR-1'!W:W,N776),SUMIFS('JPK_KR-1'!BF:BF,'JPK_KR-1'!BE:BE,N776,'JPK_KR-1'!BG:BG,O776)),"")</f>
        <v/>
      </c>
      <c r="Q776" s="144" t="str">
        <f>IF(M776&lt;&gt;"",IF(O776="",SUMIFS('JPK_KR-1'!AM:AM,'JPK_KR-1'!W:W,N776),SUMIFS('JPK_KR-1'!BI:BI,'JPK_KR-1'!BH:BH,N776,'JPK_KR-1'!BJ:BJ,O776)),"")</f>
        <v/>
      </c>
      <c r="R776" s="117" t="str">
        <f>IF(kokpit!R776&lt;&gt;"",kokpit!R776,"")</f>
        <v/>
      </c>
      <c r="S776" s="117" t="str">
        <f>IF(kokpit!S776&lt;&gt;"",kokpit!S776,"")</f>
        <v/>
      </c>
      <c r="T776" s="117" t="str">
        <f>IF(kokpit!T776&lt;&gt;"",kokpit!T776,"")</f>
        <v/>
      </c>
      <c r="U776" s="141" t="str">
        <f>IF(R776&lt;&gt;"",SUMIFS('JPK_KR-1'!AL:AL,'JPK_KR-1'!W:W,S776),"")</f>
        <v/>
      </c>
      <c r="V776" s="144" t="str">
        <f>IF(R776&lt;&gt;"",SUMIFS('JPK_KR-1'!AM:AM,'JPK_KR-1'!W:W,S776),"")</f>
        <v/>
      </c>
    </row>
    <row r="777" spans="1:22" x14ac:dyDescent="0.3">
      <c r="A777" s="5" t="str">
        <f>IF(kokpit!A777&lt;&gt;"",kokpit!A777,"")</f>
        <v/>
      </c>
      <c r="B777" s="5" t="str">
        <f>IF(kokpit!B777&lt;&gt;"",kokpit!B777,"")</f>
        <v/>
      </c>
      <c r="C777" s="24" t="str">
        <f>IF(A777&lt;&gt;"",SUMIFS('JPK_KR-1'!AL:AL,'JPK_KR-1'!W:W,B777),"")</f>
        <v/>
      </c>
      <c r="D777" s="126" t="str">
        <f>IF(A777&lt;&gt;"",SUMIFS('JPK_KR-1'!AM:AM,'JPK_KR-1'!W:W,B777),"")</f>
        <v/>
      </c>
      <c r="E777" s="5" t="str">
        <f>IF(kokpit!E777&lt;&gt;"",kokpit!E777,"")</f>
        <v/>
      </c>
      <c r="F777" s="127" t="str">
        <f>IF(kokpit!F777&lt;&gt;"",kokpit!F777,"")</f>
        <v/>
      </c>
      <c r="G777" s="24" t="str">
        <f>IF(E777&lt;&gt;"",SUMIFS('JPK_KR-1'!AL:AL,'JPK_KR-1'!W:W,F777),"")</f>
        <v/>
      </c>
      <c r="H777" s="126" t="str">
        <f>IF(E777&lt;&gt;"",SUMIFS('JPK_KR-1'!AM:AM,'JPK_KR-1'!W:W,F777),"")</f>
        <v/>
      </c>
      <c r="I777" s="5" t="str">
        <f>IF(kokpit!I777&lt;&gt;"",kokpit!I777,"")</f>
        <v/>
      </c>
      <c r="J777" s="5" t="str">
        <f>IF(kokpit!J777&lt;&gt;"",kokpit!J777,"")</f>
        <v/>
      </c>
      <c r="K777" s="24" t="str">
        <f>IF(I777&lt;&gt;"",SUMIFS('JPK_KR-1'!AL:AL,'JPK_KR-1'!W:W,J777),"")</f>
        <v/>
      </c>
      <c r="L777" s="141" t="str">
        <f>IF(I777&lt;&gt;"",SUMIFS('JPK_KR-1'!AM:AM,'JPK_KR-1'!W:W,J777),"")</f>
        <v/>
      </c>
      <c r="M777" s="143" t="str">
        <f>IF(kokpit!M777&lt;&gt;"",kokpit!M777,"")</f>
        <v/>
      </c>
      <c r="N777" s="117" t="str">
        <f>IF(kokpit!N777&lt;&gt;"",kokpit!N777,"")</f>
        <v/>
      </c>
      <c r="O777" s="117" t="str">
        <f>IF(kokpit!O777&lt;&gt;"",kokpit!O777,"")</f>
        <v/>
      </c>
      <c r="P777" s="141" t="str">
        <f>IF(M777&lt;&gt;"",IF(O777="",SUMIFS('JPK_KR-1'!AL:AL,'JPK_KR-1'!W:W,N777),SUMIFS('JPK_KR-1'!BF:BF,'JPK_KR-1'!BE:BE,N777,'JPK_KR-1'!BG:BG,O777)),"")</f>
        <v/>
      </c>
      <c r="Q777" s="144" t="str">
        <f>IF(M777&lt;&gt;"",IF(O777="",SUMIFS('JPK_KR-1'!AM:AM,'JPK_KR-1'!W:W,N777),SUMIFS('JPK_KR-1'!BI:BI,'JPK_KR-1'!BH:BH,N777,'JPK_KR-1'!BJ:BJ,O777)),"")</f>
        <v/>
      </c>
      <c r="R777" s="117" t="str">
        <f>IF(kokpit!R777&lt;&gt;"",kokpit!R777,"")</f>
        <v/>
      </c>
      <c r="S777" s="117" t="str">
        <f>IF(kokpit!S777&lt;&gt;"",kokpit!S777,"")</f>
        <v/>
      </c>
      <c r="T777" s="117" t="str">
        <f>IF(kokpit!T777&lt;&gt;"",kokpit!T777,"")</f>
        <v/>
      </c>
      <c r="U777" s="141" t="str">
        <f>IF(R777&lt;&gt;"",SUMIFS('JPK_KR-1'!AL:AL,'JPK_KR-1'!W:W,S777),"")</f>
        <v/>
      </c>
      <c r="V777" s="144" t="str">
        <f>IF(R777&lt;&gt;"",SUMIFS('JPK_KR-1'!AM:AM,'JPK_KR-1'!W:W,S777),"")</f>
        <v/>
      </c>
    </row>
    <row r="778" spans="1:22" x14ac:dyDescent="0.3">
      <c r="A778" s="5" t="str">
        <f>IF(kokpit!A778&lt;&gt;"",kokpit!A778,"")</f>
        <v/>
      </c>
      <c r="B778" s="5" t="str">
        <f>IF(kokpit!B778&lt;&gt;"",kokpit!B778,"")</f>
        <v/>
      </c>
      <c r="C778" s="24" t="str">
        <f>IF(A778&lt;&gt;"",SUMIFS('JPK_KR-1'!AL:AL,'JPK_KR-1'!W:W,B778),"")</f>
        <v/>
      </c>
      <c r="D778" s="126" t="str">
        <f>IF(A778&lt;&gt;"",SUMIFS('JPK_KR-1'!AM:AM,'JPK_KR-1'!W:W,B778),"")</f>
        <v/>
      </c>
      <c r="E778" s="5" t="str">
        <f>IF(kokpit!E778&lt;&gt;"",kokpit!E778,"")</f>
        <v/>
      </c>
      <c r="F778" s="127" t="str">
        <f>IF(kokpit!F778&lt;&gt;"",kokpit!F778,"")</f>
        <v/>
      </c>
      <c r="G778" s="24" t="str">
        <f>IF(E778&lt;&gt;"",SUMIFS('JPK_KR-1'!AL:AL,'JPK_KR-1'!W:W,F778),"")</f>
        <v/>
      </c>
      <c r="H778" s="126" t="str">
        <f>IF(E778&lt;&gt;"",SUMIFS('JPK_KR-1'!AM:AM,'JPK_KR-1'!W:W,F778),"")</f>
        <v/>
      </c>
      <c r="I778" s="5" t="str">
        <f>IF(kokpit!I778&lt;&gt;"",kokpit!I778,"")</f>
        <v/>
      </c>
      <c r="J778" s="5" t="str">
        <f>IF(kokpit!J778&lt;&gt;"",kokpit!J778,"")</f>
        <v/>
      </c>
      <c r="K778" s="24" t="str">
        <f>IF(I778&lt;&gt;"",SUMIFS('JPK_KR-1'!AL:AL,'JPK_KR-1'!W:W,J778),"")</f>
        <v/>
      </c>
      <c r="L778" s="141" t="str">
        <f>IF(I778&lt;&gt;"",SUMIFS('JPK_KR-1'!AM:AM,'JPK_KR-1'!W:W,J778),"")</f>
        <v/>
      </c>
      <c r="M778" s="143" t="str">
        <f>IF(kokpit!M778&lt;&gt;"",kokpit!M778,"")</f>
        <v/>
      </c>
      <c r="N778" s="117" t="str">
        <f>IF(kokpit!N778&lt;&gt;"",kokpit!N778,"")</f>
        <v/>
      </c>
      <c r="O778" s="117" t="str">
        <f>IF(kokpit!O778&lt;&gt;"",kokpit!O778,"")</f>
        <v/>
      </c>
      <c r="P778" s="141" t="str">
        <f>IF(M778&lt;&gt;"",IF(O778="",SUMIFS('JPK_KR-1'!AL:AL,'JPK_KR-1'!W:W,N778),SUMIFS('JPK_KR-1'!BF:BF,'JPK_KR-1'!BE:BE,N778,'JPK_KR-1'!BG:BG,O778)),"")</f>
        <v/>
      </c>
      <c r="Q778" s="144" t="str">
        <f>IF(M778&lt;&gt;"",IF(O778="",SUMIFS('JPK_KR-1'!AM:AM,'JPK_KR-1'!W:W,N778),SUMIFS('JPK_KR-1'!BI:BI,'JPK_KR-1'!BH:BH,N778,'JPK_KR-1'!BJ:BJ,O778)),"")</f>
        <v/>
      </c>
      <c r="R778" s="117" t="str">
        <f>IF(kokpit!R778&lt;&gt;"",kokpit!R778,"")</f>
        <v/>
      </c>
      <c r="S778" s="117" t="str">
        <f>IF(kokpit!S778&lt;&gt;"",kokpit!S778,"")</f>
        <v/>
      </c>
      <c r="T778" s="117" t="str">
        <f>IF(kokpit!T778&lt;&gt;"",kokpit!T778,"")</f>
        <v/>
      </c>
      <c r="U778" s="141" t="str">
        <f>IF(R778&lt;&gt;"",SUMIFS('JPK_KR-1'!AL:AL,'JPK_KR-1'!W:W,S778),"")</f>
        <v/>
      </c>
      <c r="V778" s="144" t="str">
        <f>IF(R778&lt;&gt;"",SUMIFS('JPK_KR-1'!AM:AM,'JPK_KR-1'!W:W,S778),"")</f>
        <v/>
      </c>
    </row>
    <row r="779" spans="1:22" x14ac:dyDescent="0.3">
      <c r="A779" s="5" t="str">
        <f>IF(kokpit!A779&lt;&gt;"",kokpit!A779,"")</f>
        <v/>
      </c>
      <c r="B779" s="5" t="str">
        <f>IF(kokpit!B779&lt;&gt;"",kokpit!B779,"")</f>
        <v/>
      </c>
      <c r="C779" s="24" t="str">
        <f>IF(A779&lt;&gt;"",SUMIFS('JPK_KR-1'!AL:AL,'JPK_KR-1'!W:W,B779),"")</f>
        <v/>
      </c>
      <c r="D779" s="126" t="str">
        <f>IF(A779&lt;&gt;"",SUMIFS('JPK_KR-1'!AM:AM,'JPK_KR-1'!W:W,B779),"")</f>
        <v/>
      </c>
      <c r="E779" s="5" t="str">
        <f>IF(kokpit!E779&lt;&gt;"",kokpit!E779,"")</f>
        <v/>
      </c>
      <c r="F779" s="127" t="str">
        <f>IF(kokpit!F779&lt;&gt;"",kokpit!F779,"")</f>
        <v/>
      </c>
      <c r="G779" s="24" t="str">
        <f>IF(E779&lt;&gt;"",SUMIFS('JPK_KR-1'!AL:AL,'JPK_KR-1'!W:W,F779),"")</f>
        <v/>
      </c>
      <c r="H779" s="126" t="str">
        <f>IF(E779&lt;&gt;"",SUMIFS('JPK_KR-1'!AM:AM,'JPK_KR-1'!W:W,F779),"")</f>
        <v/>
      </c>
      <c r="I779" s="5" t="str">
        <f>IF(kokpit!I779&lt;&gt;"",kokpit!I779,"")</f>
        <v/>
      </c>
      <c r="J779" s="5" t="str">
        <f>IF(kokpit!J779&lt;&gt;"",kokpit!J779,"")</f>
        <v/>
      </c>
      <c r="K779" s="24" t="str">
        <f>IF(I779&lt;&gt;"",SUMIFS('JPK_KR-1'!AL:AL,'JPK_KR-1'!W:W,J779),"")</f>
        <v/>
      </c>
      <c r="L779" s="141" t="str">
        <f>IF(I779&lt;&gt;"",SUMIFS('JPK_KR-1'!AM:AM,'JPK_KR-1'!W:W,J779),"")</f>
        <v/>
      </c>
      <c r="M779" s="143" t="str">
        <f>IF(kokpit!M779&lt;&gt;"",kokpit!M779,"")</f>
        <v/>
      </c>
      <c r="N779" s="117" t="str">
        <f>IF(kokpit!N779&lt;&gt;"",kokpit!N779,"")</f>
        <v/>
      </c>
      <c r="O779" s="117" t="str">
        <f>IF(kokpit!O779&lt;&gt;"",kokpit!O779,"")</f>
        <v/>
      </c>
      <c r="P779" s="141" t="str">
        <f>IF(M779&lt;&gt;"",IF(O779="",SUMIFS('JPK_KR-1'!AL:AL,'JPK_KR-1'!W:W,N779),SUMIFS('JPK_KR-1'!BF:BF,'JPK_KR-1'!BE:BE,N779,'JPK_KR-1'!BG:BG,O779)),"")</f>
        <v/>
      </c>
      <c r="Q779" s="144" t="str">
        <f>IF(M779&lt;&gt;"",IF(O779="",SUMIFS('JPK_KR-1'!AM:AM,'JPK_KR-1'!W:W,N779),SUMIFS('JPK_KR-1'!BI:BI,'JPK_KR-1'!BH:BH,N779,'JPK_KR-1'!BJ:BJ,O779)),"")</f>
        <v/>
      </c>
      <c r="R779" s="117" t="str">
        <f>IF(kokpit!R779&lt;&gt;"",kokpit!R779,"")</f>
        <v/>
      </c>
      <c r="S779" s="117" t="str">
        <f>IF(kokpit!S779&lt;&gt;"",kokpit!S779,"")</f>
        <v/>
      </c>
      <c r="T779" s="117" t="str">
        <f>IF(kokpit!T779&lt;&gt;"",kokpit!T779,"")</f>
        <v/>
      </c>
      <c r="U779" s="141" t="str">
        <f>IF(R779&lt;&gt;"",SUMIFS('JPK_KR-1'!AL:AL,'JPK_KR-1'!W:W,S779),"")</f>
        <v/>
      </c>
      <c r="V779" s="144" t="str">
        <f>IF(R779&lt;&gt;"",SUMIFS('JPK_KR-1'!AM:AM,'JPK_KR-1'!W:W,S779),"")</f>
        <v/>
      </c>
    </row>
    <row r="780" spans="1:22" x14ac:dyDescent="0.3">
      <c r="A780" s="5" t="str">
        <f>IF(kokpit!A780&lt;&gt;"",kokpit!A780,"")</f>
        <v/>
      </c>
      <c r="B780" s="5" t="str">
        <f>IF(kokpit!B780&lt;&gt;"",kokpit!B780,"")</f>
        <v/>
      </c>
      <c r="C780" s="24" t="str">
        <f>IF(A780&lt;&gt;"",SUMIFS('JPK_KR-1'!AL:AL,'JPK_KR-1'!W:W,B780),"")</f>
        <v/>
      </c>
      <c r="D780" s="126" t="str">
        <f>IF(A780&lt;&gt;"",SUMIFS('JPK_KR-1'!AM:AM,'JPK_KR-1'!W:W,B780),"")</f>
        <v/>
      </c>
      <c r="E780" s="5" t="str">
        <f>IF(kokpit!E780&lt;&gt;"",kokpit!E780,"")</f>
        <v/>
      </c>
      <c r="F780" s="127" t="str">
        <f>IF(kokpit!F780&lt;&gt;"",kokpit!F780,"")</f>
        <v/>
      </c>
      <c r="G780" s="24" t="str">
        <f>IF(E780&lt;&gt;"",SUMIFS('JPK_KR-1'!AL:AL,'JPK_KR-1'!W:W,F780),"")</f>
        <v/>
      </c>
      <c r="H780" s="126" t="str">
        <f>IF(E780&lt;&gt;"",SUMIFS('JPK_KR-1'!AM:AM,'JPK_KR-1'!W:W,F780),"")</f>
        <v/>
      </c>
      <c r="I780" s="5" t="str">
        <f>IF(kokpit!I780&lt;&gt;"",kokpit!I780,"")</f>
        <v/>
      </c>
      <c r="J780" s="5" t="str">
        <f>IF(kokpit!J780&lt;&gt;"",kokpit!J780,"")</f>
        <v/>
      </c>
      <c r="K780" s="24" t="str">
        <f>IF(I780&lt;&gt;"",SUMIFS('JPK_KR-1'!AL:AL,'JPK_KR-1'!W:W,J780),"")</f>
        <v/>
      </c>
      <c r="L780" s="141" t="str">
        <f>IF(I780&lt;&gt;"",SUMIFS('JPK_KR-1'!AM:AM,'JPK_KR-1'!W:W,J780),"")</f>
        <v/>
      </c>
      <c r="M780" s="143" t="str">
        <f>IF(kokpit!M780&lt;&gt;"",kokpit!M780,"")</f>
        <v/>
      </c>
      <c r="N780" s="117" t="str">
        <f>IF(kokpit!N780&lt;&gt;"",kokpit!N780,"")</f>
        <v/>
      </c>
      <c r="O780" s="117" t="str">
        <f>IF(kokpit!O780&lt;&gt;"",kokpit!O780,"")</f>
        <v/>
      </c>
      <c r="P780" s="141" t="str">
        <f>IF(M780&lt;&gt;"",IF(O780="",SUMIFS('JPK_KR-1'!AL:AL,'JPK_KR-1'!W:W,N780),SUMIFS('JPK_KR-1'!BF:BF,'JPK_KR-1'!BE:BE,N780,'JPK_KR-1'!BG:BG,O780)),"")</f>
        <v/>
      </c>
      <c r="Q780" s="144" t="str">
        <f>IF(M780&lt;&gt;"",IF(O780="",SUMIFS('JPK_KR-1'!AM:AM,'JPK_KR-1'!W:W,N780),SUMIFS('JPK_KR-1'!BI:BI,'JPK_KR-1'!BH:BH,N780,'JPK_KR-1'!BJ:BJ,O780)),"")</f>
        <v/>
      </c>
      <c r="R780" s="117" t="str">
        <f>IF(kokpit!R780&lt;&gt;"",kokpit!R780,"")</f>
        <v/>
      </c>
      <c r="S780" s="117" t="str">
        <f>IF(kokpit!S780&lt;&gt;"",kokpit!S780,"")</f>
        <v/>
      </c>
      <c r="T780" s="117" t="str">
        <f>IF(kokpit!T780&lt;&gt;"",kokpit!T780,"")</f>
        <v/>
      </c>
      <c r="U780" s="141" t="str">
        <f>IF(R780&lt;&gt;"",SUMIFS('JPK_KR-1'!AL:AL,'JPK_KR-1'!W:W,S780),"")</f>
        <v/>
      </c>
      <c r="V780" s="144" t="str">
        <f>IF(R780&lt;&gt;"",SUMIFS('JPK_KR-1'!AM:AM,'JPK_KR-1'!W:W,S780),"")</f>
        <v/>
      </c>
    </row>
    <row r="781" spans="1:22" x14ac:dyDescent="0.3">
      <c r="A781" s="5" t="str">
        <f>IF(kokpit!A781&lt;&gt;"",kokpit!A781,"")</f>
        <v/>
      </c>
      <c r="B781" s="5" t="str">
        <f>IF(kokpit!B781&lt;&gt;"",kokpit!B781,"")</f>
        <v/>
      </c>
      <c r="C781" s="24" t="str">
        <f>IF(A781&lt;&gt;"",SUMIFS('JPK_KR-1'!AL:AL,'JPK_KR-1'!W:W,B781),"")</f>
        <v/>
      </c>
      <c r="D781" s="126" t="str">
        <f>IF(A781&lt;&gt;"",SUMIFS('JPK_KR-1'!AM:AM,'JPK_KR-1'!W:W,B781),"")</f>
        <v/>
      </c>
      <c r="E781" s="5" t="str">
        <f>IF(kokpit!E781&lt;&gt;"",kokpit!E781,"")</f>
        <v/>
      </c>
      <c r="F781" s="127" t="str">
        <f>IF(kokpit!F781&lt;&gt;"",kokpit!F781,"")</f>
        <v/>
      </c>
      <c r="G781" s="24" t="str">
        <f>IF(E781&lt;&gt;"",SUMIFS('JPK_KR-1'!AL:AL,'JPK_KR-1'!W:W,F781),"")</f>
        <v/>
      </c>
      <c r="H781" s="126" t="str">
        <f>IF(E781&lt;&gt;"",SUMIFS('JPK_KR-1'!AM:AM,'JPK_KR-1'!W:W,F781),"")</f>
        <v/>
      </c>
      <c r="I781" s="5" t="str">
        <f>IF(kokpit!I781&lt;&gt;"",kokpit!I781,"")</f>
        <v/>
      </c>
      <c r="J781" s="5" t="str">
        <f>IF(kokpit!J781&lt;&gt;"",kokpit!J781,"")</f>
        <v/>
      </c>
      <c r="K781" s="24" t="str">
        <f>IF(I781&lt;&gt;"",SUMIFS('JPK_KR-1'!AL:AL,'JPK_KR-1'!W:W,J781),"")</f>
        <v/>
      </c>
      <c r="L781" s="141" t="str">
        <f>IF(I781&lt;&gt;"",SUMIFS('JPK_KR-1'!AM:AM,'JPK_KR-1'!W:W,J781),"")</f>
        <v/>
      </c>
      <c r="M781" s="143" t="str">
        <f>IF(kokpit!M781&lt;&gt;"",kokpit!M781,"")</f>
        <v/>
      </c>
      <c r="N781" s="117" t="str">
        <f>IF(kokpit!N781&lt;&gt;"",kokpit!N781,"")</f>
        <v/>
      </c>
      <c r="O781" s="117" t="str">
        <f>IF(kokpit!O781&lt;&gt;"",kokpit!O781,"")</f>
        <v/>
      </c>
      <c r="P781" s="141" t="str">
        <f>IF(M781&lt;&gt;"",IF(O781="",SUMIFS('JPK_KR-1'!AL:AL,'JPK_KR-1'!W:W,N781),SUMIFS('JPK_KR-1'!BF:BF,'JPK_KR-1'!BE:BE,N781,'JPK_KR-1'!BG:BG,O781)),"")</f>
        <v/>
      </c>
      <c r="Q781" s="144" t="str">
        <f>IF(M781&lt;&gt;"",IF(O781="",SUMIFS('JPK_KR-1'!AM:AM,'JPK_KR-1'!W:W,N781),SUMIFS('JPK_KR-1'!BI:BI,'JPK_KR-1'!BH:BH,N781,'JPK_KR-1'!BJ:BJ,O781)),"")</f>
        <v/>
      </c>
      <c r="R781" s="117" t="str">
        <f>IF(kokpit!R781&lt;&gt;"",kokpit!R781,"")</f>
        <v/>
      </c>
      <c r="S781" s="117" t="str">
        <f>IF(kokpit!S781&lt;&gt;"",kokpit!S781,"")</f>
        <v/>
      </c>
      <c r="T781" s="117" t="str">
        <f>IF(kokpit!T781&lt;&gt;"",kokpit!T781,"")</f>
        <v/>
      </c>
      <c r="U781" s="141" t="str">
        <f>IF(R781&lt;&gt;"",SUMIFS('JPK_KR-1'!AL:AL,'JPK_KR-1'!W:W,S781),"")</f>
        <v/>
      </c>
      <c r="V781" s="144" t="str">
        <f>IF(R781&lt;&gt;"",SUMIFS('JPK_KR-1'!AM:AM,'JPK_KR-1'!W:W,S781),"")</f>
        <v/>
      </c>
    </row>
    <row r="782" spans="1:22" x14ac:dyDescent="0.3">
      <c r="A782" s="5" t="str">
        <f>IF(kokpit!A782&lt;&gt;"",kokpit!A782,"")</f>
        <v/>
      </c>
      <c r="B782" s="5" t="str">
        <f>IF(kokpit!B782&lt;&gt;"",kokpit!B782,"")</f>
        <v/>
      </c>
      <c r="C782" s="24" t="str">
        <f>IF(A782&lt;&gt;"",SUMIFS('JPK_KR-1'!AL:AL,'JPK_KR-1'!W:W,B782),"")</f>
        <v/>
      </c>
      <c r="D782" s="126" t="str">
        <f>IF(A782&lt;&gt;"",SUMIFS('JPK_KR-1'!AM:AM,'JPK_KR-1'!W:W,B782),"")</f>
        <v/>
      </c>
      <c r="E782" s="5" t="str">
        <f>IF(kokpit!E782&lt;&gt;"",kokpit!E782,"")</f>
        <v/>
      </c>
      <c r="F782" s="127" t="str">
        <f>IF(kokpit!F782&lt;&gt;"",kokpit!F782,"")</f>
        <v/>
      </c>
      <c r="G782" s="24" t="str">
        <f>IF(E782&lt;&gt;"",SUMIFS('JPK_KR-1'!AL:AL,'JPK_KR-1'!W:W,F782),"")</f>
        <v/>
      </c>
      <c r="H782" s="126" t="str">
        <f>IF(E782&lt;&gt;"",SUMIFS('JPK_KR-1'!AM:AM,'JPK_KR-1'!W:W,F782),"")</f>
        <v/>
      </c>
      <c r="I782" s="5" t="str">
        <f>IF(kokpit!I782&lt;&gt;"",kokpit!I782,"")</f>
        <v/>
      </c>
      <c r="J782" s="5" t="str">
        <f>IF(kokpit!J782&lt;&gt;"",kokpit!J782,"")</f>
        <v/>
      </c>
      <c r="K782" s="24" t="str">
        <f>IF(I782&lt;&gt;"",SUMIFS('JPK_KR-1'!AL:AL,'JPK_KR-1'!W:W,J782),"")</f>
        <v/>
      </c>
      <c r="L782" s="141" t="str">
        <f>IF(I782&lt;&gt;"",SUMIFS('JPK_KR-1'!AM:AM,'JPK_KR-1'!W:W,J782),"")</f>
        <v/>
      </c>
      <c r="M782" s="143" t="str">
        <f>IF(kokpit!M782&lt;&gt;"",kokpit!M782,"")</f>
        <v/>
      </c>
      <c r="N782" s="117" t="str">
        <f>IF(kokpit!N782&lt;&gt;"",kokpit!N782,"")</f>
        <v/>
      </c>
      <c r="O782" s="117" t="str">
        <f>IF(kokpit!O782&lt;&gt;"",kokpit!O782,"")</f>
        <v/>
      </c>
      <c r="P782" s="141" t="str">
        <f>IF(M782&lt;&gt;"",IF(O782="",SUMIFS('JPK_KR-1'!AL:AL,'JPK_KR-1'!W:W,N782),SUMIFS('JPK_KR-1'!BF:BF,'JPK_KR-1'!BE:BE,N782,'JPK_KR-1'!BG:BG,O782)),"")</f>
        <v/>
      </c>
      <c r="Q782" s="144" t="str">
        <f>IF(M782&lt;&gt;"",IF(O782="",SUMIFS('JPK_KR-1'!AM:AM,'JPK_KR-1'!W:W,N782),SUMIFS('JPK_KR-1'!BI:BI,'JPK_KR-1'!BH:BH,N782,'JPK_KR-1'!BJ:BJ,O782)),"")</f>
        <v/>
      </c>
      <c r="R782" s="117" t="str">
        <f>IF(kokpit!R782&lt;&gt;"",kokpit!R782,"")</f>
        <v/>
      </c>
      <c r="S782" s="117" t="str">
        <f>IF(kokpit!S782&lt;&gt;"",kokpit!S782,"")</f>
        <v/>
      </c>
      <c r="T782" s="117" t="str">
        <f>IF(kokpit!T782&lt;&gt;"",kokpit!T782,"")</f>
        <v/>
      </c>
      <c r="U782" s="141" t="str">
        <f>IF(R782&lt;&gt;"",SUMIFS('JPK_KR-1'!AL:AL,'JPK_KR-1'!W:W,S782),"")</f>
        <v/>
      </c>
      <c r="V782" s="144" t="str">
        <f>IF(R782&lt;&gt;"",SUMIFS('JPK_KR-1'!AM:AM,'JPK_KR-1'!W:W,S782),"")</f>
        <v/>
      </c>
    </row>
    <row r="783" spans="1:22" x14ac:dyDescent="0.3">
      <c r="A783" s="5" t="str">
        <f>IF(kokpit!A783&lt;&gt;"",kokpit!A783,"")</f>
        <v/>
      </c>
      <c r="B783" s="5" t="str">
        <f>IF(kokpit!B783&lt;&gt;"",kokpit!B783,"")</f>
        <v/>
      </c>
      <c r="C783" s="24" t="str">
        <f>IF(A783&lt;&gt;"",SUMIFS('JPK_KR-1'!AL:AL,'JPK_KR-1'!W:W,B783),"")</f>
        <v/>
      </c>
      <c r="D783" s="126" t="str">
        <f>IF(A783&lt;&gt;"",SUMIFS('JPK_KR-1'!AM:AM,'JPK_KR-1'!W:W,B783),"")</f>
        <v/>
      </c>
      <c r="E783" s="5" t="str">
        <f>IF(kokpit!E783&lt;&gt;"",kokpit!E783,"")</f>
        <v/>
      </c>
      <c r="F783" s="127" t="str">
        <f>IF(kokpit!F783&lt;&gt;"",kokpit!F783,"")</f>
        <v/>
      </c>
      <c r="G783" s="24" t="str">
        <f>IF(E783&lt;&gt;"",SUMIFS('JPK_KR-1'!AL:AL,'JPK_KR-1'!W:W,F783),"")</f>
        <v/>
      </c>
      <c r="H783" s="126" t="str">
        <f>IF(E783&lt;&gt;"",SUMIFS('JPK_KR-1'!AM:AM,'JPK_KR-1'!W:W,F783),"")</f>
        <v/>
      </c>
      <c r="I783" s="5" t="str">
        <f>IF(kokpit!I783&lt;&gt;"",kokpit!I783,"")</f>
        <v/>
      </c>
      <c r="J783" s="5" t="str">
        <f>IF(kokpit!J783&lt;&gt;"",kokpit!J783,"")</f>
        <v/>
      </c>
      <c r="K783" s="24" t="str">
        <f>IF(I783&lt;&gt;"",SUMIFS('JPK_KR-1'!AL:AL,'JPK_KR-1'!W:W,J783),"")</f>
        <v/>
      </c>
      <c r="L783" s="141" t="str">
        <f>IF(I783&lt;&gt;"",SUMIFS('JPK_KR-1'!AM:AM,'JPK_KR-1'!W:W,J783),"")</f>
        <v/>
      </c>
      <c r="M783" s="143" t="str">
        <f>IF(kokpit!M783&lt;&gt;"",kokpit!M783,"")</f>
        <v/>
      </c>
      <c r="N783" s="117" t="str">
        <f>IF(kokpit!N783&lt;&gt;"",kokpit!N783,"")</f>
        <v/>
      </c>
      <c r="O783" s="117" t="str">
        <f>IF(kokpit!O783&lt;&gt;"",kokpit!O783,"")</f>
        <v/>
      </c>
      <c r="P783" s="141" t="str">
        <f>IF(M783&lt;&gt;"",IF(O783="",SUMIFS('JPK_KR-1'!AL:AL,'JPK_KR-1'!W:W,N783),SUMIFS('JPK_KR-1'!BF:BF,'JPK_KR-1'!BE:BE,N783,'JPK_KR-1'!BG:BG,O783)),"")</f>
        <v/>
      </c>
      <c r="Q783" s="144" t="str">
        <f>IF(M783&lt;&gt;"",IF(O783="",SUMIFS('JPK_KR-1'!AM:AM,'JPK_KR-1'!W:W,N783),SUMIFS('JPK_KR-1'!BI:BI,'JPK_KR-1'!BH:BH,N783,'JPK_KR-1'!BJ:BJ,O783)),"")</f>
        <v/>
      </c>
      <c r="R783" s="117" t="str">
        <f>IF(kokpit!R783&lt;&gt;"",kokpit!R783,"")</f>
        <v/>
      </c>
      <c r="S783" s="117" t="str">
        <f>IF(kokpit!S783&lt;&gt;"",kokpit!S783,"")</f>
        <v/>
      </c>
      <c r="T783" s="117" t="str">
        <f>IF(kokpit!T783&lt;&gt;"",kokpit!T783,"")</f>
        <v/>
      </c>
      <c r="U783" s="141" t="str">
        <f>IF(R783&lt;&gt;"",SUMIFS('JPK_KR-1'!AL:AL,'JPK_KR-1'!W:W,S783),"")</f>
        <v/>
      </c>
      <c r="V783" s="144" t="str">
        <f>IF(R783&lt;&gt;"",SUMIFS('JPK_KR-1'!AM:AM,'JPK_KR-1'!W:W,S783),"")</f>
        <v/>
      </c>
    </row>
    <row r="784" spans="1:22" x14ac:dyDescent="0.3">
      <c r="A784" s="5" t="str">
        <f>IF(kokpit!A784&lt;&gt;"",kokpit!A784,"")</f>
        <v/>
      </c>
      <c r="B784" s="5" t="str">
        <f>IF(kokpit!B784&lt;&gt;"",kokpit!B784,"")</f>
        <v/>
      </c>
      <c r="C784" s="24" t="str">
        <f>IF(A784&lt;&gt;"",SUMIFS('JPK_KR-1'!AL:AL,'JPK_KR-1'!W:W,B784),"")</f>
        <v/>
      </c>
      <c r="D784" s="126" t="str">
        <f>IF(A784&lt;&gt;"",SUMIFS('JPK_KR-1'!AM:AM,'JPK_KR-1'!W:W,B784),"")</f>
        <v/>
      </c>
      <c r="E784" s="5" t="str">
        <f>IF(kokpit!E784&lt;&gt;"",kokpit!E784,"")</f>
        <v/>
      </c>
      <c r="F784" s="127" t="str">
        <f>IF(kokpit!F784&lt;&gt;"",kokpit!F784,"")</f>
        <v/>
      </c>
      <c r="G784" s="24" t="str">
        <f>IF(E784&lt;&gt;"",SUMIFS('JPK_KR-1'!AL:AL,'JPK_KR-1'!W:W,F784),"")</f>
        <v/>
      </c>
      <c r="H784" s="126" t="str">
        <f>IF(E784&lt;&gt;"",SUMIFS('JPK_KR-1'!AM:AM,'JPK_KR-1'!W:W,F784),"")</f>
        <v/>
      </c>
      <c r="I784" s="5" t="str">
        <f>IF(kokpit!I784&lt;&gt;"",kokpit!I784,"")</f>
        <v/>
      </c>
      <c r="J784" s="5" t="str">
        <f>IF(kokpit!J784&lt;&gt;"",kokpit!J784,"")</f>
        <v/>
      </c>
      <c r="K784" s="24" t="str">
        <f>IF(I784&lt;&gt;"",SUMIFS('JPK_KR-1'!AL:AL,'JPK_KR-1'!W:W,J784),"")</f>
        <v/>
      </c>
      <c r="L784" s="141" t="str">
        <f>IF(I784&lt;&gt;"",SUMIFS('JPK_KR-1'!AM:AM,'JPK_KR-1'!W:W,J784),"")</f>
        <v/>
      </c>
      <c r="M784" s="143" t="str">
        <f>IF(kokpit!M784&lt;&gt;"",kokpit!M784,"")</f>
        <v/>
      </c>
      <c r="N784" s="117" t="str">
        <f>IF(kokpit!N784&lt;&gt;"",kokpit!N784,"")</f>
        <v/>
      </c>
      <c r="O784" s="117" t="str">
        <f>IF(kokpit!O784&lt;&gt;"",kokpit!O784,"")</f>
        <v/>
      </c>
      <c r="P784" s="141" t="str">
        <f>IF(M784&lt;&gt;"",IF(O784="",SUMIFS('JPK_KR-1'!AL:AL,'JPK_KR-1'!W:W,N784),SUMIFS('JPK_KR-1'!BF:BF,'JPK_KR-1'!BE:BE,N784,'JPK_KR-1'!BG:BG,O784)),"")</f>
        <v/>
      </c>
      <c r="Q784" s="144" t="str">
        <f>IF(M784&lt;&gt;"",IF(O784="",SUMIFS('JPK_KR-1'!AM:AM,'JPK_KR-1'!W:W,N784),SUMIFS('JPK_KR-1'!BI:BI,'JPK_KR-1'!BH:BH,N784,'JPK_KR-1'!BJ:BJ,O784)),"")</f>
        <v/>
      </c>
      <c r="R784" s="117" t="str">
        <f>IF(kokpit!R784&lt;&gt;"",kokpit!R784,"")</f>
        <v/>
      </c>
      <c r="S784" s="117" t="str">
        <f>IF(kokpit!S784&lt;&gt;"",kokpit!S784,"")</f>
        <v/>
      </c>
      <c r="T784" s="117" t="str">
        <f>IF(kokpit!T784&lt;&gt;"",kokpit!T784,"")</f>
        <v/>
      </c>
      <c r="U784" s="141" t="str">
        <f>IF(R784&lt;&gt;"",SUMIFS('JPK_KR-1'!AL:AL,'JPK_KR-1'!W:W,S784),"")</f>
        <v/>
      </c>
      <c r="V784" s="144" t="str">
        <f>IF(R784&lt;&gt;"",SUMIFS('JPK_KR-1'!AM:AM,'JPK_KR-1'!W:W,S784),"")</f>
        <v/>
      </c>
    </row>
    <row r="785" spans="1:22" x14ac:dyDescent="0.3">
      <c r="A785" s="5" t="str">
        <f>IF(kokpit!A785&lt;&gt;"",kokpit!A785,"")</f>
        <v/>
      </c>
      <c r="B785" s="5" t="str">
        <f>IF(kokpit!B785&lt;&gt;"",kokpit!B785,"")</f>
        <v/>
      </c>
      <c r="C785" s="24" t="str">
        <f>IF(A785&lt;&gt;"",SUMIFS('JPK_KR-1'!AL:AL,'JPK_KR-1'!W:W,B785),"")</f>
        <v/>
      </c>
      <c r="D785" s="126" t="str">
        <f>IF(A785&lt;&gt;"",SUMIFS('JPK_KR-1'!AM:AM,'JPK_KR-1'!W:W,B785),"")</f>
        <v/>
      </c>
      <c r="E785" s="5" t="str">
        <f>IF(kokpit!E785&lt;&gt;"",kokpit!E785,"")</f>
        <v/>
      </c>
      <c r="F785" s="127" t="str">
        <f>IF(kokpit!F785&lt;&gt;"",kokpit!F785,"")</f>
        <v/>
      </c>
      <c r="G785" s="24" t="str">
        <f>IF(E785&lt;&gt;"",SUMIFS('JPK_KR-1'!AL:AL,'JPK_KR-1'!W:W,F785),"")</f>
        <v/>
      </c>
      <c r="H785" s="126" t="str">
        <f>IF(E785&lt;&gt;"",SUMIFS('JPK_KR-1'!AM:AM,'JPK_KR-1'!W:W,F785),"")</f>
        <v/>
      </c>
      <c r="I785" s="5" t="str">
        <f>IF(kokpit!I785&lt;&gt;"",kokpit!I785,"")</f>
        <v/>
      </c>
      <c r="J785" s="5" t="str">
        <f>IF(kokpit!J785&lt;&gt;"",kokpit!J785,"")</f>
        <v/>
      </c>
      <c r="K785" s="24" t="str">
        <f>IF(I785&lt;&gt;"",SUMIFS('JPK_KR-1'!AL:AL,'JPK_KR-1'!W:W,J785),"")</f>
        <v/>
      </c>
      <c r="L785" s="141" t="str">
        <f>IF(I785&lt;&gt;"",SUMIFS('JPK_KR-1'!AM:AM,'JPK_KR-1'!W:W,J785),"")</f>
        <v/>
      </c>
      <c r="M785" s="143" t="str">
        <f>IF(kokpit!M785&lt;&gt;"",kokpit!M785,"")</f>
        <v/>
      </c>
      <c r="N785" s="117" t="str">
        <f>IF(kokpit!N785&lt;&gt;"",kokpit!N785,"")</f>
        <v/>
      </c>
      <c r="O785" s="117" t="str">
        <f>IF(kokpit!O785&lt;&gt;"",kokpit!O785,"")</f>
        <v/>
      </c>
      <c r="P785" s="141" t="str">
        <f>IF(M785&lt;&gt;"",IF(O785="",SUMIFS('JPK_KR-1'!AL:AL,'JPK_KR-1'!W:W,N785),SUMIFS('JPK_KR-1'!BF:BF,'JPK_KR-1'!BE:BE,N785,'JPK_KR-1'!BG:BG,O785)),"")</f>
        <v/>
      </c>
      <c r="Q785" s="144" t="str">
        <f>IF(M785&lt;&gt;"",IF(O785="",SUMIFS('JPK_KR-1'!AM:AM,'JPK_KR-1'!W:W,N785),SUMIFS('JPK_KR-1'!BI:BI,'JPK_KR-1'!BH:BH,N785,'JPK_KR-1'!BJ:BJ,O785)),"")</f>
        <v/>
      </c>
      <c r="R785" s="117" t="str">
        <f>IF(kokpit!R785&lt;&gt;"",kokpit!R785,"")</f>
        <v/>
      </c>
      <c r="S785" s="117" t="str">
        <f>IF(kokpit!S785&lt;&gt;"",kokpit!S785,"")</f>
        <v/>
      </c>
      <c r="T785" s="117" t="str">
        <f>IF(kokpit!T785&lt;&gt;"",kokpit!T785,"")</f>
        <v/>
      </c>
      <c r="U785" s="141" t="str">
        <f>IF(R785&lt;&gt;"",SUMIFS('JPK_KR-1'!AL:AL,'JPK_KR-1'!W:W,S785),"")</f>
        <v/>
      </c>
      <c r="V785" s="144" t="str">
        <f>IF(R785&lt;&gt;"",SUMIFS('JPK_KR-1'!AM:AM,'JPK_KR-1'!W:W,S785),"")</f>
        <v/>
      </c>
    </row>
    <row r="786" spans="1:22" x14ac:dyDescent="0.3">
      <c r="A786" s="5" t="str">
        <f>IF(kokpit!A786&lt;&gt;"",kokpit!A786,"")</f>
        <v/>
      </c>
      <c r="B786" s="5" t="str">
        <f>IF(kokpit!B786&lt;&gt;"",kokpit!B786,"")</f>
        <v/>
      </c>
      <c r="C786" s="24" t="str">
        <f>IF(A786&lt;&gt;"",SUMIFS('JPK_KR-1'!AL:AL,'JPK_KR-1'!W:W,B786),"")</f>
        <v/>
      </c>
      <c r="D786" s="126" t="str">
        <f>IF(A786&lt;&gt;"",SUMIFS('JPK_KR-1'!AM:AM,'JPK_KR-1'!W:W,B786),"")</f>
        <v/>
      </c>
      <c r="E786" s="5" t="str">
        <f>IF(kokpit!E786&lt;&gt;"",kokpit!E786,"")</f>
        <v/>
      </c>
      <c r="F786" s="127" t="str">
        <f>IF(kokpit!F786&lt;&gt;"",kokpit!F786,"")</f>
        <v/>
      </c>
      <c r="G786" s="24" t="str">
        <f>IF(E786&lt;&gt;"",SUMIFS('JPK_KR-1'!AL:AL,'JPK_KR-1'!W:W,F786),"")</f>
        <v/>
      </c>
      <c r="H786" s="126" t="str">
        <f>IF(E786&lt;&gt;"",SUMIFS('JPK_KR-1'!AM:AM,'JPK_KR-1'!W:W,F786),"")</f>
        <v/>
      </c>
      <c r="I786" s="5" t="str">
        <f>IF(kokpit!I786&lt;&gt;"",kokpit!I786,"")</f>
        <v/>
      </c>
      <c r="J786" s="5" t="str">
        <f>IF(kokpit!J786&lt;&gt;"",kokpit!J786,"")</f>
        <v/>
      </c>
      <c r="K786" s="24" t="str">
        <f>IF(I786&lt;&gt;"",SUMIFS('JPK_KR-1'!AL:AL,'JPK_KR-1'!W:W,J786),"")</f>
        <v/>
      </c>
      <c r="L786" s="141" t="str">
        <f>IF(I786&lt;&gt;"",SUMIFS('JPK_KR-1'!AM:AM,'JPK_KR-1'!W:W,J786),"")</f>
        <v/>
      </c>
      <c r="M786" s="143" t="str">
        <f>IF(kokpit!M786&lt;&gt;"",kokpit!M786,"")</f>
        <v/>
      </c>
      <c r="N786" s="117" t="str">
        <f>IF(kokpit!N786&lt;&gt;"",kokpit!N786,"")</f>
        <v/>
      </c>
      <c r="O786" s="117" t="str">
        <f>IF(kokpit!O786&lt;&gt;"",kokpit!O786,"")</f>
        <v/>
      </c>
      <c r="P786" s="141" t="str">
        <f>IF(M786&lt;&gt;"",IF(O786="",SUMIFS('JPK_KR-1'!AL:AL,'JPK_KR-1'!W:W,N786),SUMIFS('JPK_KR-1'!BF:BF,'JPK_KR-1'!BE:BE,N786,'JPK_KR-1'!BG:BG,O786)),"")</f>
        <v/>
      </c>
      <c r="Q786" s="144" t="str">
        <f>IF(M786&lt;&gt;"",IF(O786="",SUMIFS('JPK_KR-1'!AM:AM,'JPK_KR-1'!W:W,N786),SUMIFS('JPK_KR-1'!BI:BI,'JPK_KR-1'!BH:BH,N786,'JPK_KR-1'!BJ:BJ,O786)),"")</f>
        <v/>
      </c>
      <c r="R786" s="117" t="str">
        <f>IF(kokpit!R786&lt;&gt;"",kokpit!R786,"")</f>
        <v/>
      </c>
      <c r="S786" s="117" t="str">
        <f>IF(kokpit!S786&lt;&gt;"",kokpit!S786,"")</f>
        <v/>
      </c>
      <c r="T786" s="117" t="str">
        <f>IF(kokpit!T786&lt;&gt;"",kokpit!T786,"")</f>
        <v/>
      </c>
      <c r="U786" s="141" t="str">
        <f>IF(R786&lt;&gt;"",SUMIFS('JPK_KR-1'!AL:AL,'JPK_KR-1'!W:W,S786),"")</f>
        <v/>
      </c>
      <c r="V786" s="144" t="str">
        <f>IF(R786&lt;&gt;"",SUMIFS('JPK_KR-1'!AM:AM,'JPK_KR-1'!W:W,S786),"")</f>
        <v/>
      </c>
    </row>
    <row r="787" spans="1:22" x14ac:dyDescent="0.3">
      <c r="A787" s="5" t="str">
        <f>IF(kokpit!A787&lt;&gt;"",kokpit!A787,"")</f>
        <v/>
      </c>
      <c r="B787" s="5" t="str">
        <f>IF(kokpit!B787&lt;&gt;"",kokpit!B787,"")</f>
        <v/>
      </c>
      <c r="C787" s="24" t="str">
        <f>IF(A787&lt;&gt;"",SUMIFS('JPK_KR-1'!AL:AL,'JPK_KR-1'!W:W,B787),"")</f>
        <v/>
      </c>
      <c r="D787" s="126" t="str">
        <f>IF(A787&lt;&gt;"",SUMIFS('JPK_KR-1'!AM:AM,'JPK_KR-1'!W:W,B787),"")</f>
        <v/>
      </c>
      <c r="E787" s="5" t="str">
        <f>IF(kokpit!E787&lt;&gt;"",kokpit!E787,"")</f>
        <v/>
      </c>
      <c r="F787" s="127" t="str">
        <f>IF(kokpit!F787&lt;&gt;"",kokpit!F787,"")</f>
        <v/>
      </c>
      <c r="G787" s="24" t="str">
        <f>IF(E787&lt;&gt;"",SUMIFS('JPK_KR-1'!AL:AL,'JPK_KR-1'!W:W,F787),"")</f>
        <v/>
      </c>
      <c r="H787" s="126" t="str">
        <f>IF(E787&lt;&gt;"",SUMIFS('JPK_KR-1'!AM:AM,'JPK_KR-1'!W:W,F787),"")</f>
        <v/>
      </c>
      <c r="I787" s="5" t="str">
        <f>IF(kokpit!I787&lt;&gt;"",kokpit!I787,"")</f>
        <v/>
      </c>
      <c r="J787" s="5" t="str">
        <f>IF(kokpit!J787&lt;&gt;"",kokpit!J787,"")</f>
        <v/>
      </c>
      <c r="K787" s="24" t="str">
        <f>IF(I787&lt;&gt;"",SUMIFS('JPK_KR-1'!AL:AL,'JPK_KR-1'!W:W,J787),"")</f>
        <v/>
      </c>
      <c r="L787" s="141" t="str">
        <f>IF(I787&lt;&gt;"",SUMIFS('JPK_KR-1'!AM:AM,'JPK_KR-1'!W:W,J787),"")</f>
        <v/>
      </c>
      <c r="M787" s="143" t="str">
        <f>IF(kokpit!M787&lt;&gt;"",kokpit!M787,"")</f>
        <v/>
      </c>
      <c r="N787" s="117" t="str">
        <f>IF(kokpit!N787&lt;&gt;"",kokpit!N787,"")</f>
        <v/>
      </c>
      <c r="O787" s="117" t="str">
        <f>IF(kokpit!O787&lt;&gt;"",kokpit!O787,"")</f>
        <v/>
      </c>
      <c r="P787" s="141" t="str">
        <f>IF(M787&lt;&gt;"",IF(O787="",SUMIFS('JPK_KR-1'!AL:AL,'JPK_KR-1'!W:W,N787),SUMIFS('JPK_KR-1'!BF:BF,'JPK_KR-1'!BE:BE,N787,'JPK_KR-1'!BG:BG,O787)),"")</f>
        <v/>
      </c>
      <c r="Q787" s="144" t="str">
        <f>IF(M787&lt;&gt;"",IF(O787="",SUMIFS('JPK_KR-1'!AM:AM,'JPK_KR-1'!W:W,N787),SUMIFS('JPK_KR-1'!BI:BI,'JPK_KR-1'!BH:BH,N787,'JPK_KR-1'!BJ:BJ,O787)),"")</f>
        <v/>
      </c>
      <c r="R787" s="117" t="str">
        <f>IF(kokpit!R787&lt;&gt;"",kokpit!R787,"")</f>
        <v/>
      </c>
      <c r="S787" s="117" t="str">
        <f>IF(kokpit!S787&lt;&gt;"",kokpit!S787,"")</f>
        <v/>
      </c>
      <c r="T787" s="117" t="str">
        <f>IF(kokpit!T787&lt;&gt;"",kokpit!T787,"")</f>
        <v/>
      </c>
      <c r="U787" s="141" t="str">
        <f>IF(R787&lt;&gt;"",SUMIFS('JPK_KR-1'!AL:AL,'JPK_KR-1'!W:W,S787),"")</f>
        <v/>
      </c>
      <c r="V787" s="144" t="str">
        <f>IF(R787&lt;&gt;"",SUMIFS('JPK_KR-1'!AM:AM,'JPK_KR-1'!W:W,S787),"")</f>
        <v/>
      </c>
    </row>
    <row r="788" spans="1:22" x14ac:dyDescent="0.3">
      <c r="A788" s="5" t="str">
        <f>IF(kokpit!A788&lt;&gt;"",kokpit!A788,"")</f>
        <v/>
      </c>
      <c r="B788" s="5" t="str">
        <f>IF(kokpit!B788&lt;&gt;"",kokpit!B788,"")</f>
        <v/>
      </c>
      <c r="C788" s="24" t="str">
        <f>IF(A788&lt;&gt;"",SUMIFS('JPK_KR-1'!AL:AL,'JPK_KR-1'!W:W,B788),"")</f>
        <v/>
      </c>
      <c r="D788" s="126" t="str">
        <f>IF(A788&lt;&gt;"",SUMIFS('JPK_KR-1'!AM:AM,'JPK_KR-1'!W:W,B788),"")</f>
        <v/>
      </c>
      <c r="E788" s="5" t="str">
        <f>IF(kokpit!E788&lt;&gt;"",kokpit!E788,"")</f>
        <v/>
      </c>
      <c r="F788" s="127" t="str">
        <f>IF(kokpit!F788&lt;&gt;"",kokpit!F788,"")</f>
        <v/>
      </c>
      <c r="G788" s="24" t="str">
        <f>IF(E788&lt;&gt;"",SUMIFS('JPK_KR-1'!AL:AL,'JPK_KR-1'!W:W,F788),"")</f>
        <v/>
      </c>
      <c r="H788" s="126" t="str">
        <f>IF(E788&lt;&gt;"",SUMIFS('JPK_KR-1'!AM:AM,'JPK_KR-1'!W:W,F788),"")</f>
        <v/>
      </c>
      <c r="I788" s="5" t="str">
        <f>IF(kokpit!I788&lt;&gt;"",kokpit!I788,"")</f>
        <v/>
      </c>
      <c r="J788" s="5" t="str">
        <f>IF(kokpit!J788&lt;&gt;"",kokpit!J788,"")</f>
        <v/>
      </c>
      <c r="K788" s="24" t="str">
        <f>IF(I788&lt;&gt;"",SUMIFS('JPK_KR-1'!AL:AL,'JPK_KR-1'!W:W,J788),"")</f>
        <v/>
      </c>
      <c r="L788" s="141" t="str">
        <f>IF(I788&lt;&gt;"",SUMIFS('JPK_KR-1'!AM:AM,'JPK_KR-1'!W:W,J788),"")</f>
        <v/>
      </c>
      <c r="M788" s="143" t="str">
        <f>IF(kokpit!M788&lt;&gt;"",kokpit!M788,"")</f>
        <v/>
      </c>
      <c r="N788" s="117" t="str">
        <f>IF(kokpit!N788&lt;&gt;"",kokpit!N788,"")</f>
        <v/>
      </c>
      <c r="O788" s="117" t="str">
        <f>IF(kokpit!O788&lt;&gt;"",kokpit!O788,"")</f>
        <v/>
      </c>
      <c r="P788" s="141" t="str">
        <f>IF(M788&lt;&gt;"",IF(O788="",SUMIFS('JPK_KR-1'!AL:AL,'JPK_KR-1'!W:W,N788),SUMIFS('JPK_KR-1'!BF:BF,'JPK_KR-1'!BE:BE,N788,'JPK_KR-1'!BG:BG,O788)),"")</f>
        <v/>
      </c>
      <c r="Q788" s="144" t="str">
        <f>IF(M788&lt;&gt;"",IF(O788="",SUMIFS('JPK_KR-1'!AM:AM,'JPK_KR-1'!W:W,N788),SUMIFS('JPK_KR-1'!BI:BI,'JPK_KR-1'!BH:BH,N788,'JPK_KR-1'!BJ:BJ,O788)),"")</f>
        <v/>
      </c>
      <c r="R788" s="117" t="str">
        <f>IF(kokpit!R788&lt;&gt;"",kokpit!R788,"")</f>
        <v/>
      </c>
      <c r="S788" s="117" t="str">
        <f>IF(kokpit!S788&lt;&gt;"",kokpit!S788,"")</f>
        <v/>
      </c>
      <c r="T788" s="117" t="str">
        <f>IF(kokpit!T788&lt;&gt;"",kokpit!T788,"")</f>
        <v/>
      </c>
      <c r="U788" s="141" t="str">
        <f>IF(R788&lt;&gt;"",SUMIFS('JPK_KR-1'!AL:AL,'JPK_KR-1'!W:W,S788),"")</f>
        <v/>
      </c>
      <c r="V788" s="144" t="str">
        <f>IF(R788&lt;&gt;"",SUMIFS('JPK_KR-1'!AM:AM,'JPK_KR-1'!W:W,S788),"")</f>
        <v/>
      </c>
    </row>
    <row r="789" spans="1:22" x14ac:dyDescent="0.3">
      <c r="A789" s="5" t="str">
        <f>IF(kokpit!A789&lt;&gt;"",kokpit!A789,"")</f>
        <v/>
      </c>
      <c r="B789" s="5" t="str">
        <f>IF(kokpit!B789&lt;&gt;"",kokpit!B789,"")</f>
        <v/>
      </c>
      <c r="C789" s="24" t="str">
        <f>IF(A789&lt;&gt;"",SUMIFS('JPK_KR-1'!AL:AL,'JPK_KR-1'!W:W,B789),"")</f>
        <v/>
      </c>
      <c r="D789" s="126" t="str">
        <f>IF(A789&lt;&gt;"",SUMIFS('JPK_KR-1'!AM:AM,'JPK_KR-1'!W:W,B789),"")</f>
        <v/>
      </c>
      <c r="E789" s="5" t="str">
        <f>IF(kokpit!E789&lt;&gt;"",kokpit!E789,"")</f>
        <v/>
      </c>
      <c r="F789" s="127" t="str">
        <f>IF(kokpit!F789&lt;&gt;"",kokpit!F789,"")</f>
        <v/>
      </c>
      <c r="G789" s="24" t="str">
        <f>IF(E789&lt;&gt;"",SUMIFS('JPK_KR-1'!AL:AL,'JPK_KR-1'!W:W,F789),"")</f>
        <v/>
      </c>
      <c r="H789" s="126" t="str">
        <f>IF(E789&lt;&gt;"",SUMIFS('JPK_KR-1'!AM:AM,'JPK_KR-1'!W:W,F789),"")</f>
        <v/>
      </c>
      <c r="I789" s="5" t="str">
        <f>IF(kokpit!I789&lt;&gt;"",kokpit!I789,"")</f>
        <v/>
      </c>
      <c r="J789" s="5" t="str">
        <f>IF(kokpit!J789&lt;&gt;"",kokpit!J789,"")</f>
        <v/>
      </c>
      <c r="K789" s="24" t="str">
        <f>IF(I789&lt;&gt;"",SUMIFS('JPK_KR-1'!AL:AL,'JPK_KR-1'!W:W,J789),"")</f>
        <v/>
      </c>
      <c r="L789" s="141" t="str">
        <f>IF(I789&lt;&gt;"",SUMIFS('JPK_KR-1'!AM:AM,'JPK_KR-1'!W:W,J789),"")</f>
        <v/>
      </c>
      <c r="M789" s="143" t="str">
        <f>IF(kokpit!M789&lt;&gt;"",kokpit!M789,"")</f>
        <v/>
      </c>
      <c r="N789" s="117" t="str">
        <f>IF(kokpit!N789&lt;&gt;"",kokpit!N789,"")</f>
        <v/>
      </c>
      <c r="O789" s="117" t="str">
        <f>IF(kokpit!O789&lt;&gt;"",kokpit!O789,"")</f>
        <v/>
      </c>
      <c r="P789" s="141" t="str">
        <f>IF(M789&lt;&gt;"",IF(O789="",SUMIFS('JPK_KR-1'!AL:AL,'JPK_KR-1'!W:W,N789),SUMIFS('JPK_KR-1'!BF:BF,'JPK_KR-1'!BE:BE,N789,'JPK_KR-1'!BG:BG,O789)),"")</f>
        <v/>
      </c>
      <c r="Q789" s="144" t="str">
        <f>IF(M789&lt;&gt;"",IF(O789="",SUMIFS('JPK_KR-1'!AM:AM,'JPK_KR-1'!W:W,N789),SUMIFS('JPK_KR-1'!BI:BI,'JPK_KR-1'!BH:BH,N789,'JPK_KR-1'!BJ:BJ,O789)),"")</f>
        <v/>
      </c>
      <c r="R789" s="117" t="str">
        <f>IF(kokpit!R789&lt;&gt;"",kokpit!R789,"")</f>
        <v/>
      </c>
      <c r="S789" s="117" t="str">
        <f>IF(kokpit!S789&lt;&gt;"",kokpit!S789,"")</f>
        <v/>
      </c>
      <c r="T789" s="117" t="str">
        <f>IF(kokpit!T789&lt;&gt;"",kokpit!T789,"")</f>
        <v/>
      </c>
      <c r="U789" s="141" t="str">
        <f>IF(R789&lt;&gt;"",SUMIFS('JPK_KR-1'!AL:AL,'JPK_KR-1'!W:W,S789),"")</f>
        <v/>
      </c>
      <c r="V789" s="144" t="str">
        <f>IF(R789&lt;&gt;"",SUMIFS('JPK_KR-1'!AM:AM,'JPK_KR-1'!W:W,S789),"")</f>
        <v/>
      </c>
    </row>
    <row r="790" spans="1:22" x14ac:dyDescent="0.3">
      <c r="A790" s="5" t="str">
        <f>IF(kokpit!A790&lt;&gt;"",kokpit!A790,"")</f>
        <v/>
      </c>
      <c r="B790" s="5" t="str">
        <f>IF(kokpit!B790&lt;&gt;"",kokpit!B790,"")</f>
        <v/>
      </c>
      <c r="C790" s="24" t="str">
        <f>IF(A790&lt;&gt;"",SUMIFS('JPK_KR-1'!AL:AL,'JPK_KR-1'!W:W,B790),"")</f>
        <v/>
      </c>
      <c r="D790" s="126" t="str">
        <f>IF(A790&lt;&gt;"",SUMIFS('JPK_KR-1'!AM:AM,'JPK_KR-1'!W:W,B790),"")</f>
        <v/>
      </c>
      <c r="E790" s="5" t="str">
        <f>IF(kokpit!E790&lt;&gt;"",kokpit!E790,"")</f>
        <v/>
      </c>
      <c r="F790" s="127" t="str">
        <f>IF(kokpit!F790&lt;&gt;"",kokpit!F790,"")</f>
        <v/>
      </c>
      <c r="G790" s="24" t="str">
        <f>IF(E790&lt;&gt;"",SUMIFS('JPK_KR-1'!AL:AL,'JPK_KR-1'!W:W,F790),"")</f>
        <v/>
      </c>
      <c r="H790" s="126" t="str">
        <f>IF(E790&lt;&gt;"",SUMIFS('JPK_KR-1'!AM:AM,'JPK_KR-1'!W:W,F790),"")</f>
        <v/>
      </c>
      <c r="I790" s="5" t="str">
        <f>IF(kokpit!I790&lt;&gt;"",kokpit!I790,"")</f>
        <v/>
      </c>
      <c r="J790" s="5" t="str">
        <f>IF(kokpit!J790&lt;&gt;"",kokpit!J790,"")</f>
        <v/>
      </c>
      <c r="K790" s="24" t="str">
        <f>IF(I790&lt;&gt;"",SUMIFS('JPK_KR-1'!AL:AL,'JPK_KR-1'!W:W,J790),"")</f>
        <v/>
      </c>
      <c r="L790" s="141" t="str">
        <f>IF(I790&lt;&gt;"",SUMIFS('JPK_KR-1'!AM:AM,'JPK_KR-1'!W:W,J790),"")</f>
        <v/>
      </c>
      <c r="M790" s="143" t="str">
        <f>IF(kokpit!M790&lt;&gt;"",kokpit!M790,"")</f>
        <v/>
      </c>
      <c r="N790" s="117" t="str">
        <f>IF(kokpit!N790&lt;&gt;"",kokpit!N790,"")</f>
        <v/>
      </c>
      <c r="O790" s="117" t="str">
        <f>IF(kokpit!O790&lt;&gt;"",kokpit!O790,"")</f>
        <v/>
      </c>
      <c r="P790" s="141" t="str">
        <f>IF(M790&lt;&gt;"",IF(O790="",SUMIFS('JPK_KR-1'!AL:AL,'JPK_KR-1'!W:W,N790),SUMIFS('JPK_KR-1'!BF:BF,'JPK_KR-1'!BE:BE,N790,'JPK_KR-1'!BG:BG,O790)),"")</f>
        <v/>
      </c>
      <c r="Q790" s="144" t="str">
        <f>IF(M790&lt;&gt;"",IF(O790="",SUMIFS('JPK_KR-1'!AM:AM,'JPK_KR-1'!W:W,N790),SUMIFS('JPK_KR-1'!BI:BI,'JPK_KR-1'!BH:BH,N790,'JPK_KR-1'!BJ:BJ,O790)),"")</f>
        <v/>
      </c>
      <c r="R790" s="117" t="str">
        <f>IF(kokpit!R790&lt;&gt;"",kokpit!R790,"")</f>
        <v/>
      </c>
      <c r="S790" s="117" t="str">
        <f>IF(kokpit!S790&lt;&gt;"",kokpit!S790,"")</f>
        <v/>
      </c>
      <c r="T790" s="117" t="str">
        <f>IF(kokpit!T790&lt;&gt;"",kokpit!T790,"")</f>
        <v/>
      </c>
      <c r="U790" s="141" t="str">
        <f>IF(R790&lt;&gt;"",SUMIFS('JPK_KR-1'!AL:AL,'JPK_KR-1'!W:W,S790),"")</f>
        <v/>
      </c>
      <c r="V790" s="144" t="str">
        <f>IF(R790&lt;&gt;"",SUMIFS('JPK_KR-1'!AM:AM,'JPK_KR-1'!W:W,S790),"")</f>
        <v/>
      </c>
    </row>
    <row r="791" spans="1:22" x14ac:dyDescent="0.3">
      <c r="A791" s="5" t="str">
        <f>IF(kokpit!A791&lt;&gt;"",kokpit!A791,"")</f>
        <v/>
      </c>
      <c r="B791" s="5" t="str">
        <f>IF(kokpit!B791&lt;&gt;"",kokpit!B791,"")</f>
        <v/>
      </c>
      <c r="C791" s="24" t="str">
        <f>IF(A791&lt;&gt;"",SUMIFS('JPK_KR-1'!AL:AL,'JPK_KR-1'!W:W,B791),"")</f>
        <v/>
      </c>
      <c r="D791" s="126" t="str">
        <f>IF(A791&lt;&gt;"",SUMIFS('JPK_KR-1'!AM:AM,'JPK_KR-1'!W:W,B791),"")</f>
        <v/>
      </c>
      <c r="E791" s="5" t="str">
        <f>IF(kokpit!E791&lt;&gt;"",kokpit!E791,"")</f>
        <v/>
      </c>
      <c r="F791" s="127" t="str">
        <f>IF(kokpit!F791&lt;&gt;"",kokpit!F791,"")</f>
        <v/>
      </c>
      <c r="G791" s="24" t="str">
        <f>IF(E791&lt;&gt;"",SUMIFS('JPK_KR-1'!AL:AL,'JPK_KR-1'!W:W,F791),"")</f>
        <v/>
      </c>
      <c r="H791" s="126" t="str">
        <f>IF(E791&lt;&gt;"",SUMIFS('JPK_KR-1'!AM:AM,'JPK_KR-1'!W:W,F791),"")</f>
        <v/>
      </c>
      <c r="I791" s="5" t="str">
        <f>IF(kokpit!I791&lt;&gt;"",kokpit!I791,"")</f>
        <v/>
      </c>
      <c r="J791" s="5" t="str">
        <f>IF(kokpit!J791&lt;&gt;"",kokpit!J791,"")</f>
        <v/>
      </c>
      <c r="K791" s="24" t="str">
        <f>IF(I791&lt;&gt;"",SUMIFS('JPK_KR-1'!AL:AL,'JPK_KR-1'!W:W,J791),"")</f>
        <v/>
      </c>
      <c r="L791" s="141" t="str">
        <f>IF(I791&lt;&gt;"",SUMIFS('JPK_KR-1'!AM:AM,'JPK_KR-1'!W:W,J791),"")</f>
        <v/>
      </c>
      <c r="M791" s="143" t="str">
        <f>IF(kokpit!M791&lt;&gt;"",kokpit!M791,"")</f>
        <v/>
      </c>
      <c r="N791" s="117" t="str">
        <f>IF(kokpit!N791&lt;&gt;"",kokpit!N791,"")</f>
        <v/>
      </c>
      <c r="O791" s="117" t="str">
        <f>IF(kokpit!O791&lt;&gt;"",kokpit!O791,"")</f>
        <v/>
      </c>
      <c r="P791" s="141" t="str">
        <f>IF(M791&lt;&gt;"",IF(O791="",SUMIFS('JPK_KR-1'!AL:AL,'JPK_KR-1'!W:W,N791),SUMIFS('JPK_KR-1'!BF:BF,'JPK_KR-1'!BE:BE,N791,'JPK_KR-1'!BG:BG,O791)),"")</f>
        <v/>
      </c>
      <c r="Q791" s="144" t="str">
        <f>IF(M791&lt;&gt;"",IF(O791="",SUMIFS('JPK_KR-1'!AM:AM,'JPK_KR-1'!W:W,N791),SUMIFS('JPK_KR-1'!BI:BI,'JPK_KR-1'!BH:BH,N791,'JPK_KR-1'!BJ:BJ,O791)),"")</f>
        <v/>
      </c>
      <c r="R791" s="117" t="str">
        <f>IF(kokpit!R791&lt;&gt;"",kokpit!R791,"")</f>
        <v/>
      </c>
      <c r="S791" s="117" t="str">
        <f>IF(kokpit!S791&lt;&gt;"",kokpit!S791,"")</f>
        <v/>
      </c>
      <c r="T791" s="117" t="str">
        <f>IF(kokpit!T791&lt;&gt;"",kokpit!T791,"")</f>
        <v/>
      </c>
      <c r="U791" s="141" t="str">
        <f>IF(R791&lt;&gt;"",SUMIFS('JPK_KR-1'!AL:AL,'JPK_KR-1'!W:W,S791),"")</f>
        <v/>
      </c>
      <c r="V791" s="144" t="str">
        <f>IF(R791&lt;&gt;"",SUMIFS('JPK_KR-1'!AM:AM,'JPK_KR-1'!W:W,S791),"")</f>
        <v/>
      </c>
    </row>
    <row r="792" spans="1:22" x14ac:dyDescent="0.3">
      <c r="A792" s="5" t="str">
        <f>IF(kokpit!A792&lt;&gt;"",kokpit!A792,"")</f>
        <v/>
      </c>
      <c r="B792" s="5" t="str">
        <f>IF(kokpit!B792&lt;&gt;"",kokpit!B792,"")</f>
        <v/>
      </c>
      <c r="C792" s="24" t="str">
        <f>IF(A792&lt;&gt;"",SUMIFS('JPK_KR-1'!AL:AL,'JPK_KR-1'!W:W,B792),"")</f>
        <v/>
      </c>
      <c r="D792" s="126" t="str">
        <f>IF(A792&lt;&gt;"",SUMIFS('JPK_KR-1'!AM:AM,'JPK_KR-1'!W:W,B792),"")</f>
        <v/>
      </c>
      <c r="E792" s="5" t="str">
        <f>IF(kokpit!E792&lt;&gt;"",kokpit!E792,"")</f>
        <v/>
      </c>
      <c r="F792" s="127" t="str">
        <f>IF(kokpit!F792&lt;&gt;"",kokpit!F792,"")</f>
        <v/>
      </c>
      <c r="G792" s="24" t="str">
        <f>IF(E792&lt;&gt;"",SUMIFS('JPK_KR-1'!AL:AL,'JPK_KR-1'!W:W,F792),"")</f>
        <v/>
      </c>
      <c r="H792" s="126" t="str">
        <f>IF(E792&lt;&gt;"",SUMIFS('JPK_KR-1'!AM:AM,'JPK_KR-1'!W:W,F792),"")</f>
        <v/>
      </c>
      <c r="I792" s="5" t="str">
        <f>IF(kokpit!I792&lt;&gt;"",kokpit!I792,"")</f>
        <v/>
      </c>
      <c r="J792" s="5" t="str">
        <f>IF(kokpit!J792&lt;&gt;"",kokpit!J792,"")</f>
        <v/>
      </c>
      <c r="K792" s="24" t="str">
        <f>IF(I792&lt;&gt;"",SUMIFS('JPK_KR-1'!AL:AL,'JPK_KR-1'!W:W,J792),"")</f>
        <v/>
      </c>
      <c r="L792" s="141" t="str">
        <f>IF(I792&lt;&gt;"",SUMIFS('JPK_KR-1'!AM:AM,'JPK_KR-1'!W:W,J792),"")</f>
        <v/>
      </c>
      <c r="M792" s="143" t="str">
        <f>IF(kokpit!M792&lt;&gt;"",kokpit!M792,"")</f>
        <v/>
      </c>
      <c r="N792" s="117" t="str">
        <f>IF(kokpit!N792&lt;&gt;"",kokpit!N792,"")</f>
        <v/>
      </c>
      <c r="O792" s="117" t="str">
        <f>IF(kokpit!O792&lt;&gt;"",kokpit!O792,"")</f>
        <v/>
      </c>
      <c r="P792" s="141" t="str">
        <f>IF(M792&lt;&gt;"",IF(O792="",SUMIFS('JPK_KR-1'!AL:AL,'JPK_KR-1'!W:W,N792),SUMIFS('JPK_KR-1'!BF:BF,'JPK_KR-1'!BE:BE,N792,'JPK_KR-1'!BG:BG,O792)),"")</f>
        <v/>
      </c>
      <c r="Q792" s="144" t="str">
        <f>IF(M792&lt;&gt;"",IF(O792="",SUMIFS('JPK_KR-1'!AM:AM,'JPK_KR-1'!W:W,N792),SUMIFS('JPK_KR-1'!BI:BI,'JPK_KR-1'!BH:BH,N792,'JPK_KR-1'!BJ:BJ,O792)),"")</f>
        <v/>
      </c>
      <c r="R792" s="117" t="str">
        <f>IF(kokpit!R792&lt;&gt;"",kokpit!R792,"")</f>
        <v/>
      </c>
      <c r="S792" s="117" t="str">
        <f>IF(kokpit!S792&lt;&gt;"",kokpit!S792,"")</f>
        <v/>
      </c>
      <c r="T792" s="117" t="str">
        <f>IF(kokpit!T792&lt;&gt;"",kokpit!T792,"")</f>
        <v/>
      </c>
      <c r="U792" s="141" t="str">
        <f>IF(R792&lt;&gt;"",SUMIFS('JPK_KR-1'!AL:AL,'JPK_KR-1'!W:W,S792),"")</f>
        <v/>
      </c>
      <c r="V792" s="144" t="str">
        <f>IF(R792&lt;&gt;"",SUMIFS('JPK_KR-1'!AM:AM,'JPK_KR-1'!W:W,S792),"")</f>
        <v/>
      </c>
    </row>
    <row r="793" spans="1:22" x14ac:dyDescent="0.3">
      <c r="A793" s="5" t="str">
        <f>IF(kokpit!A793&lt;&gt;"",kokpit!A793,"")</f>
        <v/>
      </c>
      <c r="B793" s="5" t="str">
        <f>IF(kokpit!B793&lt;&gt;"",kokpit!B793,"")</f>
        <v/>
      </c>
      <c r="C793" s="24" t="str">
        <f>IF(A793&lt;&gt;"",SUMIFS('JPK_KR-1'!AL:AL,'JPK_KR-1'!W:W,B793),"")</f>
        <v/>
      </c>
      <c r="D793" s="126" t="str">
        <f>IF(A793&lt;&gt;"",SUMIFS('JPK_KR-1'!AM:AM,'JPK_KR-1'!W:W,B793),"")</f>
        <v/>
      </c>
      <c r="E793" s="5" t="str">
        <f>IF(kokpit!E793&lt;&gt;"",kokpit!E793,"")</f>
        <v/>
      </c>
      <c r="F793" s="127" t="str">
        <f>IF(kokpit!F793&lt;&gt;"",kokpit!F793,"")</f>
        <v/>
      </c>
      <c r="G793" s="24" t="str">
        <f>IF(E793&lt;&gt;"",SUMIFS('JPK_KR-1'!AL:AL,'JPK_KR-1'!W:W,F793),"")</f>
        <v/>
      </c>
      <c r="H793" s="126" t="str">
        <f>IF(E793&lt;&gt;"",SUMIFS('JPK_KR-1'!AM:AM,'JPK_KR-1'!W:W,F793),"")</f>
        <v/>
      </c>
      <c r="I793" s="5" t="str">
        <f>IF(kokpit!I793&lt;&gt;"",kokpit!I793,"")</f>
        <v/>
      </c>
      <c r="J793" s="5" t="str">
        <f>IF(kokpit!J793&lt;&gt;"",kokpit!J793,"")</f>
        <v/>
      </c>
      <c r="K793" s="24" t="str">
        <f>IF(I793&lt;&gt;"",SUMIFS('JPK_KR-1'!AL:AL,'JPK_KR-1'!W:W,J793),"")</f>
        <v/>
      </c>
      <c r="L793" s="141" t="str">
        <f>IF(I793&lt;&gt;"",SUMIFS('JPK_KR-1'!AM:AM,'JPK_KR-1'!W:W,J793),"")</f>
        <v/>
      </c>
      <c r="M793" s="143" t="str">
        <f>IF(kokpit!M793&lt;&gt;"",kokpit!M793,"")</f>
        <v/>
      </c>
      <c r="N793" s="117" t="str">
        <f>IF(kokpit!N793&lt;&gt;"",kokpit!N793,"")</f>
        <v/>
      </c>
      <c r="O793" s="117" t="str">
        <f>IF(kokpit!O793&lt;&gt;"",kokpit!O793,"")</f>
        <v/>
      </c>
      <c r="P793" s="141" t="str">
        <f>IF(M793&lt;&gt;"",IF(O793="",SUMIFS('JPK_KR-1'!AL:AL,'JPK_KR-1'!W:W,N793),SUMIFS('JPK_KR-1'!BF:BF,'JPK_KR-1'!BE:BE,N793,'JPK_KR-1'!BG:BG,O793)),"")</f>
        <v/>
      </c>
      <c r="Q793" s="144" t="str">
        <f>IF(M793&lt;&gt;"",IF(O793="",SUMIFS('JPK_KR-1'!AM:AM,'JPK_KR-1'!W:W,N793),SUMIFS('JPK_KR-1'!BI:BI,'JPK_KR-1'!BH:BH,N793,'JPK_KR-1'!BJ:BJ,O793)),"")</f>
        <v/>
      </c>
      <c r="R793" s="117" t="str">
        <f>IF(kokpit!R793&lt;&gt;"",kokpit!R793,"")</f>
        <v/>
      </c>
      <c r="S793" s="117" t="str">
        <f>IF(kokpit!S793&lt;&gt;"",kokpit!S793,"")</f>
        <v/>
      </c>
      <c r="T793" s="117" t="str">
        <f>IF(kokpit!T793&lt;&gt;"",kokpit!T793,"")</f>
        <v/>
      </c>
      <c r="U793" s="141" t="str">
        <f>IF(R793&lt;&gt;"",SUMIFS('JPK_KR-1'!AL:AL,'JPK_KR-1'!W:W,S793),"")</f>
        <v/>
      </c>
      <c r="V793" s="144" t="str">
        <f>IF(R793&lt;&gt;"",SUMIFS('JPK_KR-1'!AM:AM,'JPK_KR-1'!W:W,S793),"")</f>
        <v/>
      </c>
    </row>
    <row r="794" spans="1:22" x14ac:dyDescent="0.3">
      <c r="A794" s="5" t="str">
        <f>IF(kokpit!A794&lt;&gt;"",kokpit!A794,"")</f>
        <v/>
      </c>
      <c r="B794" s="5" t="str">
        <f>IF(kokpit!B794&lt;&gt;"",kokpit!B794,"")</f>
        <v/>
      </c>
      <c r="C794" s="24" t="str">
        <f>IF(A794&lt;&gt;"",SUMIFS('JPK_KR-1'!AL:AL,'JPK_KR-1'!W:W,B794),"")</f>
        <v/>
      </c>
      <c r="D794" s="126" t="str">
        <f>IF(A794&lt;&gt;"",SUMIFS('JPK_KR-1'!AM:AM,'JPK_KR-1'!W:W,B794),"")</f>
        <v/>
      </c>
      <c r="E794" s="5" t="str">
        <f>IF(kokpit!E794&lt;&gt;"",kokpit!E794,"")</f>
        <v/>
      </c>
      <c r="F794" s="127" t="str">
        <f>IF(kokpit!F794&lt;&gt;"",kokpit!F794,"")</f>
        <v/>
      </c>
      <c r="G794" s="24" t="str">
        <f>IF(E794&lt;&gt;"",SUMIFS('JPK_KR-1'!AL:AL,'JPK_KR-1'!W:W,F794),"")</f>
        <v/>
      </c>
      <c r="H794" s="126" t="str">
        <f>IF(E794&lt;&gt;"",SUMIFS('JPK_KR-1'!AM:AM,'JPK_KR-1'!W:W,F794),"")</f>
        <v/>
      </c>
      <c r="I794" s="5" t="str">
        <f>IF(kokpit!I794&lt;&gt;"",kokpit!I794,"")</f>
        <v/>
      </c>
      <c r="J794" s="5" t="str">
        <f>IF(kokpit!J794&lt;&gt;"",kokpit!J794,"")</f>
        <v/>
      </c>
      <c r="K794" s="24" t="str">
        <f>IF(I794&lt;&gt;"",SUMIFS('JPK_KR-1'!AL:AL,'JPK_KR-1'!W:W,J794),"")</f>
        <v/>
      </c>
      <c r="L794" s="141" t="str">
        <f>IF(I794&lt;&gt;"",SUMIFS('JPK_KR-1'!AM:AM,'JPK_KR-1'!W:W,J794),"")</f>
        <v/>
      </c>
      <c r="M794" s="143" t="str">
        <f>IF(kokpit!M794&lt;&gt;"",kokpit!M794,"")</f>
        <v/>
      </c>
      <c r="N794" s="117" t="str">
        <f>IF(kokpit!N794&lt;&gt;"",kokpit!N794,"")</f>
        <v/>
      </c>
      <c r="O794" s="117" t="str">
        <f>IF(kokpit!O794&lt;&gt;"",kokpit!O794,"")</f>
        <v/>
      </c>
      <c r="P794" s="141" t="str">
        <f>IF(M794&lt;&gt;"",IF(O794="",SUMIFS('JPK_KR-1'!AL:AL,'JPK_KR-1'!W:W,N794),SUMIFS('JPK_KR-1'!BF:BF,'JPK_KR-1'!BE:BE,N794,'JPK_KR-1'!BG:BG,O794)),"")</f>
        <v/>
      </c>
      <c r="Q794" s="144" t="str">
        <f>IF(M794&lt;&gt;"",IF(O794="",SUMIFS('JPK_KR-1'!AM:AM,'JPK_KR-1'!W:W,N794),SUMIFS('JPK_KR-1'!BI:BI,'JPK_KR-1'!BH:BH,N794,'JPK_KR-1'!BJ:BJ,O794)),"")</f>
        <v/>
      </c>
      <c r="R794" s="117" t="str">
        <f>IF(kokpit!R794&lt;&gt;"",kokpit!R794,"")</f>
        <v/>
      </c>
      <c r="S794" s="117" t="str">
        <f>IF(kokpit!S794&lt;&gt;"",kokpit!S794,"")</f>
        <v/>
      </c>
      <c r="T794" s="117" t="str">
        <f>IF(kokpit!T794&lt;&gt;"",kokpit!T794,"")</f>
        <v/>
      </c>
      <c r="U794" s="141" t="str">
        <f>IF(R794&lt;&gt;"",SUMIFS('JPK_KR-1'!AL:AL,'JPK_KR-1'!W:W,S794),"")</f>
        <v/>
      </c>
      <c r="V794" s="144" t="str">
        <f>IF(R794&lt;&gt;"",SUMIFS('JPK_KR-1'!AM:AM,'JPK_KR-1'!W:W,S794),"")</f>
        <v/>
      </c>
    </row>
    <row r="795" spans="1:22" x14ac:dyDescent="0.3">
      <c r="A795" s="5" t="str">
        <f>IF(kokpit!A795&lt;&gt;"",kokpit!A795,"")</f>
        <v/>
      </c>
      <c r="B795" s="5" t="str">
        <f>IF(kokpit!B795&lt;&gt;"",kokpit!B795,"")</f>
        <v/>
      </c>
      <c r="C795" s="24" t="str">
        <f>IF(A795&lt;&gt;"",SUMIFS('JPK_KR-1'!AL:AL,'JPK_KR-1'!W:W,B795),"")</f>
        <v/>
      </c>
      <c r="D795" s="126" t="str">
        <f>IF(A795&lt;&gt;"",SUMIFS('JPK_KR-1'!AM:AM,'JPK_KR-1'!W:W,B795),"")</f>
        <v/>
      </c>
      <c r="E795" s="5" t="str">
        <f>IF(kokpit!E795&lt;&gt;"",kokpit!E795,"")</f>
        <v/>
      </c>
      <c r="F795" s="127" t="str">
        <f>IF(kokpit!F795&lt;&gt;"",kokpit!F795,"")</f>
        <v/>
      </c>
      <c r="G795" s="24" t="str">
        <f>IF(E795&lt;&gt;"",SUMIFS('JPK_KR-1'!AL:AL,'JPK_KR-1'!W:W,F795),"")</f>
        <v/>
      </c>
      <c r="H795" s="126" t="str">
        <f>IF(E795&lt;&gt;"",SUMIFS('JPK_KR-1'!AM:AM,'JPK_KR-1'!W:W,F795),"")</f>
        <v/>
      </c>
      <c r="I795" s="5" t="str">
        <f>IF(kokpit!I795&lt;&gt;"",kokpit!I795,"")</f>
        <v/>
      </c>
      <c r="J795" s="5" t="str">
        <f>IF(kokpit!J795&lt;&gt;"",kokpit!J795,"")</f>
        <v/>
      </c>
      <c r="K795" s="24" t="str">
        <f>IF(I795&lt;&gt;"",SUMIFS('JPK_KR-1'!AL:AL,'JPK_KR-1'!W:W,J795),"")</f>
        <v/>
      </c>
      <c r="L795" s="141" t="str">
        <f>IF(I795&lt;&gt;"",SUMIFS('JPK_KR-1'!AM:AM,'JPK_KR-1'!W:W,J795),"")</f>
        <v/>
      </c>
      <c r="M795" s="143" t="str">
        <f>IF(kokpit!M795&lt;&gt;"",kokpit!M795,"")</f>
        <v/>
      </c>
      <c r="N795" s="117" t="str">
        <f>IF(kokpit!N795&lt;&gt;"",kokpit!N795,"")</f>
        <v/>
      </c>
      <c r="O795" s="117" t="str">
        <f>IF(kokpit!O795&lt;&gt;"",kokpit!O795,"")</f>
        <v/>
      </c>
      <c r="P795" s="141" t="str">
        <f>IF(M795&lt;&gt;"",IF(O795="",SUMIFS('JPK_KR-1'!AL:AL,'JPK_KR-1'!W:W,N795),SUMIFS('JPK_KR-1'!BF:BF,'JPK_KR-1'!BE:BE,N795,'JPK_KR-1'!BG:BG,O795)),"")</f>
        <v/>
      </c>
      <c r="Q795" s="144" t="str">
        <f>IF(M795&lt;&gt;"",IF(O795="",SUMIFS('JPK_KR-1'!AM:AM,'JPK_KR-1'!W:W,N795),SUMIFS('JPK_KR-1'!BI:BI,'JPK_KR-1'!BH:BH,N795,'JPK_KR-1'!BJ:BJ,O795)),"")</f>
        <v/>
      </c>
      <c r="R795" s="117" t="str">
        <f>IF(kokpit!R795&lt;&gt;"",kokpit!R795,"")</f>
        <v/>
      </c>
      <c r="S795" s="117" t="str">
        <f>IF(kokpit!S795&lt;&gt;"",kokpit!S795,"")</f>
        <v/>
      </c>
      <c r="T795" s="117" t="str">
        <f>IF(kokpit!T795&lt;&gt;"",kokpit!T795,"")</f>
        <v/>
      </c>
      <c r="U795" s="141" t="str">
        <f>IF(R795&lt;&gt;"",SUMIFS('JPK_KR-1'!AL:AL,'JPK_KR-1'!W:W,S795),"")</f>
        <v/>
      </c>
      <c r="V795" s="144" t="str">
        <f>IF(R795&lt;&gt;"",SUMIFS('JPK_KR-1'!AM:AM,'JPK_KR-1'!W:W,S795),"")</f>
        <v/>
      </c>
    </row>
    <row r="796" spans="1:22" x14ac:dyDescent="0.3">
      <c r="A796" s="5" t="str">
        <f>IF(kokpit!A796&lt;&gt;"",kokpit!A796,"")</f>
        <v/>
      </c>
      <c r="B796" s="5" t="str">
        <f>IF(kokpit!B796&lt;&gt;"",kokpit!B796,"")</f>
        <v/>
      </c>
      <c r="C796" s="24" t="str">
        <f>IF(A796&lt;&gt;"",SUMIFS('JPK_KR-1'!AL:AL,'JPK_KR-1'!W:W,B796),"")</f>
        <v/>
      </c>
      <c r="D796" s="126" t="str">
        <f>IF(A796&lt;&gt;"",SUMIFS('JPK_KR-1'!AM:AM,'JPK_KR-1'!W:W,B796),"")</f>
        <v/>
      </c>
      <c r="E796" s="5" t="str">
        <f>IF(kokpit!E796&lt;&gt;"",kokpit!E796,"")</f>
        <v/>
      </c>
      <c r="F796" s="127" t="str">
        <f>IF(kokpit!F796&lt;&gt;"",kokpit!F796,"")</f>
        <v/>
      </c>
      <c r="G796" s="24" t="str">
        <f>IF(E796&lt;&gt;"",SUMIFS('JPK_KR-1'!AL:AL,'JPK_KR-1'!W:W,F796),"")</f>
        <v/>
      </c>
      <c r="H796" s="126" t="str">
        <f>IF(E796&lt;&gt;"",SUMIFS('JPK_KR-1'!AM:AM,'JPK_KR-1'!W:W,F796),"")</f>
        <v/>
      </c>
      <c r="I796" s="5" t="str">
        <f>IF(kokpit!I796&lt;&gt;"",kokpit!I796,"")</f>
        <v/>
      </c>
      <c r="J796" s="5" t="str">
        <f>IF(kokpit!J796&lt;&gt;"",kokpit!J796,"")</f>
        <v/>
      </c>
      <c r="K796" s="24" t="str">
        <f>IF(I796&lt;&gt;"",SUMIFS('JPK_KR-1'!AL:AL,'JPK_KR-1'!W:W,J796),"")</f>
        <v/>
      </c>
      <c r="L796" s="141" t="str">
        <f>IF(I796&lt;&gt;"",SUMIFS('JPK_KR-1'!AM:AM,'JPK_KR-1'!W:W,J796),"")</f>
        <v/>
      </c>
      <c r="M796" s="143" t="str">
        <f>IF(kokpit!M796&lt;&gt;"",kokpit!M796,"")</f>
        <v/>
      </c>
      <c r="N796" s="117" t="str">
        <f>IF(kokpit!N796&lt;&gt;"",kokpit!N796,"")</f>
        <v/>
      </c>
      <c r="O796" s="117" t="str">
        <f>IF(kokpit!O796&lt;&gt;"",kokpit!O796,"")</f>
        <v/>
      </c>
      <c r="P796" s="141" t="str">
        <f>IF(M796&lt;&gt;"",IF(O796="",SUMIFS('JPK_KR-1'!AL:AL,'JPK_KR-1'!W:W,N796),SUMIFS('JPK_KR-1'!BF:BF,'JPK_KR-1'!BE:BE,N796,'JPK_KR-1'!BG:BG,O796)),"")</f>
        <v/>
      </c>
      <c r="Q796" s="144" t="str">
        <f>IF(M796&lt;&gt;"",IF(O796="",SUMIFS('JPK_KR-1'!AM:AM,'JPK_KR-1'!W:W,N796),SUMIFS('JPK_KR-1'!BI:BI,'JPK_KR-1'!BH:BH,N796,'JPK_KR-1'!BJ:BJ,O796)),"")</f>
        <v/>
      </c>
      <c r="R796" s="117" t="str">
        <f>IF(kokpit!R796&lt;&gt;"",kokpit!R796,"")</f>
        <v/>
      </c>
      <c r="S796" s="117" t="str">
        <f>IF(kokpit!S796&lt;&gt;"",kokpit!S796,"")</f>
        <v/>
      </c>
      <c r="T796" s="117" t="str">
        <f>IF(kokpit!T796&lt;&gt;"",kokpit!T796,"")</f>
        <v/>
      </c>
      <c r="U796" s="141" t="str">
        <f>IF(R796&lt;&gt;"",SUMIFS('JPK_KR-1'!AL:AL,'JPK_KR-1'!W:W,S796),"")</f>
        <v/>
      </c>
      <c r="V796" s="144" t="str">
        <f>IF(R796&lt;&gt;"",SUMIFS('JPK_KR-1'!AM:AM,'JPK_KR-1'!W:W,S796),"")</f>
        <v/>
      </c>
    </row>
    <row r="797" spans="1:22" x14ac:dyDescent="0.3">
      <c r="A797" s="5" t="str">
        <f>IF(kokpit!A797&lt;&gt;"",kokpit!A797,"")</f>
        <v/>
      </c>
      <c r="B797" s="5" t="str">
        <f>IF(kokpit!B797&lt;&gt;"",kokpit!B797,"")</f>
        <v/>
      </c>
      <c r="C797" s="24" t="str">
        <f>IF(A797&lt;&gt;"",SUMIFS('JPK_KR-1'!AL:AL,'JPK_KR-1'!W:W,B797),"")</f>
        <v/>
      </c>
      <c r="D797" s="126" t="str">
        <f>IF(A797&lt;&gt;"",SUMIFS('JPK_KR-1'!AM:AM,'JPK_KR-1'!W:W,B797),"")</f>
        <v/>
      </c>
      <c r="E797" s="5" t="str">
        <f>IF(kokpit!E797&lt;&gt;"",kokpit!E797,"")</f>
        <v/>
      </c>
      <c r="F797" s="127" t="str">
        <f>IF(kokpit!F797&lt;&gt;"",kokpit!F797,"")</f>
        <v/>
      </c>
      <c r="G797" s="24" t="str">
        <f>IF(E797&lt;&gt;"",SUMIFS('JPK_KR-1'!AL:AL,'JPK_KR-1'!W:W,F797),"")</f>
        <v/>
      </c>
      <c r="H797" s="126" t="str">
        <f>IF(E797&lt;&gt;"",SUMIFS('JPK_KR-1'!AM:AM,'JPK_KR-1'!W:W,F797),"")</f>
        <v/>
      </c>
      <c r="I797" s="5" t="str">
        <f>IF(kokpit!I797&lt;&gt;"",kokpit!I797,"")</f>
        <v/>
      </c>
      <c r="J797" s="5" t="str">
        <f>IF(kokpit!J797&lt;&gt;"",kokpit!J797,"")</f>
        <v/>
      </c>
      <c r="K797" s="24" t="str">
        <f>IF(I797&lt;&gt;"",SUMIFS('JPK_KR-1'!AL:AL,'JPK_KR-1'!W:W,J797),"")</f>
        <v/>
      </c>
      <c r="L797" s="141" t="str">
        <f>IF(I797&lt;&gt;"",SUMIFS('JPK_KR-1'!AM:AM,'JPK_KR-1'!W:W,J797),"")</f>
        <v/>
      </c>
      <c r="M797" s="143" t="str">
        <f>IF(kokpit!M797&lt;&gt;"",kokpit!M797,"")</f>
        <v/>
      </c>
      <c r="N797" s="117" t="str">
        <f>IF(kokpit!N797&lt;&gt;"",kokpit!N797,"")</f>
        <v/>
      </c>
      <c r="O797" s="117" t="str">
        <f>IF(kokpit!O797&lt;&gt;"",kokpit!O797,"")</f>
        <v/>
      </c>
      <c r="P797" s="141" t="str">
        <f>IF(M797&lt;&gt;"",IF(O797="",SUMIFS('JPK_KR-1'!AL:AL,'JPK_KR-1'!W:W,N797),SUMIFS('JPK_KR-1'!BF:BF,'JPK_KR-1'!BE:BE,N797,'JPK_KR-1'!BG:BG,O797)),"")</f>
        <v/>
      </c>
      <c r="Q797" s="144" t="str">
        <f>IF(M797&lt;&gt;"",IF(O797="",SUMIFS('JPK_KR-1'!AM:AM,'JPK_KR-1'!W:W,N797),SUMIFS('JPK_KR-1'!BI:BI,'JPK_KR-1'!BH:BH,N797,'JPK_KR-1'!BJ:BJ,O797)),"")</f>
        <v/>
      </c>
      <c r="R797" s="117" t="str">
        <f>IF(kokpit!R797&lt;&gt;"",kokpit!R797,"")</f>
        <v/>
      </c>
      <c r="S797" s="117" t="str">
        <f>IF(kokpit!S797&lt;&gt;"",kokpit!S797,"")</f>
        <v/>
      </c>
      <c r="T797" s="117" t="str">
        <f>IF(kokpit!T797&lt;&gt;"",kokpit!T797,"")</f>
        <v/>
      </c>
      <c r="U797" s="141" t="str">
        <f>IF(R797&lt;&gt;"",SUMIFS('JPK_KR-1'!AL:AL,'JPK_KR-1'!W:W,S797),"")</f>
        <v/>
      </c>
      <c r="V797" s="144" t="str">
        <f>IF(R797&lt;&gt;"",SUMIFS('JPK_KR-1'!AM:AM,'JPK_KR-1'!W:W,S797),"")</f>
        <v/>
      </c>
    </row>
    <row r="798" spans="1:22" x14ac:dyDescent="0.3">
      <c r="A798" s="5" t="str">
        <f>IF(kokpit!A798&lt;&gt;"",kokpit!A798,"")</f>
        <v/>
      </c>
      <c r="B798" s="5" t="str">
        <f>IF(kokpit!B798&lt;&gt;"",kokpit!B798,"")</f>
        <v/>
      </c>
      <c r="C798" s="24" t="str">
        <f>IF(A798&lt;&gt;"",SUMIFS('JPK_KR-1'!AL:AL,'JPK_KR-1'!W:W,B798),"")</f>
        <v/>
      </c>
      <c r="D798" s="126" t="str">
        <f>IF(A798&lt;&gt;"",SUMIFS('JPK_KR-1'!AM:AM,'JPK_KR-1'!W:W,B798),"")</f>
        <v/>
      </c>
      <c r="E798" s="5" t="str">
        <f>IF(kokpit!E798&lt;&gt;"",kokpit!E798,"")</f>
        <v/>
      </c>
      <c r="F798" s="127" t="str">
        <f>IF(kokpit!F798&lt;&gt;"",kokpit!F798,"")</f>
        <v/>
      </c>
      <c r="G798" s="24" t="str">
        <f>IF(E798&lt;&gt;"",SUMIFS('JPK_KR-1'!AL:AL,'JPK_KR-1'!W:W,F798),"")</f>
        <v/>
      </c>
      <c r="H798" s="126" t="str">
        <f>IF(E798&lt;&gt;"",SUMIFS('JPK_KR-1'!AM:AM,'JPK_KR-1'!W:W,F798),"")</f>
        <v/>
      </c>
      <c r="I798" s="5" t="str">
        <f>IF(kokpit!I798&lt;&gt;"",kokpit!I798,"")</f>
        <v/>
      </c>
      <c r="J798" s="5" t="str">
        <f>IF(kokpit!J798&lt;&gt;"",kokpit!J798,"")</f>
        <v/>
      </c>
      <c r="K798" s="24" t="str">
        <f>IF(I798&lt;&gt;"",SUMIFS('JPK_KR-1'!AL:AL,'JPK_KR-1'!W:W,J798),"")</f>
        <v/>
      </c>
      <c r="L798" s="141" t="str">
        <f>IF(I798&lt;&gt;"",SUMIFS('JPK_KR-1'!AM:AM,'JPK_KR-1'!W:W,J798),"")</f>
        <v/>
      </c>
      <c r="M798" s="143" t="str">
        <f>IF(kokpit!M798&lt;&gt;"",kokpit!M798,"")</f>
        <v/>
      </c>
      <c r="N798" s="117" t="str">
        <f>IF(kokpit!N798&lt;&gt;"",kokpit!N798,"")</f>
        <v/>
      </c>
      <c r="O798" s="117" t="str">
        <f>IF(kokpit!O798&lt;&gt;"",kokpit!O798,"")</f>
        <v/>
      </c>
      <c r="P798" s="141" t="str">
        <f>IF(M798&lt;&gt;"",IF(O798="",SUMIFS('JPK_KR-1'!AL:AL,'JPK_KR-1'!W:W,N798),SUMIFS('JPK_KR-1'!BF:BF,'JPK_KR-1'!BE:BE,N798,'JPK_KR-1'!BG:BG,O798)),"")</f>
        <v/>
      </c>
      <c r="Q798" s="144" t="str">
        <f>IF(M798&lt;&gt;"",IF(O798="",SUMIFS('JPK_KR-1'!AM:AM,'JPK_KR-1'!W:W,N798),SUMIFS('JPK_KR-1'!BI:BI,'JPK_KR-1'!BH:BH,N798,'JPK_KR-1'!BJ:BJ,O798)),"")</f>
        <v/>
      </c>
      <c r="R798" s="117" t="str">
        <f>IF(kokpit!R798&lt;&gt;"",kokpit!R798,"")</f>
        <v/>
      </c>
      <c r="S798" s="117" t="str">
        <f>IF(kokpit!S798&lt;&gt;"",kokpit!S798,"")</f>
        <v/>
      </c>
      <c r="T798" s="117" t="str">
        <f>IF(kokpit!T798&lt;&gt;"",kokpit!T798,"")</f>
        <v/>
      </c>
      <c r="U798" s="141" t="str">
        <f>IF(R798&lt;&gt;"",SUMIFS('JPK_KR-1'!AL:AL,'JPK_KR-1'!W:W,S798),"")</f>
        <v/>
      </c>
      <c r="V798" s="144" t="str">
        <f>IF(R798&lt;&gt;"",SUMIFS('JPK_KR-1'!AM:AM,'JPK_KR-1'!W:W,S798),"")</f>
        <v/>
      </c>
    </row>
    <row r="799" spans="1:22" x14ac:dyDescent="0.3">
      <c r="A799" s="5" t="str">
        <f>IF(kokpit!A799&lt;&gt;"",kokpit!A799,"")</f>
        <v/>
      </c>
      <c r="B799" s="5" t="str">
        <f>IF(kokpit!B799&lt;&gt;"",kokpit!B799,"")</f>
        <v/>
      </c>
      <c r="C799" s="24" t="str">
        <f>IF(A799&lt;&gt;"",SUMIFS('JPK_KR-1'!AL:AL,'JPK_KR-1'!W:W,B799),"")</f>
        <v/>
      </c>
      <c r="D799" s="126" t="str">
        <f>IF(A799&lt;&gt;"",SUMIFS('JPK_KR-1'!AM:AM,'JPK_KR-1'!W:W,B799),"")</f>
        <v/>
      </c>
      <c r="E799" s="5" t="str">
        <f>IF(kokpit!E799&lt;&gt;"",kokpit!E799,"")</f>
        <v/>
      </c>
      <c r="F799" s="127" t="str">
        <f>IF(kokpit!F799&lt;&gt;"",kokpit!F799,"")</f>
        <v/>
      </c>
      <c r="G799" s="24" t="str">
        <f>IF(E799&lt;&gt;"",SUMIFS('JPK_KR-1'!AL:AL,'JPK_KR-1'!W:W,F799),"")</f>
        <v/>
      </c>
      <c r="H799" s="126" t="str">
        <f>IF(E799&lt;&gt;"",SUMIFS('JPK_KR-1'!AM:AM,'JPK_KR-1'!W:W,F799),"")</f>
        <v/>
      </c>
      <c r="I799" s="5" t="str">
        <f>IF(kokpit!I799&lt;&gt;"",kokpit!I799,"")</f>
        <v/>
      </c>
      <c r="J799" s="5" t="str">
        <f>IF(kokpit!J799&lt;&gt;"",kokpit!J799,"")</f>
        <v/>
      </c>
      <c r="K799" s="24" t="str">
        <f>IF(I799&lt;&gt;"",SUMIFS('JPK_KR-1'!AL:AL,'JPK_KR-1'!W:W,J799),"")</f>
        <v/>
      </c>
      <c r="L799" s="141" t="str">
        <f>IF(I799&lt;&gt;"",SUMIFS('JPK_KR-1'!AM:AM,'JPK_KR-1'!W:W,J799),"")</f>
        <v/>
      </c>
      <c r="M799" s="143" t="str">
        <f>IF(kokpit!M799&lt;&gt;"",kokpit!M799,"")</f>
        <v/>
      </c>
      <c r="N799" s="117" t="str">
        <f>IF(kokpit!N799&lt;&gt;"",kokpit!N799,"")</f>
        <v/>
      </c>
      <c r="O799" s="117" t="str">
        <f>IF(kokpit!O799&lt;&gt;"",kokpit!O799,"")</f>
        <v/>
      </c>
      <c r="P799" s="141" t="str">
        <f>IF(M799&lt;&gt;"",IF(O799="",SUMIFS('JPK_KR-1'!AL:AL,'JPK_KR-1'!W:W,N799),SUMIFS('JPK_KR-1'!BF:BF,'JPK_KR-1'!BE:BE,N799,'JPK_KR-1'!BG:BG,O799)),"")</f>
        <v/>
      </c>
      <c r="Q799" s="144" t="str">
        <f>IF(M799&lt;&gt;"",IF(O799="",SUMIFS('JPK_KR-1'!AM:AM,'JPK_KR-1'!W:W,N799),SUMIFS('JPK_KR-1'!BI:BI,'JPK_KR-1'!BH:BH,N799,'JPK_KR-1'!BJ:BJ,O799)),"")</f>
        <v/>
      </c>
      <c r="R799" s="117" t="str">
        <f>IF(kokpit!R799&lt;&gt;"",kokpit!R799,"")</f>
        <v/>
      </c>
      <c r="S799" s="117" t="str">
        <f>IF(kokpit!S799&lt;&gt;"",kokpit!S799,"")</f>
        <v/>
      </c>
      <c r="T799" s="117" t="str">
        <f>IF(kokpit!T799&lt;&gt;"",kokpit!T799,"")</f>
        <v/>
      </c>
      <c r="U799" s="141" t="str">
        <f>IF(R799&lt;&gt;"",SUMIFS('JPK_KR-1'!AL:AL,'JPK_KR-1'!W:W,S799),"")</f>
        <v/>
      </c>
      <c r="V799" s="144" t="str">
        <f>IF(R799&lt;&gt;"",SUMIFS('JPK_KR-1'!AM:AM,'JPK_KR-1'!W:W,S799),"")</f>
        <v/>
      </c>
    </row>
    <row r="800" spans="1:22" x14ac:dyDescent="0.3">
      <c r="A800" s="5" t="str">
        <f>IF(kokpit!A800&lt;&gt;"",kokpit!A800,"")</f>
        <v/>
      </c>
      <c r="B800" s="5" t="str">
        <f>IF(kokpit!B800&lt;&gt;"",kokpit!B800,"")</f>
        <v/>
      </c>
      <c r="C800" s="24" t="str">
        <f>IF(A800&lt;&gt;"",SUMIFS('JPK_KR-1'!AL:AL,'JPK_KR-1'!W:W,B800),"")</f>
        <v/>
      </c>
      <c r="D800" s="126" t="str">
        <f>IF(A800&lt;&gt;"",SUMIFS('JPK_KR-1'!AM:AM,'JPK_KR-1'!W:W,B800),"")</f>
        <v/>
      </c>
      <c r="E800" s="5" t="str">
        <f>IF(kokpit!E800&lt;&gt;"",kokpit!E800,"")</f>
        <v/>
      </c>
      <c r="F800" s="127" t="str">
        <f>IF(kokpit!F800&lt;&gt;"",kokpit!F800,"")</f>
        <v/>
      </c>
      <c r="G800" s="24" t="str">
        <f>IF(E800&lt;&gt;"",SUMIFS('JPK_KR-1'!AL:AL,'JPK_KR-1'!W:W,F800),"")</f>
        <v/>
      </c>
      <c r="H800" s="126" t="str">
        <f>IF(E800&lt;&gt;"",SUMIFS('JPK_KR-1'!AM:AM,'JPK_KR-1'!W:W,F800),"")</f>
        <v/>
      </c>
      <c r="I800" s="5" t="str">
        <f>IF(kokpit!I800&lt;&gt;"",kokpit!I800,"")</f>
        <v/>
      </c>
      <c r="J800" s="5" t="str">
        <f>IF(kokpit!J800&lt;&gt;"",kokpit!J800,"")</f>
        <v/>
      </c>
      <c r="K800" s="24" t="str">
        <f>IF(I800&lt;&gt;"",SUMIFS('JPK_KR-1'!AL:AL,'JPK_KR-1'!W:W,J800),"")</f>
        <v/>
      </c>
      <c r="L800" s="141" t="str">
        <f>IF(I800&lt;&gt;"",SUMIFS('JPK_KR-1'!AM:AM,'JPK_KR-1'!W:W,J800),"")</f>
        <v/>
      </c>
      <c r="M800" s="143" t="str">
        <f>IF(kokpit!M800&lt;&gt;"",kokpit!M800,"")</f>
        <v/>
      </c>
      <c r="N800" s="117" t="str">
        <f>IF(kokpit!N800&lt;&gt;"",kokpit!N800,"")</f>
        <v/>
      </c>
      <c r="O800" s="117" t="str">
        <f>IF(kokpit!O800&lt;&gt;"",kokpit!O800,"")</f>
        <v/>
      </c>
      <c r="P800" s="141" t="str">
        <f>IF(M800&lt;&gt;"",IF(O800="",SUMIFS('JPK_KR-1'!AL:AL,'JPK_KR-1'!W:W,N800),SUMIFS('JPK_KR-1'!BF:BF,'JPK_KR-1'!BE:BE,N800,'JPK_KR-1'!BG:BG,O800)),"")</f>
        <v/>
      </c>
      <c r="Q800" s="144" t="str">
        <f>IF(M800&lt;&gt;"",IF(O800="",SUMIFS('JPK_KR-1'!AM:AM,'JPK_KR-1'!W:W,N800),SUMIFS('JPK_KR-1'!BI:BI,'JPK_KR-1'!BH:BH,N800,'JPK_KR-1'!BJ:BJ,O800)),"")</f>
        <v/>
      </c>
      <c r="R800" s="117" t="str">
        <f>IF(kokpit!R800&lt;&gt;"",kokpit!R800,"")</f>
        <v/>
      </c>
      <c r="S800" s="117" t="str">
        <f>IF(kokpit!S800&lt;&gt;"",kokpit!S800,"")</f>
        <v/>
      </c>
      <c r="T800" s="117" t="str">
        <f>IF(kokpit!T800&lt;&gt;"",kokpit!T800,"")</f>
        <v/>
      </c>
      <c r="U800" s="141" t="str">
        <f>IF(R800&lt;&gt;"",SUMIFS('JPK_KR-1'!AL:AL,'JPK_KR-1'!W:W,S800),"")</f>
        <v/>
      </c>
      <c r="V800" s="144" t="str">
        <f>IF(R800&lt;&gt;"",SUMIFS('JPK_KR-1'!AM:AM,'JPK_KR-1'!W:W,S800),"")</f>
        <v/>
      </c>
    </row>
    <row r="801" spans="1:22" x14ac:dyDescent="0.3">
      <c r="A801" s="5" t="str">
        <f>IF(kokpit!A801&lt;&gt;"",kokpit!A801,"")</f>
        <v/>
      </c>
      <c r="B801" s="5" t="str">
        <f>IF(kokpit!B801&lt;&gt;"",kokpit!B801,"")</f>
        <v/>
      </c>
      <c r="C801" s="24" t="str">
        <f>IF(A801&lt;&gt;"",SUMIFS('JPK_KR-1'!AL:AL,'JPK_KR-1'!W:W,B801),"")</f>
        <v/>
      </c>
      <c r="D801" s="126" t="str">
        <f>IF(A801&lt;&gt;"",SUMIFS('JPK_KR-1'!AM:AM,'JPK_KR-1'!W:W,B801),"")</f>
        <v/>
      </c>
      <c r="E801" s="5" t="str">
        <f>IF(kokpit!E801&lt;&gt;"",kokpit!E801,"")</f>
        <v/>
      </c>
      <c r="F801" s="127" t="str">
        <f>IF(kokpit!F801&lt;&gt;"",kokpit!F801,"")</f>
        <v/>
      </c>
      <c r="G801" s="24" t="str">
        <f>IF(E801&lt;&gt;"",SUMIFS('JPK_KR-1'!AL:AL,'JPK_KR-1'!W:W,F801),"")</f>
        <v/>
      </c>
      <c r="H801" s="126" t="str">
        <f>IF(E801&lt;&gt;"",SUMIFS('JPK_KR-1'!AM:AM,'JPK_KR-1'!W:W,F801),"")</f>
        <v/>
      </c>
      <c r="I801" s="5" t="str">
        <f>IF(kokpit!I801&lt;&gt;"",kokpit!I801,"")</f>
        <v/>
      </c>
      <c r="J801" s="5" t="str">
        <f>IF(kokpit!J801&lt;&gt;"",kokpit!J801,"")</f>
        <v/>
      </c>
      <c r="K801" s="24" t="str">
        <f>IF(I801&lt;&gt;"",SUMIFS('JPK_KR-1'!AL:AL,'JPK_KR-1'!W:W,J801),"")</f>
        <v/>
      </c>
      <c r="L801" s="141" t="str">
        <f>IF(I801&lt;&gt;"",SUMIFS('JPK_KR-1'!AM:AM,'JPK_KR-1'!W:W,J801),"")</f>
        <v/>
      </c>
      <c r="M801" s="143" t="str">
        <f>IF(kokpit!M801&lt;&gt;"",kokpit!M801,"")</f>
        <v/>
      </c>
      <c r="N801" s="117" t="str">
        <f>IF(kokpit!N801&lt;&gt;"",kokpit!N801,"")</f>
        <v/>
      </c>
      <c r="O801" s="117" t="str">
        <f>IF(kokpit!O801&lt;&gt;"",kokpit!O801,"")</f>
        <v/>
      </c>
      <c r="P801" s="141" t="str">
        <f>IF(M801&lt;&gt;"",IF(O801="",SUMIFS('JPK_KR-1'!AL:AL,'JPK_KR-1'!W:W,N801),SUMIFS('JPK_KR-1'!BF:BF,'JPK_KR-1'!BE:BE,N801,'JPK_KR-1'!BG:BG,O801)),"")</f>
        <v/>
      </c>
      <c r="Q801" s="144" t="str">
        <f>IF(M801&lt;&gt;"",IF(O801="",SUMIFS('JPK_KR-1'!AM:AM,'JPK_KR-1'!W:W,N801),SUMIFS('JPK_KR-1'!BI:BI,'JPK_KR-1'!BH:BH,N801,'JPK_KR-1'!BJ:BJ,O801)),"")</f>
        <v/>
      </c>
      <c r="R801" s="117" t="str">
        <f>IF(kokpit!R801&lt;&gt;"",kokpit!R801,"")</f>
        <v/>
      </c>
      <c r="S801" s="117" t="str">
        <f>IF(kokpit!S801&lt;&gt;"",kokpit!S801,"")</f>
        <v/>
      </c>
      <c r="T801" s="117" t="str">
        <f>IF(kokpit!T801&lt;&gt;"",kokpit!T801,"")</f>
        <v/>
      </c>
      <c r="U801" s="141" t="str">
        <f>IF(R801&lt;&gt;"",SUMIFS('JPK_KR-1'!AL:AL,'JPK_KR-1'!W:W,S801),"")</f>
        <v/>
      </c>
      <c r="V801" s="144" t="str">
        <f>IF(R801&lt;&gt;"",SUMIFS('JPK_KR-1'!AM:AM,'JPK_KR-1'!W:W,S801),"")</f>
        <v/>
      </c>
    </row>
    <row r="802" spans="1:22" x14ac:dyDescent="0.3">
      <c r="A802" s="5" t="str">
        <f>IF(kokpit!A802&lt;&gt;"",kokpit!A802,"")</f>
        <v/>
      </c>
      <c r="B802" s="5" t="str">
        <f>IF(kokpit!B802&lt;&gt;"",kokpit!B802,"")</f>
        <v/>
      </c>
      <c r="C802" s="24" t="str">
        <f>IF(A802&lt;&gt;"",SUMIFS('JPK_KR-1'!AL:AL,'JPK_KR-1'!W:W,B802),"")</f>
        <v/>
      </c>
      <c r="D802" s="126" t="str">
        <f>IF(A802&lt;&gt;"",SUMIFS('JPK_KR-1'!AM:AM,'JPK_KR-1'!W:W,B802),"")</f>
        <v/>
      </c>
      <c r="E802" s="5" t="str">
        <f>IF(kokpit!E802&lt;&gt;"",kokpit!E802,"")</f>
        <v/>
      </c>
      <c r="F802" s="127" t="str">
        <f>IF(kokpit!F802&lt;&gt;"",kokpit!F802,"")</f>
        <v/>
      </c>
      <c r="G802" s="24" t="str">
        <f>IF(E802&lt;&gt;"",SUMIFS('JPK_KR-1'!AL:AL,'JPK_KR-1'!W:W,F802),"")</f>
        <v/>
      </c>
      <c r="H802" s="126" t="str">
        <f>IF(E802&lt;&gt;"",SUMIFS('JPK_KR-1'!AM:AM,'JPK_KR-1'!W:W,F802),"")</f>
        <v/>
      </c>
      <c r="I802" s="5" t="str">
        <f>IF(kokpit!I802&lt;&gt;"",kokpit!I802,"")</f>
        <v/>
      </c>
      <c r="J802" s="5" t="str">
        <f>IF(kokpit!J802&lt;&gt;"",kokpit!J802,"")</f>
        <v/>
      </c>
      <c r="K802" s="24" t="str">
        <f>IF(I802&lt;&gt;"",SUMIFS('JPK_KR-1'!AL:AL,'JPK_KR-1'!W:W,J802),"")</f>
        <v/>
      </c>
      <c r="L802" s="141" t="str">
        <f>IF(I802&lt;&gt;"",SUMIFS('JPK_KR-1'!AM:AM,'JPK_KR-1'!W:W,J802),"")</f>
        <v/>
      </c>
      <c r="M802" s="143" t="str">
        <f>IF(kokpit!M802&lt;&gt;"",kokpit!M802,"")</f>
        <v/>
      </c>
      <c r="N802" s="117" t="str">
        <f>IF(kokpit!N802&lt;&gt;"",kokpit!N802,"")</f>
        <v/>
      </c>
      <c r="O802" s="117" t="str">
        <f>IF(kokpit!O802&lt;&gt;"",kokpit!O802,"")</f>
        <v/>
      </c>
      <c r="P802" s="141" t="str">
        <f>IF(M802&lt;&gt;"",IF(O802="",SUMIFS('JPK_KR-1'!AL:AL,'JPK_KR-1'!W:W,N802),SUMIFS('JPK_KR-1'!BF:BF,'JPK_KR-1'!BE:BE,N802,'JPK_KR-1'!BG:BG,O802)),"")</f>
        <v/>
      </c>
      <c r="Q802" s="144" t="str">
        <f>IF(M802&lt;&gt;"",IF(O802="",SUMIFS('JPK_KR-1'!AM:AM,'JPK_KR-1'!W:W,N802),SUMIFS('JPK_KR-1'!BI:BI,'JPK_KR-1'!BH:BH,N802,'JPK_KR-1'!BJ:BJ,O802)),"")</f>
        <v/>
      </c>
      <c r="R802" s="117" t="str">
        <f>IF(kokpit!R802&lt;&gt;"",kokpit!R802,"")</f>
        <v/>
      </c>
      <c r="S802" s="117" t="str">
        <f>IF(kokpit!S802&lt;&gt;"",kokpit!S802,"")</f>
        <v/>
      </c>
      <c r="T802" s="117" t="str">
        <f>IF(kokpit!T802&lt;&gt;"",kokpit!T802,"")</f>
        <v/>
      </c>
      <c r="U802" s="141" t="str">
        <f>IF(R802&lt;&gt;"",SUMIFS('JPK_KR-1'!AL:AL,'JPK_KR-1'!W:W,S802),"")</f>
        <v/>
      </c>
      <c r="V802" s="144" t="str">
        <f>IF(R802&lt;&gt;"",SUMIFS('JPK_KR-1'!AM:AM,'JPK_KR-1'!W:W,S802),"")</f>
        <v/>
      </c>
    </row>
    <row r="803" spans="1:22" x14ac:dyDescent="0.3">
      <c r="A803" s="5" t="str">
        <f>IF(kokpit!A803&lt;&gt;"",kokpit!A803,"")</f>
        <v/>
      </c>
      <c r="B803" s="5" t="str">
        <f>IF(kokpit!B803&lt;&gt;"",kokpit!B803,"")</f>
        <v/>
      </c>
      <c r="C803" s="24" t="str">
        <f>IF(A803&lt;&gt;"",SUMIFS('JPK_KR-1'!AL:AL,'JPK_KR-1'!W:W,B803),"")</f>
        <v/>
      </c>
      <c r="D803" s="126" t="str">
        <f>IF(A803&lt;&gt;"",SUMIFS('JPK_KR-1'!AM:AM,'JPK_KR-1'!W:W,B803),"")</f>
        <v/>
      </c>
      <c r="E803" s="5" t="str">
        <f>IF(kokpit!E803&lt;&gt;"",kokpit!E803,"")</f>
        <v/>
      </c>
      <c r="F803" s="127" t="str">
        <f>IF(kokpit!F803&lt;&gt;"",kokpit!F803,"")</f>
        <v/>
      </c>
      <c r="G803" s="24" t="str">
        <f>IF(E803&lt;&gt;"",SUMIFS('JPK_KR-1'!AL:AL,'JPK_KR-1'!W:W,F803),"")</f>
        <v/>
      </c>
      <c r="H803" s="126" t="str">
        <f>IF(E803&lt;&gt;"",SUMIFS('JPK_KR-1'!AM:AM,'JPK_KR-1'!W:W,F803),"")</f>
        <v/>
      </c>
      <c r="I803" s="5" t="str">
        <f>IF(kokpit!I803&lt;&gt;"",kokpit!I803,"")</f>
        <v/>
      </c>
      <c r="J803" s="5" t="str">
        <f>IF(kokpit!J803&lt;&gt;"",kokpit!J803,"")</f>
        <v/>
      </c>
      <c r="K803" s="24" t="str">
        <f>IF(I803&lt;&gt;"",SUMIFS('JPK_KR-1'!AL:AL,'JPK_KR-1'!W:W,J803),"")</f>
        <v/>
      </c>
      <c r="L803" s="141" t="str">
        <f>IF(I803&lt;&gt;"",SUMIFS('JPK_KR-1'!AM:AM,'JPK_KR-1'!W:W,J803),"")</f>
        <v/>
      </c>
      <c r="M803" s="143" t="str">
        <f>IF(kokpit!M803&lt;&gt;"",kokpit!M803,"")</f>
        <v/>
      </c>
      <c r="N803" s="117" t="str">
        <f>IF(kokpit!N803&lt;&gt;"",kokpit!N803,"")</f>
        <v/>
      </c>
      <c r="O803" s="117" t="str">
        <f>IF(kokpit!O803&lt;&gt;"",kokpit!O803,"")</f>
        <v/>
      </c>
      <c r="P803" s="141" t="str">
        <f>IF(M803&lt;&gt;"",IF(O803="",SUMIFS('JPK_KR-1'!AL:AL,'JPK_KR-1'!W:W,N803),SUMIFS('JPK_KR-1'!BF:BF,'JPK_KR-1'!BE:BE,N803,'JPK_KR-1'!BG:BG,O803)),"")</f>
        <v/>
      </c>
      <c r="Q803" s="144" t="str">
        <f>IF(M803&lt;&gt;"",IF(O803="",SUMIFS('JPK_KR-1'!AM:AM,'JPK_KR-1'!W:W,N803),SUMIFS('JPK_KR-1'!BI:BI,'JPK_KR-1'!BH:BH,N803,'JPK_KR-1'!BJ:BJ,O803)),"")</f>
        <v/>
      </c>
      <c r="R803" s="117" t="str">
        <f>IF(kokpit!R803&lt;&gt;"",kokpit!R803,"")</f>
        <v/>
      </c>
      <c r="S803" s="117" t="str">
        <f>IF(kokpit!S803&lt;&gt;"",kokpit!S803,"")</f>
        <v/>
      </c>
      <c r="T803" s="117" t="str">
        <f>IF(kokpit!T803&lt;&gt;"",kokpit!T803,"")</f>
        <v/>
      </c>
      <c r="U803" s="141" t="str">
        <f>IF(R803&lt;&gt;"",SUMIFS('JPK_KR-1'!AL:AL,'JPK_KR-1'!W:W,S803),"")</f>
        <v/>
      </c>
      <c r="V803" s="144" t="str">
        <f>IF(R803&lt;&gt;"",SUMIFS('JPK_KR-1'!AM:AM,'JPK_KR-1'!W:W,S803),"")</f>
        <v/>
      </c>
    </row>
    <row r="804" spans="1:22" x14ac:dyDescent="0.3">
      <c r="A804" s="5" t="str">
        <f>IF(kokpit!A804&lt;&gt;"",kokpit!A804,"")</f>
        <v/>
      </c>
      <c r="B804" s="5" t="str">
        <f>IF(kokpit!B804&lt;&gt;"",kokpit!B804,"")</f>
        <v/>
      </c>
      <c r="C804" s="24" t="str">
        <f>IF(A804&lt;&gt;"",SUMIFS('JPK_KR-1'!AL:AL,'JPK_KR-1'!W:W,B804),"")</f>
        <v/>
      </c>
      <c r="D804" s="126" t="str">
        <f>IF(A804&lt;&gt;"",SUMIFS('JPK_KR-1'!AM:AM,'JPK_KR-1'!W:W,B804),"")</f>
        <v/>
      </c>
      <c r="E804" s="5" t="str">
        <f>IF(kokpit!E804&lt;&gt;"",kokpit!E804,"")</f>
        <v/>
      </c>
      <c r="F804" s="127" t="str">
        <f>IF(kokpit!F804&lt;&gt;"",kokpit!F804,"")</f>
        <v/>
      </c>
      <c r="G804" s="24" t="str">
        <f>IF(E804&lt;&gt;"",SUMIFS('JPK_KR-1'!AL:AL,'JPK_KR-1'!W:W,F804),"")</f>
        <v/>
      </c>
      <c r="H804" s="126" t="str">
        <f>IF(E804&lt;&gt;"",SUMIFS('JPK_KR-1'!AM:AM,'JPK_KR-1'!W:W,F804),"")</f>
        <v/>
      </c>
      <c r="I804" s="5" t="str">
        <f>IF(kokpit!I804&lt;&gt;"",kokpit!I804,"")</f>
        <v/>
      </c>
      <c r="J804" s="5" t="str">
        <f>IF(kokpit!J804&lt;&gt;"",kokpit!J804,"")</f>
        <v/>
      </c>
      <c r="K804" s="24" t="str">
        <f>IF(I804&lt;&gt;"",SUMIFS('JPK_KR-1'!AL:AL,'JPK_KR-1'!W:W,J804),"")</f>
        <v/>
      </c>
      <c r="L804" s="141" t="str">
        <f>IF(I804&lt;&gt;"",SUMIFS('JPK_KR-1'!AM:AM,'JPK_KR-1'!W:W,J804),"")</f>
        <v/>
      </c>
      <c r="M804" s="143" t="str">
        <f>IF(kokpit!M804&lt;&gt;"",kokpit!M804,"")</f>
        <v/>
      </c>
      <c r="N804" s="117" t="str">
        <f>IF(kokpit!N804&lt;&gt;"",kokpit!N804,"")</f>
        <v/>
      </c>
      <c r="O804" s="117" t="str">
        <f>IF(kokpit!O804&lt;&gt;"",kokpit!O804,"")</f>
        <v/>
      </c>
      <c r="P804" s="141" t="str">
        <f>IF(M804&lt;&gt;"",IF(O804="",SUMIFS('JPK_KR-1'!AL:AL,'JPK_KR-1'!W:W,N804),SUMIFS('JPK_KR-1'!BF:BF,'JPK_KR-1'!BE:BE,N804,'JPK_KR-1'!BG:BG,O804)),"")</f>
        <v/>
      </c>
      <c r="Q804" s="144" t="str">
        <f>IF(M804&lt;&gt;"",IF(O804="",SUMIFS('JPK_KR-1'!AM:AM,'JPK_KR-1'!W:W,N804),SUMIFS('JPK_KR-1'!BI:BI,'JPK_KR-1'!BH:BH,N804,'JPK_KR-1'!BJ:BJ,O804)),"")</f>
        <v/>
      </c>
      <c r="R804" s="117" t="str">
        <f>IF(kokpit!R804&lt;&gt;"",kokpit!R804,"")</f>
        <v/>
      </c>
      <c r="S804" s="117" t="str">
        <f>IF(kokpit!S804&lt;&gt;"",kokpit!S804,"")</f>
        <v/>
      </c>
      <c r="T804" s="117" t="str">
        <f>IF(kokpit!T804&lt;&gt;"",kokpit!T804,"")</f>
        <v/>
      </c>
      <c r="U804" s="141" t="str">
        <f>IF(R804&lt;&gt;"",SUMIFS('JPK_KR-1'!AL:AL,'JPK_KR-1'!W:W,S804),"")</f>
        <v/>
      </c>
      <c r="V804" s="144" t="str">
        <f>IF(R804&lt;&gt;"",SUMIFS('JPK_KR-1'!AM:AM,'JPK_KR-1'!W:W,S804),"")</f>
        <v/>
      </c>
    </row>
    <row r="805" spans="1:22" x14ac:dyDescent="0.3">
      <c r="A805" s="5" t="str">
        <f>IF(kokpit!A805&lt;&gt;"",kokpit!A805,"")</f>
        <v/>
      </c>
      <c r="B805" s="5" t="str">
        <f>IF(kokpit!B805&lt;&gt;"",kokpit!B805,"")</f>
        <v/>
      </c>
      <c r="C805" s="24" t="str">
        <f>IF(A805&lt;&gt;"",SUMIFS('JPK_KR-1'!AL:AL,'JPK_KR-1'!W:W,B805),"")</f>
        <v/>
      </c>
      <c r="D805" s="126" t="str">
        <f>IF(A805&lt;&gt;"",SUMIFS('JPK_KR-1'!AM:AM,'JPK_KR-1'!W:W,B805),"")</f>
        <v/>
      </c>
      <c r="E805" s="5" t="str">
        <f>IF(kokpit!E805&lt;&gt;"",kokpit!E805,"")</f>
        <v/>
      </c>
      <c r="F805" s="127" t="str">
        <f>IF(kokpit!F805&lt;&gt;"",kokpit!F805,"")</f>
        <v/>
      </c>
      <c r="G805" s="24" t="str">
        <f>IF(E805&lt;&gt;"",SUMIFS('JPK_KR-1'!AL:AL,'JPK_KR-1'!W:W,F805),"")</f>
        <v/>
      </c>
      <c r="H805" s="126" t="str">
        <f>IF(E805&lt;&gt;"",SUMIFS('JPK_KR-1'!AM:AM,'JPK_KR-1'!W:W,F805),"")</f>
        <v/>
      </c>
      <c r="I805" s="5" t="str">
        <f>IF(kokpit!I805&lt;&gt;"",kokpit!I805,"")</f>
        <v/>
      </c>
      <c r="J805" s="5" t="str">
        <f>IF(kokpit!J805&lt;&gt;"",kokpit!J805,"")</f>
        <v/>
      </c>
      <c r="K805" s="24" t="str">
        <f>IF(I805&lt;&gt;"",SUMIFS('JPK_KR-1'!AL:AL,'JPK_KR-1'!W:W,J805),"")</f>
        <v/>
      </c>
      <c r="L805" s="141" t="str">
        <f>IF(I805&lt;&gt;"",SUMIFS('JPK_KR-1'!AM:AM,'JPK_KR-1'!W:W,J805),"")</f>
        <v/>
      </c>
      <c r="M805" s="143" t="str">
        <f>IF(kokpit!M805&lt;&gt;"",kokpit!M805,"")</f>
        <v/>
      </c>
      <c r="N805" s="117" t="str">
        <f>IF(kokpit!N805&lt;&gt;"",kokpit!N805,"")</f>
        <v/>
      </c>
      <c r="O805" s="117" t="str">
        <f>IF(kokpit!O805&lt;&gt;"",kokpit!O805,"")</f>
        <v/>
      </c>
      <c r="P805" s="141" t="str">
        <f>IF(M805&lt;&gt;"",IF(O805="",SUMIFS('JPK_KR-1'!AL:AL,'JPK_KR-1'!W:W,N805),SUMIFS('JPK_KR-1'!BF:BF,'JPK_KR-1'!BE:BE,N805,'JPK_KR-1'!BG:BG,O805)),"")</f>
        <v/>
      </c>
      <c r="Q805" s="144" t="str">
        <f>IF(M805&lt;&gt;"",IF(O805="",SUMIFS('JPK_KR-1'!AM:AM,'JPK_KR-1'!W:W,N805),SUMIFS('JPK_KR-1'!BI:BI,'JPK_KR-1'!BH:BH,N805,'JPK_KR-1'!BJ:BJ,O805)),"")</f>
        <v/>
      </c>
      <c r="R805" s="117" t="str">
        <f>IF(kokpit!R805&lt;&gt;"",kokpit!R805,"")</f>
        <v/>
      </c>
      <c r="S805" s="117" t="str">
        <f>IF(kokpit!S805&lt;&gt;"",kokpit!S805,"")</f>
        <v/>
      </c>
      <c r="T805" s="117" t="str">
        <f>IF(kokpit!T805&lt;&gt;"",kokpit!T805,"")</f>
        <v/>
      </c>
      <c r="U805" s="141" t="str">
        <f>IF(R805&lt;&gt;"",SUMIFS('JPK_KR-1'!AL:AL,'JPK_KR-1'!W:W,S805),"")</f>
        <v/>
      </c>
      <c r="V805" s="144" t="str">
        <f>IF(R805&lt;&gt;"",SUMIFS('JPK_KR-1'!AM:AM,'JPK_KR-1'!W:W,S805),"")</f>
        <v/>
      </c>
    </row>
    <row r="806" spans="1:22" x14ac:dyDescent="0.3">
      <c r="A806" s="5" t="str">
        <f>IF(kokpit!A806&lt;&gt;"",kokpit!A806,"")</f>
        <v/>
      </c>
      <c r="B806" s="5" t="str">
        <f>IF(kokpit!B806&lt;&gt;"",kokpit!B806,"")</f>
        <v/>
      </c>
      <c r="C806" s="24" t="str">
        <f>IF(A806&lt;&gt;"",SUMIFS('JPK_KR-1'!AL:AL,'JPK_KR-1'!W:W,B806),"")</f>
        <v/>
      </c>
      <c r="D806" s="126" t="str">
        <f>IF(A806&lt;&gt;"",SUMIFS('JPK_KR-1'!AM:AM,'JPK_KR-1'!W:W,B806),"")</f>
        <v/>
      </c>
      <c r="E806" s="5" t="str">
        <f>IF(kokpit!E806&lt;&gt;"",kokpit!E806,"")</f>
        <v/>
      </c>
      <c r="F806" s="127" t="str">
        <f>IF(kokpit!F806&lt;&gt;"",kokpit!F806,"")</f>
        <v/>
      </c>
      <c r="G806" s="24" t="str">
        <f>IF(E806&lt;&gt;"",SUMIFS('JPK_KR-1'!AL:AL,'JPK_KR-1'!W:W,F806),"")</f>
        <v/>
      </c>
      <c r="H806" s="126" t="str">
        <f>IF(E806&lt;&gt;"",SUMIFS('JPK_KR-1'!AM:AM,'JPK_KR-1'!W:W,F806),"")</f>
        <v/>
      </c>
      <c r="I806" s="5" t="str">
        <f>IF(kokpit!I806&lt;&gt;"",kokpit!I806,"")</f>
        <v/>
      </c>
      <c r="J806" s="5" t="str">
        <f>IF(kokpit!J806&lt;&gt;"",kokpit!J806,"")</f>
        <v/>
      </c>
      <c r="K806" s="24" t="str">
        <f>IF(I806&lt;&gt;"",SUMIFS('JPK_KR-1'!AL:AL,'JPK_KR-1'!W:W,J806),"")</f>
        <v/>
      </c>
      <c r="L806" s="141" t="str">
        <f>IF(I806&lt;&gt;"",SUMIFS('JPK_KR-1'!AM:AM,'JPK_KR-1'!W:W,J806),"")</f>
        <v/>
      </c>
      <c r="M806" s="143" t="str">
        <f>IF(kokpit!M806&lt;&gt;"",kokpit!M806,"")</f>
        <v/>
      </c>
      <c r="N806" s="117" t="str">
        <f>IF(kokpit!N806&lt;&gt;"",kokpit!N806,"")</f>
        <v/>
      </c>
      <c r="O806" s="117" t="str">
        <f>IF(kokpit!O806&lt;&gt;"",kokpit!O806,"")</f>
        <v/>
      </c>
      <c r="P806" s="141" t="str">
        <f>IF(M806&lt;&gt;"",IF(O806="",SUMIFS('JPK_KR-1'!AL:AL,'JPK_KR-1'!W:W,N806),SUMIFS('JPK_KR-1'!BF:BF,'JPK_KR-1'!BE:BE,N806,'JPK_KR-1'!BG:BG,O806)),"")</f>
        <v/>
      </c>
      <c r="Q806" s="144" t="str">
        <f>IF(M806&lt;&gt;"",IF(O806="",SUMIFS('JPK_KR-1'!AM:AM,'JPK_KR-1'!W:W,N806),SUMIFS('JPK_KR-1'!BI:BI,'JPK_KR-1'!BH:BH,N806,'JPK_KR-1'!BJ:BJ,O806)),"")</f>
        <v/>
      </c>
      <c r="R806" s="117" t="str">
        <f>IF(kokpit!R806&lt;&gt;"",kokpit!R806,"")</f>
        <v/>
      </c>
      <c r="S806" s="117" t="str">
        <f>IF(kokpit!S806&lt;&gt;"",kokpit!S806,"")</f>
        <v/>
      </c>
      <c r="T806" s="117" t="str">
        <f>IF(kokpit!T806&lt;&gt;"",kokpit!T806,"")</f>
        <v/>
      </c>
      <c r="U806" s="141" t="str">
        <f>IF(R806&lt;&gt;"",SUMIFS('JPK_KR-1'!AL:AL,'JPK_KR-1'!W:W,S806),"")</f>
        <v/>
      </c>
      <c r="V806" s="144" t="str">
        <f>IF(R806&lt;&gt;"",SUMIFS('JPK_KR-1'!AM:AM,'JPK_KR-1'!W:W,S806),"")</f>
        <v/>
      </c>
    </row>
    <row r="807" spans="1:22" x14ac:dyDescent="0.3">
      <c r="A807" s="5" t="str">
        <f>IF(kokpit!A807&lt;&gt;"",kokpit!A807,"")</f>
        <v/>
      </c>
      <c r="B807" s="5" t="str">
        <f>IF(kokpit!B807&lt;&gt;"",kokpit!B807,"")</f>
        <v/>
      </c>
      <c r="C807" s="24" t="str">
        <f>IF(A807&lt;&gt;"",SUMIFS('JPK_KR-1'!AL:AL,'JPK_KR-1'!W:W,B807),"")</f>
        <v/>
      </c>
      <c r="D807" s="126" t="str">
        <f>IF(A807&lt;&gt;"",SUMIFS('JPK_KR-1'!AM:AM,'JPK_KR-1'!W:W,B807),"")</f>
        <v/>
      </c>
      <c r="E807" s="5" t="str">
        <f>IF(kokpit!E807&lt;&gt;"",kokpit!E807,"")</f>
        <v/>
      </c>
      <c r="F807" s="127" t="str">
        <f>IF(kokpit!F807&lt;&gt;"",kokpit!F807,"")</f>
        <v/>
      </c>
      <c r="G807" s="24" t="str">
        <f>IF(E807&lt;&gt;"",SUMIFS('JPK_KR-1'!AL:AL,'JPK_KR-1'!W:W,F807),"")</f>
        <v/>
      </c>
      <c r="H807" s="126" t="str">
        <f>IF(E807&lt;&gt;"",SUMIFS('JPK_KR-1'!AM:AM,'JPK_KR-1'!W:W,F807),"")</f>
        <v/>
      </c>
      <c r="I807" s="5" t="str">
        <f>IF(kokpit!I807&lt;&gt;"",kokpit!I807,"")</f>
        <v/>
      </c>
      <c r="J807" s="5" t="str">
        <f>IF(kokpit!J807&lt;&gt;"",kokpit!J807,"")</f>
        <v/>
      </c>
      <c r="K807" s="24" t="str">
        <f>IF(I807&lt;&gt;"",SUMIFS('JPK_KR-1'!AL:AL,'JPK_KR-1'!W:W,J807),"")</f>
        <v/>
      </c>
      <c r="L807" s="141" t="str">
        <f>IF(I807&lt;&gt;"",SUMIFS('JPK_KR-1'!AM:AM,'JPK_KR-1'!W:W,J807),"")</f>
        <v/>
      </c>
      <c r="M807" s="143" t="str">
        <f>IF(kokpit!M807&lt;&gt;"",kokpit!M807,"")</f>
        <v/>
      </c>
      <c r="N807" s="117" t="str">
        <f>IF(kokpit!N807&lt;&gt;"",kokpit!N807,"")</f>
        <v/>
      </c>
      <c r="O807" s="117" t="str">
        <f>IF(kokpit!O807&lt;&gt;"",kokpit!O807,"")</f>
        <v/>
      </c>
      <c r="P807" s="141" t="str">
        <f>IF(M807&lt;&gt;"",IF(O807="",SUMIFS('JPK_KR-1'!AL:AL,'JPK_KR-1'!W:W,N807),SUMIFS('JPK_KR-1'!BF:BF,'JPK_KR-1'!BE:BE,N807,'JPK_KR-1'!BG:BG,O807)),"")</f>
        <v/>
      </c>
      <c r="Q807" s="144" t="str">
        <f>IF(M807&lt;&gt;"",IF(O807="",SUMIFS('JPK_KR-1'!AM:AM,'JPK_KR-1'!W:W,N807),SUMIFS('JPK_KR-1'!BI:BI,'JPK_KR-1'!BH:BH,N807,'JPK_KR-1'!BJ:BJ,O807)),"")</f>
        <v/>
      </c>
      <c r="R807" s="117" t="str">
        <f>IF(kokpit!R807&lt;&gt;"",kokpit!R807,"")</f>
        <v/>
      </c>
      <c r="S807" s="117" t="str">
        <f>IF(kokpit!S807&lt;&gt;"",kokpit!S807,"")</f>
        <v/>
      </c>
      <c r="T807" s="117" t="str">
        <f>IF(kokpit!T807&lt;&gt;"",kokpit!T807,"")</f>
        <v/>
      </c>
      <c r="U807" s="141" t="str">
        <f>IF(R807&lt;&gt;"",SUMIFS('JPK_KR-1'!AL:AL,'JPK_KR-1'!W:W,S807),"")</f>
        <v/>
      </c>
      <c r="V807" s="144" t="str">
        <f>IF(R807&lt;&gt;"",SUMIFS('JPK_KR-1'!AM:AM,'JPK_KR-1'!W:W,S807),"")</f>
        <v/>
      </c>
    </row>
    <row r="808" spans="1:22" x14ac:dyDescent="0.3">
      <c r="A808" s="5" t="str">
        <f>IF(kokpit!A808&lt;&gt;"",kokpit!A808,"")</f>
        <v/>
      </c>
      <c r="B808" s="5" t="str">
        <f>IF(kokpit!B808&lt;&gt;"",kokpit!B808,"")</f>
        <v/>
      </c>
      <c r="C808" s="24" t="str">
        <f>IF(A808&lt;&gt;"",SUMIFS('JPK_KR-1'!AL:AL,'JPK_KR-1'!W:W,B808),"")</f>
        <v/>
      </c>
      <c r="D808" s="126" t="str">
        <f>IF(A808&lt;&gt;"",SUMIFS('JPK_KR-1'!AM:AM,'JPK_KR-1'!W:W,B808),"")</f>
        <v/>
      </c>
      <c r="E808" s="5" t="str">
        <f>IF(kokpit!E808&lt;&gt;"",kokpit!E808,"")</f>
        <v/>
      </c>
      <c r="F808" s="127" t="str">
        <f>IF(kokpit!F808&lt;&gt;"",kokpit!F808,"")</f>
        <v/>
      </c>
      <c r="G808" s="24" t="str">
        <f>IF(E808&lt;&gt;"",SUMIFS('JPK_KR-1'!AL:AL,'JPK_KR-1'!W:W,F808),"")</f>
        <v/>
      </c>
      <c r="H808" s="126" t="str">
        <f>IF(E808&lt;&gt;"",SUMIFS('JPK_KR-1'!AM:AM,'JPK_KR-1'!W:W,F808),"")</f>
        <v/>
      </c>
      <c r="I808" s="5" t="str">
        <f>IF(kokpit!I808&lt;&gt;"",kokpit!I808,"")</f>
        <v/>
      </c>
      <c r="J808" s="5" t="str">
        <f>IF(kokpit!J808&lt;&gt;"",kokpit!J808,"")</f>
        <v/>
      </c>
      <c r="K808" s="24" t="str">
        <f>IF(I808&lt;&gt;"",SUMIFS('JPK_KR-1'!AL:AL,'JPK_KR-1'!W:W,J808),"")</f>
        <v/>
      </c>
      <c r="L808" s="141" t="str">
        <f>IF(I808&lt;&gt;"",SUMIFS('JPK_KR-1'!AM:AM,'JPK_KR-1'!W:W,J808),"")</f>
        <v/>
      </c>
      <c r="M808" s="143" t="str">
        <f>IF(kokpit!M808&lt;&gt;"",kokpit!M808,"")</f>
        <v/>
      </c>
      <c r="N808" s="117" t="str">
        <f>IF(kokpit!N808&lt;&gt;"",kokpit!N808,"")</f>
        <v/>
      </c>
      <c r="O808" s="117" t="str">
        <f>IF(kokpit!O808&lt;&gt;"",kokpit!O808,"")</f>
        <v/>
      </c>
      <c r="P808" s="141" t="str">
        <f>IF(M808&lt;&gt;"",IF(O808="",SUMIFS('JPK_KR-1'!AL:AL,'JPK_KR-1'!W:W,N808),SUMIFS('JPK_KR-1'!BF:BF,'JPK_KR-1'!BE:BE,N808,'JPK_KR-1'!BG:BG,O808)),"")</f>
        <v/>
      </c>
      <c r="Q808" s="144" t="str">
        <f>IF(M808&lt;&gt;"",IF(O808="",SUMIFS('JPK_KR-1'!AM:AM,'JPK_KR-1'!W:W,N808),SUMIFS('JPK_KR-1'!BI:BI,'JPK_KR-1'!BH:BH,N808,'JPK_KR-1'!BJ:BJ,O808)),"")</f>
        <v/>
      </c>
      <c r="R808" s="117" t="str">
        <f>IF(kokpit!R808&lt;&gt;"",kokpit!R808,"")</f>
        <v/>
      </c>
      <c r="S808" s="117" t="str">
        <f>IF(kokpit!S808&lt;&gt;"",kokpit!S808,"")</f>
        <v/>
      </c>
      <c r="T808" s="117" t="str">
        <f>IF(kokpit!T808&lt;&gt;"",kokpit!T808,"")</f>
        <v/>
      </c>
      <c r="U808" s="141" t="str">
        <f>IF(R808&lt;&gt;"",SUMIFS('JPK_KR-1'!AL:AL,'JPK_KR-1'!W:W,S808),"")</f>
        <v/>
      </c>
      <c r="V808" s="144" t="str">
        <f>IF(R808&lt;&gt;"",SUMIFS('JPK_KR-1'!AM:AM,'JPK_KR-1'!W:W,S808),"")</f>
        <v/>
      </c>
    </row>
    <row r="809" spans="1:22" x14ac:dyDescent="0.3">
      <c r="A809" s="5" t="str">
        <f>IF(kokpit!A809&lt;&gt;"",kokpit!A809,"")</f>
        <v/>
      </c>
      <c r="B809" s="5" t="str">
        <f>IF(kokpit!B809&lt;&gt;"",kokpit!B809,"")</f>
        <v/>
      </c>
      <c r="C809" s="24" t="str">
        <f>IF(A809&lt;&gt;"",SUMIFS('JPK_KR-1'!AL:AL,'JPK_KR-1'!W:W,B809),"")</f>
        <v/>
      </c>
      <c r="D809" s="126" t="str">
        <f>IF(A809&lt;&gt;"",SUMIFS('JPK_KR-1'!AM:AM,'JPK_KR-1'!W:W,B809),"")</f>
        <v/>
      </c>
      <c r="E809" s="5" t="str">
        <f>IF(kokpit!E809&lt;&gt;"",kokpit!E809,"")</f>
        <v/>
      </c>
      <c r="F809" s="127" t="str">
        <f>IF(kokpit!F809&lt;&gt;"",kokpit!F809,"")</f>
        <v/>
      </c>
      <c r="G809" s="24" t="str">
        <f>IF(E809&lt;&gt;"",SUMIFS('JPK_KR-1'!AL:AL,'JPK_KR-1'!W:W,F809),"")</f>
        <v/>
      </c>
      <c r="H809" s="126" t="str">
        <f>IF(E809&lt;&gt;"",SUMIFS('JPK_KR-1'!AM:AM,'JPK_KR-1'!W:W,F809),"")</f>
        <v/>
      </c>
      <c r="I809" s="5" t="str">
        <f>IF(kokpit!I809&lt;&gt;"",kokpit!I809,"")</f>
        <v/>
      </c>
      <c r="J809" s="5" t="str">
        <f>IF(kokpit!J809&lt;&gt;"",kokpit!J809,"")</f>
        <v/>
      </c>
      <c r="K809" s="24" t="str">
        <f>IF(I809&lt;&gt;"",SUMIFS('JPK_KR-1'!AL:AL,'JPK_KR-1'!W:W,J809),"")</f>
        <v/>
      </c>
      <c r="L809" s="141" t="str">
        <f>IF(I809&lt;&gt;"",SUMIFS('JPK_KR-1'!AM:AM,'JPK_KR-1'!W:W,J809),"")</f>
        <v/>
      </c>
      <c r="M809" s="143" t="str">
        <f>IF(kokpit!M809&lt;&gt;"",kokpit!M809,"")</f>
        <v/>
      </c>
      <c r="N809" s="117" t="str">
        <f>IF(kokpit!N809&lt;&gt;"",kokpit!N809,"")</f>
        <v/>
      </c>
      <c r="O809" s="117" t="str">
        <f>IF(kokpit!O809&lt;&gt;"",kokpit!O809,"")</f>
        <v/>
      </c>
      <c r="P809" s="141" t="str">
        <f>IF(M809&lt;&gt;"",IF(O809="",SUMIFS('JPK_KR-1'!AL:AL,'JPK_KR-1'!W:W,N809),SUMIFS('JPK_KR-1'!BF:BF,'JPK_KR-1'!BE:BE,N809,'JPK_KR-1'!BG:BG,O809)),"")</f>
        <v/>
      </c>
      <c r="Q809" s="144" t="str">
        <f>IF(M809&lt;&gt;"",IF(O809="",SUMIFS('JPK_KR-1'!AM:AM,'JPK_KR-1'!W:W,N809),SUMIFS('JPK_KR-1'!BI:BI,'JPK_KR-1'!BH:BH,N809,'JPK_KR-1'!BJ:BJ,O809)),"")</f>
        <v/>
      </c>
      <c r="R809" s="117" t="str">
        <f>IF(kokpit!R809&lt;&gt;"",kokpit!R809,"")</f>
        <v/>
      </c>
      <c r="S809" s="117" t="str">
        <f>IF(kokpit!S809&lt;&gt;"",kokpit!S809,"")</f>
        <v/>
      </c>
      <c r="T809" s="117" t="str">
        <f>IF(kokpit!T809&lt;&gt;"",kokpit!T809,"")</f>
        <v/>
      </c>
      <c r="U809" s="141" t="str">
        <f>IF(R809&lt;&gt;"",SUMIFS('JPK_KR-1'!AL:AL,'JPK_KR-1'!W:W,S809),"")</f>
        <v/>
      </c>
      <c r="V809" s="144" t="str">
        <f>IF(R809&lt;&gt;"",SUMIFS('JPK_KR-1'!AM:AM,'JPK_KR-1'!W:W,S809),"")</f>
        <v/>
      </c>
    </row>
    <row r="810" spans="1:22" x14ac:dyDescent="0.3">
      <c r="A810" s="5" t="str">
        <f>IF(kokpit!A810&lt;&gt;"",kokpit!A810,"")</f>
        <v/>
      </c>
      <c r="B810" s="5" t="str">
        <f>IF(kokpit!B810&lt;&gt;"",kokpit!B810,"")</f>
        <v/>
      </c>
      <c r="C810" s="24" t="str">
        <f>IF(A810&lt;&gt;"",SUMIFS('JPK_KR-1'!AL:AL,'JPK_KR-1'!W:W,B810),"")</f>
        <v/>
      </c>
      <c r="D810" s="126" t="str">
        <f>IF(A810&lt;&gt;"",SUMIFS('JPK_KR-1'!AM:AM,'JPK_KR-1'!W:W,B810),"")</f>
        <v/>
      </c>
      <c r="E810" s="5" t="str">
        <f>IF(kokpit!E810&lt;&gt;"",kokpit!E810,"")</f>
        <v/>
      </c>
      <c r="F810" s="127" t="str">
        <f>IF(kokpit!F810&lt;&gt;"",kokpit!F810,"")</f>
        <v/>
      </c>
      <c r="G810" s="24" t="str">
        <f>IF(E810&lt;&gt;"",SUMIFS('JPK_KR-1'!AL:AL,'JPK_KR-1'!W:W,F810),"")</f>
        <v/>
      </c>
      <c r="H810" s="126" t="str">
        <f>IF(E810&lt;&gt;"",SUMIFS('JPK_KR-1'!AM:AM,'JPK_KR-1'!W:W,F810),"")</f>
        <v/>
      </c>
      <c r="I810" s="5" t="str">
        <f>IF(kokpit!I810&lt;&gt;"",kokpit!I810,"")</f>
        <v/>
      </c>
      <c r="J810" s="5" t="str">
        <f>IF(kokpit!J810&lt;&gt;"",kokpit!J810,"")</f>
        <v/>
      </c>
      <c r="K810" s="24" t="str">
        <f>IF(I810&lt;&gt;"",SUMIFS('JPK_KR-1'!AL:AL,'JPK_KR-1'!W:W,J810),"")</f>
        <v/>
      </c>
      <c r="L810" s="141" t="str">
        <f>IF(I810&lt;&gt;"",SUMIFS('JPK_KR-1'!AM:AM,'JPK_KR-1'!W:W,J810),"")</f>
        <v/>
      </c>
      <c r="M810" s="143" t="str">
        <f>IF(kokpit!M810&lt;&gt;"",kokpit!M810,"")</f>
        <v/>
      </c>
      <c r="N810" s="117" t="str">
        <f>IF(kokpit!N810&lt;&gt;"",kokpit!N810,"")</f>
        <v/>
      </c>
      <c r="O810" s="117" t="str">
        <f>IF(kokpit!O810&lt;&gt;"",kokpit!O810,"")</f>
        <v/>
      </c>
      <c r="P810" s="141" t="str">
        <f>IF(M810&lt;&gt;"",IF(O810="",SUMIFS('JPK_KR-1'!AL:AL,'JPK_KR-1'!W:W,N810),SUMIFS('JPK_KR-1'!BF:BF,'JPK_KR-1'!BE:BE,N810,'JPK_KR-1'!BG:BG,O810)),"")</f>
        <v/>
      </c>
      <c r="Q810" s="144" t="str">
        <f>IF(M810&lt;&gt;"",IF(O810="",SUMIFS('JPK_KR-1'!AM:AM,'JPK_KR-1'!W:W,N810),SUMIFS('JPK_KR-1'!BI:BI,'JPK_KR-1'!BH:BH,N810,'JPK_KR-1'!BJ:BJ,O810)),"")</f>
        <v/>
      </c>
      <c r="R810" s="117" t="str">
        <f>IF(kokpit!R810&lt;&gt;"",kokpit!R810,"")</f>
        <v/>
      </c>
      <c r="S810" s="117" t="str">
        <f>IF(kokpit!S810&lt;&gt;"",kokpit!S810,"")</f>
        <v/>
      </c>
      <c r="T810" s="117" t="str">
        <f>IF(kokpit!T810&lt;&gt;"",kokpit!T810,"")</f>
        <v/>
      </c>
      <c r="U810" s="141" t="str">
        <f>IF(R810&lt;&gt;"",SUMIFS('JPK_KR-1'!AL:AL,'JPK_KR-1'!W:W,S810),"")</f>
        <v/>
      </c>
      <c r="V810" s="144" t="str">
        <f>IF(R810&lt;&gt;"",SUMIFS('JPK_KR-1'!AM:AM,'JPK_KR-1'!W:W,S810),"")</f>
        <v/>
      </c>
    </row>
    <row r="811" spans="1:22" x14ac:dyDescent="0.3">
      <c r="A811" s="5" t="str">
        <f>IF(kokpit!A811&lt;&gt;"",kokpit!A811,"")</f>
        <v/>
      </c>
      <c r="B811" s="5" t="str">
        <f>IF(kokpit!B811&lt;&gt;"",kokpit!B811,"")</f>
        <v/>
      </c>
      <c r="C811" s="24" t="str">
        <f>IF(A811&lt;&gt;"",SUMIFS('JPK_KR-1'!AL:AL,'JPK_KR-1'!W:W,B811),"")</f>
        <v/>
      </c>
      <c r="D811" s="126" t="str">
        <f>IF(A811&lt;&gt;"",SUMIFS('JPK_KR-1'!AM:AM,'JPK_KR-1'!W:W,B811),"")</f>
        <v/>
      </c>
      <c r="E811" s="5" t="str">
        <f>IF(kokpit!E811&lt;&gt;"",kokpit!E811,"")</f>
        <v/>
      </c>
      <c r="F811" s="127" t="str">
        <f>IF(kokpit!F811&lt;&gt;"",kokpit!F811,"")</f>
        <v/>
      </c>
      <c r="G811" s="24" t="str">
        <f>IF(E811&lt;&gt;"",SUMIFS('JPK_KR-1'!AL:AL,'JPK_KR-1'!W:W,F811),"")</f>
        <v/>
      </c>
      <c r="H811" s="126" t="str">
        <f>IF(E811&lt;&gt;"",SUMIFS('JPK_KR-1'!AM:AM,'JPK_KR-1'!W:W,F811),"")</f>
        <v/>
      </c>
      <c r="I811" s="5" t="str">
        <f>IF(kokpit!I811&lt;&gt;"",kokpit!I811,"")</f>
        <v/>
      </c>
      <c r="J811" s="5" t="str">
        <f>IF(kokpit!J811&lt;&gt;"",kokpit!J811,"")</f>
        <v/>
      </c>
      <c r="K811" s="24" t="str">
        <f>IF(I811&lt;&gt;"",SUMIFS('JPK_KR-1'!AL:AL,'JPK_KR-1'!W:W,J811),"")</f>
        <v/>
      </c>
      <c r="L811" s="141" t="str">
        <f>IF(I811&lt;&gt;"",SUMIFS('JPK_KR-1'!AM:AM,'JPK_KR-1'!W:W,J811),"")</f>
        <v/>
      </c>
      <c r="M811" s="143" t="str">
        <f>IF(kokpit!M811&lt;&gt;"",kokpit!M811,"")</f>
        <v/>
      </c>
      <c r="N811" s="117" t="str">
        <f>IF(kokpit!N811&lt;&gt;"",kokpit!N811,"")</f>
        <v/>
      </c>
      <c r="O811" s="117" t="str">
        <f>IF(kokpit!O811&lt;&gt;"",kokpit!O811,"")</f>
        <v/>
      </c>
      <c r="P811" s="141" t="str">
        <f>IF(M811&lt;&gt;"",IF(O811="",SUMIFS('JPK_KR-1'!AL:AL,'JPK_KR-1'!W:W,N811),SUMIFS('JPK_KR-1'!BF:BF,'JPK_KR-1'!BE:BE,N811,'JPK_KR-1'!BG:BG,O811)),"")</f>
        <v/>
      </c>
      <c r="Q811" s="144" t="str">
        <f>IF(M811&lt;&gt;"",IF(O811="",SUMIFS('JPK_KR-1'!AM:AM,'JPK_KR-1'!W:W,N811),SUMIFS('JPK_KR-1'!BI:BI,'JPK_KR-1'!BH:BH,N811,'JPK_KR-1'!BJ:BJ,O811)),"")</f>
        <v/>
      </c>
      <c r="R811" s="117" t="str">
        <f>IF(kokpit!R811&lt;&gt;"",kokpit!R811,"")</f>
        <v/>
      </c>
      <c r="S811" s="117" t="str">
        <f>IF(kokpit!S811&lt;&gt;"",kokpit!S811,"")</f>
        <v/>
      </c>
      <c r="T811" s="117" t="str">
        <f>IF(kokpit!T811&lt;&gt;"",kokpit!T811,"")</f>
        <v/>
      </c>
      <c r="U811" s="141" t="str">
        <f>IF(R811&lt;&gt;"",SUMIFS('JPK_KR-1'!AL:AL,'JPK_KR-1'!W:W,S811),"")</f>
        <v/>
      </c>
      <c r="V811" s="144" t="str">
        <f>IF(R811&lt;&gt;"",SUMIFS('JPK_KR-1'!AM:AM,'JPK_KR-1'!W:W,S811),"")</f>
        <v/>
      </c>
    </row>
    <row r="812" spans="1:22" x14ac:dyDescent="0.3">
      <c r="A812" s="5" t="str">
        <f>IF(kokpit!A812&lt;&gt;"",kokpit!A812,"")</f>
        <v/>
      </c>
      <c r="B812" s="5" t="str">
        <f>IF(kokpit!B812&lt;&gt;"",kokpit!B812,"")</f>
        <v/>
      </c>
      <c r="C812" s="24" t="str">
        <f>IF(A812&lt;&gt;"",SUMIFS('JPK_KR-1'!AL:AL,'JPK_KR-1'!W:W,B812),"")</f>
        <v/>
      </c>
      <c r="D812" s="126" t="str">
        <f>IF(A812&lt;&gt;"",SUMIFS('JPK_KR-1'!AM:AM,'JPK_KR-1'!W:W,B812),"")</f>
        <v/>
      </c>
      <c r="E812" s="5" t="str">
        <f>IF(kokpit!E812&lt;&gt;"",kokpit!E812,"")</f>
        <v/>
      </c>
      <c r="F812" s="127" t="str">
        <f>IF(kokpit!F812&lt;&gt;"",kokpit!F812,"")</f>
        <v/>
      </c>
      <c r="G812" s="24" t="str">
        <f>IF(E812&lt;&gt;"",SUMIFS('JPK_KR-1'!AL:AL,'JPK_KR-1'!W:W,F812),"")</f>
        <v/>
      </c>
      <c r="H812" s="126" t="str">
        <f>IF(E812&lt;&gt;"",SUMIFS('JPK_KR-1'!AM:AM,'JPK_KR-1'!W:W,F812),"")</f>
        <v/>
      </c>
      <c r="I812" s="5" t="str">
        <f>IF(kokpit!I812&lt;&gt;"",kokpit!I812,"")</f>
        <v/>
      </c>
      <c r="J812" s="5" t="str">
        <f>IF(kokpit!J812&lt;&gt;"",kokpit!J812,"")</f>
        <v/>
      </c>
      <c r="K812" s="24" t="str">
        <f>IF(I812&lt;&gt;"",SUMIFS('JPK_KR-1'!AL:AL,'JPK_KR-1'!W:W,J812),"")</f>
        <v/>
      </c>
      <c r="L812" s="141" t="str">
        <f>IF(I812&lt;&gt;"",SUMIFS('JPK_KR-1'!AM:AM,'JPK_KR-1'!W:W,J812),"")</f>
        <v/>
      </c>
      <c r="M812" s="143" t="str">
        <f>IF(kokpit!M812&lt;&gt;"",kokpit!M812,"")</f>
        <v/>
      </c>
      <c r="N812" s="117" t="str">
        <f>IF(kokpit!N812&lt;&gt;"",kokpit!N812,"")</f>
        <v/>
      </c>
      <c r="O812" s="117" t="str">
        <f>IF(kokpit!O812&lt;&gt;"",kokpit!O812,"")</f>
        <v/>
      </c>
      <c r="P812" s="141" t="str">
        <f>IF(M812&lt;&gt;"",IF(O812="",SUMIFS('JPK_KR-1'!AL:AL,'JPK_KR-1'!W:W,N812),SUMIFS('JPK_KR-1'!BF:BF,'JPK_KR-1'!BE:BE,N812,'JPK_KR-1'!BG:BG,O812)),"")</f>
        <v/>
      </c>
      <c r="Q812" s="144" t="str">
        <f>IF(M812&lt;&gt;"",IF(O812="",SUMIFS('JPK_KR-1'!AM:AM,'JPK_KR-1'!W:W,N812),SUMIFS('JPK_KR-1'!BI:BI,'JPK_KR-1'!BH:BH,N812,'JPK_KR-1'!BJ:BJ,O812)),"")</f>
        <v/>
      </c>
      <c r="R812" s="117" t="str">
        <f>IF(kokpit!R812&lt;&gt;"",kokpit!R812,"")</f>
        <v/>
      </c>
      <c r="S812" s="117" t="str">
        <f>IF(kokpit!S812&lt;&gt;"",kokpit!S812,"")</f>
        <v/>
      </c>
      <c r="T812" s="117" t="str">
        <f>IF(kokpit!T812&lt;&gt;"",kokpit!T812,"")</f>
        <v/>
      </c>
      <c r="U812" s="141" t="str">
        <f>IF(R812&lt;&gt;"",SUMIFS('JPK_KR-1'!AL:AL,'JPK_KR-1'!W:W,S812),"")</f>
        <v/>
      </c>
      <c r="V812" s="144" t="str">
        <f>IF(R812&lt;&gt;"",SUMIFS('JPK_KR-1'!AM:AM,'JPK_KR-1'!W:W,S812),"")</f>
        <v/>
      </c>
    </row>
    <row r="813" spans="1:22" x14ac:dyDescent="0.3">
      <c r="A813" s="5" t="str">
        <f>IF(kokpit!A813&lt;&gt;"",kokpit!A813,"")</f>
        <v/>
      </c>
      <c r="B813" s="5" t="str">
        <f>IF(kokpit!B813&lt;&gt;"",kokpit!B813,"")</f>
        <v/>
      </c>
      <c r="C813" s="24" t="str">
        <f>IF(A813&lt;&gt;"",SUMIFS('JPK_KR-1'!AL:AL,'JPK_KR-1'!W:W,B813),"")</f>
        <v/>
      </c>
      <c r="D813" s="126" t="str">
        <f>IF(A813&lt;&gt;"",SUMIFS('JPK_KR-1'!AM:AM,'JPK_KR-1'!W:W,B813),"")</f>
        <v/>
      </c>
      <c r="E813" s="5" t="str">
        <f>IF(kokpit!E813&lt;&gt;"",kokpit!E813,"")</f>
        <v/>
      </c>
      <c r="F813" s="127" t="str">
        <f>IF(kokpit!F813&lt;&gt;"",kokpit!F813,"")</f>
        <v/>
      </c>
      <c r="G813" s="24" t="str">
        <f>IF(E813&lt;&gt;"",SUMIFS('JPK_KR-1'!AL:AL,'JPK_KR-1'!W:W,F813),"")</f>
        <v/>
      </c>
      <c r="H813" s="126" t="str">
        <f>IF(E813&lt;&gt;"",SUMIFS('JPK_KR-1'!AM:AM,'JPK_KR-1'!W:W,F813),"")</f>
        <v/>
      </c>
      <c r="I813" s="5" t="str">
        <f>IF(kokpit!I813&lt;&gt;"",kokpit!I813,"")</f>
        <v/>
      </c>
      <c r="J813" s="5" t="str">
        <f>IF(kokpit!J813&lt;&gt;"",kokpit!J813,"")</f>
        <v/>
      </c>
      <c r="K813" s="24" t="str">
        <f>IF(I813&lt;&gt;"",SUMIFS('JPK_KR-1'!AL:AL,'JPK_KR-1'!W:W,J813),"")</f>
        <v/>
      </c>
      <c r="L813" s="141" t="str">
        <f>IF(I813&lt;&gt;"",SUMIFS('JPK_KR-1'!AM:AM,'JPK_KR-1'!W:W,J813),"")</f>
        <v/>
      </c>
      <c r="M813" s="143" t="str">
        <f>IF(kokpit!M813&lt;&gt;"",kokpit!M813,"")</f>
        <v/>
      </c>
      <c r="N813" s="117" t="str">
        <f>IF(kokpit!N813&lt;&gt;"",kokpit!N813,"")</f>
        <v/>
      </c>
      <c r="O813" s="117" t="str">
        <f>IF(kokpit!O813&lt;&gt;"",kokpit!O813,"")</f>
        <v/>
      </c>
      <c r="P813" s="141" t="str">
        <f>IF(M813&lt;&gt;"",IF(O813="",SUMIFS('JPK_KR-1'!AL:AL,'JPK_KR-1'!W:W,N813),SUMIFS('JPK_KR-1'!BF:BF,'JPK_KR-1'!BE:BE,N813,'JPK_KR-1'!BG:BG,O813)),"")</f>
        <v/>
      </c>
      <c r="Q813" s="144" t="str">
        <f>IF(M813&lt;&gt;"",IF(O813="",SUMIFS('JPK_KR-1'!AM:AM,'JPK_KR-1'!W:W,N813),SUMIFS('JPK_KR-1'!BI:BI,'JPK_KR-1'!BH:BH,N813,'JPK_KR-1'!BJ:BJ,O813)),"")</f>
        <v/>
      </c>
      <c r="R813" s="117" t="str">
        <f>IF(kokpit!R813&lt;&gt;"",kokpit!R813,"")</f>
        <v/>
      </c>
      <c r="S813" s="117" t="str">
        <f>IF(kokpit!S813&lt;&gt;"",kokpit!S813,"")</f>
        <v/>
      </c>
      <c r="T813" s="117" t="str">
        <f>IF(kokpit!T813&lt;&gt;"",kokpit!T813,"")</f>
        <v/>
      </c>
      <c r="U813" s="141" t="str">
        <f>IF(R813&lt;&gt;"",SUMIFS('JPK_KR-1'!AL:AL,'JPK_KR-1'!W:W,S813),"")</f>
        <v/>
      </c>
      <c r="V813" s="144" t="str">
        <f>IF(R813&lt;&gt;"",SUMIFS('JPK_KR-1'!AM:AM,'JPK_KR-1'!W:W,S813),"")</f>
        <v/>
      </c>
    </row>
    <row r="814" spans="1:22" x14ac:dyDescent="0.3">
      <c r="A814" s="5" t="str">
        <f>IF(kokpit!A814&lt;&gt;"",kokpit!A814,"")</f>
        <v/>
      </c>
      <c r="B814" s="5" t="str">
        <f>IF(kokpit!B814&lt;&gt;"",kokpit!B814,"")</f>
        <v/>
      </c>
      <c r="C814" s="24" t="str">
        <f>IF(A814&lt;&gt;"",SUMIFS('JPK_KR-1'!AL:AL,'JPK_KR-1'!W:W,B814),"")</f>
        <v/>
      </c>
      <c r="D814" s="126" t="str">
        <f>IF(A814&lt;&gt;"",SUMIFS('JPK_KR-1'!AM:AM,'JPK_KR-1'!W:W,B814),"")</f>
        <v/>
      </c>
      <c r="E814" s="5" t="str">
        <f>IF(kokpit!E814&lt;&gt;"",kokpit!E814,"")</f>
        <v/>
      </c>
      <c r="F814" s="127" t="str">
        <f>IF(kokpit!F814&lt;&gt;"",kokpit!F814,"")</f>
        <v/>
      </c>
      <c r="G814" s="24" t="str">
        <f>IF(E814&lt;&gt;"",SUMIFS('JPK_KR-1'!AL:AL,'JPK_KR-1'!W:W,F814),"")</f>
        <v/>
      </c>
      <c r="H814" s="126" t="str">
        <f>IF(E814&lt;&gt;"",SUMIFS('JPK_KR-1'!AM:AM,'JPK_KR-1'!W:W,F814),"")</f>
        <v/>
      </c>
      <c r="I814" s="5" t="str">
        <f>IF(kokpit!I814&lt;&gt;"",kokpit!I814,"")</f>
        <v/>
      </c>
      <c r="J814" s="5" t="str">
        <f>IF(kokpit!J814&lt;&gt;"",kokpit!J814,"")</f>
        <v/>
      </c>
      <c r="K814" s="24" t="str">
        <f>IF(I814&lt;&gt;"",SUMIFS('JPK_KR-1'!AL:AL,'JPK_KR-1'!W:W,J814),"")</f>
        <v/>
      </c>
      <c r="L814" s="141" t="str">
        <f>IF(I814&lt;&gt;"",SUMIFS('JPK_KR-1'!AM:AM,'JPK_KR-1'!W:W,J814),"")</f>
        <v/>
      </c>
      <c r="M814" s="143" t="str">
        <f>IF(kokpit!M814&lt;&gt;"",kokpit!M814,"")</f>
        <v/>
      </c>
      <c r="N814" s="117" t="str">
        <f>IF(kokpit!N814&lt;&gt;"",kokpit!N814,"")</f>
        <v/>
      </c>
      <c r="O814" s="117" t="str">
        <f>IF(kokpit!O814&lt;&gt;"",kokpit!O814,"")</f>
        <v/>
      </c>
      <c r="P814" s="141" t="str">
        <f>IF(M814&lt;&gt;"",IF(O814="",SUMIFS('JPK_KR-1'!AL:AL,'JPK_KR-1'!W:W,N814),SUMIFS('JPK_KR-1'!BF:BF,'JPK_KR-1'!BE:BE,N814,'JPK_KR-1'!BG:BG,O814)),"")</f>
        <v/>
      </c>
      <c r="Q814" s="144" t="str">
        <f>IF(M814&lt;&gt;"",IF(O814="",SUMIFS('JPK_KR-1'!AM:AM,'JPK_KR-1'!W:W,N814),SUMIFS('JPK_KR-1'!BI:BI,'JPK_KR-1'!BH:BH,N814,'JPK_KR-1'!BJ:BJ,O814)),"")</f>
        <v/>
      </c>
      <c r="R814" s="117" t="str">
        <f>IF(kokpit!R814&lt;&gt;"",kokpit!R814,"")</f>
        <v/>
      </c>
      <c r="S814" s="117" t="str">
        <f>IF(kokpit!S814&lt;&gt;"",kokpit!S814,"")</f>
        <v/>
      </c>
      <c r="T814" s="117" t="str">
        <f>IF(kokpit!T814&lt;&gt;"",kokpit!T814,"")</f>
        <v/>
      </c>
      <c r="U814" s="141" t="str">
        <f>IF(R814&lt;&gt;"",SUMIFS('JPK_KR-1'!AL:AL,'JPK_KR-1'!W:W,S814),"")</f>
        <v/>
      </c>
      <c r="V814" s="144" t="str">
        <f>IF(R814&lt;&gt;"",SUMIFS('JPK_KR-1'!AM:AM,'JPK_KR-1'!W:W,S814),"")</f>
        <v/>
      </c>
    </row>
    <row r="815" spans="1:22" x14ac:dyDescent="0.3">
      <c r="A815" s="5" t="str">
        <f>IF(kokpit!A815&lt;&gt;"",kokpit!A815,"")</f>
        <v/>
      </c>
      <c r="B815" s="5" t="str">
        <f>IF(kokpit!B815&lt;&gt;"",kokpit!B815,"")</f>
        <v/>
      </c>
      <c r="C815" s="24" t="str">
        <f>IF(A815&lt;&gt;"",SUMIFS('JPK_KR-1'!AL:AL,'JPK_KR-1'!W:W,B815),"")</f>
        <v/>
      </c>
      <c r="D815" s="126" t="str">
        <f>IF(A815&lt;&gt;"",SUMIFS('JPK_KR-1'!AM:AM,'JPK_KR-1'!W:W,B815),"")</f>
        <v/>
      </c>
      <c r="E815" s="5" t="str">
        <f>IF(kokpit!E815&lt;&gt;"",kokpit!E815,"")</f>
        <v/>
      </c>
      <c r="F815" s="127" t="str">
        <f>IF(kokpit!F815&lt;&gt;"",kokpit!F815,"")</f>
        <v/>
      </c>
      <c r="G815" s="24" t="str">
        <f>IF(E815&lt;&gt;"",SUMIFS('JPK_KR-1'!AL:AL,'JPK_KR-1'!W:W,F815),"")</f>
        <v/>
      </c>
      <c r="H815" s="126" t="str">
        <f>IF(E815&lt;&gt;"",SUMIFS('JPK_KR-1'!AM:AM,'JPK_KR-1'!W:W,F815),"")</f>
        <v/>
      </c>
      <c r="I815" s="5" t="str">
        <f>IF(kokpit!I815&lt;&gt;"",kokpit!I815,"")</f>
        <v/>
      </c>
      <c r="J815" s="5" t="str">
        <f>IF(kokpit!J815&lt;&gt;"",kokpit!J815,"")</f>
        <v/>
      </c>
      <c r="K815" s="24" t="str">
        <f>IF(I815&lt;&gt;"",SUMIFS('JPK_KR-1'!AL:AL,'JPK_KR-1'!W:W,J815),"")</f>
        <v/>
      </c>
      <c r="L815" s="141" t="str">
        <f>IF(I815&lt;&gt;"",SUMIFS('JPK_KR-1'!AM:AM,'JPK_KR-1'!W:W,J815),"")</f>
        <v/>
      </c>
      <c r="M815" s="143" t="str">
        <f>IF(kokpit!M815&lt;&gt;"",kokpit!M815,"")</f>
        <v/>
      </c>
      <c r="N815" s="117" t="str">
        <f>IF(kokpit!N815&lt;&gt;"",kokpit!N815,"")</f>
        <v/>
      </c>
      <c r="O815" s="117" t="str">
        <f>IF(kokpit!O815&lt;&gt;"",kokpit!O815,"")</f>
        <v/>
      </c>
      <c r="P815" s="141" t="str">
        <f>IF(M815&lt;&gt;"",IF(O815="",SUMIFS('JPK_KR-1'!AL:AL,'JPK_KR-1'!W:W,N815),SUMIFS('JPK_KR-1'!BF:BF,'JPK_KR-1'!BE:BE,N815,'JPK_KR-1'!BG:BG,O815)),"")</f>
        <v/>
      </c>
      <c r="Q815" s="144" t="str">
        <f>IF(M815&lt;&gt;"",IF(O815="",SUMIFS('JPK_KR-1'!AM:AM,'JPK_KR-1'!W:W,N815),SUMIFS('JPK_KR-1'!BI:BI,'JPK_KR-1'!BH:BH,N815,'JPK_KR-1'!BJ:BJ,O815)),"")</f>
        <v/>
      </c>
      <c r="R815" s="117" t="str">
        <f>IF(kokpit!R815&lt;&gt;"",kokpit!R815,"")</f>
        <v/>
      </c>
      <c r="S815" s="117" t="str">
        <f>IF(kokpit!S815&lt;&gt;"",kokpit!S815,"")</f>
        <v/>
      </c>
      <c r="T815" s="117" t="str">
        <f>IF(kokpit!T815&lt;&gt;"",kokpit!T815,"")</f>
        <v/>
      </c>
      <c r="U815" s="141" t="str">
        <f>IF(R815&lt;&gt;"",SUMIFS('JPK_KR-1'!AL:AL,'JPK_KR-1'!W:W,S815),"")</f>
        <v/>
      </c>
      <c r="V815" s="144" t="str">
        <f>IF(R815&lt;&gt;"",SUMIFS('JPK_KR-1'!AM:AM,'JPK_KR-1'!W:W,S815),"")</f>
        <v/>
      </c>
    </row>
    <row r="816" spans="1:22" x14ac:dyDescent="0.3">
      <c r="A816" s="5" t="str">
        <f>IF(kokpit!A816&lt;&gt;"",kokpit!A816,"")</f>
        <v/>
      </c>
      <c r="B816" s="5" t="str">
        <f>IF(kokpit!B816&lt;&gt;"",kokpit!B816,"")</f>
        <v/>
      </c>
      <c r="C816" s="24" t="str">
        <f>IF(A816&lt;&gt;"",SUMIFS('JPK_KR-1'!AL:AL,'JPK_KR-1'!W:W,B816),"")</f>
        <v/>
      </c>
      <c r="D816" s="126" t="str">
        <f>IF(A816&lt;&gt;"",SUMIFS('JPK_KR-1'!AM:AM,'JPK_KR-1'!W:W,B816),"")</f>
        <v/>
      </c>
      <c r="E816" s="5" t="str">
        <f>IF(kokpit!E816&lt;&gt;"",kokpit!E816,"")</f>
        <v/>
      </c>
      <c r="F816" s="127" t="str">
        <f>IF(kokpit!F816&lt;&gt;"",kokpit!F816,"")</f>
        <v/>
      </c>
      <c r="G816" s="24" t="str">
        <f>IF(E816&lt;&gt;"",SUMIFS('JPK_KR-1'!AL:AL,'JPK_KR-1'!W:W,F816),"")</f>
        <v/>
      </c>
      <c r="H816" s="126" t="str">
        <f>IF(E816&lt;&gt;"",SUMIFS('JPK_KR-1'!AM:AM,'JPK_KR-1'!W:W,F816),"")</f>
        <v/>
      </c>
      <c r="I816" s="5" t="str">
        <f>IF(kokpit!I816&lt;&gt;"",kokpit!I816,"")</f>
        <v/>
      </c>
      <c r="J816" s="5" t="str">
        <f>IF(kokpit!J816&lt;&gt;"",kokpit!J816,"")</f>
        <v/>
      </c>
      <c r="K816" s="24" t="str">
        <f>IF(I816&lt;&gt;"",SUMIFS('JPK_KR-1'!AL:AL,'JPK_KR-1'!W:W,J816),"")</f>
        <v/>
      </c>
      <c r="L816" s="141" t="str">
        <f>IF(I816&lt;&gt;"",SUMIFS('JPK_KR-1'!AM:AM,'JPK_KR-1'!W:W,J816),"")</f>
        <v/>
      </c>
      <c r="M816" s="143" t="str">
        <f>IF(kokpit!M816&lt;&gt;"",kokpit!M816,"")</f>
        <v/>
      </c>
      <c r="N816" s="117" t="str">
        <f>IF(kokpit!N816&lt;&gt;"",kokpit!N816,"")</f>
        <v/>
      </c>
      <c r="O816" s="117" t="str">
        <f>IF(kokpit!O816&lt;&gt;"",kokpit!O816,"")</f>
        <v/>
      </c>
      <c r="P816" s="141" t="str">
        <f>IF(M816&lt;&gt;"",IF(O816="",SUMIFS('JPK_KR-1'!AL:AL,'JPK_KR-1'!W:W,N816),SUMIFS('JPK_KR-1'!BF:BF,'JPK_KR-1'!BE:BE,N816,'JPK_KR-1'!BG:BG,O816)),"")</f>
        <v/>
      </c>
      <c r="Q816" s="144" t="str">
        <f>IF(M816&lt;&gt;"",IF(O816="",SUMIFS('JPK_KR-1'!AM:AM,'JPK_KR-1'!W:W,N816),SUMIFS('JPK_KR-1'!BI:BI,'JPK_KR-1'!BH:BH,N816,'JPK_KR-1'!BJ:BJ,O816)),"")</f>
        <v/>
      </c>
      <c r="R816" s="117" t="str">
        <f>IF(kokpit!R816&lt;&gt;"",kokpit!R816,"")</f>
        <v/>
      </c>
      <c r="S816" s="117" t="str">
        <f>IF(kokpit!S816&lt;&gt;"",kokpit!S816,"")</f>
        <v/>
      </c>
      <c r="T816" s="117" t="str">
        <f>IF(kokpit!T816&lt;&gt;"",kokpit!T816,"")</f>
        <v/>
      </c>
      <c r="U816" s="141" t="str">
        <f>IF(R816&lt;&gt;"",SUMIFS('JPK_KR-1'!AL:AL,'JPK_KR-1'!W:W,S816),"")</f>
        <v/>
      </c>
      <c r="V816" s="144" t="str">
        <f>IF(R816&lt;&gt;"",SUMIFS('JPK_KR-1'!AM:AM,'JPK_KR-1'!W:W,S816),"")</f>
        <v/>
      </c>
    </row>
    <row r="817" spans="1:22" x14ac:dyDescent="0.3">
      <c r="A817" s="5" t="str">
        <f>IF(kokpit!A817&lt;&gt;"",kokpit!A817,"")</f>
        <v/>
      </c>
      <c r="B817" s="5" t="str">
        <f>IF(kokpit!B817&lt;&gt;"",kokpit!B817,"")</f>
        <v/>
      </c>
      <c r="C817" s="24" t="str">
        <f>IF(A817&lt;&gt;"",SUMIFS('JPK_KR-1'!AL:AL,'JPK_KR-1'!W:W,B817),"")</f>
        <v/>
      </c>
      <c r="D817" s="126" t="str">
        <f>IF(A817&lt;&gt;"",SUMIFS('JPK_KR-1'!AM:AM,'JPK_KR-1'!W:W,B817),"")</f>
        <v/>
      </c>
      <c r="E817" s="5" t="str">
        <f>IF(kokpit!E817&lt;&gt;"",kokpit!E817,"")</f>
        <v/>
      </c>
      <c r="F817" s="127" t="str">
        <f>IF(kokpit!F817&lt;&gt;"",kokpit!F817,"")</f>
        <v/>
      </c>
      <c r="G817" s="24" t="str">
        <f>IF(E817&lt;&gt;"",SUMIFS('JPK_KR-1'!AL:AL,'JPK_KR-1'!W:W,F817),"")</f>
        <v/>
      </c>
      <c r="H817" s="126" t="str">
        <f>IF(E817&lt;&gt;"",SUMIFS('JPK_KR-1'!AM:AM,'JPK_KR-1'!W:W,F817),"")</f>
        <v/>
      </c>
      <c r="I817" s="5" t="str">
        <f>IF(kokpit!I817&lt;&gt;"",kokpit!I817,"")</f>
        <v/>
      </c>
      <c r="J817" s="5" t="str">
        <f>IF(kokpit!J817&lt;&gt;"",kokpit!J817,"")</f>
        <v/>
      </c>
      <c r="K817" s="24" t="str">
        <f>IF(I817&lt;&gt;"",SUMIFS('JPK_KR-1'!AL:AL,'JPK_KR-1'!W:W,J817),"")</f>
        <v/>
      </c>
      <c r="L817" s="141" t="str">
        <f>IF(I817&lt;&gt;"",SUMIFS('JPK_KR-1'!AM:AM,'JPK_KR-1'!W:W,J817),"")</f>
        <v/>
      </c>
      <c r="M817" s="143" t="str">
        <f>IF(kokpit!M817&lt;&gt;"",kokpit!M817,"")</f>
        <v/>
      </c>
      <c r="N817" s="117" t="str">
        <f>IF(kokpit!N817&lt;&gt;"",kokpit!N817,"")</f>
        <v/>
      </c>
      <c r="O817" s="117" t="str">
        <f>IF(kokpit!O817&lt;&gt;"",kokpit!O817,"")</f>
        <v/>
      </c>
      <c r="P817" s="141" t="str">
        <f>IF(M817&lt;&gt;"",IF(O817="",SUMIFS('JPK_KR-1'!AL:AL,'JPK_KR-1'!W:W,N817),SUMIFS('JPK_KR-1'!BF:BF,'JPK_KR-1'!BE:BE,N817,'JPK_KR-1'!BG:BG,O817)),"")</f>
        <v/>
      </c>
      <c r="Q817" s="144" t="str">
        <f>IF(M817&lt;&gt;"",IF(O817="",SUMIFS('JPK_KR-1'!AM:AM,'JPK_KR-1'!W:W,N817),SUMIFS('JPK_KR-1'!BI:BI,'JPK_KR-1'!BH:BH,N817,'JPK_KR-1'!BJ:BJ,O817)),"")</f>
        <v/>
      </c>
      <c r="R817" s="117" t="str">
        <f>IF(kokpit!R817&lt;&gt;"",kokpit!R817,"")</f>
        <v/>
      </c>
      <c r="S817" s="117" t="str">
        <f>IF(kokpit!S817&lt;&gt;"",kokpit!S817,"")</f>
        <v/>
      </c>
      <c r="T817" s="117" t="str">
        <f>IF(kokpit!T817&lt;&gt;"",kokpit!T817,"")</f>
        <v/>
      </c>
      <c r="U817" s="141" t="str">
        <f>IF(R817&lt;&gt;"",SUMIFS('JPK_KR-1'!AL:AL,'JPK_KR-1'!W:W,S817),"")</f>
        <v/>
      </c>
      <c r="V817" s="144" t="str">
        <f>IF(R817&lt;&gt;"",SUMIFS('JPK_KR-1'!AM:AM,'JPK_KR-1'!W:W,S817),"")</f>
        <v/>
      </c>
    </row>
    <row r="818" spans="1:22" x14ac:dyDescent="0.3">
      <c r="A818" s="5" t="str">
        <f>IF(kokpit!A818&lt;&gt;"",kokpit!A818,"")</f>
        <v/>
      </c>
      <c r="B818" s="5" t="str">
        <f>IF(kokpit!B818&lt;&gt;"",kokpit!B818,"")</f>
        <v/>
      </c>
      <c r="C818" s="24" t="str">
        <f>IF(A818&lt;&gt;"",SUMIFS('JPK_KR-1'!AL:AL,'JPK_KR-1'!W:W,B818),"")</f>
        <v/>
      </c>
      <c r="D818" s="126" t="str">
        <f>IF(A818&lt;&gt;"",SUMIFS('JPK_KR-1'!AM:AM,'JPK_KR-1'!W:W,B818),"")</f>
        <v/>
      </c>
      <c r="E818" s="5" t="str">
        <f>IF(kokpit!E818&lt;&gt;"",kokpit!E818,"")</f>
        <v/>
      </c>
      <c r="F818" s="127" t="str">
        <f>IF(kokpit!F818&lt;&gt;"",kokpit!F818,"")</f>
        <v/>
      </c>
      <c r="G818" s="24" t="str">
        <f>IF(E818&lt;&gt;"",SUMIFS('JPK_KR-1'!AL:AL,'JPK_KR-1'!W:W,F818),"")</f>
        <v/>
      </c>
      <c r="H818" s="126" t="str">
        <f>IF(E818&lt;&gt;"",SUMIFS('JPK_KR-1'!AM:AM,'JPK_KR-1'!W:W,F818),"")</f>
        <v/>
      </c>
      <c r="I818" s="5" t="str">
        <f>IF(kokpit!I818&lt;&gt;"",kokpit!I818,"")</f>
        <v/>
      </c>
      <c r="J818" s="5" t="str">
        <f>IF(kokpit!J818&lt;&gt;"",kokpit!J818,"")</f>
        <v/>
      </c>
      <c r="K818" s="24" t="str">
        <f>IF(I818&lt;&gt;"",SUMIFS('JPK_KR-1'!AL:AL,'JPK_KR-1'!W:W,J818),"")</f>
        <v/>
      </c>
      <c r="L818" s="141" t="str">
        <f>IF(I818&lt;&gt;"",SUMIFS('JPK_KR-1'!AM:AM,'JPK_KR-1'!W:W,J818),"")</f>
        <v/>
      </c>
      <c r="M818" s="143" t="str">
        <f>IF(kokpit!M818&lt;&gt;"",kokpit!M818,"")</f>
        <v/>
      </c>
      <c r="N818" s="117" t="str">
        <f>IF(kokpit!N818&lt;&gt;"",kokpit!N818,"")</f>
        <v/>
      </c>
      <c r="O818" s="117" t="str">
        <f>IF(kokpit!O818&lt;&gt;"",kokpit!O818,"")</f>
        <v/>
      </c>
      <c r="P818" s="141" t="str">
        <f>IF(M818&lt;&gt;"",IF(O818="",SUMIFS('JPK_KR-1'!AL:AL,'JPK_KR-1'!W:W,N818),SUMIFS('JPK_KR-1'!BF:BF,'JPK_KR-1'!BE:BE,N818,'JPK_KR-1'!BG:BG,O818)),"")</f>
        <v/>
      </c>
      <c r="Q818" s="144" t="str">
        <f>IF(M818&lt;&gt;"",IF(O818="",SUMIFS('JPK_KR-1'!AM:AM,'JPK_KR-1'!W:W,N818),SUMIFS('JPK_KR-1'!BI:BI,'JPK_KR-1'!BH:BH,N818,'JPK_KR-1'!BJ:BJ,O818)),"")</f>
        <v/>
      </c>
      <c r="R818" s="117" t="str">
        <f>IF(kokpit!R818&lt;&gt;"",kokpit!R818,"")</f>
        <v/>
      </c>
      <c r="S818" s="117" t="str">
        <f>IF(kokpit!S818&lt;&gt;"",kokpit!S818,"")</f>
        <v/>
      </c>
      <c r="T818" s="117" t="str">
        <f>IF(kokpit!T818&lt;&gt;"",kokpit!T818,"")</f>
        <v/>
      </c>
      <c r="U818" s="141" t="str">
        <f>IF(R818&lt;&gt;"",SUMIFS('JPK_KR-1'!AL:AL,'JPK_KR-1'!W:W,S818),"")</f>
        <v/>
      </c>
      <c r="V818" s="144" t="str">
        <f>IF(R818&lt;&gt;"",SUMIFS('JPK_KR-1'!AM:AM,'JPK_KR-1'!W:W,S818),"")</f>
        <v/>
      </c>
    </row>
    <row r="819" spans="1:22" x14ac:dyDescent="0.3">
      <c r="A819" s="5" t="str">
        <f>IF(kokpit!A819&lt;&gt;"",kokpit!A819,"")</f>
        <v/>
      </c>
      <c r="B819" s="5" t="str">
        <f>IF(kokpit!B819&lt;&gt;"",kokpit!B819,"")</f>
        <v/>
      </c>
      <c r="C819" s="24" t="str">
        <f>IF(A819&lt;&gt;"",SUMIFS('JPK_KR-1'!AL:AL,'JPK_KR-1'!W:W,B819),"")</f>
        <v/>
      </c>
      <c r="D819" s="126" t="str">
        <f>IF(A819&lt;&gt;"",SUMIFS('JPK_KR-1'!AM:AM,'JPK_KR-1'!W:W,B819),"")</f>
        <v/>
      </c>
      <c r="E819" s="5" t="str">
        <f>IF(kokpit!E819&lt;&gt;"",kokpit!E819,"")</f>
        <v/>
      </c>
      <c r="F819" s="127" t="str">
        <f>IF(kokpit!F819&lt;&gt;"",kokpit!F819,"")</f>
        <v/>
      </c>
      <c r="G819" s="24" t="str">
        <f>IF(E819&lt;&gt;"",SUMIFS('JPK_KR-1'!AL:AL,'JPK_KR-1'!W:W,F819),"")</f>
        <v/>
      </c>
      <c r="H819" s="126" t="str">
        <f>IF(E819&lt;&gt;"",SUMIFS('JPK_KR-1'!AM:AM,'JPK_KR-1'!W:W,F819),"")</f>
        <v/>
      </c>
      <c r="I819" s="5" t="str">
        <f>IF(kokpit!I819&lt;&gt;"",kokpit!I819,"")</f>
        <v/>
      </c>
      <c r="J819" s="5" t="str">
        <f>IF(kokpit!J819&lt;&gt;"",kokpit!J819,"")</f>
        <v/>
      </c>
      <c r="K819" s="24" t="str">
        <f>IF(I819&lt;&gt;"",SUMIFS('JPK_KR-1'!AL:AL,'JPK_KR-1'!W:W,J819),"")</f>
        <v/>
      </c>
      <c r="L819" s="141" t="str">
        <f>IF(I819&lt;&gt;"",SUMIFS('JPK_KR-1'!AM:AM,'JPK_KR-1'!W:W,J819),"")</f>
        <v/>
      </c>
      <c r="M819" s="143" t="str">
        <f>IF(kokpit!M819&lt;&gt;"",kokpit!M819,"")</f>
        <v/>
      </c>
      <c r="N819" s="117" t="str">
        <f>IF(kokpit!N819&lt;&gt;"",kokpit!N819,"")</f>
        <v/>
      </c>
      <c r="O819" s="117" t="str">
        <f>IF(kokpit!O819&lt;&gt;"",kokpit!O819,"")</f>
        <v/>
      </c>
      <c r="P819" s="141" t="str">
        <f>IF(M819&lt;&gt;"",IF(O819="",SUMIFS('JPK_KR-1'!AL:AL,'JPK_KR-1'!W:W,N819),SUMIFS('JPK_KR-1'!BF:BF,'JPK_KR-1'!BE:BE,N819,'JPK_KR-1'!BG:BG,O819)),"")</f>
        <v/>
      </c>
      <c r="Q819" s="144" t="str">
        <f>IF(M819&lt;&gt;"",IF(O819="",SUMIFS('JPK_KR-1'!AM:AM,'JPK_KR-1'!W:W,N819),SUMIFS('JPK_KR-1'!BI:BI,'JPK_KR-1'!BH:BH,N819,'JPK_KR-1'!BJ:BJ,O819)),"")</f>
        <v/>
      </c>
      <c r="R819" s="117" t="str">
        <f>IF(kokpit!R819&lt;&gt;"",kokpit!R819,"")</f>
        <v/>
      </c>
      <c r="S819" s="117" t="str">
        <f>IF(kokpit!S819&lt;&gt;"",kokpit!S819,"")</f>
        <v/>
      </c>
      <c r="T819" s="117" t="str">
        <f>IF(kokpit!T819&lt;&gt;"",kokpit!T819,"")</f>
        <v/>
      </c>
      <c r="U819" s="141" t="str">
        <f>IF(R819&lt;&gt;"",SUMIFS('JPK_KR-1'!AL:AL,'JPK_KR-1'!W:W,S819),"")</f>
        <v/>
      </c>
      <c r="V819" s="144" t="str">
        <f>IF(R819&lt;&gt;"",SUMIFS('JPK_KR-1'!AM:AM,'JPK_KR-1'!W:W,S819),"")</f>
        <v/>
      </c>
    </row>
    <row r="820" spans="1:22" x14ac:dyDescent="0.3">
      <c r="A820" s="5" t="str">
        <f>IF(kokpit!A820&lt;&gt;"",kokpit!A820,"")</f>
        <v/>
      </c>
      <c r="B820" s="5" t="str">
        <f>IF(kokpit!B820&lt;&gt;"",kokpit!B820,"")</f>
        <v/>
      </c>
      <c r="C820" s="24" t="str">
        <f>IF(A820&lt;&gt;"",SUMIFS('JPK_KR-1'!AL:AL,'JPK_KR-1'!W:W,B820),"")</f>
        <v/>
      </c>
      <c r="D820" s="126" t="str">
        <f>IF(A820&lt;&gt;"",SUMIFS('JPK_KR-1'!AM:AM,'JPK_KR-1'!W:W,B820),"")</f>
        <v/>
      </c>
      <c r="E820" s="5" t="str">
        <f>IF(kokpit!E820&lt;&gt;"",kokpit!E820,"")</f>
        <v/>
      </c>
      <c r="F820" s="127" t="str">
        <f>IF(kokpit!F820&lt;&gt;"",kokpit!F820,"")</f>
        <v/>
      </c>
      <c r="G820" s="24" t="str">
        <f>IF(E820&lt;&gt;"",SUMIFS('JPK_KR-1'!AL:AL,'JPK_KR-1'!W:W,F820),"")</f>
        <v/>
      </c>
      <c r="H820" s="126" t="str">
        <f>IF(E820&lt;&gt;"",SUMIFS('JPK_KR-1'!AM:AM,'JPK_KR-1'!W:W,F820),"")</f>
        <v/>
      </c>
      <c r="I820" s="5" t="str">
        <f>IF(kokpit!I820&lt;&gt;"",kokpit!I820,"")</f>
        <v/>
      </c>
      <c r="J820" s="5" t="str">
        <f>IF(kokpit!J820&lt;&gt;"",kokpit!J820,"")</f>
        <v/>
      </c>
      <c r="K820" s="24" t="str">
        <f>IF(I820&lt;&gt;"",SUMIFS('JPK_KR-1'!AL:AL,'JPK_KR-1'!W:W,J820),"")</f>
        <v/>
      </c>
      <c r="L820" s="141" t="str">
        <f>IF(I820&lt;&gt;"",SUMIFS('JPK_KR-1'!AM:AM,'JPK_KR-1'!W:W,J820),"")</f>
        <v/>
      </c>
      <c r="M820" s="143" t="str">
        <f>IF(kokpit!M820&lt;&gt;"",kokpit!M820,"")</f>
        <v/>
      </c>
      <c r="N820" s="117" t="str">
        <f>IF(kokpit!N820&lt;&gt;"",kokpit!N820,"")</f>
        <v/>
      </c>
      <c r="O820" s="117" t="str">
        <f>IF(kokpit!O820&lt;&gt;"",kokpit!O820,"")</f>
        <v/>
      </c>
      <c r="P820" s="141" t="str">
        <f>IF(M820&lt;&gt;"",IF(O820="",SUMIFS('JPK_KR-1'!AL:AL,'JPK_KR-1'!W:W,N820),SUMIFS('JPK_KR-1'!BF:BF,'JPK_KR-1'!BE:BE,N820,'JPK_KR-1'!BG:BG,O820)),"")</f>
        <v/>
      </c>
      <c r="Q820" s="144" t="str">
        <f>IF(M820&lt;&gt;"",IF(O820="",SUMIFS('JPK_KR-1'!AM:AM,'JPK_KR-1'!W:W,N820),SUMIFS('JPK_KR-1'!BI:BI,'JPK_KR-1'!BH:BH,N820,'JPK_KR-1'!BJ:BJ,O820)),"")</f>
        <v/>
      </c>
      <c r="R820" s="117" t="str">
        <f>IF(kokpit!R820&lt;&gt;"",kokpit!R820,"")</f>
        <v/>
      </c>
      <c r="S820" s="117" t="str">
        <f>IF(kokpit!S820&lt;&gt;"",kokpit!S820,"")</f>
        <v/>
      </c>
      <c r="T820" s="117" t="str">
        <f>IF(kokpit!T820&lt;&gt;"",kokpit!T820,"")</f>
        <v/>
      </c>
      <c r="U820" s="141" t="str">
        <f>IF(R820&lt;&gt;"",SUMIFS('JPK_KR-1'!AL:AL,'JPK_KR-1'!W:W,S820),"")</f>
        <v/>
      </c>
      <c r="V820" s="144" t="str">
        <f>IF(R820&lt;&gt;"",SUMIFS('JPK_KR-1'!AM:AM,'JPK_KR-1'!W:W,S820),"")</f>
        <v/>
      </c>
    </row>
    <row r="821" spans="1:22" x14ac:dyDescent="0.3">
      <c r="A821" s="5" t="str">
        <f>IF(kokpit!A821&lt;&gt;"",kokpit!A821,"")</f>
        <v/>
      </c>
      <c r="B821" s="5" t="str">
        <f>IF(kokpit!B821&lt;&gt;"",kokpit!B821,"")</f>
        <v/>
      </c>
      <c r="C821" s="24" t="str">
        <f>IF(A821&lt;&gt;"",SUMIFS('JPK_KR-1'!AL:AL,'JPK_KR-1'!W:W,B821),"")</f>
        <v/>
      </c>
      <c r="D821" s="126" t="str">
        <f>IF(A821&lt;&gt;"",SUMIFS('JPK_KR-1'!AM:AM,'JPK_KR-1'!W:W,B821),"")</f>
        <v/>
      </c>
      <c r="E821" s="5" t="str">
        <f>IF(kokpit!E821&lt;&gt;"",kokpit!E821,"")</f>
        <v/>
      </c>
      <c r="F821" s="127" t="str">
        <f>IF(kokpit!F821&lt;&gt;"",kokpit!F821,"")</f>
        <v/>
      </c>
      <c r="G821" s="24" t="str">
        <f>IF(E821&lt;&gt;"",SUMIFS('JPK_KR-1'!AL:AL,'JPK_KR-1'!W:W,F821),"")</f>
        <v/>
      </c>
      <c r="H821" s="126" t="str">
        <f>IF(E821&lt;&gt;"",SUMIFS('JPK_KR-1'!AM:AM,'JPK_KR-1'!W:W,F821),"")</f>
        <v/>
      </c>
      <c r="I821" s="5" t="str">
        <f>IF(kokpit!I821&lt;&gt;"",kokpit!I821,"")</f>
        <v/>
      </c>
      <c r="J821" s="5" t="str">
        <f>IF(kokpit!J821&lt;&gt;"",kokpit!J821,"")</f>
        <v/>
      </c>
      <c r="K821" s="24" t="str">
        <f>IF(I821&lt;&gt;"",SUMIFS('JPK_KR-1'!AL:AL,'JPK_KR-1'!W:W,J821),"")</f>
        <v/>
      </c>
      <c r="L821" s="141" t="str">
        <f>IF(I821&lt;&gt;"",SUMIFS('JPK_KR-1'!AM:AM,'JPK_KR-1'!W:W,J821),"")</f>
        <v/>
      </c>
      <c r="M821" s="143" t="str">
        <f>IF(kokpit!M821&lt;&gt;"",kokpit!M821,"")</f>
        <v/>
      </c>
      <c r="N821" s="117" t="str">
        <f>IF(kokpit!N821&lt;&gt;"",kokpit!N821,"")</f>
        <v/>
      </c>
      <c r="O821" s="117" t="str">
        <f>IF(kokpit!O821&lt;&gt;"",kokpit!O821,"")</f>
        <v/>
      </c>
      <c r="P821" s="141" t="str">
        <f>IF(M821&lt;&gt;"",IF(O821="",SUMIFS('JPK_KR-1'!AL:AL,'JPK_KR-1'!W:W,N821),SUMIFS('JPK_KR-1'!BF:BF,'JPK_KR-1'!BE:BE,N821,'JPK_KR-1'!BG:BG,O821)),"")</f>
        <v/>
      </c>
      <c r="Q821" s="144" t="str">
        <f>IF(M821&lt;&gt;"",IF(O821="",SUMIFS('JPK_KR-1'!AM:AM,'JPK_KR-1'!W:W,N821),SUMIFS('JPK_KR-1'!BI:BI,'JPK_KR-1'!BH:BH,N821,'JPK_KR-1'!BJ:BJ,O821)),"")</f>
        <v/>
      </c>
      <c r="R821" s="117" t="str">
        <f>IF(kokpit!R821&lt;&gt;"",kokpit!R821,"")</f>
        <v/>
      </c>
      <c r="S821" s="117" t="str">
        <f>IF(kokpit!S821&lt;&gt;"",kokpit!S821,"")</f>
        <v/>
      </c>
      <c r="T821" s="117" t="str">
        <f>IF(kokpit!T821&lt;&gt;"",kokpit!T821,"")</f>
        <v/>
      </c>
      <c r="U821" s="141" t="str">
        <f>IF(R821&lt;&gt;"",SUMIFS('JPK_KR-1'!AL:AL,'JPK_KR-1'!W:W,S821),"")</f>
        <v/>
      </c>
      <c r="V821" s="144" t="str">
        <f>IF(R821&lt;&gt;"",SUMIFS('JPK_KR-1'!AM:AM,'JPK_KR-1'!W:W,S821),"")</f>
        <v/>
      </c>
    </row>
    <row r="822" spans="1:22" x14ac:dyDescent="0.3">
      <c r="A822" s="5" t="str">
        <f>IF(kokpit!A822&lt;&gt;"",kokpit!A822,"")</f>
        <v/>
      </c>
      <c r="B822" s="5" t="str">
        <f>IF(kokpit!B822&lt;&gt;"",kokpit!B822,"")</f>
        <v/>
      </c>
      <c r="C822" s="24" t="str">
        <f>IF(A822&lt;&gt;"",SUMIFS('JPK_KR-1'!AL:AL,'JPK_KR-1'!W:W,B822),"")</f>
        <v/>
      </c>
      <c r="D822" s="126" t="str">
        <f>IF(A822&lt;&gt;"",SUMIFS('JPK_KR-1'!AM:AM,'JPK_KR-1'!W:W,B822),"")</f>
        <v/>
      </c>
      <c r="E822" s="5" t="str">
        <f>IF(kokpit!E822&lt;&gt;"",kokpit!E822,"")</f>
        <v/>
      </c>
      <c r="F822" s="127" t="str">
        <f>IF(kokpit!F822&lt;&gt;"",kokpit!F822,"")</f>
        <v/>
      </c>
      <c r="G822" s="24" t="str">
        <f>IF(E822&lt;&gt;"",SUMIFS('JPK_KR-1'!AL:AL,'JPK_KR-1'!W:W,F822),"")</f>
        <v/>
      </c>
      <c r="H822" s="126" t="str">
        <f>IF(E822&lt;&gt;"",SUMIFS('JPK_KR-1'!AM:AM,'JPK_KR-1'!W:W,F822),"")</f>
        <v/>
      </c>
      <c r="I822" s="5" t="str">
        <f>IF(kokpit!I822&lt;&gt;"",kokpit!I822,"")</f>
        <v/>
      </c>
      <c r="J822" s="5" t="str">
        <f>IF(kokpit!J822&lt;&gt;"",kokpit!J822,"")</f>
        <v/>
      </c>
      <c r="K822" s="24" t="str">
        <f>IF(I822&lt;&gt;"",SUMIFS('JPK_KR-1'!AL:AL,'JPK_KR-1'!W:W,J822),"")</f>
        <v/>
      </c>
      <c r="L822" s="141" t="str">
        <f>IF(I822&lt;&gt;"",SUMIFS('JPK_KR-1'!AM:AM,'JPK_KR-1'!W:W,J822),"")</f>
        <v/>
      </c>
      <c r="M822" s="143" t="str">
        <f>IF(kokpit!M822&lt;&gt;"",kokpit!M822,"")</f>
        <v/>
      </c>
      <c r="N822" s="117" t="str">
        <f>IF(kokpit!N822&lt;&gt;"",kokpit!N822,"")</f>
        <v/>
      </c>
      <c r="O822" s="117" t="str">
        <f>IF(kokpit!O822&lt;&gt;"",kokpit!O822,"")</f>
        <v/>
      </c>
      <c r="P822" s="141" t="str">
        <f>IF(M822&lt;&gt;"",IF(O822="",SUMIFS('JPK_KR-1'!AL:AL,'JPK_KR-1'!W:W,N822),SUMIFS('JPK_KR-1'!BF:BF,'JPK_KR-1'!BE:BE,N822,'JPK_KR-1'!BG:BG,O822)),"")</f>
        <v/>
      </c>
      <c r="Q822" s="144" t="str">
        <f>IF(M822&lt;&gt;"",IF(O822="",SUMIFS('JPK_KR-1'!AM:AM,'JPK_KR-1'!W:W,N822),SUMIFS('JPK_KR-1'!BI:BI,'JPK_KR-1'!BH:BH,N822,'JPK_KR-1'!BJ:BJ,O822)),"")</f>
        <v/>
      </c>
      <c r="R822" s="117" t="str">
        <f>IF(kokpit!R822&lt;&gt;"",kokpit!R822,"")</f>
        <v/>
      </c>
      <c r="S822" s="117" t="str">
        <f>IF(kokpit!S822&lt;&gt;"",kokpit!S822,"")</f>
        <v/>
      </c>
      <c r="T822" s="117" t="str">
        <f>IF(kokpit!T822&lt;&gt;"",kokpit!T822,"")</f>
        <v/>
      </c>
      <c r="U822" s="141" t="str">
        <f>IF(R822&lt;&gt;"",SUMIFS('JPK_KR-1'!AL:AL,'JPK_KR-1'!W:W,S822),"")</f>
        <v/>
      </c>
      <c r="V822" s="144" t="str">
        <f>IF(R822&lt;&gt;"",SUMIFS('JPK_KR-1'!AM:AM,'JPK_KR-1'!W:W,S822),"")</f>
        <v/>
      </c>
    </row>
    <row r="823" spans="1:22" x14ac:dyDescent="0.3">
      <c r="A823" s="5" t="str">
        <f>IF(kokpit!A823&lt;&gt;"",kokpit!A823,"")</f>
        <v/>
      </c>
      <c r="B823" s="5" t="str">
        <f>IF(kokpit!B823&lt;&gt;"",kokpit!B823,"")</f>
        <v/>
      </c>
      <c r="C823" s="24" t="str">
        <f>IF(A823&lt;&gt;"",SUMIFS('JPK_KR-1'!AL:AL,'JPK_KR-1'!W:W,B823),"")</f>
        <v/>
      </c>
      <c r="D823" s="126" t="str">
        <f>IF(A823&lt;&gt;"",SUMIFS('JPK_KR-1'!AM:AM,'JPK_KR-1'!W:W,B823),"")</f>
        <v/>
      </c>
      <c r="E823" s="5" t="str">
        <f>IF(kokpit!E823&lt;&gt;"",kokpit!E823,"")</f>
        <v/>
      </c>
      <c r="F823" s="127" t="str">
        <f>IF(kokpit!F823&lt;&gt;"",kokpit!F823,"")</f>
        <v/>
      </c>
      <c r="G823" s="24" t="str">
        <f>IF(E823&lt;&gt;"",SUMIFS('JPK_KR-1'!AL:AL,'JPK_KR-1'!W:W,F823),"")</f>
        <v/>
      </c>
      <c r="H823" s="126" t="str">
        <f>IF(E823&lt;&gt;"",SUMIFS('JPK_KR-1'!AM:AM,'JPK_KR-1'!W:W,F823),"")</f>
        <v/>
      </c>
      <c r="I823" s="5" t="str">
        <f>IF(kokpit!I823&lt;&gt;"",kokpit!I823,"")</f>
        <v/>
      </c>
      <c r="J823" s="5" t="str">
        <f>IF(kokpit!J823&lt;&gt;"",kokpit!J823,"")</f>
        <v/>
      </c>
      <c r="K823" s="24" t="str">
        <f>IF(I823&lt;&gt;"",SUMIFS('JPK_KR-1'!AL:AL,'JPK_KR-1'!W:W,J823),"")</f>
        <v/>
      </c>
      <c r="L823" s="141" t="str">
        <f>IF(I823&lt;&gt;"",SUMIFS('JPK_KR-1'!AM:AM,'JPK_KR-1'!W:W,J823),"")</f>
        <v/>
      </c>
      <c r="M823" s="143" t="str">
        <f>IF(kokpit!M823&lt;&gt;"",kokpit!M823,"")</f>
        <v/>
      </c>
      <c r="N823" s="117" t="str">
        <f>IF(kokpit!N823&lt;&gt;"",kokpit!N823,"")</f>
        <v/>
      </c>
      <c r="O823" s="117" t="str">
        <f>IF(kokpit!O823&lt;&gt;"",kokpit!O823,"")</f>
        <v/>
      </c>
      <c r="P823" s="141" t="str">
        <f>IF(M823&lt;&gt;"",IF(O823="",SUMIFS('JPK_KR-1'!AL:AL,'JPK_KR-1'!W:W,N823),SUMIFS('JPK_KR-1'!BF:BF,'JPK_KR-1'!BE:BE,N823,'JPK_KR-1'!BG:BG,O823)),"")</f>
        <v/>
      </c>
      <c r="Q823" s="144" t="str">
        <f>IF(M823&lt;&gt;"",IF(O823="",SUMIFS('JPK_KR-1'!AM:AM,'JPK_KR-1'!W:W,N823),SUMIFS('JPK_KR-1'!BI:BI,'JPK_KR-1'!BH:BH,N823,'JPK_KR-1'!BJ:BJ,O823)),"")</f>
        <v/>
      </c>
      <c r="R823" s="117" t="str">
        <f>IF(kokpit!R823&lt;&gt;"",kokpit!R823,"")</f>
        <v/>
      </c>
      <c r="S823" s="117" t="str">
        <f>IF(kokpit!S823&lt;&gt;"",kokpit!S823,"")</f>
        <v/>
      </c>
      <c r="T823" s="117" t="str">
        <f>IF(kokpit!T823&lt;&gt;"",kokpit!T823,"")</f>
        <v/>
      </c>
      <c r="U823" s="141" t="str">
        <f>IF(R823&lt;&gt;"",SUMIFS('JPK_KR-1'!AL:AL,'JPK_KR-1'!W:W,S823),"")</f>
        <v/>
      </c>
      <c r="V823" s="144" t="str">
        <f>IF(R823&lt;&gt;"",SUMIFS('JPK_KR-1'!AM:AM,'JPK_KR-1'!W:W,S823),"")</f>
        <v/>
      </c>
    </row>
    <row r="824" spans="1:22" x14ac:dyDescent="0.3">
      <c r="A824" s="5" t="str">
        <f>IF(kokpit!A824&lt;&gt;"",kokpit!A824,"")</f>
        <v/>
      </c>
      <c r="B824" s="5" t="str">
        <f>IF(kokpit!B824&lt;&gt;"",kokpit!B824,"")</f>
        <v/>
      </c>
      <c r="C824" s="24" t="str">
        <f>IF(A824&lt;&gt;"",SUMIFS('JPK_KR-1'!AL:AL,'JPK_KR-1'!W:W,B824),"")</f>
        <v/>
      </c>
      <c r="D824" s="126" t="str">
        <f>IF(A824&lt;&gt;"",SUMIFS('JPK_KR-1'!AM:AM,'JPK_KR-1'!W:W,B824),"")</f>
        <v/>
      </c>
      <c r="E824" s="5" t="str">
        <f>IF(kokpit!E824&lt;&gt;"",kokpit!E824,"")</f>
        <v/>
      </c>
      <c r="F824" s="127" t="str">
        <f>IF(kokpit!F824&lt;&gt;"",kokpit!F824,"")</f>
        <v/>
      </c>
      <c r="G824" s="24" t="str">
        <f>IF(E824&lt;&gt;"",SUMIFS('JPK_KR-1'!AL:AL,'JPK_KR-1'!W:W,F824),"")</f>
        <v/>
      </c>
      <c r="H824" s="126" t="str">
        <f>IF(E824&lt;&gt;"",SUMIFS('JPK_KR-1'!AM:AM,'JPK_KR-1'!W:W,F824),"")</f>
        <v/>
      </c>
      <c r="I824" s="5" t="str">
        <f>IF(kokpit!I824&lt;&gt;"",kokpit!I824,"")</f>
        <v/>
      </c>
      <c r="J824" s="5" t="str">
        <f>IF(kokpit!J824&lt;&gt;"",kokpit!J824,"")</f>
        <v/>
      </c>
      <c r="K824" s="24" t="str">
        <f>IF(I824&lt;&gt;"",SUMIFS('JPK_KR-1'!AL:AL,'JPK_KR-1'!W:W,J824),"")</f>
        <v/>
      </c>
      <c r="L824" s="141" t="str">
        <f>IF(I824&lt;&gt;"",SUMIFS('JPK_KR-1'!AM:AM,'JPK_KR-1'!W:W,J824),"")</f>
        <v/>
      </c>
      <c r="M824" s="143" t="str">
        <f>IF(kokpit!M824&lt;&gt;"",kokpit!M824,"")</f>
        <v/>
      </c>
      <c r="N824" s="117" t="str">
        <f>IF(kokpit!N824&lt;&gt;"",kokpit!N824,"")</f>
        <v/>
      </c>
      <c r="O824" s="117" t="str">
        <f>IF(kokpit!O824&lt;&gt;"",kokpit!O824,"")</f>
        <v/>
      </c>
      <c r="P824" s="141" t="str">
        <f>IF(M824&lt;&gt;"",IF(O824="",SUMIFS('JPK_KR-1'!AL:AL,'JPK_KR-1'!W:W,N824),SUMIFS('JPK_KR-1'!BF:BF,'JPK_KR-1'!BE:BE,N824,'JPK_KR-1'!BG:BG,O824)),"")</f>
        <v/>
      </c>
      <c r="Q824" s="144" t="str">
        <f>IF(M824&lt;&gt;"",IF(O824="",SUMIFS('JPK_KR-1'!AM:AM,'JPK_KR-1'!W:W,N824),SUMIFS('JPK_KR-1'!BI:BI,'JPK_KR-1'!BH:BH,N824,'JPK_KR-1'!BJ:BJ,O824)),"")</f>
        <v/>
      </c>
      <c r="R824" s="117" t="str">
        <f>IF(kokpit!R824&lt;&gt;"",kokpit!R824,"")</f>
        <v/>
      </c>
      <c r="S824" s="117" t="str">
        <f>IF(kokpit!S824&lt;&gt;"",kokpit!S824,"")</f>
        <v/>
      </c>
      <c r="T824" s="117" t="str">
        <f>IF(kokpit!T824&lt;&gt;"",kokpit!T824,"")</f>
        <v/>
      </c>
      <c r="U824" s="141" t="str">
        <f>IF(R824&lt;&gt;"",SUMIFS('JPK_KR-1'!AL:AL,'JPK_KR-1'!W:W,S824),"")</f>
        <v/>
      </c>
      <c r="V824" s="144" t="str">
        <f>IF(R824&lt;&gt;"",SUMIFS('JPK_KR-1'!AM:AM,'JPK_KR-1'!W:W,S824),"")</f>
        <v/>
      </c>
    </row>
    <row r="825" spans="1:22" x14ac:dyDescent="0.3">
      <c r="A825" s="5" t="str">
        <f>IF(kokpit!A825&lt;&gt;"",kokpit!A825,"")</f>
        <v/>
      </c>
      <c r="B825" s="5" t="str">
        <f>IF(kokpit!B825&lt;&gt;"",kokpit!B825,"")</f>
        <v/>
      </c>
      <c r="C825" s="24" t="str">
        <f>IF(A825&lt;&gt;"",SUMIFS('JPK_KR-1'!AL:AL,'JPK_KR-1'!W:W,B825),"")</f>
        <v/>
      </c>
      <c r="D825" s="126" t="str">
        <f>IF(A825&lt;&gt;"",SUMIFS('JPK_KR-1'!AM:AM,'JPK_KR-1'!W:W,B825),"")</f>
        <v/>
      </c>
      <c r="E825" s="5" t="str">
        <f>IF(kokpit!E825&lt;&gt;"",kokpit!E825,"")</f>
        <v/>
      </c>
      <c r="F825" s="127" t="str">
        <f>IF(kokpit!F825&lt;&gt;"",kokpit!F825,"")</f>
        <v/>
      </c>
      <c r="G825" s="24" t="str">
        <f>IF(E825&lt;&gt;"",SUMIFS('JPK_KR-1'!AL:AL,'JPK_KR-1'!W:W,F825),"")</f>
        <v/>
      </c>
      <c r="H825" s="126" t="str">
        <f>IF(E825&lt;&gt;"",SUMIFS('JPK_KR-1'!AM:AM,'JPK_KR-1'!W:W,F825),"")</f>
        <v/>
      </c>
      <c r="I825" s="5" t="str">
        <f>IF(kokpit!I825&lt;&gt;"",kokpit!I825,"")</f>
        <v/>
      </c>
      <c r="J825" s="5" t="str">
        <f>IF(kokpit!J825&lt;&gt;"",kokpit!J825,"")</f>
        <v/>
      </c>
      <c r="K825" s="24" t="str">
        <f>IF(I825&lt;&gt;"",SUMIFS('JPK_KR-1'!AL:AL,'JPK_KR-1'!W:W,J825),"")</f>
        <v/>
      </c>
      <c r="L825" s="141" t="str">
        <f>IF(I825&lt;&gt;"",SUMIFS('JPK_KR-1'!AM:AM,'JPK_KR-1'!W:W,J825),"")</f>
        <v/>
      </c>
      <c r="M825" s="143" t="str">
        <f>IF(kokpit!M825&lt;&gt;"",kokpit!M825,"")</f>
        <v/>
      </c>
      <c r="N825" s="117" t="str">
        <f>IF(kokpit!N825&lt;&gt;"",kokpit!N825,"")</f>
        <v/>
      </c>
      <c r="O825" s="117" t="str">
        <f>IF(kokpit!O825&lt;&gt;"",kokpit!O825,"")</f>
        <v/>
      </c>
      <c r="P825" s="141" t="str">
        <f>IF(M825&lt;&gt;"",IF(O825="",SUMIFS('JPK_KR-1'!AL:AL,'JPK_KR-1'!W:W,N825),SUMIFS('JPK_KR-1'!BF:BF,'JPK_KR-1'!BE:BE,N825,'JPK_KR-1'!BG:BG,O825)),"")</f>
        <v/>
      </c>
      <c r="Q825" s="144" t="str">
        <f>IF(M825&lt;&gt;"",IF(O825="",SUMIFS('JPK_KR-1'!AM:AM,'JPK_KR-1'!W:W,N825),SUMIFS('JPK_KR-1'!BI:BI,'JPK_KR-1'!BH:BH,N825,'JPK_KR-1'!BJ:BJ,O825)),"")</f>
        <v/>
      </c>
      <c r="R825" s="117" t="str">
        <f>IF(kokpit!R825&lt;&gt;"",kokpit!R825,"")</f>
        <v/>
      </c>
      <c r="S825" s="117" t="str">
        <f>IF(kokpit!S825&lt;&gt;"",kokpit!S825,"")</f>
        <v/>
      </c>
      <c r="T825" s="117" t="str">
        <f>IF(kokpit!T825&lt;&gt;"",kokpit!T825,"")</f>
        <v/>
      </c>
      <c r="U825" s="141" t="str">
        <f>IF(R825&lt;&gt;"",SUMIFS('JPK_KR-1'!AL:AL,'JPK_KR-1'!W:W,S825),"")</f>
        <v/>
      </c>
      <c r="V825" s="144" t="str">
        <f>IF(R825&lt;&gt;"",SUMIFS('JPK_KR-1'!AM:AM,'JPK_KR-1'!W:W,S825),"")</f>
        <v/>
      </c>
    </row>
    <row r="826" spans="1:22" x14ac:dyDescent="0.3">
      <c r="A826" s="5" t="str">
        <f>IF(kokpit!A826&lt;&gt;"",kokpit!A826,"")</f>
        <v/>
      </c>
      <c r="B826" s="5" t="str">
        <f>IF(kokpit!B826&lt;&gt;"",kokpit!B826,"")</f>
        <v/>
      </c>
      <c r="C826" s="24" t="str">
        <f>IF(A826&lt;&gt;"",SUMIFS('JPK_KR-1'!AL:AL,'JPK_KR-1'!W:W,B826),"")</f>
        <v/>
      </c>
      <c r="D826" s="126" t="str">
        <f>IF(A826&lt;&gt;"",SUMIFS('JPK_KR-1'!AM:AM,'JPK_KR-1'!W:W,B826),"")</f>
        <v/>
      </c>
      <c r="E826" s="5" t="str">
        <f>IF(kokpit!E826&lt;&gt;"",kokpit!E826,"")</f>
        <v/>
      </c>
      <c r="F826" s="127" t="str">
        <f>IF(kokpit!F826&lt;&gt;"",kokpit!F826,"")</f>
        <v/>
      </c>
      <c r="G826" s="24" t="str">
        <f>IF(E826&lt;&gt;"",SUMIFS('JPK_KR-1'!AL:AL,'JPK_KR-1'!W:W,F826),"")</f>
        <v/>
      </c>
      <c r="H826" s="126" t="str">
        <f>IF(E826&lt;&gt;"",SUMIFS('JPK_KR-1'!AM:AM,'JPK_KR-1'!W:W,F826),"")</f>
        <v/>
      </c>
      <c r="I826" s="5" t="str">
        <f>IF(kokpit!I826&lt;&gt;"",kokpit!I826,"")</f>
        <v/>
      </c>
      <c r="J826" s="5" t="str">
        <f>IF(kokpit!J826&lt;&gt;"",kokpit!J826,"")</f>
        <v/>
      </c>
      <c r="K826" s="24" t="str">
        <f>IF(I826&lt;&gt;"",SUMIFS('JPK_KR-1'!AL:AL,'JPK_KR-1'!W:W,J826),"")</f>
        <v/>
      </c>
      <c r="L826" s="141" t="str">
        <f>IF(I826&lt;&gt;"",SUMIFS('JPK_KR-1'!AM:AM,'JPK_KR-1'!W:W,J826),"")</f>
        <v/>
      </c>
      <c r="M826" s="143" t="str">
        <f>IF(kokpit!M826&lt;&gt;"",kokpit!M826,"")</f>
        <v/>
      </c>
      <c r="N826" s="117" t="str">
        <f>IF(kokpit!N826&lt;&gt;"",kokpit!N826,"")</f>
        <v/>
      </c>
      <c r="O826" s="117" t="str">
        <f>IF(kokpit!O826&lt;&gt;"",kokpit!O826,"")</f>
        <v/>
      </c>
      <c r="P826" s="141" t="str">
        <f>IF(M826&lt;&gt;"",IF(O826="",SUMIFS('JPK_KR-1'!AL:AL,'JPK_KR-1'!W:W,N826),SUMIFS('JPK_KR-1'!BF:BF,'JPK_KR-1'!BE:BE,N826,'JPK_KR-1'!BG:BG,O826)),"")</f>
        <v/>
      </c>
      <c r="Q826" s="144" t="str">
        <f>IF(M826&lt;&gt;"",IF(O826="",SUMIFS('JPK_KR-1'!AM:AM,'JPK_KR-1'!W:W,N826),SUMIFS('JPK_KR-1'!BI:BI,'JPK_KR-1'!BH:BH,N826,'JPK_KR-1'!BJ:BJ,O826)),"")</f>
        <v/>
      </c>
      <c r="R826" s="117" t="str">
        <f>IF(kokpit!R826&lt;&gt;"",kokpit!R826,"")</f>
        <v/>
      </c>
      <c r="S826" s="117" t="str">
        <f>IF(kokpit!S826&lt;&gt;"",kokpit!S826,"")</f>
        <v/>
      </c>
      <c r="T826" s="117" t="str">
        <f>IF(kokpit!T826&lt;&gt;"",kokpit!T826,"")</f>
        <v/>
      </c>
      <c r="U826" s="141" t="str">
        <f>IF(R826&lt;&gt;"",SUMIFS('JPK_KR-1'!AL:AL,'JPK_KR-1'!W:W,S826),"")</f>
        <v/>
      </c>
      <c r="V826" s="144" t="str">
        <f>IF(R826&lt;&gt;"",SUMIFS('JPK_KR-1'!AM:AM,'JPK_KR-1'!W:W,S826),"")</f>
        <v/>
      </c>
    </row>
    <row r="827" spans="1:22" x14ac:dyDescent="0.3">
      <c r="A827" s="5" t="str">
        <f>IF(kokpit!A827&lt;&gt;"",kokpit!A827,"")</f>
        <v/>
      </c>
      <c r="B827" s="5" t="str">
        <f>IF(kokpit!B827&lt;&gt;"",kokpit!B827,"")</f>
        <v/>
      </c>
      <c r="C827" s="24" t="str">
        <f>IF(A827&lt;&gt;"",SUMIFS('JPK_KR-1'!AL:AL,'JPK_KR-1'!W:W,B827),"")</f>
        <v/>
      </c>
      <c r="D827" s="126" t="str">
        <f>IF(A827&lt;&gt;"",SUMIFS('JPK_KR-1'!AM:AM,'JPK_KR-1'!W:W,B827),"")</f>
        <v/>
      </c>
      <c r="E827" s="5" t="str">
        <f>IF(kokpit!E827&lt;&gt;"",kokpit!E827,"")</f>
        <v/>
      </c>
      <c r="F827" s="127" t="str">
        <f>IF(kokpit!F827&lt;&gt;"",kokpit!F827,"")</f>
        <v/>
      </c>
      <c r="G827" s="24" t="str">
        <f>IF(E827&lt;&gt;"",SUMIFS('JPK_KR-1'!AL:AL,'JPK_KR-1'!W:W,F827),"")</f>
        <v/>
      </c>
      <c r="H827" s="126" t="str">
        <f>IF(E827&lt;&gt;"",SUMIFS('JPK_KR-1'!AM:AM,'JPK_KR-1'!W:W,F827),"")</f>
        <v/>
      </c>
      <c r="I827" s="5" t="str">
        <f>IF(kokpit!I827&lt;&gt;"",kokpit!I827,"")</f>
        <v/>
      </c>
      <c r="J827" s="5" t="str">
        <f>IF(kokpit!J827&lt;&gt;"",kokpit!J827,"")</f>
        <v/>
      </c>
      <c r="K827" s="24" t="str">
        <f>IF(I827&lt;&gt;"",SUMIFS('JPK_KR-1'!AL:AL,'JPK_KR-1'!W:W,J827),"")</f>
        <v/>
      </c>
      <c r="L827" s="141" t="str">
        <f>IF(I827&lt;&gt;"",SUMIFS('JPK_KR-1'!AM:AM,'JPK_KR-1'!W:W,J827),"")</f>
        <v/>
      </c>
      <c r="M827" s="143" t="str">
        <f>IF(kokpit!M827&lt;&gt;"",kokpit!M827,"")</f>
        <v/>
      </c>
      <c r="N827" s="117" t="str">
        <f>IF(kokpit!N827&lt;&gt;"",kokpit!N827,"")</f>
        <v/>
      </c>
      <c r="O827" s="117" t="str">
        <f>IF(kokpit!O827&lt;&gt;"",kokpit!O827,"")</f>
        <v/>
      </c>
      <c r="P827" s="141" t="str">
        <f>IF(M827&lt;&gt;"",IF(O827="",SUMIFS('JPK_KR-1'!AL:AL,'JPK_KR-1'!W:W,N827),SUMIFS('JPK_KR-1'!BF:BF,'JPK_KR-1'!BE:BE,N827,'JPK_KR-1'!BG:BG,O827)),"")</f>
        <v/>
      </c>
      <c r="Q827" s="144" t="str">
        <f>IF(M827&lt;&gt;"",IF(O827="",SUMIFS('JPK_KR-1'!AM:AM,'JPK_KR-1'!W:W,N827),SUMIFS('JPK_KR-1'!BI:BI,'JPK_KR-1'!BH:BH,N827,'JPK_KR-1'!BJ:BJ,O827)),"")</f>
        <v/>
      </c>
      <c r="R827" s="117" t="str">
        <f>IF(kokpit!R827&lt;&gt;"",kokpit!R827,"")</f>
        <v/>
      </c>
      <c r="S827" s="117" t="str">
        <f>IF(kokpit!S827&lt;&gt;"",kokpit!S827,"")</f>
        <v/>
      </c>
      <c r="T827" s="117" t="str">
        <f>IF(kokpit!T827&lt;&gt;"",kokpit!T827,"")</f>
        <v/>
      </c>
      <c r="U827" s="141" t="str">
        <f>IF(R827&lt;&gt;"",SUMIFS('JPK_KR-1'!AL:AL,'JPK_KR-1'!W:W,S827),"")</f>
        <v/>
      </c>
      <c r="V827" s="144" t="str">
        <f>IF(R827&lt;&gt;"",SUMIFS('JPK_KR-1'!AM:AM,'JPK_KR-1'!W:W,S827),"")</f>
        <v/>
      </c>
    </row>
    <row r="828" spans="1:22" x14ac:dyDescent="0.3">
      <c r="A828" s="5" t="str">
        <f>IF(kokpit!A828&lt;&gt;"",kokpit!A828,"")</f>
        <v/>
      </c>
      <c r="B828" s="5" t="str">
        <f>IF(kokpit!B828&lt;&gt;"",kokpit!B828,"")</f>
        <v/>
      </c>
      <c r="C828" s="24" t="str">
        <f>IF(A828&lt;&gt;"",SUMIFS('JPK_KR-1'!AL:AL,'JPK_KR-1'!W:W,B828),"")</f>
        <v/>
      </c>
      <c r="D828" s="126" t="str">
        <f>IF(A828&lt;&gt;"",SUMIFS('JPK_KR-1'!AM:AM,'JPK_KR-1'!W:W,B828),"")</f>
        <v/>
      </c>
      <c r="E828" s="5" t="str">
        <f>IF(kokpit!E828&lt;&gt;"",kokpit!E828,"")</f>
        <v/>
      </c>
      <c r="F828" s="127" t="str">
        <f>IF(kokpit!F828&lt;&gt;"",kokpit!F828,"")</f>
        <v/>
      </c>
      <c r="G828" s="24" t="str">
        <f>IF(E828&lt;&gt;"",SUMIFS('JPK_KR-1'!AL:AL,'JPK_KR-1'!W:W,F828),"")</f>
        <v/>
      </c>
      <c r="H828" s="126" t="str">
        <f>IF(E828&lt;&gt;"",SUMIFS('JPK_KR-1'!AM:AM,'JPK_KR-1'!W:W,F828),"")</f>
        <v/>
      </c>
      <c r="I828" s="5" t="str">
        <f>IF(kokpit!I828&lt;&gt;"",kokpit!I828,"")</f>
        <v/>
      </c>
      <c r="J828" s="5" t="str">
        <f>IF(kokpit!J828&lt;&gt;"",kokpit!J828,"")</f>
        <v/>
      </c>
      <c r="K828" s="24" t="str">
        <f>IF(I828&lt;&gt;"",SUMIFS('JPK_KR-1'!AL:AL,'JPK_KR-1'!W:W,J828),"")</f>
        <v/>
      </c>
      <c r="L828" s="141" t="str">
        <f>IF(I828&lt;&gt;"",SUMIFS('JPK_KR-1'!AM:AM,'JPK_KR-1'!W:W,J828),"")</f>
        <v/>
      </c>
      <c r="M828" s="143" t="str">
        <f>IF(kokpit!M828&lt;&gt;"",kokpit!M828,"")</f>
        <v/>
      </c>
      <c r="N828" s="117" t="str">
        <f>IF(kokpit!N828&lt;&gt;"",kokpit!N828,"")</f>
        <v/>
      </c>
      <c r="O828" s="117" t="str">
        <f>IF(kokpit!O828&lt;&gt;"",kokpit!O828,"")</f>
        <v/>
      </c>
      <c r="P828" s="141" t="str">
        <f>IF(M828&lt;&gt;"",IF(O828="",SUMIFS('JPK_KR-1'!AL:AL,'JPK_KR-1'!W:W,N828),SUMIFS('JPK_KR-1'!BF:BF,'JPK_KR-1'!BE:BE,N828,'JPK_KR-1'!BG:BG,O828)),"")</f>
        <v/>
      </c>
      <c r="Q828" s="144" t="str">
        <f>IF(M828&lt;&gt;"",IF(O828="",SUMIFS('JPK_KR-1'!AM:AM,'JPK_KR-1'!W:W,N828),SUMIFS('JPK_KR-1'!BI:BI,'JPK_KR-1'!BH:BH,N828,'JPK_KR-1'!BJ:BJ,O828)),"")</f>
        <v/>
      </c>
      <c r="R828" s="117" t="str">
        <f>IF(kokpit!R828&lt;&gt;"",kokpit!R828,"")</f>
        <v/>
      </c>
      <c r="S828" s="117" t="str">
        <f>IF(kokpit!S828&lt;&gt;"",kokpit!S828,"")</f>
        <v/>
      </c>
      <c r="T828" s="117" t="str">
        <f>IF(kokpit!T828&lt;&gt;"",kokpit!T828,"")</f>
        <v/>
      </c>
      <c r="U828" s="141" t="str">
        <f>IF(R828&lt;&gt;"",SUMIFS('JPK_KR-1'!AL:AL,'JPK_KR-1'!W:W,S828),"")</f>
        <v/>
      </c>
      <c r="V828" s="144" t="str">
        <f>IF(R828&lt;&gt;"",SUMIFS('JPK_KR-1'!AM:AM,'JPK_KR-1'!W:W,S828),"")</f>
        <v/>
      </c>
    </row>
    <row r="829" spans="1:22" x14ac:dyDescent="0.3">
      <c r="A829" s="5" t="str">
        <f>IF(kokpit!A829&lt;&gt;"",kokpit!A829,"")</f>
        <v/>
      </c>
      <c r="B829" s="5" t="str">
        <f>IF(kokpit!B829&lt;&gt;"",kokpit!B829,"")</f>
        <v/>
      </c>
      <c r="C829" s="24" t="str">
        <f>IF(A829&lt;&gt;"",SUMIFS('JPK_KR-1'!AL:AL,'JPK_KR-1'!W:W,B829),"")</f>
        <v/>
      </c>
      <c r="D829" s="126" t="str">
        <f>IF(A829&lt;&gt;"",SUMIFS('JPK_KR-1'!AM:AM,'JPK_KR-1'!W:W,B829),"")</f>
        <v/>
      </c>
      <c r="E829" s="5" t="str">
        <f>IF(kokpit!E829&lt;&gt;"",kokpit!E829,"")</f>
        <v/>
      </c>
      <c r="F829" s="127" t="str">
        <f>IF(kokpit!F829&lt;&gt;"",kokpit!F829,"")</f>
        <v/>
      </c>
      <c r="G829" s="24" t="str">
        <f>IF(E829&lt;&gt;"",SUMIFS('JPK_KR-1'!AL:AL,'JPK_KR-1'!W:W,F829),"")</f>
        <v/>
      </c>
      <c r="H829" s="126" t="str">
        <f>IF(E829&lt;&gt;"",SUMIFS('JPK_KR-1'!AM:AM,'JPK_KR-1'!W:W,F829),"")</f>
        <v/>
      </c>
      <c r="I829" s="5" t="str">
        <f>IF(kokpit!I829&lt;&gt;"",kokpit!I829,"")</f>
        <v/>
      </c>
      <c r="J829" s="5" t="str">
        <f>IF(kokpit!J829&lt;&gt;"",kokpit!J829,"")</f>
        <v/>
      </c>
      <c r="K829" s="24" t="str">
        <f>IF(I829&lt;&gt;"",SUMIFS('JPK_KR-1'!AL:AL,'JPK_KR-1'!W:W,J829),"")</f>
        <v/>
      </c>
      <c r="L829" s="141" t="str">
        <f>IF(I829&lt;&gt;"",SUMIFS('JPK_KR-1'!AM:AM,'JPK_KR-1'!W:W,J829),"")</f>
        <v/>
      </c>
      <c r="M829" s="143" t="str">
        <f>IF(kokpit!M829&lt;&gt;"",kokpit!M829,"")</f>
        <v/>
      </c>
      <c r="N829" s="117" t="str">
        <f>IF(kokpit!N829&lt;&gt;"",kokpit!N829,"")</f>
        <v/>
      </c>
      <c r="O829" s="117" t="str">
        <f>IF(kokpit!O829&lt;&gt;"",kokpit!O829,"")</f>
        <v/>
      </c>
      <c r="P829" s="141" t="str">
        <f>IF(M829&lt;&gt;"",IF(O829="",SUMIFS('JPK_KR-1'!AL:AL,'JPK_KR-1'!W:W,N829),SUMIFS('JPK_KR-1'!BF:BF,'JPK_KR-1'!BE:BE,N829,'JPK_KR-1'!BG:BG,O829)),"")</f>
        <v/>
      </c>
      <c r="Q829" s="144" t="str">
        <f>IF(M829&lt;&gt;"",IF(O829="",SUMIFS('JPK_KR-1'!AM:AM,'JPK_KR-1'!W:W,N829),SUMIFS('JPK_KR-1'!BI:BI,'JPK_KR-1'!BH:BH,N829,'JPK_KR-1'!BJ:BJ,O829)),"")</f>
        <v/>
      </c>
      <c r="R829" s="117" t="str">
        <f>IF(kokpit!R829&lt;&gt;"",kokpit!R829,"")</f>
        <v/>
      </c>
      <c r="S829" s="117" t="str">
        <f>IF(kokpit!S829&lt;&gt;"",kokpit!S829,"")</f>
        <v/>
      </c>
      <c r="T829" s="117" t="str">
        <f>IF(kokpit!T829&lt;&gt;"",kokpit!T829,"")</f>
        <v/>
      </c>
      <c r="U829" s="141" t="str">
        <f>IF(R829&lt;&gt;"",SUMIFS('JPK_KR-1'!AL:AL,'JPK_KR-1'!W:W,S829),"")</f>
        <v/>
      </c>
      <c r="V829" s="144" t="str">
        <f>IF(R829&lt;&gt;"",SUMIFS('JPK_KR-1'!AM:AM,'JPK_KR-1'!W:W,S829),"")</f>
        <v/>
      </c>
    </row>
    <row r="830" spans="1:22" x14ac:dyDescent="0.3">
      <c r="A830" s="5" t="str">
        <f>IF(kokpit!A830&lt;&gt;"",kokpit!A830,"")</f>
        <v/>
      </c>
      <c r="B830" s="5" t="str">
        <f>IF(kokpit!B830&lt;&gt;"",kokpit!B830,"")</f>
        <v/>
      </c>
      <c r="C830" s="24" t="str">
        <f>IF(A830&lt;&gt;"",SUMIFS('JPK_KR-1'!AL:AL,'JPK_KR-1'!W:W,B830),"")</f>
        <v/>
      </c>
      <c r="D830" s="126" t="str">
        <f>IF(A830&lt;&gt;"",SUMIFS('JPK_KR-1'!AM:AM,'JPK_KR-1'!W:W,B830),"")</f>
        <v/>
      </c>
      <c r="E830" s="5" t="str">
        <f>IF(kokpit!E830&lt;&gt;"",kokpit!E830,"")</f>
        <v/>
      </c>
      <c r="F830" s="127" t="str">
        <f>IF(kokpit!F830&lt;&gt;"",kokpit!F830,"")</f>
        <v/>
      </c>
      <c r="G830" s="24" t="str">
        <f>IF(E830&lt;&gt;"",SUMIFS('JPK_KR-1'!AL:AL,'JPK_KR-1'!W:W,F830),"")</f>
        <v/>
      </c>
      <c r="H830" s="126" t="str">
        <f>IF(E830&lt;&gt;"",SUMIFS('JPK_KR-1'!AM:AM,'JPK_KR-1'!W:W,F830),"")</f>
        <v/>
      </c>
      <c r="I830" s="5" t="str">
        <f>IF(kokpit!I830&lt;&gt;"",kokpit!I830,"")</f>
        <v/>
      </c>
      <c r="J830" s="5" t="str">
        <f>IF(kokpit!J830&lt;&gt;"",kokpit!J830,"")</f>
        <v/>
      </c>
      <c r="K830" s="24" t="str">
        <f>IF(I830&lt;&gt;"",SUMIFS('JPK_KR-1'!AL:AL,'JPK_KR-1'!W:W,J830),"")</f>
        <v/>
      </c>
      <c r="L830" s="141" t="str">
        <f>IF(I830&lt;&gt;"",SUMIFS('JPK_KR-1'!AM:AM,'JPK_KR-1'!W:W,J830),"")</f>
        <v/>
      </c>
      <c r="M830" s="143" t="str">
        <f>IF(kokpit!M830&lt;&gt;"",kokpit!M830,"")</f>
        <v/>
      </c>
      <c r="N830" s="117" t="str">
        <f>IF(kokpit!N830&lt;&gt;"",kokpit!N830,"")</f>
        <v/>
      </c>
      <c r="O830" s="117" t="str">
        <f>IF(kokpit!O830&lt;&gt;"",kokpit!O830,"")</f>
        <v/>
      </c>
      <c r="P830" s="141" t="str">
        <f>IF(M830&lt;&gt;"",IF(O830="",SUMIFS('JPK_KR-1'!AL:AL,'JPK_KR-1'!W:W,N830),SUMIFS('JPK_KR-1'!BF:BF,'JPK_KR-1'!BE:BE,N830,'JPK_KR-1'!BG:BG,O830)),"")</f>
        <v/>
      </c>
      <c r="Q830" s="144" t="str">
        <f>IF(M830&lt;&gt;"",IF(O830="",SUMIFS('JPK_KR-1'!AM:AM,'JPK_KR-1'!W:W,N830),SUMIFS('JPK_KR-1'!BI:BI,'JPK_KR-1'!BH:BH,N830,'JPK_KR-1'!BJ:BJ,O830)),"")</f>
        <v/>
      </c>
      <c r="R830" s="117" t="str">
        <f>IF(kokpit!R830&lt;&gt;"",kokpit!R830,"")</f>
        <v/>
      </c>
      <c r="S830" s="117" t="str">
        <f>IF(kokpit!S830&lt;&gt;"",kokpit!S830,"")</f>
        <v/>
      </c>
      <c r="T830" s="117" t="str">
        <f>IF(kokpit!T830&lt;&gt;"",kokpit!T830,"")</f>
        <v/>
      </c>
      <c r="U830" s="141" t="str">
        <f>IF(R830&lt;&gt;"",SUMIFS('JPK_KR-1'!AL:AL,'JPK_KR-1'!W:W,S830),"")</f>
        <v/>
      </c>
      <c r="V830" s="144" t="str">
        <f>IF(R830&lt;&gt;"",SUMIFS('JPK_KR-1'!AM:AM,'JPK_KR-1'!W:W,S830),"")</f>
        <v/>
      </c>
    </row>
    <row r="831" spans="1:22" x14ac:dyDescent="0.3">
      <c r="A831" s="5" t="str">
        <f>IF(kokpit!A831&lt;&gt;"",kokpit!A831,"")</f>
        <v/>
      </c>
      <c r="B831" s="5" t="str">
        <f>IF(kokpit!B831&lt;&gt;"",kokpit!B831,"")</f>
        <v/>
      </c>
      <c r="C831" s="24" t="str">
        <f>IF(A831&lt;&gt;"",SUMIFS('JPK_KR-1'!AL:AL,'JPK_KR-1'!W:W,B831),"")</f>
        <v/>
      </c>
      <c r="D831" s="126" t="str">
        <f>IF(A831&lt;&gt;"",SUMIFS('JPK_KR-1'!AM:AM,'JPK_KR-1'!W:W,B831),"")</f>
        <v/>
      </c>
      <c r="E831" s="5" t="str">
        <f>IF(kokpit!E831&lt;&gt;"",kokpit!E831,"")</f>
        <v/>
      </c>
      <c r="F831" s="127" t="str">
        <f>IF(kokpit!F831&lt;&gt;"",kokpit!F831,"")</f>
        <v/>
      </c>
      <c r="G831" s="24" t="str">
        <f>IF(E831&lt;&gt;"",SUMIFS('JPK_KR-1'!AL:AL,'JPK_KR-1'!W:W,F831),"")</f>
        <v/>
      </c>
      <c r="H831" s="126" t="str">
        <f>IF(E831&lt;&gt;"",SUMIFS('JPK_KR-1'!AM:AM,'JPK_KR-1'!W:W,F831),"")</f>
        <v/>
      </c>
      <c r="I831" s="5" t="str">
        <f>IF(kokpit!I831&lt;&gt;"",kokpit!I831,"")</f>
        <v/>
      </c>
      <c r="J831" s="5" t="str">
        <f>IF(kokpit!J831&lt;&gt;"",kokpit!J831,"")</f>
        <v/>
      </c>
      <c r="K831" s="24" t="str">
        <f>IF(I831&lt;&gt;"",SUMIFS('JPK_KR-1'!AL:AL,'JPK_KR-1'!W:W,J831),"")</f>
        <v/>
      </c>
      <c r="L831" s="141" t="str">
        <f>IF(I831&lt;&gt;"",SUMIFS('JPK_KR-1'!AM:AM,'JPK_KR-1'!W:W,J831),"")</f>
        <v/>
      </c>
      <c r="M831" s="143" t="str">
        <f>IF(kokpit!M831&lt;&gt;"",kokpit!M831,"")</f>
        <v/>
      </c>
      <c r="N831" s="117" t="str">
        <f>IF(kokpit!N831&lt;&gt;"",kokpit!N831,"")</f>
        <v/>
      </c>
      <c r="O831" s="117" t="str">
        <f>IF(kokpit!O831&lt;&gt;"",kokpit!O831,"")</f>
        <v/>
      </c>
      <c r="P831" s="141" t="str">
        <f>IF(M831&lt;&gt;"",IF(O831="",SUMIFS('JPK_KR-1'!AL:AL,'JPK_KR-1'!W:W,N831),SUMIFS('JPK_KR-1'!BF:BF,'JPK_KR-1'!BE:BE,N831,'JPK_KR-1'!BG:BG,O831)),"")</f>
        <v/>
      </c>
      <c r="Q831" s="144" t="str">
        <f>IF(M831&lt;&gt;"",IF(O831="",SUMIFS('JPK_KR-1'!AM:AM,'JPK_KR-1'!W:W,N831),SUMIFS('JPK_KR-1'!BI:BI,'JPK_KR-1'!BH:BH,N831,'JPK_KR-1'!BJ:BJ,O831)),"")</f>
        <v/>
      </c>
      <c r="R831" s="117" t="str">
        <f>IF(kokpit!R831&lt;&gt;"",kokpit!R831,"")</f>
        <v/>
      </c>
      <c r="S831" s="117" t="str">
        <f>IF(kokpit!S831&lt;&gt;"",kokpit!S831,"")</f>
        <v/>
      </c>
      <c r="T831" s="117" t="str">
        <f>IF(kokpit!T831&lt;&gt;"",kokpit!T831,"")</f>
        <v/>
      </c>
      <c r="U831" s="141" t="str">
        <f>IF(R831&lt;&gt;"",SUMIFS('JPK_KR-1'!AL:AL,'JPK_KR-1'!W:W,S831),"")</f>
        <v/>
      </c>
      <c r="V831" s="144" t="str">
        <f>IF(R831&lt;&gt;"",SUMIFS('JPK_KR-1'!AM:AM,'JPK_KR-1'!W:W,S831),"")</f>
        <v/>
      </c>
    </row>
    <row r="832" spans="1:22" x14ac:dyDescent="0.3">
      <c r="A832" s="5" t="str">
        <f>IF(kokpit!A832&lt;&gt;"",kokpit!A832,"")</f>
        <v/>
      </c>
      <c r="B832" s="5" t="str">
        <f>IF(kokpit!B832&lt;&gt;"",kokpit!B832,"")</f>
        <v/>
      </c>
      <c r="C832" s="24" t="str">
        <f>IF(A832&lt;&gt;"",SUMIFS('JPK_KR-1'!AL:AL,'JPK_KR-1'!W:W,B832),"")</f>
        <v/>
      </c>
      <c r="D832" s="126" t="str">
        <f>IF(A832&lt;&gt;"",SUMIFS('JPK_KR-1'!AM:AM,'JPK_KR-1'!W:W,B832),"")</f>
        <v/>
      </c>
      <c r="E832" s="5" t="str">
        <f>IF(kokpit!E832&lt;&gt;"",kokpit!E832,"")</f>
        <v/>
      </c>
      <c r="F832" s="127" t="str">
        <f>IF(kokpit!F832&lt;&gt;"",kokpit!F832,"")</f>
        <v/>
      </c>
      <c r="G832" s="24" t="str">
        <f>IF(E832&lt;&gt;"",SUMIFS('JPK_KR-1'!AL:AL,'JPK_KR-1'!W:W,F832),"")</f>
        <v/>
      </c>
      <c r="H832" s="126" t="str">
        <f>IF(E832&lt;&gt;"",SUMIFS('JPK_KR-1'!AM:AM,'JPK_KR-1'!W:W,F832),"")</f>
        <v/>
      </c>
      <c r="I832" s="5" t="str">
        <f>IF(kokpit!I832&lt;&gt;"",kokpit!I832,"")</f>
        <v/>
      </c>
      <c r="J832" s="5" t="str">
        <f>IF(kokpit!J832&lt;&gt;"",kokpit!J832,"")</f>
        <v/>
      </c>
      <c r="K832" s="24" t="str">
        <f>IF(I832&lt;&gt;"",SUMIFS('JPK_KR-1'!AL:AL,'JPK_KR-1'!W:W,J832),"")</f>
        <v/>
      </c>
      <c r="L832" s="141" t="str">
        <f>IF(I832&lt;&gt;"",SUMIFS('JPK_KR-1'!AM:AM,'JPK_KR-1'!W:W,J832),"")</f>
        <v/>
      </c>
      <c r="M832" s="143" t="str">
        <f>IF(kokpit!M832&lt;&gt;"",kokpit!M832,"")</f>
        <v/>
      </c>
      <c r="N832" s="117" t="str">
        <f>IF(kokpit!N832&lt;&gt;"",kokpit!N832,"")</f>
        <v/>
      </c>
      <c r="O832" s="117" t="str">
        <f>IF(kokpit!O832&lt;&gt;"",kokpit!O832,"")</f>
        <v/>
      </c>
      <c r="P832" s="141" t="str">
        <f>IF(M832&lt;&gt;"",IF(O832="",SUMIFS('JPK_KR-1'!AL:AL,'JPK_KR-1'!W:W,N832),SUMIFS('JPK_KR-1'!BF:BF,'JPK_KR-1'!BE:BE,N832,'JPK_KR-1'!BG:BG,O832)),"")</f>
        <v/>
      </c>
      <c r="Q832" s="144" t="str">
        <f>IF(M832&lt;&gt;"",IF(O832="",SUMIFS('JPK_KR-1'!AM:AM,'JPK_KR-1'!W:W,N832),SUMIFS('JPK_KR-1'!BI:BI,'JPK_KR-1'!BH:BH,N832,'JPK_KR-1'!BJ:BJ,O832)),"")</f>
        <v/>
      </c>
      <c r="R832" s="117" t="str">
        <f>IF(kokpit!R832&lt;&gt;"",kokpit!R832,"")</f>
        <v/>
      </c>
      <c r="S832" s="117" t="str">
        <f>IF(kokpit!S832&lt;&gt;"",kokpit!S832,"")</f>
        <v/>
      </c>
      <c r="T832" s="117" t="str">
        <f>IF(kokpit!T832&lt;&gt;"",kokpit!T832,"")</f>
        <v/>
      </c>
      <c r="U832" s="141" t="str">
        <f>IF(R832&lt;&gt;"",SUMIFS('JPK_KR-1'!AL:AL,'JPK_KR-1'!W:W,S832),"")</f>
        <v/>
      </c>
      <c r="V832" s="144" t="str">
        <f>IF(R832&lt;&gt;"",SUMIFS('JPK_KR-1'!AM:AM,'JPK_KR-1'!W:W,S832),"")</f>
        <v/>
      </c>
    </row>
    <row r="833" spans="1:22" x14ac:dyDescent="0.3">
      <c r="A833" s="5" t="str">
        <f>IF(kokpit!A833&lt;&gt;"",kokpit!A833,"")</f>
        <v/>
      </c>
      <c r="B833" s="5" t="str">
        <f>IF(kokpit!B833&lt;&gt;"",kokpit!B833,"")</f>
        <v/>
      </c>
      <c r="C833" s="24" t="str">
        <f>IF(A833&lt;&gt;"",SUMIFS('JPK_KR-1'!AL:AL,'JPK_KR-1'!W:W,B833),"")</f>
        <v/>
      </c>
      <c r="D833" s="126" t="str">
        <f>IF(A833&lt;&gt;"",SUMIFS('JPK_KR-1'!AM:AM,'JPK_KR-1'!W:W,B833),"")</f>
        <v/>
      </c>
      <c r="E833" s="5" t="str">
        <f>IF(kokpit!E833&lt;&gt;"",kokpit!E833,"")</f>
        <v/>
      </c>
      <c r="F833" s="127" t="str">
        <f>IF(kokpit!F833&lt;&gt;"",kokpit!F833,"")</f>
        <v/>
      </c>
      <c r="G833" s="24" t="str">
        <f>IF(E833&lt;&gt;"",SUMIFS('JPK_KR-1'!AL:AL,'JPK_KR-1'!W:W,F833),"")</f>
        <v/>
      </c>
      <c r="H833" s="126" t="str">
        <f>IF(E833&lt;&gt;"",SUMIFS('JPK_KR-1'!AM:AM,'JPK_KR-1'!W:W,F833),"")</f>
        <v/>
      </c>
      <c r="I833" s="5" t="str">
        <f>IF(kokpit!I833&lt;&gt;"",kokpit!I833,"")</f>
        <v/>
      </c>
      <c r="J833" s="5" t="str">
        <f>IF(kokpit!J833&lt;&gt;"",kokpit!J833,"")</f>
        <v/>
      </c>
      <c r="K833" s="24" t="str">
        <f>IF(I833&lt;&gt;"",SUMIFS('JPK_KR-1'!AL:AL,'JPK_KR-1'!W:W,J833),"")</f>
        <v/>
      </c>
      <c r="L833" s="141" t="str">
        <f>IF(I833&lt;&gt;"",SUMIFS('JPK_KR-1'!AM:AM,'JPK_KR-1'!W:W,J833),"")</f>
        <v/>
      </c>
      <c r="M833" s="143" t="str">
        <f>IF(kokpit!M833&lt;&gt;"",kokpit!M833,"")</f>
        <v/>
      </c>
      <c r="N833" s="117" t="str">
        <f>IF(kokpit!N833&lt;&gt;"",kokpit!N833,"")</f>
        <v/>
      </c>
      <c r="O833" s="117" t="str">
        <f>IF(kokpit!O833&lt;&gt;"",kokpit!O833,"")</f>
        <v/>
      </c>
      <c r="P833" s="141" t="str">
        <f>IF(M833&lt;&gt;"",IF(O833="",SUMIFS('JPK_KR-1'!AL:AL,'JPK_KR-1'!W:W,N833),SUMIFS('JPK_KR-1'!BF:BF,'JPK_KR-1'!BE:BE,N833,'JPK_KR-1'!BG:BG,O833)),"")</f>
        <v/>
      </c>
      <c r="Q833" s="144" t="str">
        <f>IF(M833&lt;&gt;"",IF(O833="",SUMIFS('JPK_KR-1'!AM:AM,'JPK_KR-1'!W:W,N833),SUMIFS('JPK_KR-1'!BI:BI,'JPK_KR-1'!BH:BH,N833,'JPK_KR-1'!BJ:BJ,O833)),"")</f>
        <v/>
      </c>
      <c r="R833" s="117" t="str">
        <f>IF(kokpit!R833&lt;&gt;"",kokpit!R833,"")</f>
        <v/>
      </c>
      <c r="S833" s="117" t="str">
        <f>IF(kokpit!S833&lt;&gt;"",kokpit!S833,"")</f>
        <v/>
      </c>
      <c r="T833" s="117" t="str">
        <f>IF(kokpit!T833&lt;&gt;"",kokpit!T833,"")</f>
        <v/>
      </c>
      <c r="U833" s="141" t="str">
        <f>IF(R833&lt;&gt;"",SUMIFS('JPK_KR-1'!AL:AL,'JPK_KR-1'!W:W,S833),"")</f>
        <v/>
      </c>
      <c r="V833" s="144" t="str">
        <f>IF(R833&lt;&gt;"",SUMIFS('JPK_KR-1'!AM:AM,'JPK_KR-1'!W:W,S833),"")</f>
        <v/>
      </c>
    </row>
    <row r="834" spans="1:22" x14ac:dyDescent="0.3">
      <c r="A834" s="5" t="str">
        <f>IF(kokpit!A834&lt;&gt;"",kokpit!A834,"")</f>
        <v/>
      </c>
      <c r="B834" s="5" t="str">
        <f>IF(kokpit!B834&lt;&gt;"",kokpit!B834,"")</f>
        <v/>
      </c>
      <c r="C834" s="24" t="str">
        <f>IF(A834&lt;&gt;"",SUMIFS('JPK_KR-1'!AL:AL,'JPK_KR-1'!W:W,B834),"")</f>
        <v/>
      </c>
      <c r="D834" s="126" t="str">
        <f>IF(A834&lt;&gt;"",SUMIFS('JPK_KR-1'!AM:AM,'JPK_KR-1'!W:W,B834),"")</f>
        <v/>
      </c>
      <c r="E834" s="5" t="str">
        <f>IF(kokpit!E834&lt;&gt;"",kokpit!E834,"")</f>
        <v/>
      </c>
      <c r="F834" s="127" t="str">
        <f>IF(kokpit!F834&lt;&gt;"",kokpit!F834,"")</f>
        <v/>
      </c>
      <c r="G834" s="24" t="str">
        <f>IF(E834&lt;&gt;"",SUMIFS('JPK_KR-1'!AL:AL,'JPK_KR-1'!W:W,F834),"")</f>
        <v/>
      </c>
      <c r="H834" s="126" t="str">
        <f>IF(E834&lt;&gt;"",SUMIFS('JPK_KR-1'!AM:AM,'JPK_KR-1'!W:W,F834),"")</f>
        <v/>
      </c>
      <c r="I834" s="5" t="str">
        <f>IF(kokpit!I834&lt;&gt;"",kokpit!I834,"")</f>
        <v/>
      </c>
      <c r="J834" s="5" t="str">
        <f>IF(kokpit!J834&lt;&gt;"",kokpit!J834,"")</f>
        <v/>
      </c>
      <c r="K834" s="24" t="str">
        <f>IF(I834&lt;&gt;"",SUMIFS('JPK_KR-1'!AL:AL,'JPK_KR-1'!W:W,J834),"")</f>
        <v/>
      </c>
      <c r="L834" s="141" t="str">
        <f>IF(I834&lt;&gt;"",SUMIFS('JPK_KR-1'!AM:AM,'JPK_KR-1'!W:W,J834),"")</f>
        <v/>
      </c>
      <c r="M834" s="143" t="str">
        <f>IF(kokpit!M834&lt;&gt;"",kokpit!M834,"")</f>
        <v/>
      </c>
      <c r="N834" s="117" t="str">
        <f>IF(kokpit!N834&lt;&gt;"",kokpit!N834,"")</f>
        <v/>
      </c>
      <c r="O834" s="117" t="str">
        <f>IF(kokpit!O834&lt;&gt;"",kokpit!O834,"")</f>
        <v/>
      </c>
      <c r="P834" s="141" t="str">
        <f>IF(M834&lt;&gt;"",IF(O834="",SUMIFS('JPK_KR-1'!AL:AL,'JPK_KR-1'!W:W,N834),SUMIFS('JPK_KR-1'!BF:BF,'JPK_KR-1'!BE:BE,N834,'JPK_KR-1'!BG:BG,O834)),"")</f>
        <v/>
      </c>
      <c r="Q834" s="144" t="str">
        <f>IF(M834&lt;&gt;"",IF(O834="",SUMIFS('JPK_KR-1'!AM:AM,'JPK_KR-1'!W:W,N834),SUMIFS('JPK_KR-1'!BI:BI,'JPK_KR-1'!BH:BH,N834,'JPK_KR-1'!BJ:BJ,O834)),"")</f>
        <v/>
      </c>
      <c r="R834" s="117" t="str">
        <f>IF(kokpit!R834&lt;&gt;"",kokpit!R834,"")</f>
        <v/>
      </c>
      <c r="S834" s="117" t="str">
        <f>IF(kokpit!S834&lt;&gt;"",kokpit!S834,"")</f>
        <v/>
      </c>
      <c r="T834" s="117" t="str">
        <f>IF(kokpit!T834&lt;&gt;"",kokpit!T834,"")</f>
        <v/>
      </c>
      <c r="U834" s="141" t="str">
        <f>IF(R834&lt;&gt;"",SUMIFS('JPK_KR-1'!AL:AL,'JPK_KR-1'!W:W,S834),"")</f>
        <v/>
      </c>
      <c r="V834" s="144" t="str">
        <f>IF(R834&lt;&gt;"",SUMIFS('JPK_KR-1'!AM:AM,'JPK_KR-1'!W:W,S834),"")</f>
        <v/>
      </c>
    </row>
    <row r="835" spans="1:22" x14ac:dyDescent="0.3">
      <c r="A835" s="5" t="str">
        <f>IF(kokpit!A835&lt;&gt;"",kokpit!A835,"")</f>
        <v/>
      </c>
      <c r="B835" s="5" t="str">
        <f>IF(kokpit!B835&lt;&gt;"",kokpit!B835,"")</f>
        <v/>
      </c>
      <c r="C835" s="24" t="str">
        <f>IF(A835&lt;&gt;"",SUMIFS('JPK_KR-1'!AL:AL,'JPK_KR-1'!W:W,B835),"")</f>
        <v/>
      </c>
      <c r="D835" s="126" t="str">
        <f>IF(A835&lt;&gt;"",SUMIFS('JPK_KR-1'!AM:AM,'JPK_KR-1'!W:W,B835),"")</f>
        <v/>
      </c>
      <c r="E835" s="5" t="str">
        <f>IF(kokpit!E835&lt;&gt;"",kokpit!E835,"")</f>
        <v/>
      </c>
      <c r="F835" s="127" t="str">
        <f>IF(kokpit!F835&lt;&gt;"",kokpit!F835,"")</f>
        <v/>
      </c>
      <c r="G835" s="24" t="str">
        <f>IF(E835&lt;&gt;"",SUMIFS('JPK_KR-1'!AL:AL,'JPK_KR-1'!W:W,F835),"")</f>
        <v/>
      </c>
      <c r="H835" s="126" t="str">
        <f>IF(E835&lt;&gt;"",SUMIFS('JPK_KR-1'!AM:AM,'JPK_KR-1'!W:W,F835),"")</f>
        <v/>
      </c>
      <c r="I835" s="5" t="str">
        <f>IF(kokpit!I835&lt;&gt;"",kokpit!I835,"")</f>
        <v/>
      </c>
      <c r="J835" s="5" t="str">
        <f>IF(kokpit!J835&lt;&gt;"",kokpit!J835,"")</f>
        <v/>
      </c>
      <c r="K835" s="24" t="str">
        <f>IF(I835&lt;&gt;"",SUMIFS('JPK_KR-1'!AL:AL,'JPK_KR-1'!W:W,J835),"")</f>
        <v/>
      </c>
      <c r="L835" s="141" t="str">
        <f>IF(I835&lt;&gt;"",SUMIFS('JPK_KR-1'!AM:AM,'JPK_KR-1'!W:W,J835),"")</f>
        <v/>
      </c>
      <c r="M835" s="143" t="str">
        <f>IF(kokpit!M835&lt;&gt;"",kokpit!M835,"")</f>
        <v/>
      </c>
      <c r="N835" s="117" t="str">
        <f>IF(kokpit!N835&lt;&gt;"",kokpit!N835,"")</f>
        <v/>
      </c>
      <c r="O835" s="117" t="str">
        <f>IF(kokpit!O835&lt;&gt;"",kokpit!O835,"")</f>
        <v/>
      </c>
      <c r="P835" s="141" t="str">
        <f>IF(M835&lt;&gt;"",IF(O835="",SUMIFS('JPK_KR-1'!AL:AL,'JPK_KR-1'!W:W,N835),SUMIFS('JPK_KR-1'!BF:BF,'JPK_KR-1'!BE:BE,N835,'JPK_KR-1'!BG:BG,O835)),"")</f>
        <v/>
      </c>
      <c r="Q835" s="144" t="str">
        <f>IF(M835&lt;&gt;"",IF(O835="",SUMIFS('JPK_KR-1'!AM:AM,'JPK_KR-1'!W:W,N835),SUMIFS('JPK_KR-1'!BI:BI,'JPK_KR-1'!BH:BH,N835,'JPK_KR-1'!BJ:BJ,O835)),"")</f>
        <v/>
      </c>
      <c r="R835" s="117" t="str">
        <f>IF(kokpit!R835&lt;&gt;"",kokpit!R835,"")</f>
        <v/>
      </c>
      <c r="S835" s="117" t="str">
        <f>IF(kokpit!S835&lt;&gt;"",kokpit!S835,"")</f>
        <v/>
      </c>
      <c r="T835" s="117" t="str">
        <f>IF(kokpit!T835&lt;&gt;"",kokpit!T835,"")</f>
        <v/>
      </c>
      <c r="U835" s="141" t="str">
        <f>IF(R835&lt;&gt;"",SUMIFS('JPK_KR-1'!AL:AL,'JPK_KR-1'!W:W,S835),"")</f>
        <v/>
      </c>
      <c r="V835" s="144" t="str">
        <f>IF(R835&lt;&gt;"",SUMIFS('JPK_KR-1'!AM:AM,'JPK_KR-1'!W:W,S835),"")</f>
        <v/>
      </c>
    </row>
    <row r="836" spans="1:22" x14ac:dyDescent="0.3">
      <c r="A836" s="5" t="str">
        <f>IF(kokpit!A836&lt;&gt;"",kokpit!A836,"")</f>
        <v/>
      </c>
      <c r="B836" s="5" t="str">
        <f>IF(kokpit!B836&lt;&gt;"",kokpit!B836,"")</f>
        <v/>
      </c>
      <c r="C836" s="24" t="str">
        <f>IF(A836&lt;&gt;"",SUMIFS('JPK_KR-1'!AL:AL,'JPK_KR-1'!W:W,B836),"")</f>
        <v/>
      </c>
      <c r="D836" s="126" t="str">
        <f>IF(A836&lt;&gt;"",SUMIFS('JPK_KR-1'!AM:AM,'JPK_KR-1'!W:W,B836),"")</f>
        <v/>
      </c>
      <c r="E836" s="5" t="str">
        <f>IF(kokpit!E836&lt;&gt;"",kokpit!E836,"")</f>
        <v/>
      </c>
      <c r="F836" s="127" t="str">
        <f>IF(kokpit!F836&lt;&gt;"",kokpit!F836,"")</f>
        <v/>
      </c>
      <c r="G836" s="24" t="str">
        <f>IF(E836&lt;&gt;"",SUMIFS('JPK_KR-1'!AL:AL,'JPK_KR-1'!W:W,F836),"")</f>
        <v/>
      </c>
      <c r="H836" s="126" t="str">
        <f>IF(E836&lt;&gt;"",SUMIFS('JPK_KR-1'!AM:AM,'JPK_KR-1'!W:W,F836),"")</f>
        <v/>
      </c>
      <c r="I836" s="5" t="str">
        <f>IF(kokpit!I836&lt;&gt;"",kokpit!I836,"")</f>
        <v/>
      </c>
      <c r="J836" s="5" t="str">
        <f>IF(kokpit!J836&lt;&gt;"",kokpit!J836,"")</f>
        <v/>
      </c>
      <c r="K836" s="24" t="str">
        <f>IF(I836&lt;&gt;"",SUMIFS('JPK_KR-1'!AL:AL,'JPK_KR-1'!W:W,J836),"")</f>
        <v/>
      </c>
      <c r="L836" s="141" t="str">
        <f>IF(I836&lt;&gt;"",SUMIFS('JPK_KR-1'!AM:AM,'JPK_KR-1'!W:W,J836),"")</f>
        <v/>
      </c>
      <c r="M836" s="143" t="str">
        <f>IF(kokpit!M836&lt;&gt;"",kokpit!M836,"")</f>
        <v/>
      </c>
      <c r="N836" s="117" t="str">
        <f>IF(kokpit!N836&lt;&gt;"",kokpit!N836,"")</f>
        <v/>
      </c>
      <c r="O836" s="117" t="str">
        <f>IF(kokpit!O836&lt;&gt;"",kokpit!O836,"")</f>
        <v/>
      </c>
      <c r="P836" s="141" t="str">
        <f>IF(M836&lt;&gt;"",IF(O836="",SUMIFS('JPK_KR-1'!AL:AL,'JPK_KR-1'!W:W,N836),SUMIFS('JPK_KR-1'!BF:BF,'JPK_KR-1'!BE:BE,N836,'JPK_KR-1'!BG:BG,O836)),"")</f>
        <v/>
      </c>
      <c r="Q836" s="144" t="str">
        <f>IF(M836&lt;&gt;"",IF(O836="",SUMIFS('JPK_KR-1'!AM:AM,'JPK_KR-1'!W:W,N836),SUMIFS('JPK_KR-1'!BI:BI,'JPK_KR-1'!BH:BH,N836,'JPK_KR-1'!BJ:BJ,O836)),"")</f>
        <v/>
      </c>
      <c r="R836" s="117" t="str">
        <f>IF(kokpit!R836&lt;&gt;"",kokpit!R836,"")</f>
        <v/>
      </c>
      <c r="S836" s="117" t="str">
        <f>IF(kokpit!S836&lt;&gt;"",kokpit!S836,"")</f>
        <v/>
      </c>
      <c r="T836" s="117" t="str">
        <f>IF(kokpit!T836&lt;&gt;"",kokpit!T836,"")</f>
        <v/>
      </c>
      <c r="U836" s="141" t="str">
        <f>IF(R836&lt;&gt;"",SUMIFS('JPK_KR-1'!AL:AL,'JPK_KR-1'!W:W,S836),"")</f>
        <v/>
      </c>
      <c r="V836" s="144" t="str">
        <f>IF(R836&lt;&gt;"",SUMIFS('JPK_KR-1'!AM:AM,'JPK_KR-1'!W:W,S836),"")</f>
        <v/>
      </c>
    </row>
    <row r="837" spans="1:22" x14ac:dyDescent="0.3">
      <c r="A837" s="5" t="str">
        <f>IF(kokpit!A837&lt;&gt;"",kokpit!A837,"")</f>
        <v/>
      </c>
      <c r="B837" s="5" t="str">
        <f>IF(kokpit!B837&lt;&gt;"",kokpit!B837,"")</f>
        <v/>
      </c>
      <c r="C837" s="24" t="str">
        <f>IF(A837&lt;&gt;"",SUMIFS('JPK_KR-1'!AL:AL,'JPK_KR-1'!W:W,B837),"")</f>
        <v/>
      </c>
      <c r="D837" s="126" t="str">
        <f>IF(A837&lt;&gt;"",SUMIFS('JPK_KR-1'!AM:AM,'JPK_KR-1'!W:W,B837),"")</f>
        <v/>
      </c>
      <c r="E837" s="5" t="str">
        <f>IF(kokpit!E837&lt;&gt;"",kokpit!E837,"")</f>
        <v/>
      </c>
      <c r="F837" s="127" t="str">
        <f>IF(kokpit!F837&lt;&gt;"",kokpit!F837,"")</f>
        <v/>
      </c>
      <c r="G837" s="24" t="str">
        <f>IF(E837&lt;&gt;"",SUMIFS('JPK_KR-1'!AL:AL,'JPK_KR-1'!W:W,F837),"")</f>
        <v/>
      </c>
      <c r="H837" s="126" t="str">
        <f>IF(E837&lt;&gt;"",SUMIFS('JPK_KR-1'!AM:AM,'JPK_KR-1'!W:W,F837),"")</f>
        <v/>
      </c>
      <c r="I837" s="5" t="str">
        <f>IF(kokpit!I837&lt;&gt;"",kokpit!I837,"")</f>
        <v/>
      </c>
      <c r="J837" s="5" t="str">
        <f>IF(kokpit!J837&lt;&gt;"",kokpit!J837,"")</f>
        <v/>
      </c>
      <c r="K837" s="24" t="str">
        <f>IF(I837&lt;&gt;"",SUMIFS('JPK_KR-1'!AL:AL,'JPK_KR-1'!W:W,J837),"")</f>
        <v/>
      </c>
      <c r="L837" s="141" t="str">
        <f>IF(I837&lt;&gt;"",SUMIFS('JPK_KR-1'!AM:AM,'JPK_KR-1'!W:W,J837),"")</f>
        <v/>
      </c>
      <c r="M837" s="143" t="str">
        <f>IF(kokpit!M837&lt;&gt;"",kokpit!M837,"")</f>
        <v/>
      </c>
      <c r="N837" s="117" t="str">
        <f>IF(kokpit!N837&lt;&gt;"",kokpit!N837,"")</f>
        <v/>
      </c>
      <c r="O837" s="117" t="str">
        <f>IF(kokpit!O837&lt;&gt;"",kokpit!O837,"")</f>
        <v/>
      </c>
      <c r="P837" s="141" t="str">
        <f>IF(M837&lt;&gt;"",IF(O837="",SUMIFS('JPK_KR-1'!AL:AL,'JPK_KR-1'!W:W,N837),SUMIFS('JPK_KR-1'!BF:BF,'JPK_KR-1'!BE:BE,N837,'JPK_KR-1'!BG:BG,O837)),"")</f>
        <v/>
      </c>
      <c r="Q837" s="144" t="str">
        <f>IF(M837&lt;&gt;"",IF(O837="",SUMIFS('JPK_KR-1'!AM:AM,'JPK_KR-1'!W:W,N837),SUMIFS('JPK_KR-1'!BI:BI,'JPK_KR-1'!BH:BH,N837,'JPK_KR-1'!BJ:BJ,O837)),"")</f>
        <v/>
      </c>
      <c r="R837" s="117" t="str">
        <f>IF(kokpit!R837&lt;&gt;"",kokpit!R837,"")</f>
        <v/>
      </c>
      <c r="S837" s="117" t="str">
        <f>IF(kokpit!S837&lt;&gt;"",kokpit!S837,"")</f>
        <v/>
      </c>
      <c r="T837" s="117" t="str">
        <f>IF(kokpit!T837&lt;&gt;"",kokpit!T837,"")</f>
        <v/>
      </c>
      <c r="U837" s="141" t="str">
        <f>IF(R837&lt;&gt;"",SUMIFS('JPK_KR-1'!AL:AL,'JPK_KR-1'!W:W,S837),"")</f>
        <v/>
      </c>
      <c r="V837" s="144" t="str">
        <f>IF(R837&lt;&gt;"",SUMIFS('JPK_KR-1'!AM:AM,'JPK_KR-1'!W:W,S837),"")</f>
        <v/>
      </c>
    </row>
    <row r="838" spans="1:22" x14ac:dyDescent="0.3">
      <c r="A838" s="5" t="str">
        <f>IF(kokpit!A838&lt;&gt;"",kokpit!A838,"")</f>
        <v/>
      </c>
      <c r="B838" s="5" t="str">
        <f>IF(kokpit!B838&lt;&gt;"",kokpit!B838,"")</f>
        <v/>
      </c>
      <c r="C838" s="24" t="str">
        <f>IF(A838&lt;&gt;"",SUMIFS('JPK_KR-1'!AL:AL,'JPK_KR-1'!W:W,B838),"")</f>
        <v/>
      </c>
      <c r="D838" s="126" t="str">
        <f>IF(A838&lt;&gt;"",SUMIFS('JPK_KR-1'!AM:AM,'JPK_KR-1'!W:W,B838),"")</f>
        <v/>
      </c>
      <c r="E838" s="5" t="str">
        <f>IF(kokpit!E838&lt;&gt;"",kokpit!E838,"")</f>
        <v/>
      </c>
      <c r="F838" s="127" t="str">
        <f>IF(kokpit!F838&lt;&gt;"",kokpit!F838,"")</f>
        <v/>
      </c>
      <c r="G838" s="24" t="str">
        <f>IF(E838&lt;&gt;"",SUMIFS('JPK_KR-1'!AL:AL,'JPK_KR-1'!W:W,F838),"")</f>
        <v/>
      </c>
      <c r="H838" s="126" t="str">
        <f>IF(E838&lt;&gt;"",SUMIFS('JPK_KR-1'!AM:AM,'JPK_KR-1'!W:W,F838),"")</f>
        <v/>
      </c>
      <c r="I838" s="5" t="str">
        <f>IF(kokpit!I838&lt;&gt;"",kokpit!I838,"")</f>
        <v/>
      </c>
      <c r="J838" s="5" t="str">
        <f>IF(kokpit!J838&lt;&gt;"",kokpit!J838,"")</f>
        <v/>
      </c>
      <c r="K838" s="24" t="str">
        <f>IF(I838&lt;&gt;"",SUMIFS('JPK_KR-1'!AL:AL,'JPK_KR-1'!W:W,J838),"")</f>
        <v/>
      </c>
      <c r="L838" s="141" t="str">
        <f>IF(I838&lt;&gt;"",SUMIFS('JPK_KR-1'!AM:AM,'JPK_KR-1'!W:W,J838),"")</f>
        <v/>
      </c>
      <c r="M838" s="143" t="str">
        <f>IF(kokpit!M838&lt;&gt;"",kokpit!M838,"")</f>
        <v/>
      </c>
      <c r="N838" s="117" t="str">
        <f>IF(kokpit!N838&lt;&gt;"",kokpit!N838,"")</f>
        <v/>
      </c>
      <c r="O838" s="117" t="str">
        <f>IF(kokpit!O838&lt;&gt;"",kokpit!O838,"")</f>
        <v/>
      </c>
      <c r="P838" s="141" t="str">
        <f>IF(M838&lt;&gt;"",IF(O838="",SUMIFS('JPK_KR-1'!AL:AL,'JPK_KR-1'!W:W,N838),SUMIFS('JPK_KR-1'!BF:BF,'JPK_KR-1'!BE:BE,N838,'JPK_KR-1'!BG:BG,O838)),"")</f>
        <v/>
      </c>
      <c r="Q838" s="144" t="str">
        <f>IF(M838&lt;&gt;"",IF(O838="",SUMIFS('JPK_KR-1'!AM:AM,'JPK_KR-1'!W:W,N838),SUMIFS('JPK_KR-1'!BI:BI,'JPK_KR-1'!BH:BH,N838,'JPK_KR-1'!BJ:BJ,O838)),"")</f>
        <v/>
      </c>
      <c r="R838" s="117" t="str">
        <f>IF(kokpit!R838&lt;&gt;"",kokpit!R838,"")</f>
        <v/>
      </c>
      <c r="S838" s="117" t="str">
        <f>IF(kokpit!S838&lt;&gt;"",kokpit!S838,"")</f>
        <v/>
      </c>
      <c r="T838" s="117" t="str">
        <f>IF(kokpit!T838&lt;&gt;"",kokpit!T838,"")</f>
        <v/>
      </c>
      <c r="U838" s="141" t="str">
        <f>IF(R838&lt;&gt;"",SUMIFS('JPK_KR-1'!AL:AL,'JPK_KR-1'!W:W,S838),"")</f>
        <v/>
      </c>
      <c r="V838" s="144" t="str">
        <f>IF(R838&lt;&gt;"",SUMIFS('JPK_KR-1'!AM:AM,'JPK_KR-1'!W:W,S838),"")</f>
        <v/>
      </c>
    </row>
    <row r="839" spans="1:22" x14ac:dyDescent="0.3">
      <c r="A839" s="5" t="str">
        <f>IF(kokpit!A839&lt;&gt;"",kokpit!A839,"")</f>
        <v/>
      </c>
      <c r="B839" s="5" t="str">
        <f>IF(kokpit!B839&lt;&gt;"",kokpit!B839,"")</f>
        <v/>
      </c>
      <c r="C839" s="24" t="str">
        <f>IF(A839&lt;&gt;"",SUMIFS('JPK_KR-1'!AL:AL,'JPK_KR-1'!W:W,B839),"")</f>
        <v/>
      </c>
      <c r="D839" s="126" t="str">
        <f>IF(A839&lt;&gt;"",SUMIFS('JPK_KR-1'!AM:AM,'JPK_KR-1'!W:W,B839),"")</f>
        <v/>
      </c>
      <c r="E839" s="5" t="str">
        <f>IF(kokpit!E839&lt;&gt;"",kokpit!E839,"")</f>
        <v/>
      </c>
      <c r="F839" s="127" t="str">
        <f>IF(kokpit!F839&lt;&gt;"",kokpit!F839,"")</f>
        <v/>
      </c>
      <c r="G839" s="24" t="str">
        <f>IF(E839&lt;&gt;"",SUMIFS('JPK_KR-1'!AL:AL,'JPK_KR-1'!W:W,F839),"")</f>
        <v/>
      </c>
      <c r="H839" s="126" t="str">
        <f>IF(E839&lt;&gt;"",SUMIFS('JPK_KR-1'!AM:AM,'JPK_KR-1'!W:W,F839),"")</f>
        <v/>
      </c>
      <c r="I839" s="5" t="str">
        <f>IF(kokpit!I839&lt;&gt;"",kokpit!I839,"")</f>
        <v/>
      </c>
      <c r="J839" s="5" t="str">
        <f>IF(kokpit!J839&lt;&gt;"",kokpit!J839,"")</f>
        <v/>
      </c>
      <c r="K839" s="24" t="str">
        <f>IF(I839&lt;&gt;"",SUMIFS('JPK_KR-1'!AL:AL,'JPK_KR-1'!W:W,J839),"")</f>
        <v/>
      </c>
      <c r="L839" s="141" t="str">
        <f>IF(I839&lt;&gt;"",SUMIFS('JPK_KR-1'!AM:AM,'JPK_KR-1'!W:W,J839),"")</f>
        <v/>
      </c>
      <c r="M839" s="143" t="str">
        <f>IF(kokpit!M839&lt;&gt;"",kokpit!M839,"")</f>
        <v/>
      </c>
      <c r="N839" s="117" t="str">
        <f>IF(kokpit!N839&lt;&gt;"",kokpit!N839,"")</f>
        <v/>
      </c>
      <c r="O839" s="117" t="str">
        <f>IF(kokpit!O839&lt;&gt;"",kokpit!O839,"")</f>
        <v/>
      </c>
      <c r="P839" s="141" t="str">
        <f>IF(M839&lt;&gt;"",IF(O839="",SUMIFS('JPK_KR-1'!AL:AL,'JPK_KR-1'!W:W,N839),SUMIFS('JPK_KR-1'!BF:BF,'JPK_KR-1'!BE:BE,N839,'JPK_KR-1'!BG:BG,O839)),"")</f>
        <v/>
      </c>
      <c r="Q839" s="144" t="str">
        <f>IF(M839&lt;&gt;"",IF(O839="",SUMIFS('JPK_KR-1'!AM:AM,'JPK_KR-1'!W:W,N839),SUMIFS('JPK_KR-1'!BI:BI,'JPK_KR-1'!BH:BH,N839,'JPK_KR-1'!BJ:BJ,O839)),"")</f>
        <v/>
      </c>
      <c r="R839" s="117" t="str">
        <f>IF(kokpit!R839&lt;&gt;"",kokpit!R839,"")</f>
        <v/>
      </c>
      <c r="S839" s="117" t="str">
        <f>IF(kokpit!S839&lt;&gt;"",kokpit!S839,"")</f>
        <v/>
      </c>
      <c r="T839" s="117" t="str">
        <f>IF(kokpit!T839&lt;&gt;"",kokpit!T839,"")</f>
        <v/>
      </c>
      <c r="U839" s="141" t="str">
        <f>IF(R839&lt;&gt;"",SUMIFS('JPK_KR-1'!AL:AL,'JPK_KR-1'!W:W,S839),"")</f>
        <v/>
      </c>
      <c r="V839" s="144" t="str">
        <f>IF(R839&lt;&gt;"",SUMIFS('JPK_KR-1'!AM:AM,'JPK_KR-1'!W:W,S839),"")</f>
        <v/>
      </c>
    </row>
    <row r="840" spans="1:22" x14ac:dyDescent="0.3">
      <c r="A840" s="5" t="str">
        <f>IF(kokpit!A840&lt;&gt;"",kokpit!A840,"")</f>
        <v/>
      </c>
      <c r="B840" s="5" t="str">
        <f>IF(kokpit!B840&lt;&gt;"",kokpit!B840,"")</f>
        <v/>
      </c>
      <c r="C840" s="24" t="str">
        <f>IF(A840&lt;&gt;"",SUMIFS('JPK_KR-1'!AL:AL,'JPK_KR-1'!W:W,B840),"")</f>
        <v/>
      </c>
      <c r="D840" s="126" t="str">
        <f>IF(A840&lt;&gt;"",SUMIFS('JPK_KR-1'!AM:AM,'JPK_KR-1'!W:W,B840),"")</f>
        <v/>
      </c>
      <c r="E840" s="5" t="str">
        <f>IF(kokpit!E840&lt;&gt;"",kokpit!E840,"")</f>
        <v/>
      </c>
      <c r="F840" s="127" t="str">
        <f>IF(kokpit!F840&lt;&gt;"",kokpit!F840,"")</f>
        <v/>
      </c>
      <c r="G840" s="24" t="str">
        <f>IF(E840&lt;&gt;"",SUMIFS('JPK_KR-1'!AL:AL,'JPK_KR-1'!W:W,F840),"")</f>
        <v/>
      </c>
      <c r="H840" s="126" t="str">
        <f>IF(E840&lt;&gt;"",SUMIFS('JPK_KR-1'!AM:AM,'JPK_KR-1'!W:W,F840),"")</f>
        <v/>
      </c>
      <c r="I840" s="5" t="str">
        <f>IF(kokpit!I840&lt;&gt;"",kokpit!I840,"")</f>
        <v/>
      </c>
      <c r="J840" s="5" t="str">
        <f>IF(kokpit!J840&lt;&gt;"",kokpit!J840,"")</f>
        <v/>
      </c>
      <c r="K840" s="24" t="str">
        <f>IF(I840&lt;&gt;"",SUMIFS('JPK_KR-1'!AL:AL,'JPK_KR-1'!W:W,J840),"")</f>
        <v/>
      </c>
      <c r="L840" s="141" t="str">
        <f>IF(I840&lt;&gt;"",SUMIFS('JPK_KR-1'!AM:AM,'JPK_KR-1'!W:W,J840),"")</f>
        <v/>
      </c>
      <c r="M840" s="143" t="str">
        <f>IF(kokpit!M840&lt;&gt;"",kokpit!M840,"")</f>
        <v/>
      </c>
      <c r="N840" s="117" t="str">
        <f>IF(kokpit!N840&lt;&gt;"",kokpit!N840,"")</f>
        <v/>
      </c>
      <c r="O840" s="117" t="str">
        <f>IF(kokpit!O840&lt;&gt;"",kokpit!O840,"")</f>
        <v/>
      </c>
      <c r="P840" s="141" t="str">
        <f>IF(M840&lt;&gt;"",IF(O840="",SUMIFS('JPK_KR-1'!AL:AL,'JPK_KR-1'!W:W,N840),SUMIFS('JPK_KR-1'!BF:BF,'JPK_KR-1'!BE:BE,N840,'JPK_KR-1'!BG:BG,O840)),"")</f>
        <v/>
      </c>
      <c r="Q840" s="144" t="str">
        <f>IF(M840&lt;&gt;"",IF(O840="",SUMIFS('JPK_KR-1'!AM:AM,'JPK_KR-1'!W:W,N840),SUMIFS('JPK_KR-1'!BI:BI,'JPK_KR-1'!BH:BH,N840,'JPK_KR-1'!BJ:BJ,O840)),"")</f>
        <v/>
      </c>
      <c r="R840" s="117" t="str">
        <f>IF(kokpit!R840&lt;&gt;"",kokpit!R840,"")</f>
        <v/>
      </c>
      <c r="S840" s="117" t="str">
        <f>IF(kokpit!S840&lt;&gt;"",kokpit!S840,"")</f>
        <v/>
      </c>
      <c r="T840" s="117" t="str">
        <f>IF(kokpit!T840&lt;&gt;"",kokpit!T840,"")</f>
        <v/>
      </c>
      <c r="U840" s="141" t="str">
        <f>IF(R840&lt;&gt;"",SUMIFS('JPK_KR-1'!AL:AL,'JPK_KR-1'!W:W,S840),"")</f>
        <v/>
      </c>
      <c r="V840" s="144" t="str">
        <f>IF(R840&lt;&gt;"",SUMIFS('JPK_KR-1'!AM:AM,'JPK_KR-1'!W:W,S840),"")</f>
        <v/>
      </c>
    </row>
    <row r="841" spans="1:22" x14ac:dyDescent="0.3">
      <c r="A841" s="5" t="str">
        <f>IF(kokpit!A841&lt;&gt;"",kokpit!A841,"")</f>
        <v/>
      </c>
      <c r="B841" s="5" t="str">
        <f>IF(kokpit!B841&lt;&gt;"",kokpit!B841,"")</f>
        <v/>
      </c>
      <c r="C841" s="24" t="str">
        <f>IF(A841&lt;&gt;"",SUMIFS('JPK_KR-1'!AL:AL,'JPK_KR-1'!W:W,B841),"")</f>
        <v/>
      </c>
      <c r="D841" s="126" t="str">
        <f>IF(A841&lt;&gt;"",SUMIFS('JPK_KR-1'!AM:AM,'JPK_KR-1'!W:W,B841),"")</f>
        <v/>
      </c>
      <c r="E841" s="5" t="str">
        <f>IF(kokpit!E841&lt;&gt;"",kokpit!E841,"")</f>
        <v/>
      </c>
      <c r="F841" s="127" t="str">
        <f>IF(kokpit!F841&lt;&gt;"",kokpit!F841,"")</f>
        <v/>
      </c>
      <c r="G841" s="24" t="str">
        <f>IF(E841&lt;&gt;"",SUMIFS('JPK_KR-1'!AL:AL,'JPK_KR-1'!W:W,F841),"")</f>
        <v/>
      </c>
      <c r="H841" s="126" t="str">
        <f>IF(E841&lt;&gt;"",SUMIFS('JPK_KR-1'!AM:AM,'JPK_KR-1'!W:W,F841),"")</f>
        <v/>
      </c>
      <c r="I841" s="5" t="str">
        <f>IF(kokpit!I841&lt;&gt;"",kokpit!I841,"")</f>
        <v/>
      </c>
      <c r="J841" s="5" t="str">
        <f>IF(kokpit!J841&lt;&gt;"",kokpit!J841,"")</f>
        <v/>
      </c>
      <c r="K841" s="24" t="str">
        <f>IF(I841&lt;&gt;"",SUMIFS('JPK_KR-1'!AL:AL,'JPK_KR-1'!W:W,J841),"")</f>
        <v/>
      </c>
      <c r="L841" s="141" t="str">
        <f>IF(I841&lt;&gt;"",SUMIFS('JPK_KR-1'!AM:AM,'JPK_KR-1'!W:W,J841),"")</f>
        <v/>
      </c>
      <c r="M841" s="143" t="str">
        <f>IF(kokpit!M841&lt;&gt;"",kokpit!M841,"")</f>
        <v/>
      </c>
      <c r="N841" s="117" t="str">
        <f>IF(kokpit!N841&lt;&gt;"",kokpit!N841,"")</f>
        <v/>
      </c>
      <c r="O841" s="117" t="str">
        <f>IF(kokpit!O841&lt;&gt;"",kokpit!O841,"")</f>
        <v/>
      </c>
      <c r="P841" s="141" t="str">
        <f>IF(M841&lt;&gt;"",IF(O841="",SUMIFS('JPK_KR-1'!AL:AL,'JPK_KR-1'!W:W,N841),SUMIFS('JPK_KR-1'!BF:BF,'JPK_KR-1'!BE:BE,N841,'JPK_KR-1'!BG:BG,O841)),"")</f>
        <v/>
      </c>
      <c r="Q841" s="144" t="str">
        <f>IF(M841&lt;&gt;"",IF(O841="",SUMIFS('JPK_KR-1'!AM:AM,'JPK_KR-1'!W:W,N841),SUMIFS('JPK_KR-1'!BI:BI,'JPK_KR-1'!BH:BH,N841,'JPK_KR-1'!BJ:BJ,O841)),"")</f>
        <v/>
      </c>
      <c r="R841" s="117" t="str">
        <f>IF(kokpit!R841&lt;&gt;"",kokpit!R841,"")</f>
        <v/>
      </c>
      <c r="S841" s="117" t="str">
        <f>IF(kokpit!S841&lt;&gt;"",kokpit!S841,"")</f>
        <v/>
      </c>
      <c r="T841" s="117" t="str">
        <f>IF(kokpit!T841&lt;&gt;"",kokpit!T841,"")</f>
        <v/>
      </c>
      <c r="U841" s="141" t="str">
        <f>IF(R841&lt;&gt;"",SUMIFS('JPK_KR-1'!AL:AL,'JPK_KR-1'!W:W,S841),"")</f>
        <v/>
      </c>
      <c r="V841" s="144" t="str">
        <f>IF(R841&lt;&gt;"",SUMIFS('JPK_KR-1'!AM:AM,'JPK_KR-1'!W:W,S841),"")</f>
        <v/>
      </c>
    </row>
    <row r="842" spans="1:22" x14ac:dyDescent="0.3">
      <c r="A842" s="5" t="str">
        <f>IF(kokpit!A842&lt;&gt;"",kokpit!A842,"")</f>
        <v/>
      </c>
      <c r="B842" s="5" t="str">
        <f>IF(kokpit!B842&lt;&gt;"",kokpit!B842,"")</f>
        <v/>
      </c>
      <c r="C842" s="24" t="str">
        <f>IF(A842&lt;&gt;"",SUMIFS('JPK_KR-1'!AL:AL,'JPK_KR-1'!W:W,B842),"")</f>
        <v/>
      </c>
      <c r="D842" s="126" t="str">
        <f>IF(A842&lt;&gt;"",SUMIFS('JPK_KR-1'!AM:AM,'JPK_KR-1'!W:W,B842),"")</f>
        <v/>
      </c>
      <c r="E842" s="5" t="str">
        <f>IF(kokpit!E842&lt;&gt;"",kokpit!E842,"")</f>
        <v/>
      </c>
      <c r="F842" s="127" t="str">
        <f>IF(kokpit!F842&lt;&gt;"",kokpit!F842,"")</f>
        <v/>
      </c>
      <c r="G842" s="24" t="str">
        <f>IF(E842&lt;&gt;"",SUMIFS('JPK_KR-1'!AL:AL,'JPK_KR-1'!W:W,F842),"")</f>
        <v/>
      </c>
      <c r="H842" s="126" t="str">
        <f>IF(E842&lt;&gt;"",SUMIFS('JPK_KR-1'!AM:AM,'JPK_KR-1'!W:W,F842),"")</f>
        <v/>
      </c>
      <c r="I842" s="5" t="str">
        <f>IF(kokpit!I842&lt;&gt;"",kokpit!I842,"")</f>
        <v/>
      </c>
      <c r="J842" s="5" t="str">
        <f>IF(kokpit!J842&lt;&gt;"",kokpit!J842,"")</f>
        <v/>
      </c>
      <c r="K842" s="24" t="str">
        <f>IF(I842&lt;&gt;"",SUMIFS('JPK_KR-1'!AL:AL,'JPK_KR-1'!W:W,J842),"")</f>
        <v/>
      </c>
      <c r="L842" s="141" t="str">
        <f>IF(I842&lt;&gt;"",SUMIFS('JPK_KR-1'!AM:AM,'JPK_KR-1'!W:W,J842),"")</f>
        <v/>
      </c>
      <c r="M842" s="143" t="str">
        <f>IF(kokpit!M842&lt;&gt;"",kokpit!M842,"")</f>
        <v/>
      </c>
      <c r="N842" s="117" t="str">
        <f>IF(kokpit!N842&lt;&gt;"",kokpit!N842,"")</f>
        <v/>
      </c>
      <c r="O842" s="117" t="str">
        <f>IF(kokpit!O842&lt;&gt;"",kokpit!O842,"")</f>
        <v/>
      </c>
      <c r="P842" s="141" t="str">
        <f>IF(M842&lt;&gt;"",IF(O842="",SUMIFS('JPK_KR-1'!AL:AL,'JPK_KR-1'!W:W,N842),SUMIFS('JPK_KR-1'!BF:BF,'JPK_KR-1'!BE:BE,N842,'JPK_KR-1'!BG:BG,O842)),"")</f>
        <v/>
      </c>
      <c r="Q842" s="144" t="str">
        <f>IF(M842&lt;&gt;"",IF(O842="",SUMIFS('JPK_KR-1'!AM:AM,'JPK_KR-1'!W:W,N842),SUMIFS('JPK_KR-1'!BI:BI,'JPK_KR-1'!BH:BH,N842,'JPK_KR-1'!BJ:BJ,O842)),"")</f>
        <v/>
      </c>
      <c r="R842" s="117" t="str">
        <f>IF(kokpit!R842&lt;&gt;"",kokpit!R842,"")</f>
        <v/>
      </c>
      <c r="S842" s="117" t="str">
        <f>IF(kokpit!S842&lt;&gt;"",kokpit!S842,"")</f>
        <v/>
      </c>
      <c r="T842" s="117" t="str">
        <f>IF(kokpit!T842&lt;&gt;"",kokpit!T842,"")</f>
        <v/>
      </c>
      <c r="U842" s="141" t="str">
        <f>IF(R842&lt;&gt;"",SUMIFS('JPK_KR-1'!AL:AL,'JPK_KR-1'!W:W,S842),"")</f>
        <v/>
      </c>
      <c r="V842" s="144" t="str">
        <f>IF(R842&lt;&gt;"",SUMIFS('JPK_KR-1'!AM:AM,'JPK_KR-1'!W:W,S842),"")</f>
        <v/>
      </c>
    </row>
    <row r="843" spans="1:22" x14ac:dyDescent="0.3">
      <c r="A843" s="5" t="str">
        <f>IF(kokpit!A843&lt;&gt;"",kokpit!A843,"")</f>
        <v/>
      </c>
      <c r="B843" s="5" t="str">
        <f>IF(kokpit!B843&lt;&gt;"",kokpit!B843,"")</f>
        <v/>
      </c>
      <c r="C843" s="24" t="str">
        <f>IF(A843&lt;&gt;"",SUMIFS('JPK_KR-1'!AL:AL,'JPK_KR-1'!W:W,B843),"")</f>
        <v/>
      </c>
      <c r="D843" s="126" t="str">
        <f>IF(A843&lt;&gt;"",SUMIFS('JPK_KR-1'!AM:AM,'JPK_KR-1'!W:W,B843),"")</f>
        <v/>
      </c>
      <c r="E843" s="5" t="str">
        <f>IF(kokpit!E843&lt;&gt;"",kokpit!E843,"")</f>
        <v/>
      </c>
      <c r="F843" s="127" t="str">
        <f>IF(kokpit!F843&lt;&gt;"",kokpit!F843,"")</f>
        <v/>
      </c>
      <c r="G843" s="24" t="str">
        <f>IF(E843&lt;&gt;"",SUMIFS('JPK_KR-1'!AL:AL,'JPK_KR-1'!W:W,F843),"")</f>
        <v/>
      </c>
      <c r="H843" s="126" t="str">
        <f>IF(E843&lt;&gt;"",SUMIFS('JPK_KR-1'!AM:AM,'JPK_KR-1'!W:W,F843),"")</f>
        <v/>
      </c>
      <c r="I843" s="5" t="str">
        <f>IF(kokpit!I843&lt;&gt;"",kokpit!I843,"")</f>
        <v/>
      </c>
      <c r="J843" s="5" t="str">
        <f>IF(kokpit!J843&lt;&gt;"",kokpit!J843,"")</f>
        <v/>
      </c>
      <c r="K843" s="24" t="str">
        <f>IF(I843&lt;&gt;"",SUMIFS('JPK_KR-1'!AL:AL,'JPK_KR-1'!W:W,J843),"")</f>
        <v/>
      </c>
      <c r="L843" s="141" t="str">
        <f>IF(I843&lt;&gt;"",SUMIFS('JPK_KR-1'!AM:AM,'JPK_KR-1'!W:W,J843),"")</f>
        <v/>
      </c>
      <c r="M843" s="143" t="str">
        <f>IF(kokpit!M843&lt;&gt;"",kokpit!M843,"")</f>
        <v/>
      </c>
      <c r="N843" s="117" t="str">
        <f>IF(kokpit!N843&lt;&gt;"",kokpit!N843,"")</f>
        <v/>
      </c>
      <c r="O843" s="117" t="str">
        <f>IF(kokpit!O843&lt;&gt;"",kokpit!O843,"")</f>
        <v/>
      </c>
      <c r="P843" s="141" t="str">
        <f>IF(M843&lt;&gt;"",IF(O843="",SUMIFS('JPK_KR-1'!AL:AL,'JPK_KR-1'!W:W,N843),SUMIFS('JPK_KR-1'!BF:BF,'JPK_KR-1'!BE:BE,N843,'JPK_KR-1'!BG:BG,O843)),"")</f>
        <v/>
      </c>
      <c r="Q843" s="144" t="str">
        <f>IF(M843&lt;&gt;"",IF(O843="",SUMIFS('JPK_KR-1'!AM:AM,'JPK_KR-1'!W:W,N843),SUMIFS('JPK_KR-1'!BI:BI,'JPK_KR-1'!BH:BH,N843,'JPK_KR-1'!BJ:BJ,O843)),"")</f>
        <v/>
      </c>
      <c r="R843" s="117" t="str">
        <f>IF(kokpit!R843&lt;&gt;"",kokpit!R843,"")</f>
        <v/>
      </c>
      <c r="S843" s="117" t="str">
        <f>IF(kokpit!S843&lt;&gt;"",kokpit!S843,"")</f>
        <v/>
      </c>
      <c r="T843" s="117" t="str">
        <f>IF(kokpit!T843&lt;&gt;"",kokpit!T843,"")</f>
        <v/>
      </c>
      <c r="U843" s="141" t="str">
        <f>IF(R843&lt;&gt;"",SUMIFS('JPK_KR-1'!AL:AL,'JPK_KR-1'!W:W,S843),"")</f>
        <v/>
      </c>
      <c r="V843" s="144" t="str">
        <f>IF(R843&lt;&gt;"",SUMIFS('JPK_KR-1'!AM:AM,'JPK_KR-1'!W:W,S843),"")</f>
        <v/>
      </c>
    </row>
    <row r="844" spans="1:22" x14ac:dyDescent="0.3">
      <c r="A844" s="5" t="str">
        <f>IF(kokpit!A844&lt;&gt;"",kokpit!A844,"")</f>
        <v/>
      </c>
      <c r="B844" s="5" t="str">
        <f>IF(kokpit!B844&lt;&gt;"",kokpit!B844,"")</f>
        <v/>
      </c>
      <c r="C844" s="24" t="str">
        <f>IF(A844&lt;&gt;"",SUMIFS('JPK_KR-1'!AL:AL,'JPK_KR-1'!W:W,B844),"")</f>
        <v/>
      </c>
      <c r="D844" s="126" t="str">
        <f>IF(A844&lt;&gt;"",SUMIFS('JPK_KR-1'!AM:AM,'JPK_KR-1'!W:W,B844),"")</f>
        <v/>
      </c>
      <c r="E844" s="5" t="str">
        <f>IF(kokpit!E844&lt;&gt;"",kokpit!E844,"")</f>
        <v/>
      </c>
      <c r="F844" s="127" t="str">
        <f>IF(kokpit!F844&lt;&gt;"",kokpit!F844,"")</f>
        <v/>
      </c>
      <c r="G844" s="24" t="str">
        <f>IF(E844&lt;&gt;"",SUMIFS('JPK_KR-1'!AL:AL,'JPK_KR-1'!W:W,F844),"")</f>
        <v/>
      </c>
      <c r="H844" s="126" t="str">
        <f>IF(E844&lt;&gt;"",SUMIFS('JPK_KR-1'!AM:AM,'JPK_KR-1'!W:W,F844),"")</f>
        <v/>
      </c>
      <c r="I844" s="5" t="str">
        <f>IF(kokpit!I844&lt;&gt;"",kokpit!I844,"")</f>
        <v/>
      </c>
      <c r="J844" s="5" t="str">
        <f>IF(kokpit!J844&lt;&gt;"",kokpit!J844,"")</f>
        <v/>
      </c>
      <c r="K844" s="24" t="str">
        <f>IF(I844&lt;&gt;"",SUMIFS('JPK_KR-1'!AL:AL,'JPK_KR-1'!W:W,J844),"")</f>
        <v/>
      </c>
      <c r="L844" s="141" t="str">
        <f>IF(I844&lt;&gt;"",SUMIFS('JPK_KR-1'!AM:AM,'JPK_KR-1'!W:W,J844),"")</f>
        <v/>
      </c>
      <c r="M844" s="143" t="str">
        <f>IF(kokpit!M844&lt;&gt;"",kokpit!M844,"")</f>
        <v/>
      </c>
      <c r="N844" s="117" t="str">
        <f>IF(kokpit!N844&lt;&gt;"",kokpit!N844,"")</f>
        <v/>
      </c>
      <c r="O844" s="117" t="str">
        <f>IF(kokpit!O844&lt;&gt;"",kokpit!O844,"")</f>
        <v/>
      </c>
      <c r="P844" s="141" t="str">
        <f>IF(M844&lt;&gt;"",IF(O844="",SUMIFS('JPK_KR-1'!AL:AL,'JPK_KR-1'!W:W,N844),SUMIFS('JPK_KR-1'!BF:BF,'JPK_KR-1'!BE:BE,N844,'JPK_KR-1'!BG:BG,O844)),"")</f>
        <v/>
      </c>
      <c r="Q844" s="144" t="str">
        <f>IF(M844&lt;&gt;"",IF(O844="",SUMIFS('JPK_KR-1'!AM:AM,'JPK_KR-1'!W:W,N844),SUMIFS('JPK_KR-1'!BI:BI,'JPK_KR-1'!BH:BH,N844,'JPK_KR-1'!BJ:BJ,O844)),"")</f>
        <v/>
      </c>
      <c r="R844" s="117" t="str">
        <f>IF(kokpit!R844&lt;&gt;"",kokpit!R844,"")</f>
        <v/>
      </c>
      <c r="S844" s="117" t="str">
        <f>IF(kokpit!S844&lt;&gt;"",kokpit!S844,"")</f>
        <v/>
      </c>
      <c r="T844" s="117" t="str">
        <f>IF(kokpit!T844&lt;&gt;"",kokpit!T844,"")</f>
        <v/>
      </c>
      <c r="U844" s="141" t="str">
        <f>IF(R844&lt;&gt;"",SUMIFS('JPK_KR-1'!AL:AL,'JPK_KR-1'!W:W,S844),"")</f>
        <v/>
      </c>
      <c r="V844" s="144" t="str">
        <f>IF(R844&lt;&gt;"",SUMIFS('JPK_KR-1'!AM:AM,'JPK_KR-1'!W:W,S844),"")</f>
        <v/>
      </c>
    </row>
    <row r="845" spans="1:22" x14ac:dyDescent="0.3">
      <c r="A845" s="5" t="str">
        <f>IF(kokpit!A845&lt;&gt;"",kokpit!A845,"")</f>
        <v/>
      </c>
      <c r="B845" s="5" t="str">
        <f>IF(kokpit!B845&lt;&gt;"",kokpit!B845,"")</f>
        <v/>
      </c>
      <c r="C845" s="24" t="str">
        <f>IF(A845&lt;&gt;"",SUMIFS('JPK_KR-1'!AL:AL,'JPK_KR-1'!W:W,B845),"")</f>
        <v/>
      </c>
      <c r="D845" s="126" t="str">
        <f>IF(A845&lt;&gt;"",SUMIFS('JPK_KR-1'!AM:AM,'JPK_KR-1'!W:W,B845),"")</f>
        <v/>
      </c>
      <c r="E845" s="5" t="str">
        <f>IF(kokpit!E845&lt;&gt;"",kokpit!E845,"")</f>
        <v/>
      </c>
      <c r="F845" s="127" t="str">
        <f>IF(kokpit!F845&lt;&gt;"",kokpit!F845,"")</f>
        <v/>
      </c>
      <c r="G845" s="24" t="str">
        <f>IF(E845&lt;&gt;"",SUMIFS('JPK_KR-1'!AL:AL,'JPK_KR-1'!W:W,F845),"")</f>
        <v/>
      </c>
      <c r="H845" s="126" t="str">
        <f>IF(E845&lt;&gt;"",SUMIFS('JPK_KR-1'!AM:AM,'JPK_KR-1'!W:W,F845),"")</f>
        <v/>
      </c>
      <c r="I845" s="5" t="str">
        <f>IF(kokpit!I845&lt;&gt;"",kokpit!I845,"")</f>
        <v/>
      </c>
      <c r="J845" s="5" t="str">
        <f>IF(kokpit!J845&lt;&gt;"",kokpit!J845,"")</f>
        <v/>
      </c>
      <c r="K845" s="24" t="str">
        <f>IF(I845&lt;&gt;"",SUMIFS('JPK_KR-1'!AL:AL,'JPK_KR-1'!W:W,J845),"")</f>
        <v/>
      </c>
      <c r="L845" s="141" t="str">
        <f>IF(I845&lt;&gt;"",SUMIFS('JPK_KR-1'!AM:AM,'JPK_KR-1'!W:W,J845),"")</f>
        <v/>
      </c>
      <c r="M845" s="143" t="str">
        <f>IF(kokpit!M845&lt;&gt;"",kokpit!M845,"")</f>
        <v/>
      </c>
      <c r="N845" s="117" t="str">
        <f>IF(kokpit!N845&lt;&gt;"",kokpit!N845,"")</f>
        <v/>
      </c>
      <c r="O845" s="117" t="str">
        <f>IF(kokpit!O845&lt;&gt;"",kokpit!O845,"")</f>
        <v/>
      </c>
      <c r="P845" s="141" t="str">
        <f>IF(M845&lt;&gt;"",IF(O845="",SUMIFS('JPK_KR-1'!AL:AL,'JPK_KR-1'!W:W,N845),SUMIFS('JPK_KR-1'!BF:BF,'JPK_KR-1'!BE:BE,N845,'JPK_KR-1'!BG:BG,O845)),"")</f>
        <v/>
      </c>
      <c r="Q845" s="144" t="str">
        <f>IF(M845&lt;&gt;"",IF(O845="",SUMIFS('JPK_KR-1'!AM:AM,'JPK_KR-1'!W:W,N845),SUMIFS('JPK_KR-1'!BI:BI,'JPK_KR-1'!BH:BH,N845,'JPK_KR-1'!BJ:BJ,O845)),"")</f>
        <v/>
      </c>
      <c r="R845" s="117" t="str">
        <f>IF(kokpit!R845&lt;&gt;"",kokpit!R845,"")</f>
        <v/>
      </c>
      <c r="S845" s="117" t="str">
        <f>IF(kokpit!S845&lt;&gt;"",kokpit!S845,"")</f>
        <v/>
      </c>
      <c r="T845" s="117" t="str">
        <f>IF(kokpit!T845&lt;&gt;"",kokpit!T845,"")</f>
        <v/>
      </c>
      <c r="U845" s="141" t="str">
        <f>IF(R845&lt;&gt;"",SUMIFS('JPK_KR-1'!AL:AL,'JPK_KR-1'!W:W,S845),"")</f>
        <v/>
      </c>
      <c r="V845" s="144" t="str">
        <f>IF(R845&lt;&gt;"",SUMIFS('JPK_KR-1'!AM:AM,'JPK_KR-1'!W:W,S845),"")</f>
        <v/>
      </c>
    </row>
    <row r="846" spans="1:22" x14ac:dyDescent="0.3">
      <c r="A846" s="5" t="str">
        <f>IF(kokpit!A846&lt;&gt;"",kokpit!A846,"")</f>
        <v/>
      </c>
      <c r="B846" s="5" t="str">
        <f>IF(kokpit!B846&lt;&gt;"",kokpit!B846,"")</f>
        <v/>
      </c>
      <c r="C846" s="24" t="str">
        <f>IF(A846&lt;&gt;"",SUMIFS('JPK_KR-1'!AL:AL,'JPK_KR-1'!W:W,B846),"")</f>
        <v/>
      </c>
      <c r="D846" s="126" t="str">
        <f>IF(A846&lt;&gt;"",SUMIFS('JPK_KR-1'!AM:AM,'JPK_KR-1'!W:W,B846),"")</f>
        <v/>
      </c>
      <c r="E846" s="5" t="str">
        <f>IF(kokpit!E846&lt;&gt;"",kokpit!E846,"")</f>
        <v/>
      </c>
      <c r="F846" s="127" t="str">
        <f>IF(kokpit!F846&lt;&gt;"",kokpit!F846,"")</f>
        <v/>
      </c>
      <c r="G846" s="24" t="str">
        <f>IF(E846&lt;&gt;"",SUMIFS('JPK_KR-1'!AL:AL,'JPK_KR-1'!W:W,F846),"")</f>
        <v/>
      </c>
      <c r="H846" s="126" t="str">
        <f>IF(E846&lt;&gt;"",SUMIFS('JPK_KR-1'!AM:AM,'JPK_KR-1'!W:W,F846),"")</f>
        <v/>
      </c>
      <c r="I846" s="5" t="str">
        <f>IF(kokpit!I846&lt;&gt;"",kokpit!I846,"")</f>
        <v/>
      </c>
      <c r="J846" s="5" t="str">
        <f>IF(kokpit!J846&lt;&gt;"",kokpit!J846,"")</f>
        <v/>
      </c>
      <c r="K846" s="24" t="str">
        <f>IF(I846&lt;&gt;"",SUMIFS('JPK_KR-1'!AL:AL,'JPK_KR-1'!W:W,J846),"")</f>
        <v/>
      </c>
      <c r="L846" s="141" t="str">
        <f>IF(I846&lt;&gt;"",SUMIFS('JPK_KR-1'!AM:AM,'JPK_KR-1'!W:W,J846),"")</f>
        <v/>
      </c>
      <c r="M846" s="143" t="str">
        <f>IF(kokpit!M846&lt;&gt;"",kokpit!M846,"")</f>
        <v/>
      </c>
      <c r="N846" s="117" t="str">
        <f>IF(kokpit!N846&lt;&gt;"",kokpit!N846,"")</f>
        <v/>
      </c>
      <c r="O846" s="117" t="str">
        <f>IF(kokpit!O846&lt;&gt;"",kokpit!O846,"")</f>
        <v/>
      </c>
      <c r="P846" s="141" t="str">
        <f>IF(M846&lt;&gt;"",IF(O846="",SUMIFS('JPK_KR-1'!AL:AL,'JPK_KR-1'!W:W,N846),SUMIFS('JPK_KR-1'!BF:BF,'JPK_KR-1'!BE:BE,N846,'JPK_KR-1'!BG:BG,O846)),"")</f>
        <v/>
      </c>
      <c r="Q846" s="144" t="str">
        <f>IF(M846&lt;&gt;"",IF(O846="",SUMIFS('JPK_KR-1'!AM:AM,'JPK_KR-1'!W:W,N846),SUMIFS('JPK_KR-1'!BI:BI,'JPK_KR-1'!BH:BH,N846,'JPK_KR-1'!BJ:BJ,O846)),"")</f>
        <v/>
      </c>
      <c r="R846" s="117" t="str">
        <f>IF(kokpit!R846&lt;&gt;"",kokpit!R846,"")</f>
        <v/>
      </c>
      <c r="S846" s="117" t="str">
        <f>IF(kokpit!S846&lt;&gt;"",kokpit!S846,"")</f>
        <v/>
      </c>
      <c r="T846" s="117" t="str">
        <f>IF(kokpit!T846&lt;&gt;"",kokpit!T846,"")</f>
        <v/>
      </c>
      <c r="U846" s="141" t="str">
        <f>IF(R846&lt;&gt;"",SUMIFS('JPK_KR-1'!AL:AL,'JPK_KR-1'!W:W,S846),"")</f>
        <v/>
      </c>
      <c r="V846" s="144" t="str">
        <f>IF(R846&lt;&gt;"",SUMIFS('JPK_KR-1'!AM:AM,'JPK_KR-1'!W:W,S846),"")</f>
        <v/>
      </c>
    </row>
    <row r="847" spans="1:22" x14ac:dyDescent="0.3">
      <c r="A847" s="5" t="str">
        <f>IF(kokpit!A847&lt;&gt;"",kokpit!A847,"")</f>
        <v/>
      </c>
      <c r="B847" s="5" t="str">
        <f>IF(kokpit!B847&lt;&gt;"",kokpit!B847,"")</f>
        <v/>
      </c>
      <c r="C847" s="24" t="str">
        <f>IF(A847&lt;&gt;"",SUMIFS('JPK_KR-1'!AL:AL,'JPK_KR-1'!W:W,B847),"")</f>
        <v/>
      </c>
      <c r="D847" s="126" t="str">
        <f>IF(A847&lt;&gt;"",SUMIFS('JPK_KR-1'!AM:AM,'JPK_KR-1'!W:W,B847),"")</f>
        <v/>
      </c>
      <c r="E847" s="5" t="str">
        <f>IF(kokpit!E847&lt;&gt;"",kokpit!E847,"")</f>
        <v/>
      </c>
      <c r="F847" s="127" t="str">
        <f>IF(kokpit!F847&lt;&gt;"",kokpit!F847,"")</f>
        <v/>
      </c>
      <c r="G847" s="24" t="str">
        <f>IF(E847&lt;&gt;"",SUMIFS('JPK_KR-1'!AL:AL,'JPK_KR-1'!W:W,F847),"")</f>
        <v/>
      </c>
      <c r="H847" s="126" t="str">
        <f>IF(E847&lt;&gt;"",SUMIFS('JPK_KR-1'!AM:AM,'JPK_KR-1'!W:W,F847),"")</f>
        <v/>
      </c>
      <c r="I847" s="5" t="str">
        <f>IF(kokpit!I847&lt;&gt;"",kokpit!I847,"")</f>
        <v/>
      </c>
      <c r="J847" s="5" t="str">
        <f>IF(kokpit!J847&lt;&gt;"",kokpit!J847,"")</f>
        <v/>
      </c>
      <c r="K847" s="24" t="str">
        <f>IF(I847&lt;&gt;"",SUMIFS('JPK_KR-1'!AL:AL,'JPK_KR-1'!W:W,J847),"")</f>
        <v/>
      </c>
      <c r="L847" s="141" t="str">
        <f>IF(I847&lt;&gt;"",SUMIFS('JPK_KR-1'!AM:AM,'JPK_KR-1'!W:W,J847),"")</f>
        <v/>
      </c>
      <c r="M847" s="143" t="str">
        <f>IF(kokpit!M847&lt;&gt;"",kokpit!M847,"")</f>
        <v/>
      </c>
      <c r="N847" s="117" t="str">
        <f>IF(kokpit!N847&lt;&gt;"",kokpit!N847,"")</f>
        <v/>
      </c>
      <c r="O847" s="117" t="str">
        <f>IF(kokpit!O847&lt;&gt;"",kokpit!O847,"")</f>
        <v/>
      </c>
      <c r="P847" s="141" t="str">
        <f>IF(M847&lt;&gt;"",IF(O847="",SUMIFS('JPK_KR-1'!AL:AL,'JPK_KR-1'!W:W,N847),SUMIFS('JPK_KR-1'!BF:BF,'JPK_KR-1'!BE:BE,N847,'JPK_KR-1'!BG:BG,O847)),"")</f>
        <v/>
      </c>
      <c r="Q847" s="144" t="str">
        <f>IF(M847&lt;&gt;"",IF(O847="",SUMIFS('JPK_KR-1'!AM:AM,'JPK_KR-1'!W:W,N847),SUMIFS('JPK_KR-1'!BI:BI,'JPK_KR-1'!BH:BH,N847,'JPK_KR-1'!BJ:BJ,O847)),"")</f>
        <v/>
      </c>
      <c r="R847" s="117" t="str">
        <f>IF(kokpit!R847&lt;&gt;"",kokpit!R847,"")</f>
        <v/>
      </c>
      <c r="S847" s="117" t="str">
        <f>IF(kokpit!S847&lt;&gt;"",kokpit!S847,"")</f>
        <v/>
      </c>
      <c r="T847" s="117" t="str">
        <f>IF(kokpit!T847&lt;&gt;"",kokpit!T847,"")</f>
        <v/>
      </c>
      <c r="U847" s="141" t="str">
        <f>IF(R847&lt;&gt;"",SUMIFS('JPK_KR-1'!AL:AL,'JPK_KR-1'!W:W,S847),"")</f>
        <v/>
      </c>
      <c r="V847" s="144" t="str">
        <f>IF(R847&lt;&gt;"",SUMIFS('JPK_KR-1'!AM:AM,'JPK_KR-1'!W:W,S847),"")</f>
        <v/>
      </c>
    </row>
    <row r="848" spans="1:22" x14ac:dyDescent="0.3">
      <c r="A848" s="5" t="str">
        <f>IF(kokpit!A848&lt;&gt;"",kokpit!A848,"")</f>
        <v/>
      </c>
      <c r="B848" s="5" t="str">
        <f>IF(kokpit!B848&lt;&gt;"",kokpit!B848,"")</f>
        <v/>
      </c>
      <c r="C848" s="24" t="str">
        <f>IF(A848&lt;&gt;"",SUMIFS('JPK_KR-1'!AL:AL,'JPK_KR-1'!W:W,B848),"")</f>
        <v/>
      </c>
      <c r="D848" s="126" t="str">
        <f>IF(A848&lt;&gt;"",SUMIFS('JPK_KR-1'!AM:AM,'JPK_KR-1'!W:W,B848),"")</f>
        <v/>
      </c>
      <c r="E848" s="5" t="str">
        <f>IF(kokpit!E848&lt;&gt;"",kokpit!E848,"")</f>
        <v/>
      </c>
      <c r="F848" s="127" t="str">
        <f>IF(kokpit!F848&lt;&gt;"",kokpit!F848,"")</f>
        <v/>
      </c>
      <c r="G848" s="24" t="str">
        <f>IF(E848&lt;&gt;"",SUMIFS('JPK_KR-1'!AL:AL,'JPK_KR-1'!W:W,F848),"")</f>
        <v/>
      </c>
      <c r="H848" s="126" t="str">
        <f>IF(E848&lt;&gt;"",SUMIFS('JPK_KR-1'!AM:AM,'JPK_KR-1'!W:W,F848),"")</f>
        <v/>
      </c>
      <c r="I848" s="5" t="str">
        <f>IF(kokpit!I848&lt;&gt;"",kokpit!I848,"")</f>
        <v/>
      </c>
      <c r="J848" s="5" t="str">
        <f>IF(kokpit!J848&lt;&gt;"",kokpit!J848,"")</f>
        <v/>
      </c>
      <c r="K848" s="24" t="str">
        <f>IF(I848&lt;&gt;"",SUMIFS('JPK_KR-1'!AL:AL,'JPK_KR-1'!W:W,J848),"")</f>
        <v/>
      </c>
      <c r="L848" s="141" t="str">
        <f>IF(I848&lt;&gt;"",SUMIFS('JPK_KR-1'!AM:AM,'JPK_KR-1'!W:W,J848),"")</f>
        <v/>
      </c>
      <c r="M848" s="143" t="str">
        <f>IF(kokpit!M848&lt;&gt;"",kokpit!M848,"")</f>
        <v/>
      </c>
      <c r="N848" s="117" t="str">
        <f>IF(kokpit!N848&lt;&gt;"",kokpit!N848,"")</f>
        <v/>
      </c>
      <c r="O848" s="117" t="str">
        <f>IF(kokpit!O848&lt;&gt;"",kokpit!O848,"")</f>
        <v/>
      </c>
      <c r="P848" s="141" t="str">
        <f>IF(M848&lt;&gt;"",IF(O848="",SUMIFS('JPK_KR-1'!AL:AL,'JPK_KR-1'!W:W,N848),SUMIFS('JPK_KR-1'!BF:BF,'JPK_KR-1'!BE:BE,N848,'JPK_KR-1'!BG:BG,O848)),"")</f>
        <v/>
      </c>
      <c r="Q848" s="144" t="str">
        <f>IF(M848&lt;&gt;"",IF(O848="",SUMIFS('JPK_KR-1'!AM:AM,'JPK_KR-1'!W:W,N848),SUMIFS('JPK_KR-1'!BI:BI,'JPK_KR-1'!BH:BH,N848,'JPK_KR-1'!BJ:BJ,O848)),"")</f>
        <v/>
      </c>
      <c r="R848" s="117" t="str">
        <f>IF(kokpit!R848&lt;&gt;"",kokpit!R848,"")</f>
        <v/>
      </c>
      <c r="S848" s="117" t="str">
        <f>IF(kokpit!S848&lt;&gt;"",kokpit!S848,"")</f>
        <v/>
      </c>
      <c r="T848" s="117" t="str">
        <f>IF(kokpit!T848&lt;&gt;"",kokpit!T848,"")</f>
        <v/>
      </c>
      <c r="U848" s="141" t="str">
        <f>IF(R848&lt;&gt;"",SUMIFS('JPK_KR-1'!AL:AL,'JPK_KR-1'!W:W,S848),"")</f>
        <v/>
      </c>
      <c r="V848" s="144" t="str">
        <f>IF(R848&lt;&gt;"",SUMIFS('JPK_KR-1'!AM:AM,'JPK_KR-1'!W:W,S848),"")</f>
        <v/>
      </c>
    </row>
    <row r="849" spans="1:22" x14ac:dyDescent="0.3">
      <c r="A849" s="5" t="str">
        <f>IF(kokpit!A849&lt;&gt;"",kokpit!A849,"")</f>
        <v/>
      </c>
      <c r="B849" s="5" t="str">
        <f>IF(kokpit!B849&lt;&gt;"",kokpit!B849,"")</f>
        <v/>
      </c>
      <c r="C849" s="24" t="str">
        <f>IF(A849&lt;&gt;"",SUMIFS('JPK_KR-1'!AL:AL,'JPK_KR-1'!W:W,B849),"")</f>
        <v/>
      </c>
      <c r="D849" s="126" t="str">
        <f>IF(A849&lt;&gt;"",SUMIFS('JPK_KR-1'!AM:AM,'JPK_KR-1'!W:W,B849),"")</f>
        <v/>
      </c>
      <c r="E849" s="5" t="str">
        <f>IF(kokpit!E849&lt;&gt;"",kokpit!E849,"")</f>
        <v/>
      </c>
      <c r="F849" s="127" t="str">
        <f>IF(kokpit!F849&lt;&gt;"",kokpit!F849,"")</f>
        <v/>
      </c>
      <c r="G849" s="24" t="str">
        <f>IF(E849&lt;&gt;"",SUMIFS('JPK_KR-1'!AL:AL,'JPK_KR-1'!W:W,F849),"")</f>
        <v/>
      </c>
      <c r="H849" s="126" t="str">
        <f>IF(E849&lt;&gt;"",SUMIFS('JPK_KR-1'!AM:AM,'JPK_KR-1'!W:W,F849),"")</f>
        <v/>
      </c>
      <c r="I849" s="5" t="str">
        <f>IF(kokpit!I849&lt;&gt;"",kokpit!I849,"")</f>
        <v/>
      </c>
      <c r="J849" s="5" t="str">
        <f>IF(kokpit!J849&lt;&gt;"",kokpit!J849,"")</f>
        <v/>
      </c>
      <c r="K849" s="24" t="str">
        <f>IF(I849&lt;&gt;"",SUMIFS('JPK_KR-1'!AL:AL,'JPK_KR-1'!W:W,J849),"")</f>
        <v/>
      </c>
      <c r="L849" s="141" t="str">
        <f>IF(I849&lt;&gt;"",SUMIFS('JPK_KR-1'!AM:AM,'JPK_KR-1'!W:W,J849),"")</f>
        <v/>
      </c>
      <c r="M849" s="143" t="str">
        <f>IF(kokpit!M849&lt;&gt;"",kokpit!M849,"")</f>
        <v/>
      </c>
      <c r="N849" s="117" t="str">
        <f>IF(kokpit!N849&lt;&gt;"",kokpit!N849,"")</f>
        <v/>
      </c>
      <c r="O849" s="117" t="str">
        <f>IF(kokpit!O849&lt;&gt;"",kokpit!O849,"")</f>
        <v/>
      </c>
      <c r="P849" s="141" t="str">
        <f>IF(M849&lt;&gt;"",IF(O849="",SUMIFS('JPK_KR-1'!AL:AL,'JPK_KR-1'!W:W,N849),SUMIFS('JPK_KR-1'!BF:BF,'JPK_KR-1'!BE:BE,N849,'JPK_KR-1'!BG:BG,O849)),"")</f>
        <v/>
      </c>
      <c r="Q849" s="144" t="str">
        <f>IF(M849&lt;&gt;"",IF(O849="",SUMIFS('JPK_KR-1'!AM:AM,'JPK_KR-1'!W:W,N849),SUMIFS('JPK_KR-1'!BI:BI,'JPK_KR-1'!BH:BH,N849,'JPK_KR-1'!BJ:BJ,O849)),"")</f>
        <v/>
      </c>
      <c r="R849" s="117" t="str">
        <f>IF(kokpit!R849&lt;&gt;"",kokpit!R849,"")</f>
        <v/>
      </c>
      <c r="S849" s="117" t="str">
        <f>IF(kokpit!S849&lt;&gt;"",kokpit!S849,"")</f>
        <v/>
      </c>
      <c r="T849" s="117" t="str">
        <f>IF(kokpit!T849&lt;&gt;"",kokpit!T849,"")</f>
        <v/>
      </c>
      <c r="U849" s="141" t="str">
        <f>IF(R849&lt;&gt;"",SUMIFS('JPK_KR-1'!AL:AL,'JPK_KR-1'!W:W,S849),"")</f>
        <v/>
      </c>
      <c r="V849" s="144" t="str">
        <f>IF(R849&lt;&gt;"",SUMIFS('JPK_KR-1'!AM:AM,'JPK_KR-1'!W:W,S849),"")</f>
        <v/>
      </c>
    </row>
    <row r="850" spans="1:22" x14ac:dyDescent="0.3">
      <c r="A850" s="5" t="str">
        <f>IF(kokpit!A850&lt;&gt;"",kokpit!A850,"")</f>
        <v/>
      </c>
      <c r="B850" s="5" t="str">
        <f>IF(kokpit!B850&lt;&gt;"",kokpit!B850,"")</f>
        <v/>
      </c>
      <c r="C850" s="24" t="str">
        <f>IF(A850&lt;&gt;"",SUMIFS('JPK_KR-1'!AL:AL,'JPK_KR-1'!W:W,B850),"")</f>
        <v/>
      </c>
      <c r="D850" s="126" t="str">
        <f>IF(A850&lt;&gt;"",SUMIFS('JPK_KR-1'!AM:AM,'JPK_KR-1'!W:W,B850),"")</f>
        <v/>
      </c>
      <c r="E850" s="5" t="str">
        <f>IF(kokpit!E850&lt;&gt;"",kokpit!E850,"")</f>
        <v/>
      </c>
      <c r="F850" s="127" t="str">
        <f>IF(kokpit!F850&lt;&gt;"",kokpit!F850,"")</f>
        <v/>
      </c>
      <c r="G850" s="24" t="str">
        <f>IF(E850&lt;&gt;"",SUMIFS('JPK_KR-1'!AL:AL,'JPK_KR-1'!W:W,F850),"")</f>
        <v/>
      </c>
      <c r="H850" s="126" t="str">
        <f>IF(E850&lt;&gt;"",SUMIFS('JPK_KR-1'!AM:AM,'JPK_KR-1'!W:W,F850),"")</f>
        <v/>
      </c>
      <c r="I850" s="5" t="str">
        <f>IF(kokpit!I850&lt;&gt;"",kokpit!I850,"")</f>
        <v/>
      </c>
      <c r="J850" s="5" t="str">
        <f>IF(kokpit!J850&lt;&gt;"",kokpit!J850,"")</f>
        <v/>
      </c>
      <c r="K850" s="24" t="str">
        <f>IF(I850&lt;&gt;"",SUMIFS('JPK_KR-1'!AL:AL,'JPK_KR-1'!W:W,J850),"")</f>
        <v/>
      </c>
      <c r="L850" s="141" t="str">
        <f>IF(I850&lt;&gt;"",SUMIFS('JPK_KR-1'!AM:AM,'JPK_KR-1'!W:W,J850),"")</f>
        <v/>
      </c>
      <c r="M850" s="143" t="str">
        <f>IF(kokpit!M850&lt;&gt;"",kokpit!M850,"")</f>
        <v/>
      </c>
      <c r="N850" s="117" t="str">
        <f>IF(kokpit!N850&lt;&gt;"",kokpit!N850,"")</f>
        <v/>
      </c>
      <c r="O850" s="117" t="str">
        <f>IF(kokpit!O850&lt;&gt;"",kokpit!O850,"")</f>
        <v/>
      </c>
      <c r="P850" s="141" t="str">
        <f>IF(M850&lt;&gt;"",IF(O850="",SUMIFS('JPK_KR-1'!AL:AL,'JPK_KR-1'!W:W,N850),SUMIFS('JPK_KR-1'!BF:BF,'JPK_KR-1'!BE:BE,N850,'JPK_KR-1'!BG:BG,O850)),"")</f>
        <v/>
      </c>
      <c r="Q850" s="144" t="str">
        <f>IF(M850&lt;&gt;"",IF(O850="",SUMIFS('JPK_KR-1'!AM:AM,'JPK_KR-1'!W:W,N850),SUMIFS('JPK_KR-1'!BI:BI,'JPK_KR-1'!BH:BH,N850,'JPK_KR-1'!BJ:BJ,O850)),"")</f>
        <v/>
      </c>
      <c r="R850" s="117" t="str">
        <f>IF(kokpit!R850&lt;&gt;"",kokpit!R850,"")</f>
        <v/>
      </c>
      <c r="S850" s="117" t="str">
        <f>IF(kokpit!S850&lt;&gt;"",kokpit!S850,"")</f>
        <v/>
      </c>
      <c r="T850" s="117" t="str">
        <f>IF(kokpit!T850&lt;&gt;"",kokpit!T850,"")</f>
        <v/>
      </c>
      <c r="U850" s="141" t="str">
        <f>IF(R850&lt;&gt;"",SUMIFS('JPK_KR-1'!AL:AL,'JPK_KR-1'!W:W,S850),"")</f>
        <v/>
      </c>
      <c r="V850" s="144" t="str">
        <f>IF(R850&lt;&gt;"",SUMIFS('JPK_KR-1'!AM:AM,'JPK_KR-1'!W:W,S850),"")</f>
        <v/>
      </c>
    </row>
    <row r="851" spans="1:22" x14ac:dyDescent="0.3">
      <c r="A851" s="5" t="str">
        <f>IF(kokpit!A851&lt;&gt;"",kokpit!A851,"")</f>
        <v/>
      </c>
      <c r="B851" s="5" t="str">
        <f>IF(kokpit!B851&lt;&gt;"",kokpit!B851,"")</f>
        <v/>
      </c>
      <c r="C851" s="24" t="str">
        <f>IF(A851&lt;&gt;"",SUMIFS('JPK_KR-1'!AL:AL,'JPK_KR-1'!W:W,B851),"")</f>
        <v/>
      </c>
      <c r="D851" s="126" t="str">
        <f>IF(A851&lt;&gt;"",SUMIFS('JPK_KR-1'!AM:AM,'JPK_KR-1'!W:W,B851),"")</f>
        <v/>
      </c>
      <c r="E851" s="5" t="str">
        <f>IF(kokpit!E851&lt;&gt;"",kokpit!E851,"")</f>
        <v/>
      </c>
      <c r="F851" s="127" t="str">
        <f>IF(kokpit!F851&lt;&gt;"",kokpit!F851,"")</f>
        <v/>
      </c>
      <c r="G851" s="24" t="str">
        <f>IF(E851&lt;&gt;"",SUMIFS('JPK_KR-1'!AL:AL,'JPK_KR-1'!W:W,F851),"")</f>
        <v/>
      </c>
      <c r="H851" s="126" t="str">
        <f>IF(E851&lt;&gt;"",SUMIFS('JPK_KR-1'!AM:AM,'JPK_KR-1'!W:W,F851),"")</f>
        <v/>
      </c>
      <c r="I851" s="5" t="str">
        <f>IF(kokpit!I851&lt;&gt;"",kokpit!I851,"")</f>
        <v/>
      </c>
      <c r="J851" s="5" t="str">
        <f>IF(kokpit!J851&lt;&gt;"",kokpit!J851,"")</f>
        <v/>
      </c>
      <c r="K851" s="24" t="str">
        <f>IF(I851&lt;&gt;"",SUMIFS('JPK_KR-1'!AL:AL,'JPK_KR-1'!W:W,J851),"")</f>
        <v/>
      </c>
      <c r="L851" s="141" t="str">
        <f>IF(I851&lt;&gt;"",SUMIFS('JPK_KR-1'!AM:AM,'JPK_KR-1'!W:W,J851),"")</f>
        <v/>
      </c>
      <c r="M851" s="143" t="str">
        <f>IF(kokpit!M851&lt;&gt;"",kokpit!M851,"")</f>
        <v/>
      </c>
      <c r="N851" s="117" t="str">
        <f>IF(kokpit!N851&lt;&gt;"",kokpit!N851,"")</f>
        <v/>
      </c>
      <c r="O851" s="117" t="str">
        <f>IF(kokpit!O851&lt;&gt;"",kokpit!O851,"")</f>
        <v/>
      </c>
      <c r="P851" s="141" t="str">
        <f>IF(M851&lt;&gt;"",IF(O851="",SUMIFS('JPK_KR-1'!AL:AL,'JPK_KR-1'!W:W,N851),SUMIFS('JPK_KR-1'!BF:BF,'JPK_KR-1'!BE:BE,N851,'JPK_KR-1'!BG:BG,O851)),"")</f>
        <v/>
      </c>
      <c r="Q851" s="144" t="str">
        <f>IF(M851&lt;&gt;"",IF(O851="",SUMIFS('JPK_KR-1'!AM:AM,'JPK_KR-1'!W:W,N851),SUMIFS('JPK_KR-1'!BI:BI,'JPK_KR-1'!BH:BH,N851,'JPK_KR-1'!BJ:BJ,O851)),"")</f>
        <v/>
      </c>
      <c r="R851" s="117" t="str">
        <f>IF(kokpit!R851&lt;&gt;"",kokpit!R851,"")</f>
        <v/>
      </c>
      <c r="S851" s="117" t="str">
        <f>IF(kokpit!S851&lt;&gt;"",kokpit!S851,"")</f>
        <v/>
      </c>
      <c r="T851" s="117" t="str">
        <f>IF(kokpit!T851&lt;&gt;"",kokpit!T851,"")</f>
        <v/>
      </c>
      <c r="U851" s="141" t="str">
        <f>IF(R851&lt;&gt;"",SUMIFS('JPK_KR-1'!AL:AL,'JPK_KR-1'!W:W,S851),"")</f>
        <v/>
      </c>
      <c r="V851" s="144" t="str">
        <f>IF(R851&lt;&gt;"",SUMIFS('JPK_KR-1'!AM:AM,'JPK_KR-1'!W:W,S851),"")</f>
        <v/>
      </c>
    </row>
    <row r="852" spans="1:22" x14ac:dyDescent="0.3">
      <c r="A852" s="5" t="str">
        <f>IF(kokpit!A852&lt;&gt;"",kokpit!A852,"")</f>
        <v/>
      </c>
      <c r="B852" s="5" t="str">
        <f>IF(kokpit!B852&lt;&gt;"",kokpit!B852,"")</f>
        <v/>
      </c>
      <c r="C852" s="24" t="str">
        <f>IF(A852&lt;&gt;"",SUMIFS('JPK_KR-1'!AL:AL,'JPK_KR-1'!W:W,B852),"")</f>
        <v/>
      </c>
      <c r="D852" s="126" t="str">
        <f>IF(A852&lt;&gt;"",SUMIFS('JPK_KR-1'!AM:AM,'JPK_KR-1'!W:W,B852),"")</f>
        <v/>
      </c>
      <c r="E852" s="5" t="str">
        <f>IF(kokpit!E852&lt;&gt;"",kokpit!E852,"")</f>
        <v/>
      </c>
      <c r="F852" s="127" t="str">
        <f>IF(kokpit!F852&lt;&gt;"",kokpit!F852,"")</f>
        <v/>
      </c>
      <c r="G852" s="24" t="str">
        <f>IF(E852&lt;&gt;"",SUMIFS('JPK_KR-1'!AL:AL,'JPK_KR-1'!W:W,F852),"")</f>
        <v/>
      </c>
      <c r="H852" s="126" t="str">
        <f>IF(E852&lt;&gt;"",SUMIFS('JPK_KR-1'!AM:AM,'JPK_KR-1'!W:W,F852),"")</f>
        <v/>
      </c>
      <c r="I852" s="5" t="str">
        <f>IF(kokpit!I852&lt;&gt;"",kokpit!I852,"")</f>
        <v/>
      </c>
      <c r="J852" s="5" t="str">
        <f>IF(kokpit!J852&lt;&gt;"",kokpit!J852,"")</f>
        <v/>
      </c>
      <c r="K852" s="24" t="str">
        <f>IF(I852&lt;&gt;"",SUMIFS('JPK_KR-1'!AL:AL,'JPK_KR-1'!W:W,J852),"")</f>
        <v/>
      </c>
      <c r="L852" s="141" t="str">
        <f>IF(I852&lt;&gt;"",SUMIFS('JPK_KR-1'!AM:AM,'JPK_KR-1'!W:W,J852),"")</f>
        <v/>
      </c>
      <c r="M852" s="143" t="str">
        <f>IF(kokpit!M852&lt;&gt;"",kokpit!M852,"")</f>
        <v/>
      </c>
      <c r="N852" s="117" t="str">
        <f>IF(kokpit!N852&lt;&gt;"",kokpit!N852,"")</f>
        <v/>
      </c>
      <c r="O852" s="117" t="str">
        <f>IF(kokpit!O852&lt;&gt;"",kokpit!O852,"")</f>
        <v/>
      </c>
      <c r="P852" s="141" t="str">
        <f>IF(M852&lt;&gt;"",IF(O852="",SUMIFS('JPK_KR-1'!AL:AL,'JPK_KR-1'!W:W,N852),SUMIFS('JPK_KR-1'!BF:BF,'JPK_KR-1'!BE:BE,N852,'JPK_KR-1'!BG:BG,O852)),"")</f>
        <v/>
      </c>
      <c r="Q852" s="144" t="str">
        <f>IF(M852&lt;&gt;"",IF(O852="",SUMIFS('JPK_KR-1'!AM:AM,'JPK_KR-1'!W:W,N852),SUMIFS('JPK_KR-1'!BI:BI,'JPK_KR-1'!BH:BH,N852,'JPK_KR-1'!BJ:BJ,O852)),"")</f>
        <v/>
      </c>
      <c r="R852" s="117" t="str">
        <f>IF(kokpit!R852&lt;&gt;"",kokpit!R852,"")</f>
        <v/>
      </c>
      <c r="S852" s="117" t="str">
        <f>IF(kokpit!S852&lt;&gt;"",kokpit!S852,"")</f>
        <v/>
      </c>
      <c r="T852" s="117" t="str">
        <f>IF(kokpit!T852&lt;&gt;"",kokpit!T852,"")</f>
        <v/>
      </c>
      <c r="U852" s="141" t="str">
        <f>IF(R852&lt;&gt;"",SUMIFS('JPK_KR-1'!AL:AL,'JPK_KR-1'!W:W,S852),"")</f>
        <v/>
      </c>
      <c r="V852" s="144" t="str">
        <f>IF(R852&lt;&gt;"",SUMIFS('JPK_KR-1'!AM:AM,'JPK_KR-1'!W:W,S852),"")</f>
        <v/>
      </c>
    </row>
    <row r="853" spans="1:22" x14ac:dyDescent="0.3">
      <c r="A853" s="5" t="str">
        <f>IF(kokpit!A853&lt;&gt;"",kokpit!A853,"")</f>
        <v/>
      </c>
      <c r="B853" s="5" t="str">
        <f>IF(kokpit!B853&lt;&gt;"",kokpit!B853,"")</f>
        <v/>
      </c>
      <c r="C853" s="24" t="str">
        <f>IF(A853&lt;&gt;"",SUMIFS('JPK_KR-1'!AL:AL,'JPK_KR-1'!W:W,B853),"")</f>
        <v/>
      </c>
      <c r="D853" s="126" t="str">
        <f>IF(A853&lt;&gt;"",SUMIFS('JPK_KR-1'!AM:AM,'JPK_KR-1'!W:W,B853),"")</f>
        <v/>
      </c>
      <c r="E853" s="5" t="str">
        <f>IF(kokpit!E853&lt;&gt;"",kokpit!E853,"")</f>
        <v/>
      </c>
      <c r="F853" s="127" t="str">
        <f>IF(kokpit!F853&lt;&gt;"",kokpit!F853,"")</f>
        <v/>
      </c>
      <c r="G853" s="24" t="str">
        <f>IF(E853&lt;&gt;"",SUMIFS('JPK_KR-1'!AL:AL,'JPK_KR-1'!W:W,F853),"")</f>
        <v/>
      </c>
      <c r="H853" s="126" t="str">
        <f>IF(E853&lt;&gt;"",SUMIFS('JPK_KR-1'!AM:AM,'JPK_KR-1'!W:W,F853),"")</f>
        <v/>
      </c>
      <c r="I853" s="5" t="str">
        <f>IF(kokpit!I853&lt;&gt;"",kokpit!I853,"")</f>
        <v/>
      </c>
      <c r="J853" s="5" t="str">
        <f>IF(kokpit!J853&lt;&gt;"",kokpit!J853,"")</f>
        <v/>
      </c>
      <c r="K853" s="24" t="str">
        <f>IF(I853&lt;&gt;"",SUMIFS('JPK_KR-1'!AL:AL,'JPK_KR-1'!W:W,J853),"")</f>
        <v/>
      </c>
      <c r="L853" s="141" t="str">
        <f>IF(I853&lt;&gt;"",SUMIFS('JPK_KR-1'!AM:AM,'JPK_KR-1'!W:W,J853),"")</f>
        <v/>
      </c>
      <c r="M853" s="143" t="str">
        <f>IF(kokpit!M853&lt;&gt;"",kokpit!M853,"")</f>
        <v/>
      </c>
      <c r="N853" s="117" t="str">
        <f>IF(kokpit!N853&lt;&gt;"",kokpit!N853,"")</f>
        <v/>
      </c>
      <c r="O853" s="117" t="str">
        <f>IF(kokpit!O853&lt;&gt;"",kokpit!O853,"")</f>
        <v/>
      </c>
      <c r="P853" s="141" t="str">
        <f>IF(M853&lt;&gt;"",IF(O853="",SUMIFS('JPK_KR-1'!AL:AL,'JPK_KR-1'!W:W,N853),SUMIFS('JPK_KR-1'!BF:BF,'JPK_KR-1'!BE:BE,N853,'JPK_KR-1'!BG:BG,O853)),"")</f>
        <v/>
      </c>
      <c r="Q853" s="144" t="str">
        <f>IF(M853&lt;&gt;"",IF(O853="",SUMIFS('JPK_KR-1'!AM:AM,'JPK_KR-1'!W:W,N853),SUMIFS('JPK_KR-1'!BI:BI,'JPK_KR-1'!BH:BH,N853,'JPK_KR-1'!BJ:BJ,O853)),"")</f>
        <v/>
      </c>
      <c r="R853" s="117" t="str">
        <f>IF(kokpit!R853&lt;&gt;"",kokpit!R853,"")</f>
        <v/>
      </c>
      <c r="S853" s="117" t="str">
        <f>IF(kokpit!S853&lt;&gt;"",kokpit!S853,"")</f>
        <v/>
      </c>
      <c r="T853" s="117" t="str">
        <f>IF(kokpit!T853&lt;&gt;"",kokpit!T853,"")</f>
        <v/>
      </c>
      <c r="U853" s="141" t="str">
        <f>IF(R853&lt;&gt;"",SUMIFS('JPK_KR-1'!AL:AL,'JPK_KR-1'!W:W,S853),"")</f>
        <v/>
      </c>
      <c r="V853" s="144" t="str">
        <f>IF(R853&lt;&gt;"",SUMIFS('JPK_KR-1'!AM:AM,'JPK_KR-1'!W:W,S853),"")</f>
        <v/>
      </c>
    </row>
    <row r="854" spans="1:22" x14ac:dyDescent="0.3">
      <c r="A854" s="5" t="str">
        <f>IF(kokpit!A854&lt;&gt;"",kokpit!A854,"")</f>
        <v/>
      </c>
      <c r="B854" s="5" t="str">
        <f>IF(kokpit!B854&lt;&gt;"",kokpit!B854,"")</f>
        <v/>
      </c>
      <c r="C854" s="24" t="str">
        <f>IF(A854&lt;&gt;"",SUMIFS('JPK_KR-1'!AL:AL,'JPK_KR-1'!W:W,B854),"")</f>
        <v/>
      </c>
      <c r="D854" s="126" t="str">
        <f>IF(A854&lt;&gt;"",SUMIFS('JPK_KR-1'!AM:AM,'JPK_KR-1'!W:W,B854),"")</f>
        <v/>
      </c>
      <c r="E854" s="5" t="str">
        <f>IF(kokpit!E854&lt;&gt;"",kokpit!E854,"")</f>
        <v/>
      </c>
      <c r="F854" s="127" t="str">
        <f>IF(kokpit!F854&lt;&gt;"",kokpit!F854,"")</f>
        <v/>
      </c>
      <c r="G854" s="24" t="str">
        <f>IF(E854&lt;&gt;"",SUMIFS('JPK_KR-1'!AL:AL,'JPK_KR-1'!W:W,F854),"")</f>
        <v/>
      </c>
      <c r="H854" s="126" t="str">
        <f>IF(E854&lt;&gt;"",SUMIFS('JPK_KR-1'!AM:AM,'JPK_KR-1'!W:W,F854),"")</f>
        <v/>
      </c>
      <c r="I854" s="5" t="str">
        <f>IF(kokpit!I854&lt;&gt;"",kokpit!I854,"")</f>
        <v/>
      </c>
      <c r="J854" s="5" t="str">
        <f>IF(kokpit!J854&lt;&gt;"",kokpit!J854,"")</f>
        <v/>
      </c>
      <c r="K854" s="24" t="str">
        <f>IF(I854&lt;&gt;"",SUMIFS('JPK_KR-1'!AL:AL,'JPK_KR-1'!W:W,J854),"")</f>
        <v/>
      </c>
      <c r="L854" s="141" t="str">
        <f>IF(I854&lt;&gt;"",SUMIFS('JPK_KR-1'!AM:AM,'JPK_KR-1'!W:W,J854),"")</f>
        <v/>
      </c>
      <c r="M854" s="143" t="str">
        <f>IF(kokpit!M854&lt;&gt;"",kokpit!M854,"")</f>
        <v/>
      </c>
      <c r="N854" s="117" t="str">
        <f>IF(kokpit!N854&lt;&gt;"",kokpit!N854,"")</f>
        <v/>
      </c>
      <c r="O854" s="117" t="str">
        <f>IF(kokpit!O854&lt;&gt;"",kokpit!O854,"")</f>
        <v/>
      </c>
      <c r="P854" s="141" t="str">
        <f>IF(M854&lt;&gt;"",IF(O854="",SUMIFS('JPK_KR-1'!AL:AL,'JPK_KR-1'!W:W,N854),SUMIFS('JPK_KR-1'!BF:BF,'JPK_KR-1'!BE:BE,N854,'JPK_KR-1'!BG:BG,O854)),"")</f>
        <v/>
      </c>
      <c r="Q854" s="144" t="str">
        <f>IF(M854&lt;&gt;"",IF(O854="",SUMIFS('JPK_KR-1'!AM:AM,'JPK_KR-1'!W:W,N854),SUMIFS('JPK_KR-1'!BI:BI,'JPK_KR-1'!BH:BH,N854,'JPK_KR-1'!BJ:BJ,O854)),"")</f>
        <v/>
      </c>
      <c r="R854" s="117" t="str">
        <f>IF(kokpit!R854&lt;&gt;"",kokpit!R854,"")</f>
        <v/>
      </c>
      <c r="S854" s="117" t="str">
        <f>IF(kokpit!S854&lt;&gt;"",kokpit!S854,"")</f>
        <v/>
      </c>
      <c r="T854" s="117" t="str">
        <f>IF(kokpit!T854&lt;&gt;"",kokpit!T854,"")</f>
        <v/>
      </c>
      <c r="U854" s="141" t="str">
        <f>IF(R854&lt;&gt;"",SUMIFS('JPK_KR-1'!AL:AL,'JPK_KR-1'!W:W,S854),"")</f>
        <v/>
      </c>
      <c r="V854" s="144" t="str">
        <f>IF(R854&lt;&gt;"",SUMIFS('JPK_KR-1'!AM:AM,'JPK_KR-1'!W:W,S854),"")</f>
        <v/>
      </c>
    </row>
    <row r="855" spans="1:22" x14ac:dyDescent="0.3">
      <c r="A855" s="5" t="str">
        <f>IF(kokpit!A855&lt;&gt;"",kokpit!A855,"")</f>
        <v/>
      </c>
      <c r="B855" s="5" t="str">
        <f>IF(kokpit!B855&lt;&gt;"",kokpit!B855,"")</f>
        <v/>
      </c>
      <c r="C855" s="24" t="str">
        <f>IF(A855&lt;&gt;"",SUMIFS('JPK_KR-1'!AL:AL,'JPK_KR-1'!W:W,B855),"")</f>
        <v/>
      </c>
      <c r="D855" s="126" t="str">
        <f>IF(A855&lt;&gt;"",SUMIFS('JPK_KR-1'!AM:AM,'JPK_KR-1'!W:W,B855),"")</f>
        <v/>
      </c>
      <c r="E855" s="5" t="str">
        <f>IF(kokpit!E855&lt;&gt;"",kokpit!E855,"")</f>
        <v/>
      </c>
      <c r="F855" s="127" t="str">
        <f>IF(kokpit!F855&lt;&gt;"",kokpit!F855,"")</f>
        <v/>
      </c>
      <c r="G855" s="24" t="str">
        <f>IF(E855&lt;&gt;"",SUMIFS('JPK_KR-1'!AL:AL,'JPK_KR-1'!W:W,F855),"")</f>
        <v/>
      </c>
      <c r="H855" s="126" t="str">
        <f>IF(E855&lt;&gt;"",SUMIFS('JPK_KR-1'!AM:AM,'JPK_KR-1'!W:W,F855),"")</f>
        <v/>
      </c>
      <c r="I855" s="5" t="str">
        <f>IF(kokpit!I855&lt;&gt;"",kokpit!I855,"")</f>
        <v/>
      </c>
      <c r="J855" s="5" t="str">
        <f>IF(kokpit!J855&lt;&gt;"",kokpit!J855,"")</f>
        <v/>
      </c>
      <c r="K855" s="24" t="str">
        <f>IF(I855&lt;&gt;"",SUMIFS('JPK_KR-1'!AL:AL,'JPK_KR-1'!W:W,J855),"")</f>
        <v/>
      </c>
      <c r="L855" s="141" t="str">
        <f>IF(I855&lt;&gt;"",SUMIFS('JPK_KR-1'!AM:AM,'JPK_KR-1'!W:W,J855),"")</f>
        <v/>
      </c>
      <c r="M855" s="143" t="str">
        <f>IF(kokpit!M855&lt;&gt;"",kokpit!M855,"")</f>
        <v/>
      </c>
      <c r="N855" s="117" t="str">
        <f>IF(kokpit!N855&lt;&gt;"",kokpit!N855,"")</f>
        <v/>
      </c>
      <c r="O855" s="117" t="str">
        <f>IF(kokpit!O855&lt;&gt;"",kokpit!O855,"")</f>
        <v/>
      </c>
      <c r="P855" s="141" t="str">
        <f>IF(M855&lt;&gt;"",IF(O855="",SUMIFS('JPK_KR-1'!AL:AL,'JPK_KR-1'!W:W,N855),SUMIFS('JPK_KR-1'!BF:BF,'JPK_KR-1'!BE:BE,N855,'JPK_KR-1'!BG:BG,O855)),"")</f>
        <v/>
      </c>
      <c r="Q855" s="144" t="str">
        <f>IF(M855&lt;&gt;"",IF(O855="",SUMIFS('JPK_KR-1'!AM:AM,'JPK_KR-1'!W:W,N855),SUMIFS('JPK_KR-1'!BI:BI,'JPK_KR-1'!BH:BH,N855,'JPK_KR-1'!BJ:BJ,O855)),"")</f>
        <v/>
      </c>
      <c r="R855" s="117" t="str">
        <f>IF(kokpit!R855&lt;&gt;"",kokpit!R855,"")</f>
        <v/>
      </c>
      <c r="S855" s="117" t="str">
        <f>IF(kokpit!S855&lt;&gt;"",kokpit!S855,"")</f>
        <v/>
      </c>
      <c r="T855" s="117" t="str">
        <f>IF(kokpit!T855&lt;&gt;"",kokpit!T855,"")</f>
        <v/>
      </c>
      <c r="U855" s="141" t="str">
        <f>IF(R855&lt;&gt;"",SUMIFS('JPK_KR-1'!AL:AL,'JPK_KR-1'!W:W,S855),"")</f>
        <v/>
      </c>
      <c r="V855" s="144" t="str">
        <f>IF(R855&lt;&gt;"",SUMIFS('JPK_KR-1'!AM:AM,'JPK_KR-1'!W:W,S855),"")</f>
        <v/>
      </c>
    </row>
    <row r="856" spans="1:22" x14ac:dyDescent="0.3">
      <c r="A856" s="5" t="str">
        <f>IF(kokpit!A856&lt;&gt;"",kokpit!A856,"")</f>
        <v/>
      </c>
      <c r="B856" s="5" t="str">
        <f>IF(kokpit!B856&lt;&gt;"",kokpit!B856,"")</f>
        <v/>
      </c>
      <c r="C856" s="24" t="str">
        <f>IF(A856&lt;&gt;"",SUMIFS('JPK_KR-1'!AL:AL,'JPK_KR-1'!W:W,B856),"")</f>
        <v/>
      </c>
      <c r="D856" s="126" t="str">
        <f>IF(A856&lt;&gt;"",SUMIFS('JPK_KR-1'!AM:AM,'JPK_KR-1'!W:W,B856),"")</f>
        <v/>
      </c>
      <c r="E856" s="5" t="str">
        <f>IF(kokpit!E856&lt;&gt;"",kokpit!E856,"")</f>
        <v/>
      </c>
      <c r="F856" s="127" t="str">
        <f>IF(kokpit!F856&lt;&gt;"",kokpit!F856,"")</f>
        <v/>
      </c>
      <c r="G856" s="24" t="str">
        <f>IF(E856&lt;&gt;"",SUMIFS('JPK_KR-1'!AL:AL,'JPK_KR-1'!W:W,F856),"")</f>
        <v/>
      </c>
      <c r="H856" s="126" t="str">
        <f>IF(E856&lt;&gt;"",SUMIFS('JPK_KR-1'!AM:AM,'JPK_KR-1'!W:W,F856),"")</f>
        <v/>
      </c>
      <c r="I856" s="5" t="str">
        <f>IF(kokpit!I856&lt;&gt;"",kokpit!I856,"")</f>
        <v/>
      </c>
      <c r="J856" s="5" t="str">
        <f>IF(kokpit!J856&lt;&gt;"",kokpit!J856,"")</f>
        <v/>
      </c>
      <c r="K856" s="24" t="str">
        <f>IF(I856&lt;&gt;"",SUMIFS('JPK_KR-1'!AL:AL,'JPK_KR-1'!W:W,J856),"")</f>
        <v/>
      </c>
      <c r="L856" s="141" t="str">
        <f>IF(I856&lt;&gt;"",SUMIFS('JPK_KR-1'!AM:AM,'JPK_KR-1'!W:W,J856),"")</f>
        <v/>
      </c>
      <c r="M856" s="143" t="str">
        <f>IF(kokpit!M856&lt;&gt;"",kokpit!M856,"")</f>
        <v/>
      </c>
      <c r="N856" s="117" t="str">
        <f>IF(kokpit!N856&lt;&gt;"",kokpit!N856,"")</f>
        <v/>
      </c>
      <c r="O856" s="117" t="str">
        <f>IF(kokpit!O856&lt;&gt;"",kokpit!O856,"")</f>
        <v/>
      </c>
      <c r="P856" s="141" t="str">
        <f>IF(M856&lt;&gt;"",IF(O856="",SUMIFS('JPK_KR-1'!AL:AL,'JPK_KR-1'!W:W,N856),SUMIFS('JPK_KR-1'!BF:BF,'JPK_KR-1'!BE:BE,N856,'JPK_KR-1'!BG:BG,O856)),"")</f>
        <v/>
      </c>
      <c r="Q856" s="144" t="str">
        <f>IF(M856&lt;&gt;"",IF(O856="",SUMIFS('JPK_KR-1'!AM:AM,'JPK_KR-1'!W:W,N856),SUMIFS('JPK_KR-1'!BI:BI,'JPK_KR-1'!BH:BH,N856,'JPK_KR-1'!BJ:BJ,O856)),"")</f>
        <v/>
      </c>
      <c r="R856" s="117" t="str">
        <f>IF(kokpit!R856&lt;&gt;"",kokpit!R856,"")</f>
        <v/>
      </c>
      <c r="S856" s="117" t="str">
        <f>IF(kokpit!S856&lt;&gt;"",kokpit!S856,"")</f>
        <v/>
      </c>
      <c r="T856" s="117" t="str">
        <f>IF(kokpit!T856&lt;&gt;"",kokpit!T856,"")</f>
        <v/>
      </c>
      <c r="U856" s="141" t="str">
        <f>IF(R856&lt;&gt;"",SUMIFS('JPK_KR-1'!AL:AL,'JPK_KR-1'!W:W,S856),"")</f>
        <v/>
      </c>
      <c r="V856" s="144" t="str">
        <f>IF(R856&lt;&gt;"",SUMIFS('JPK_KR-1'!AM:AM,'JPK_KR-1'!W:W,S856),"")</f>
        <v/>
      </c>
    </row>
    <row r="857" spans="1:22" x14ac:dyDescent="0.3">
      <c r="A857" s="5" t="str">
        <f>IF(kokpit!A857&lt;&gt;"",kokpit!A857,"")</f>
        <v/>
      </c>
      <c r="B857" s="5" t="str">
        <f>IF(kokpit!B857&lt;&gt;"",kokpit!B857,"")</f>
        <v/>
      </c>
      <c r="C857" s="24" t="str">
        <f>IF(A857&lt;&gt;"",SUMIFS('JPK_KR-1'!AL:AL,'JPK_KR-1'!W:W,B857),"")</f>
        <v/>
      </c>
      <c r="D857" s="126" t="str">
        <f>IF(A857&lt;&gt;"",SUMIFS('JPK_KR-1'!AM:AM,'JPK_KR-1'!W:W,B857),"")</f>
        <v/>
      </c>
      <c r="E857" s="5" t="str">
        <f>IF(kokpit!E857&lt;&gt;"",kokpit!E857,"")</f>
        <v/>
      </c>
      <c r="F857" s="127" t="str">
        <f>IF(kokpit!F857&lt;&gt;"",kokpit!F857,"")</f>
        <v/>
      </c>
      <c r="G857" s="24" t="str">
        <f>IF(E857&lt;&gt;"",SUMIFS('JPK_KR-1'!AL:AL,'JPK_KR-1'!W:W,F857),"")</f>
        <v/>
      </c>
      <c r="H857" s="126" t="str">
        <f>IF(E857&lt;&gt;"",SUMIFS('JPK_KR-1'!AM:AM,'JPK_KR-1'!W:W,F857),"")</f>
        <v/>
      </c>
      <c r="I857" s="5" t="str">
        <f>IF(kokpit!I857&lt;&gt;"",kokpit!I857,"")</f>
        <v/>
      </c>
      <c r="J857" s="5" t="str">
        <f>IF(kokpit!J857&lt;&gt;"",kokpit!J857,"")</f>
        <v/>
      </c>
      <c r="K857" s="24" t="str">
        <f>IF(I857&lt;&gt;"",SUMIFS('JPK_KR-1'!AL:AL,'JPK_KR-1'!W:W,J857),"")</f>
        <v/>
      </c>
      <c r="L857" s="141" t="str">
        <f>IF(I857&lt;&gt;"",SUMIFS('JPK_KR-1'!AM:AM,'JPK_KR-1'!W:W,J857),"")</f>
        <v/>
      </c>
      <c r="M857" s="143" t="str">
        <f>IF(kokpit!M857&lt;&gt;"",kokpit!M857,"")</f>
        <v/>
      </c>
      <c r="N857" s="117" t="str">
        <f>IF(kokpit!N857&lt;&gt;"",kokpit!N857,"")</f>
        <v/>
      </c>
      <c r="O857" s="117" t="str">
        <f>IF(kokpit!O857&lt;&gt;"",kokpit!O857,"")</f>
        <v/>
      </c>
      <c r="P857" s="141" t="str">
        <f>IF(M857&lt;&gt;"",IF(O857="",SUMIFS('JPK_KR-1'!AL:AL,'JPK_KR-1'!W:W,N857),SUMIFS('JPK_KR-1'!BF:BF,'JPK_KR-1'!BE:BE,N857,'JPK_KR-1'!BG:BG,O857)),"")</f>
        <v/>
      </c>
      <c r="Q857" s="144" t="str">
        <f>IF(M857&lt;&gt;"",IF(O857="",SUMIFS('JPK_KR-1'!AM:AM,'JPK_KR-1'!W:W,N857),SUMIFS('JPK_KR-1'!BI:BI,'JPK_KR-1'!BH:BH,N857,'JPK_KR-1'!BJ:BJ,O857)),"")</f>
        <v/>
      </c>
      <c r="R857" s="117" t="str">
        <f>IF(kokpit!R857&lt;&gt;"",kokpit!R857,"")</f>
        <v/>
      </c>
      <c r="S857" s="117" t="str">
        <f>IF(kokpit!S857&lt;&gt;"",kokpit!S857,"")</f>
        <v/>
      </c>
      <c r="T857" s="117" t="str">
        <f>IF(kokpit!T857&lt;&gt;"",kokpit!T857,"")</f>
        <v/>
      </c>
      <c r="U857" s="141" t="str">
        <f>IF(R857&lt;&gt;"",SUMIFS('JPK_KR-1'!AL:AL,'JPK_KR-1'!W:W,S857),"")</f>
        <v/>
      </c>
      <c r="V857" s="144" t="str">
        <f>IF(R857&lt;&gt;"",SUMIFS('JPK_KR-1'!AM:AM,'JPK_KR-1'!W:W,S857),"")</f>
        <v/>
      </c>
    </row>
    <row r="858" spans="1:22" x14ac:dyDescent="0.3">
      <c r="A858" s="5" t="str">
        <f>IF(kokpit!A858&lt;&gt;"",kokpit!A858,"")</f>
        <v/>
      </c>
      <c r="B858" s="5" t="str">
        <f>IF(kokpit!B858&lt;&gt;"",kokpit!B858,"")</f>
        <v/>
      </c>
      <c r="C858" s="24" t="str">
        <f>IF(A858&lt;&gt;"",SUMIFS('JPK_KR-1'!AL:AL,'JPK_KR-1'!W:W,B858),"")</f>
        <v/>
      </c>
      <c r="D858" s="126" t="str">
        <f>IF(A858&lt;&gt;"",SUMIFS('JPK_KR-1'!AM:AM,'JPK_KR-1'!W:W,B858),"")</f>
        <v/>
      </c>
      <c r="E858" s="5" t="str">
        <f>IF(kokpit!E858&lt;&gt;"",kokpit!E858,"")</f>
        <v/>
      </c>
      <c r="F858" s="127" t="str">
        <f>IF(kokpit!F858&lt;&gt;"",kokpit!F858,"")</f>
        <v/>
      </c>
      <c r="G858" s="24" t="str">
        <f>IF(E858&lt;&gt;"",SUMIFS('JPK_KR-1'!AL:AL,'JPK_KR-1'!W:W,F858),"")</f>
        <v/>
      </c>
      <c r="H858" s="126" t="str">
        <f>IF(E858&lt;&gt;"",SUMIFS('JPK_KR-1'!AM:AM,'JPK_KR-1'!W:W,F858),"")</f>
        <v/>
      </c>
      <c r="I858" s="5" t="str">
        <f>IF(kokpit!I858&lt;&gt;"",kokpit!I858,"")</f>
        <v/>
      </c>
      <c r="J858" s="5" t="str">
        <f>IF(kokpit!J858&lt;&gt;"",kokpit!J858,"")</f>
        <v/>
      </c>
      <c r="K858" s="24" t="str">
        <f>IF(I858&lt;&gt;"",SUMIFS('JPK_KR-1'!AL:AL,'JPK_KR-1'!W:W,J858),"")</f>
        <v/>
      </c>
      <c r="L858" s="141" t="str">
        <f>IF(I858&lt;&gt;"",SUMIFS('JPK_KR-1'!AM:AM,'JPK_KR-1'!W:W,J858),"")</f>
        <v/>
      </c>
      <c r="M858" s="143" t="str">
        <f>IF(kokpit!M858&lt;&gt;"",kokpit!M858,"")</f>
        <v/>
      </c>
      <c r="N858" s="117" t="str">
        <f>IF(kokpit!N858&lt;&gt;"",kokpit!N858,"")</f>
        <v/>
      </c>
      <c r="O858" s="117" t="str">
        <f>IF(kokpit!O858&lt;&gt;"",kokpit!O858,"")</f>
        <v/>
      </c>
      <c r="P858" s="141" t="str">
        <f>IF(M858&lt;&gt;"",IF(O858="",SUMIFS('JPK_KR-1'!AL:AL,'JPK_KR-1'!W:W,N858),SUMIFS('JPK_KR-1'!BF:BF,'JPK_KR-1'!BE:BE,N858,'JPK_KR-1'!BG:BG,O858)),"")</f>
        <v/>
      </c>
      <c r="Q858" s="144" t="str">
        <f>IF(M858&lt;&gt;"",IF(O858="",SUMIFS('JPK_KR-1'!AM:AM,'JPK_KR-1'!W:W,N858),SUMIFS('JPK_KR-1'!BI:BI,'JPK_KR-1'!BH:BH,N858,'JPK_KR-1'!BJ:BJ,O858)),"")</f>
        <v/>
      </c>
      <c r="R858" s="117" t="str">
        <f>IF(kokpit!R858&lt;&gt;"",kokpit!R858,"")</f>
        <v/>
      </c>
      <c r="S858" s="117" t="str">
        <f>IF(kokpit!S858&lt;&gt;"",kokpit!S858,"")</f>
        <v/>
      </c>
      <c r="T858" s="117" t="str">
        <f>IF(kokpit!T858&lt;&gt;"",kokpit!T858,"")</f>
        <v/>
      </c>
      <c r="U858" s="141" t="str">
        <f>IF(R858&lt;&gt;"",SUMIFS('JPK_KR-1'!AL:AL,'JPK_KR-1'!W:W,S858),"")</f>
        <v/>
      </c>
      <c r="V858" s="144" t="str">
        <f>IF(R858&lt;&gt;"",SUMIFS('JPK_KR-1'!AM:AM,'JPK_KR-1'!W:W,S858),"")</f>
        <v/>
      </c>
    </row>
    <row r="859" spans="1:22" x14ac:dyDescent="0.3">
      <c r="A859" s="5" t="str">
        <f>IF(kokpit!A859&lt;&gt;"",kokpit!A859,"")</f>
        <v/>
      </c>
      <c r="B859" s="5" t="str">
        <f>IF(kokpit!B859&lt;&gt;"",kokpit!B859,"")</f>
        <v/>
      </c>
      <c r="C859" s="24" t="str">
        <f>IF(A859&lt;&gt;"",SUMIFS('JPK_KR-1'!AL:AL,'JPK_KR-1'!W:W,B859),"")</f>
        <v/>
      </c>
      <c r="D859" s="126" t="str">
        <f>IF(A859&lt;&gt;"",SUMIFS('JPK_KR-1'!AM:AM,'JPK_KR-1'!W:W,B859),"")</f>
        <v/>
      </c>
      <c r="E859" s="5" t="str">
        <f>IF(kokpit!E859&lt;&gt;"",kokpit!E859,"")</f>
        <v/>
      </c>
      <c r="F859" s="127" t="str">
        <f>IF(kokpit!F859&lt;&gt;"",kokpit!F859,"")</f>
        <v/>
      </c>
      <c r="G859" s="24" t="str">
        <f>IF(E859&lt;&gt;"",SUMIFS('JPK_KR-1'!AL:AL,'JPK_KR-1'!W:W,F859),"")</f>
        <v/>
      </c>
      <c r="H859" s="126" t="str">
        <f>IF(E859&lt;&gt;"",SUMIFS('JPK_KR-1'!AM:AM,'JPK_KR-1'!W:W,F859),"")</f>
        <v/>
      </c>
      <c r="I859" s="5" t="str">
        <f>IF(kokpit!I859&lt;&gt;"",kokpit!I859,"")</f>
        <v/>
      </c>
      <c r="J859" s="5" t="str">
        <f>IF(kokpit!J859&lt;&gt;"",kokpit!J859,"")</f>
        <v/>
      </c>
      <c r="K859" s="24" t="str">
        <f>IF(I859&lt;&gt;"",SUMIFS('JPK_KR-1'!AL:AL,'JPK_KR-1'!W:W,J859),"")</f>
        <v/>
      </c>
      <c r="L859" s="141" t="str">
        <f>IF(I859&lt;&gt;"",SUMIFS('JPK_KR-1'!AM:AM,'JPK_KR-1'!W:W,J859),"")</f>
        <v/>
      </c>
      <c r="M859" s="143" t="str">
        <f>IF(kokpit!M859&lt;&gt;"",kokpit!M859,"")</f>
        <v/>
      </c>
      <c r="N859" s="117" t="str">
        <f>IF(kokpit!N859&lt;&gt;"",kokpit!N859,"")</f>
        <v/>
      </c>
      <c r="O859" s="117" t="str">
        <f>IF(kokpit!O859&lt;&gt;"",kokpit!O859,"")</f>
        <v/>
      </c>
      <c r="P859" s="141" t="str">
        <f>IF(M859&lt;&gt;"",IF(O859="",SUMIFS('JPK_KR-1'!AL:AL,'JPK_KR-1'!W:W,N859),SUMIFS('JPK_KR-1'!BF:BF,'JPK_KR-1'!BE:BE,N859,'JPK_KR-1'!BG:BG,O859)),"")</f>
        <v/>
      </c>
      <c r="Q859" s="144" t="str">
        <f>IF(M859&lt;&gt;"",IF(O859="",SUMIFS('JPK_KR-1'!AM:AM,'JPK_KR-1'!W:W,N859),SUMIFS('JPK_KR-1'!BI:BI,'JPK_KR-1'!BH:BH,N859,'JPK_KR-1'!BJ:BJ,O859)),"")</f>
        <v/>
      </c>
      <c r="R859" s="117" t="str">
        <f>IF(kokpit!R859&lt;&gt;"",kokpit!R859,"")</f>
        <v/>
      </c>
      <c r="S859" s="117" t="str">
        <f>IF(kokpit!S859&lt;&gt;"",kokpit!S859,"")</f>
        <v/>
      </c>
      <c r="T859" s="117" t="str">
        <f>IF(kokpit!T859&lt;&gt;"",kokpit!T859,"")</f>
        <v/>
      </c>
      <c r="U859" s="141" t="str">
        <f>IF(R859&lt;&gt;"",SUMIFS('JPK_KR-1'!AL:AL,'JPK_KR-1'!W:W,S859),"")</f>
        <v/>
      </c>
      <c r="V859" s="144" t="str">
        <f>IF(R859&lt;&gt;"",SUMIFS('JPK_KR-1'!AM:AM,'JPK_KR-1'!W:W,S859),"")</f>
        <v/>
      </c>
    </row>
    <row r="860" spans="1:22" x14ac:dyDescent="0.3">
      <c r="A860" s="5" t="str">
        <f>IF(kokpit!A860&lt;&gt;"",kokpit!A860,"")</f>
        <v/>
      </c>
      <c r="B860" s="5" t="str">
        <f>IF(kokpit!B860&lt;&gt;"",kokpit!B860,"")</f>
        <v/>
      </c>
      <c r="C860" s="24" t="str">
        <f>IF(A860&lt;&gt;"",SUMIFS('JPK_KR-1'!AL:AL,'JPK_KR-1'!W:W,B860),"")</f>
        <v/>
      </c>
      <c r="D860" s="126" t="str">
        <f>IF(A860&lt;&gt;"",SUMIFS('JPK_KR-1'!AM:AM,'JPK_KR-1'!W:W,B860),"")</f>
        <v/>
      </c>
      <c r="E860" s="5" t="str">
        <f>IF(kokpit!E860&lt;&gt;"",kokpit!E860,"")</f>
        <v/>
      </c>
      <c r="F860" s="127" t="str">
        <f>IF(kokpit!F860&lt;&gt;"",kokpit!F860,"")</f>
        <v/>
      </c>
      <c r="G860" s="24" t="str">
        <f>IF(E860&lt;&gt;"",SUMIFS('JPK_KR-1'!AL:AL,'JPK_KR-1'!W:W,F860),"")</f>
        <v/>
      </c>
      <c r="H860" s="126" t="str">
        <f>IF(E860&lt;&gt;"",SUMIFS('JPK_KR-1'!AM:AM,'JPK_KR-1'!W:W,F860),"")</f>
        <v/>
      </c>
      <c r="I860" s="5" t="str">
        <f>IF(kokpit!I860&lt;&gt;"",kokpit!I860,"")</f>
        <v/>
      </c>
      <c r="J860" s="5" t="str">
        <f>IF(kokpit!J860&lt;&gt;"",kokpit!J860,"")</f>
        <v/>
      </c>
      <c r="K860" s="24" t="str">
        <f>IF(I860&lt;&gt;"",SUMIFS('JPK_KR-1'!AL:AL,'JPK_KR-1'!W:W,J860),"")</f>
        <v/>
      </c>
      <c r="L860" s="141" t="str">
        <f>IF(I860&lt;&gt;"",SUMIFS('JPK_KR-1'!AM:AM,'JPK_KR-1'!W:W,J860),"")</f>
        <v/>
      </c>
      <c r="M860" s="143" t="str">
        <f>IF(kokpit!M860&lt;&gt;"",kokpit!M860,"")</f>
        <v/>
      </c>
      <c r="N860" s="117" t="str">
        <f>IF(kokpit!N860&lt;&gt;"",kokpit!N860,"")</f>
        <v/>
      </c>
      <c r="O860" s="117" t="str">
        <f>IF(kokpit!O860&lt;&gt;"",kokpit!O860,"")</f>
        <v/>
      </c>
      <c r="P860" s="141" t="str">
        <f>IF(M860&lt;&gt;"",IF(O860="",SUMIFS('JPK_KR-1'!AL:AL,'JPK_KR-1'!W:W,N860),SUMIFS('JPK_KR-1'!BF:BF,'JPK_KR-1'!BE:BE,N860,'JPK_KR-1'!BG:BG,O860)),"")</f>
        <v/>
      </c>
      <c r="Q860" s="144" t="str">
        <f>IF(M860&lt;&gt;"",IF(O860="",SUMIFS('JPK_KR-1'!AM:AM,'JPK_KR-1'!W:W,N860),SUMIFS('JPK_KR-1'!BI:BI,'JPK_KR-1'!BH:BH,N860,'JPK_KR-1'!BJ:BJ,O860)),"")</f>
        <v/>
      </c>
      <c r="R860" s="117" t="str">
        <f>IF(kokpit!R860&lt;&gt;"",kokpit!R860,"")</f>
        <v/>
      </c>
      <c r="S860" s="117" t="str">
        <f>IF(kokpit!S860&lt;&gt;"",kokpit!S860,"")</f>
        <v/>
      </c>
      <c r="T860" s="117" t="str">
        <f>IF(kokpit!T860&lt;&gt;"",kokpit!T860,"")</f>
        <v/>
      </c>
      <c r="U860" s="141" t="str">
        <f>IF(R860&lt;&gt;"",SUMIFS('JPK_KR-1'!AL:AL,'JPK_KR-1'!W:W,S860),"")</f>
        <v/>
      </c>
      <c r="V860" s="144" t="str">
        <f>IF(R860&lt;&gt;"",SUMIFS('JPK_KR-1'!AM:AM,'JPK_KR-1'!W:W,S860),"")</f>
        <v/>
      </c>
    </row>
    <row r="861" spans="1:22" x14ac:dyDescent="0.3">
      <c r="A861" s="5" t="str">
        <f>IF(kokpit!A861&lt;&gt;"",kokpit!A861,"")</f>
        <v/>
      </c>
      <c r="B861" s="5" t="str">
        <f>IF(kokpit!B861&lt;&gt;"",kokpit!B861,"")</f>
        <v/>
      </c>
      <c r="C861" s="24" t="str">
        <f>IF(A861&lt;&gt;"",SUMIFS('JPK_KR-1'!AL:AL,'JPK_KR-1'!W:W,B861),"")</f>
        <v/>
      </c>
      <c r="D861" s="126" t="str">
        <f>IF(A861&lt;&gt;"",SUMIFS('JPK_KR-1'!AM:AM,'JPK_KR-1'!W:W,B861),"")</f>
        <v/>
      </c>
      <c r="E861" s="5" t="str">
        <f>IF(kokpit!E861&lt;&gt;"",kokpit!E861,"")</f>
        <v/>
      </c>
      <c r="F861" s="127" t="str">
        <f>IF(kokpit!F861&lt;&gt;"",kokpit!F861,"")</f>
        <v/>
      </c>
      <c r="G861" s="24" t="str">
        <f>IF(E861&lt;&gt;"",SUMIFS('JPK_KR-1'!AL:AL,'JPK_KR-1'!W:W,F861),"")</f>
        <v/>
      </c>
      <c r="H861" s="126" t="str">
        <f>IF(E861&lt;&gt;"",SUMIFS('JPK_KR-1'!AM:AM,'JPK_KR-1'!W:W,F861),"")</f>
        <v/>
      </c>
      <c r="I861" s="5" t="str">
        <f>IF(kokpit!I861&lt;&gt;"",kokpit!I861,"")</f>
        <v/>
      </c>
      <c r="J861" s="5" t="str">
        <f>IF(kokpit!J861&lt;&gt;"",kokpit!J861,"")</f>
        <v/>
      </c>
      <c r="K861" s="24" t="str">
        <f>IF(I861&lt;&gt;"",SUMIFS('JPK_KR-1'!AL:AL,'JPK_KR-1'!W:W,J861),"")</f>
        <v/>
      </c>
      <c r="L861" s="141" t="str">
        <f>IF(I861&lt;&gt;"",SUMIFS('JPK_KR-1'!AM:AM,'JPK_KR-1'!W:W,J861),"")</f>
        <v/>
      </c>
      <c r="M861" s="143" t="str">
        <f>IF(kokpit!M861&lt;&gt;"",kokpit!M861,"")</f>
        <v/>
      </c>
      <c r="N861" s="117" t="str">
        <f>IF(kokpit!N861&lt;&gt;"",kokpit!N861,"")</f>
        <v/>
      </c>
      <c r="O861" s="117" t="str">
        <f>IF(kokpit!O861&lt;&gt;"",kokpit!O861,"")</f>
        <v/>
      </c>
      <c r="P861" s="141" t="str">
        <f>IF(M861&lt;&gt;"",IF(O861="",SUMIFS('JPK_KR-1'!AL:AL,'JPK_KR-1'!W:W,N861),SUMIFS('JPK_KR-1'!BF:BF,'JPK_KR-1'!BE:BE,N861,'JPK_KR-1'!BG:BG,O861)),"")</f>
        <v/>
      </c>
      <c r="Q861" s="144" t="str">
        <f>IF(M861&lt;&gt;"",IF(O861="",SUMIFS('JPK_KR-1'!AM:AM,'JPK_KR-1'!W:W,N861),SUMIFS('JPK_KR-1'!BI:BI,'JPK_KR-1'!BH:BH,N861,'JPK_KR-1'!BJ:BJ,O861)),"")</f>
        <v/>
      </c>
      <c r="R861" s="117" t="str">
        <f>IF(kokpit!R861&lt;&gt;"",kokpit!R861,"")</f>
        <v/>
      </c>
      <c r="S861" s="117" t="str">
        <f>IF(kokpit!S861&lt;&gt;"",kokpit!S861,"")</f>
        <v/>
      </c>
      <c r="T861" s="117" t="str">
        <f>IF(kokpit!T861&lt;&gt;"",kokpit!T861,"")</f>
        <v/>
      </c>
      <c r="U861" s="141" t="str">
        <f>IF(R861&lt;&gt;"",SUMIFS('JPK_KR-1'!AL:AL,'JPK_KR-1'!W:W,S861),"")</f>
        <v/>
      </c>
      <c r="V861" s="144" t="str">
        <f>IF(R861&lt;&gt;"",SUMIFS('JPK_KR-1'!AM:AM,'JPK_KR-1'!W:W,S861),"")</f>
        <v/>
      </c>
    </row>
    <row r="862" spans="1:22" x14ac:dyDescent="0.3">
      <c r="A862" s="5" t="str">
        <f>IF(kokpit!A862&lt;&gt;"",kokpit!A862,"")</f>
        <v/>
      </c>
      <c r="B862" s="5" t="str">
        <f>IF(kokpit!B862&lt;&gt;"",kokpit!B862,"")</f>
        <v/>
      </c>
      <c r="C862" s="24" t="str">
        <f>IF(A862&lt;&gt;"",SUMIFS('JPK_KR-1'!AL:AL,'JPK_KR-1'!W:W,B862),"")</f>
        <v/>
      </c>
      <c r="D862" s="126" t="str">
        <f>IF(A862&lt;&gt;"",SUMIFS('JPK_KR-1'!AM:AM,'JPK_KR-1'!W:W,B862),"")</f>
        <v/>
      </c>
      <c r="E862" s="5" t="str">
        <f>IF(kokpit!E862&lt;&gt;"",kokpit!E862,"")</f>
        <v/>
      </c>
      <c r="F862" s="127" t="str">
        <f>IF(kokpit!F862&lt;&gt;"",kokpit!F862,"")</f>
        <v/>
      </c>
      <c r="G862" s="24" t="str">
        <f>IF(E862&lt;&gt;"",SUMIFS('JPK_KR-1'!AL:AL,'JPK_KR-1'!W:W,F862),"")</f>
        <v/>
      </c>
      <c r="H862" s="126" t="str">
        <f>IF(E862&lt;&gt;"",SUMIFS('JPK_KR-1'!AM:AM,'JPK_KR-1'!W:W,F862),"")</f>
        <v/>
      </c>
      <c r="I862" s="5" t="str">
        <f>IF(kokpit!I862&lt;&gt;"",kokpit!I862,"")</f>
        <v/>
      </c>
      <c r="J862" s="5" t="str">
        <f>IF(kokpit!J862&lt;&gt;"",kokpit!J862,"")</f>
        <v/>
      </c>
      <c r="K862" s="24" t="str">
        <f>IF(I862&lt;&gt;"",SUMIFS('JPK_KR-1'!AL:AL,'JPK_KR-1'!W:W,J862),"")</f>
        <v/>
      </c>
      <c r="L862" s="141" t="str">
        <f>IF(I862&lt;&gt;"",SUMIFS('JPK_KR-1'!AM:AM,'JPK_KR-1'!W:W,J862),"")</f>
        <v/>
      </c>
      <c r="M862" s="143" t="str">
        <f>IF(kokpit!M862&lt;&gt;"",kokpit!M862,"")</f>
        <v/>
      </c>
      <c r="N862" s="117" t="str">
        <f>IF(kokpit!N862&lt;&gt;"",kokpit!N862,"")</f>
        <v/>
      </c>
      <c r="O862" s="117" t="str">
        <f>IF(kokpit!O862&lt;&gt;"",kokpit!O862,"")</f>
        <v/>
      </c>
      <c r="P862" s="141" t="str">
        <f>IF(M862&lt;&gt;"",IF(O862="",SUMIFS('JPK_KR-1'!AL:AL,'JPK_KR-1'!W:W,N862),SUMIFS('JPK_KR-1'!BF:BF,'JPK_KR-1'!BE:BE,N862,'JPK_KR-1'!BG:BG,O862)),"")</f>
        <v/>
      </c>
      <c r="Q862" s="144" t="str">
        <f>IF(M862&lt;&gt;"",IF(O862="",SUMIFS('JPK_KR-1'!AM:AM,'JPK_KR-1'!W:W,N862),SUMIFS('JPK_KR-1'!BI:BI,'JPK_KR-1'!BH:BH,N862,'JPK_KR-1'!BJ:BJ,O862)),"")</f>
        <v/>
      </c>
      <c r="R862" s="117" t="str">
        <f>IF(kokpit!R862&lt;&gt;"",kokpit!R862,"")</f>
        <v/>
      </c>
      <c r="S862" s="117" t="str">
        <f>IF(kokpit!S862&lt;&gt;"",kokpit!S862,"")</f>
        <v/>
      </c>
      <c r="T862" s="117" t="str">
        <f>IF(kokpit!T862&lt;&gt;"",kokpit!T862,"")</f>
        <v/>
      </c>
      <c r="U862" s="141" t="str">
        <f>IF(R862&lt;&gt;"",SUMIFS('JPK_KR-1'!AL:AL,'JPK_KR-1'!W:W,S862),"")</f>
        <v/>
      </c>
      <c r="V862" s="144" t="str">
        <f>IF(R862&lt;&gt;"",SUMIFS('JPK_KR-1'!AM:AM,'JPK_KR-1'!W:W,S862),"")</f>
        <v/>
      </c>
    </row>
    <row r="863" spans="1:22" x14ac:dyDescent="0.3">
      <c r="A863" s="5" t="str">
        <f>IF(kokpit!A863&lt;&gt;"",kokpit!A863,"")</f>
        <v/>
      </c>
      <c r="B863" s="5" t="str">
        <f>IF(kokpit!B863&lt;&gt;"",kokpit!B863,"")</f>
        <v/>
      </c>
      <c r="C863" s="24" t="str">
        <f>IF(A863&lt;&gt;"",SUMIFS('JPK_KR-1'!AL:AL,'JPK_KR-1'!W:W,B863),"")</f>
        <v/>
      </c>
      <c r="D863" s="126" t="str">
        <f>IF(A863&lt;&gt;"",SUMIFS('JPK_KR-1'!AM:AM,'JPK_KR-1'!W:W,B863),"")</f>
        <v/>
      </c>
      <c r="E863" s="5" t="str">
        <f>IF(kokpit!E863&lt;&gt;"",kokpit!E863,"")</f>
        <v/>
      </c>
      <c r="F863" s="127" t="str">
        <f>IF(kokpit!F863&lt;&gt;"",kokpit!F863,"")</f>
        <v/>
      </c>
      <c r="G863" s="24" t="str">
        <f>IF(E863&lt;&gt;"",SUMIFS('JPK_KR-1'!AL:AL,'JPK_KR-1'!W:W,F863),"")</f>
        <v/>
      </c>
      <c r="H863" s="126" t="str">
        <f>IF(E863&lt;&gt;"",SUMIFS('JPK_KR-1'!AM:AM,'JPK_KR-1'!W:W,F863),"")</f>
        <v/>
      </c>
      <c r="I863" s="5" t="str">
        <f>IF(kokpit!I863&lt;&gt;"",kokpit!I863,"")</f>
        <v/>
      </c>
      <c r="J863" s="5" t="str">
        <f>IF(kokpit!J863&lt;&gt;"",kokpit!J863,"")</f>
        <v/>
      </c>
      <c r="K863" s="24" t="str">
        <f>IF(I863&lt;&gt;"",SUMIFS('JPK_KR-1'!AL:AL,'JPK_KR-1'!W:W,J863),"")</f>
        <v/>
      </c>
      <c r="L863" s="141" t="str">
        <f>IF(I863&lt;&gt;"",SUMIFS('JPK_KR-1'!AM:AM,'JPK_KR-1'!W:W,J863),"")</f>
        <v/>
      </c>
      <c r="M863" s="143" t="str">
        <f>IF(kokpit!M863&lt;&gt;"",kokpit!M863,"")</f>
        <v/>
      </c>
      <c r="N863" s="117" t="str">
        <f>IF(kokpit!N863&lt;&gt;"",kokpit!N863,"")</f>
        <v/>
      </c>
      <c r="O863" s="117" t="str">
        <f>IF(kokpit!O863&lt;&gt;"",kokpit!O863,"")</f>
        <v/>
      </c>
      <c r="P863" s="141" t="str">
        <f>IF(M863&lt;&gt;"",IF(O863="",SUMIFS('JPK_KR-1'!AL:AL,'JPK_KR-1'!W:W,N863),SUMIFS('JPK_KR-1'!BF:BF,'JPK_KR-1'!BE:BE,N863,'JPK_KR-1'!BG:BG,O863)),"")</f>
        <v/>
      </c>
      <c r="Q863" s="144" t="str">
        <f>IF(M863&lt;&gt;"",IF(O863="",SUMIFS('JPK_KR-1'!AM:AM,'JPK_KR-1'!W:W,N863),SUMIFS('JPK_KR-1'!BI:BI,'JPK_KR-1'!BH:BH,N863,'JPK_KR-1'!BJ:BJ,O863)),"")</f>
        <v/>
      </c>
      <c r="R863" s="117" t="str">
        <f>IF(kokpit!R863&lt;&gt;"",kokpit!R863,"")</f>
        <v/>
      </c>
      <c r="S863" s="117" t="str">
        <f>IF(kokpit!S863&lt;&gt;"",kokpit!S863,"")</f>
        <v/>
      </c>
      <c r="T863" s="117" t="str">
        <f>IF(kokpit!T863&lt;&gt;"",kokpit!T863,"")</f>
        <v/>
      </c>
      <c r="U863" s="141" t="str">
        <f>IF(R863&lt;&gt;"",SUMIFS('JPK_KR-1'!AL:AL,'JPK_KR-1'!W:W,S863),"")</f>
        <v/>
      </c>
      <c r="V863" s="144" t="str">
        <f>IF(R863&lt;&gt;"",SUMIFS('JPK_KR-1'!AM:AM,'JPK_KR-1'!W:W,S863),"")</f>
        <v/>
      </c>
    </row>
    <row r="864" spans="1:22" x14ac:dyDescent="0.3">
      <c r="A864" s="5" t="str">
        <f>IF(kokpit!A864&lt;&gt;"",kokpit!A864,"")</f>
        <v/>
      </c>
      <c r="B864" s="5" t="str">
        <f>IF(kokpit!B864&lt;&gt;"",kokpit!B864,"")</f>
        <v/>
      </c>
      <c r="C864" s="24" t="str">
        <f>IF(A864&lt;&gt;"",SUMIFS('JPK_KR-1'!AL:AL,'JPK_KR-1'!W:W,B864),"")</f>
        <v/>
      </c>
      <c r="D864" s="126" t="str">
        <f>IF(A864&lt;&gt;"",SUMIFS('JPK_KR-1'!AM:AM,'JPK_KR-1'!W:W,B864),"")</f>
        <v/>
      </c>
      <c r="E864" s="5" t="str">
        <f>IF(kokpit!E864&lt;&gt;"",kokpit!E864,"")</f>
        <v/>
      </c>
      <c r="F864" s="127" t="str">
        <f>IF(kokpit!F864&lt;&gt;"",kokpit!F864,"")</f>
        <v/>
      </c>
      <c r="G864" s="24" t="str">
        <f>IF(E864&lt;&gt;"",SUMIFS('JPK_KR-1'!AL:AL,'JPK_KR-1'!W:W,F864),"")</f>
        <v/>
      </c>
      <c r="H864" s="126" t="str">
        <f>IF(E864&lt;&gt;"",SUMIFS('JPK_KR-1'!AM:AM,'JPK_KR-1'!W:W,F864),"")</f>
        <v/>
      </c>
      <c r="I864" s="5" t="str">
        <f>IF(kokpit!I864&lt;&gt;"",kokpit!I864,"")</f>
        <v/>
      </c>
      <c r="J864" s="5" t="str">
        <f>IF(kokpit!J864&lt;&gt;"",kokpit!J864,"")</f>
        <v/>
      </c>
      <c r="K864" s="24" t="str">
        <f>IF(I864&lt;&gt;"",SUMIFS('JPK_KR-1'!AL:AL,'JPK_KR-1'!W:W,J864),"")</f>
        <v/>
      </c>
      <c r="L864" s="141" t="str">
        <f>IF(I864&lt;&gt;"",SUMIFS('JPK_KR-1'!AM:AM,'JPK_KR-1'!W:W,J864),"")</f>
        <v/>
      </c>
      <c r="M864" s="143" t="str">
        <f>IF(kokpit!M864&lt;&gt;"",kokpit!M864,"")</f>
        <v/>
      </c>
      <c r="N864" s="117" t="str">
        <f>IF(kokpit!N864&lt;&gt;"",kokpit!N864,"")</f>
        <v/>
      </c>
      <c r="O864" s="117" t="str">
        <f>IF(kokpit!O864&lt;&gt;"",kokpit!O864,"")</f>
        <v/>
      </c>
      <c r="P864" s="141" t="str">
        <f>IF(M864&lt;&gt;"",IF(O864="",SUMIFS('JPK_KR-1'!AL:AL,'JPK_KR-1'!W:W,N864),SUMIFS('JPK_KR-1'!BF:BF,'JPK_KR-1'!BE:BE,N864,'JPK_KR-1'!BG:BG,O864)),"")</f>
        <v/>
      </c>
      <c r="Q864" s="144" t="str">
        <f>IF(M864&lt;&gt;"",IF(O864="",SUMIFS('JPK_KR-1'!AM:AM,'JPK_KR-1'!W:W,N864),SUMIFS('JPK_KR-1'!BI:BI,'JPK_KR-1'!BH:BH,N864,'JPK_KR-1'!BJ:BJ,O864)),"")</f>
        <v/>
      </c>
      <c r="R864" s="117" t="str">
        <f>IF(kokpit!R864&lt;&gt;"",kokpit!R864,"")</f>
        <v/>
      </c>
      <c r="S864" s="117" t="str">
        <f>IF(kokpit!S864&lt;&gt;"",kokpit!S864,"")</f>
        <v/>
      </c>
      <c r="T864" s="117" t="str">
        <f>IF(kokpit!T864&lt;&gt;"",kokpit!T864,"")</f>
        <v/>
      </c>
      <c r="U864" s="141" t="str">
        <f>IF(R864&lt;&gt;"",SUMIFS('JPK_KR-1'!AL:AL,'JPK_KR-1'!W:W,S864),"")</f>
        <v/>
      </c>
      <c r="V864" s="144" t="str">
        <f>IF(R864&lt;&gt;"",SUMIFS('JPK_KR-1'!AM:AM,'JPK_KR-1'!W:W,S864),"")</f>
        <v/>
      </c>
    </row>
    <row r="865" spans="1:22" x14ac:dyDescent="0.3">
      <c r="A865" s="5" t="str">
        <f>IF(kokpit!A865&lt;&gt;"",kokpit!A865,"")</f>
        <v/>
      </c>
      <c r="B865" s="5" t="str">
        <f>IF(kokpit!B865&lt;&gt;"",kokpit!B865,"")</f>
        <v/>
      </c>
      <c r="C865" s="24" t="str">
        <f>IF(A865&lt;&gt;"",SUMIFS('JPK_KR-1'!AL:AL,'JPK_KR-1'!W:W,B865),"")</f>
        <v/>
      </c>
      <c r="D865" s="126" t="str">
        <f>IF(A865&lt;&gt;"",SUMIFS('JPK_KR-1'!AM:AM,'JPK_KR-1'!W:W,B865),"")</f>
        <v/>
      </c>
      <c r="E865" s="5" t="str">
        <f>IF(kokpit!E865&lt;&gt;"",kokpit!E865,"")</f>
        <v/>
      </c>
      <c r="F865" s="127" t="str">
        <f>IF(kokpit!F865&lt;&gt;"",kokpit!F865,"")</f>
        <v/>
      </c>
      <c r="G865" s="24" t="str">
        <f>IF(E865&lt;&gt;"",SUMIFS('JPK_KR-1'!AL:AL,'JPK_KR-1'!W:W,F865),"")</f>
        <v/>
      </c>
      <c r="H865" s="126" t="str">
        <f>IF(E865&lt;&gt;"",SUMIFS('JPK_KR-1'!AM:AM,'JPK_KR-1'!W:W,F865),"")</f>
        <v/>
      </c>
      <c r="I865" s="5" t="str">
        <f>IF(kokpit!I865&lt;&gt;"",kokpit!I865,"")</f>
        <v/>
      </c>
      <c r="J865" s="5" t="str">
        <f>IF(kokpit!J865&lt;&gt;"",kokpit!J865,"")</f>
        <v/>
      </c>
      <c r="K865" s="24" t="str">
        <f>IF(I865&lt;&gt;"",SUMIFS('JPK_KR-1'!AL:AL,'JPK_KR-1'!W:W,J865),"")</f>
        <v/>
      </c>
      <c r="L865" s="141" t="str">
        <f>IF(I865&lt;&gt;"",SUMIFS('JPK_KR-1'!AM:AM,'JPK_KR-1'!W:W,J865),"")</f>
        <v/>
      </c>
      <c r="M865" s="143" t="str">
        <f>IF(kokpit!M865&lt;&gt;"",kokpit!M865,"")</f>
        <v/>
      </c>
      <c r="N865" s="117" t="str">
        <f>IF(kokpit!N865&lt;&gt;"",kokpit!N865,"")</f>
        <v/>
      </c>
      <c r="O865" s="117" t="str">
        <f>IF(kokpit!O865&lt;&gt;"",kokpit!O865,"")</f>
        <v/>
      </c>
      <c r="P865" s="141" t="str">
        <f>IF(M865&lt;&gt;"",IF(O865="",SUMIFS('JPK_KR-1'!AL:AL,'JPK_KR-1'!W:W,N865),SUMIFS('JPK_KR-1'!BF:BF,'JPK_KR-1'!BE:BE,N865,'JPK_KR-1'!BG:BG,O865)),"")</f>
        <v/>
      </c>
      <c r="Q865" s="144" t="str">
        <f>IF(M865&lt;&gt;"",IF(O865="",SUMIFS('JPK_KR-1'!AM:AM,'JPK_KR-1'!W:W,N865),SUMIFS('JPK_KR-1'!BI:BI,'JPK_KR-1'!BH:BH,N865,'JPK_KR-1'!BJ:BJ,O865)),"")</f>
        <v/>
      </c>
      <c r="R865" s="117" t="str">
        <f>IF(kokpit!R865&lt;&gt;"",kokpit!R865,"")</f>
        <v/>
      </c>
      <c r="S865" s="117" t="str">
        <f>IF(kokpit!S865&lt;&gt;"",kokpit!S865,"")</f>
        <v/>
      </c>
      <c r="T865" s="117" t="str">
        <f>IF(kokpit!T865&lt;&gt;"",kokpit!T865,"")</f>
        <v/>
      </c>
      <c r="U865" s="141" t="str">
        <f>IF(R865&lt;&gt;"",SUMIFS('JPK_KR-1'!AL:AL,'JPK_KR-1'!W:W,S865),"")</f>
        <v/>
      </c>
      <c r="V865" s="144" t="str">
        <f>IF(R865&lt;&gt;"",SUMIFS('JPK_KR-1'!AM:AM,'JPK_KR-1'!W:W,S865),"")</f>
        <v/>
      </c>
    </row>
    <row r="866" spans="1:22" x14ac:dyDescent="0.3">
      <c r="A866" s="5" t="str">
        <f>IF(kokpit!A866&lt;&gt;"",kokpit!A866,"")</f>
        <v/>
      </c>
      <c r="B866" s="5" t="str">
        <f>IF(kokpit!B866&lt;&gt;"",kokpit!B866,"")</f>
        <v/>
      </c>
      <c r="C866" s="24" t="str">
        <f>IF(A866&lt;&gt;"",SUMIFS('JPK_KR-1'!AL:AL,'JPK_KR-1'!W:W,B866),"")</f>
        <v/>
      </c>
      <c r="D866" s="126" t="str">
        <f>IF(A866&lt;&gt;"",SUMIFS('JPK_KR-1'!AM:AM,'JPK_KR-1'!W:W,B866),"")</f>
        <v/>
      </c>
      <c r="E866" s="5" t="str">
        <f>IF(kokpit!E866&lt;&gt;"",kokpit!E866,"")</f>
        <v/>
      </c>
      <c r="F866" s="127" t="str">
        <f>IF(kokpit!F866&lt;&gt;"",kokpit!F866,"")</f>
        <v/>
      </c>
      <c r="G866" s="24" t="str">
        <f>IF(E866&lt;&gt;"",SUMIFS('JPK_KR-1'!AL:AL,'JPK_KR-1'!W:W,F866),"")</f>
        <v/>
      </c>
      <c r="H866" s="126" t="str">
        <f>IF(E866&lt;&gt;"",SUMIFS('JPK_KR-1'!AM:AM,'JPK_KR-1'!W:W,F866),"")</f>
        <v/>
      </c>
      <c r="I866" s="5" t="str">
        <f>IF(kokpit!I866&lt;&gt;"",kokpit!I866,"")</f>
        <v/>
      </c>
      <c r="J866" s="5" t="str">
        <f>IF(kokpit!J866&lt;&gt;"",kokpit!J866,"")</f>
        <v/>
      </c>
      <c r="K866" s="24" t="str">
        <f>IF(I866&lt;&gt;"",SUMIFS('JPK_KR-1'!AL:AL,'JPK_KR-1'!W:W,J866),"")</f>
        <v/>
      </c>
      <c r="L866" s="141" t="str">
        <f>IF(I866&lt;&gt;"",SUMIFS('JPK_KR-1'!AM:AM,'JPK_KR-1'!W:W,J866),"")</f>
        <v/>
      </c>
      <c r="M866" s="143" t="str">
        <f>IF(kokpit!M866&lt;&gt;"",kokpit!M866,"")</f>
        <v/>
      </c>
      <c r="N866" s="117" t="str">
        <f>IF(kokpit!N866&lt;&gt;"",kokpit!N866,"")</f>
        <v/>
      </c>
      <c r="O866" s="117" t="str">
        <f>IF(kokpit!O866&lt;&gt;"",kokpit!O866,"")</f>
        <v/>
      </c>
      <c r="P866" s="141" t="str">
        <f>IF(M866&lt;&gt;"",IF(O866="",SUMIFS('JPK_KR-1'!AL:AL,'JPK_KR-1'!W:W,N866),SUMIFS('JPK_KR-1'!BF:BF,'JPK_KR-1'!BE:BE,N866,'JPK_KR-1'!BG:BG,O866)),"")</f>
        <v/>
      </c>
      <c r="Q866" s="144" t="str">
        <f>IF(M866&lt;&gt;"",IF(O866="",SUMIFS('JPK_KR-1'!AM:AM,'JPK_KR-1'!W:W,N866),SUMIFS('JPK_KR-1'!BI:BI,'JPK_KR-1'!BH:BH,N866,'JPK_KR-1'!BJ:BJ,O866)),"")</f>
        <v/>
      </c>
      <c r="R866" s="117" t="str">
        <f>IF(kokpit!R866&lt;&gt;"",kokpit!R866,"")</f>
        <v/>
      </c>
      <c r="S866" s="117" t="str">
        <f>IF(kokpit!S866&lt;&gt;"",kokpit!S866,"")</f>
        <v/>
      </c>
      <c r="T866" s="117" t="str">
        <f>IF(kokpit!T866&lt;&gt;"",kokpit!T866,"")</f>
        <v/>
      </c>
      <c r="U866" s="141" t="str">
        <f>IF(R866&lt;&gt;"",SUMIFS('JPK_KR-1'!AL:AL,'JPK_KR-1'!W:W,S866),"")</f>
        <v/>
      </c>
      <c r="V866" s="144" t="str">
        <f>IF(R866&lt;&gt;"",SUMIFS('JPK_KR-1'!AM:AM,'JPK_KR-1'!W:W,S866),"")</f>
        <v/>
      </c>
    </row>
    <row r="867" spans="1:22" x14ac:dyDescent="0.3">
      <c r="A867" s="5" t="str">
        <f>IF(kokpit!A867&lt;&gt;"",kokpit!A867,"")</f>
        <v/>
      </c>
      <c r="B867" s="5" t="str">
        <f>IF(kokpit!B867&lt;&gt;"",kokpit!B867,"")</f>
        <v/>
      </c>
      <c r="C867" s="24" t="str">
        <f>IF(A867&lt;&gt;"",SUMIFS('JPK_KR-1'!AL:AL,'JPK_KR-1'!W:W,B867),"")</f>
        <v/>
      </c>
      <c r="D867" s="126" t="str">
        <f>IF(A867&lt;&gt;"",SUMIFS('JPK_KR-1'!AM:AM,'JPK_KR-1'!W:W,B867),"")</f>
        <v/>
      </c>
      <c r="E867" s="5" t="str">
        <f>IF(kokpit!E867&lt;&gt;"",kokpit!E867,"")</f>
        <v/>
      </c>
      <c r="F867" s="127" t="str">
        <f>IF(kokpit!F867&lt;&gt;"",kokpit!F867,"")</f>
        <v/>
      </c>
      <c r="G867" s="24" t="str">
        <f>IF(E867&lt;&gt;"",SUMIFS('JPK_KR-1'!AL:AL,'JPK_KR-1'!W:W,F867),"")</f>
        <v/>
      </c>
      <c r="H867" s="126" t="str">
        <f>IF(E867&lt;&gt;"",SUMIFS('JPK_KR-1'!AM:AM,'JPK_KR-1'!W:W,F867),"")</f>
        <v/>
      </c>
      <c r="I867" s="5" t="str">
        <f>IF(kokpit!I867&lt;&gt;"",kokpit!I867,"")</f>
        <v/>
      </c>
      <c r="J867" s="5" t="str">
        <f>IF(kokpit!J867&lt;&gt;"",kokpit!J867,"")</f>
        <v/>
      </c>
      <c r="K867" s="24" t="str">
        <f>IF(I867&lt;&gt;"",SUMIFS('JPK_KR-1'!AL:AL,'JPK_KR-1'!W:W,J867),"")</f>
        <v/>
      </c>
      <c r="L867" s="141" t="str">
        <f>IF(I867&lt;&gt;"",SUMIFS('JPK_KR-1'!AM:AM,'JPK_KR-1'!W:W,J867),"")</f>
        <v/>
      </c>
      <c r="M867" s="143" t="str">
        <f>IF(kokpit!M867&lt;&gt;"",kokpit!M867,"")</f>
        <v/>
      </c>
      <c r="N867" s="117" t="str">
        <f>IF(kokpit!N867&lt;&gt;"",kokpit!N867,"")</f>
        <v/>
      </c>
      <c r="O867" s="117" t="str">
        <f>IF(kokpit!O867&lt;&gt;"",kokpit!O867,"")</f>
        <v/>
      </c>
      <c r="P867" s="141" t="str">
        <f>IF(M867&lt;&gt;"",IF(O867="",SUMIFS('JPK_KR-1'!AL:AL,'JPK_KR-1'!W:W,N867),SUMIFS('JPK_KR-1'!BF:BF,'JPK_KR-1'!BE:BE,N867,'JPK_KR-1'!BG:BG,O867)),"")</f>
        <v/>
      </c>
      <c r="Q867" s="144" t="str">
        <f>IF(M867&lt;&gt;"",IF(O867="",SUMIFS('JPK_KR-1'!AM:AM,'JPK_KR-1'!W:W,N867),SUMIFS('JPK_KR-1'!BI:BI,'JPK_KR-1'!BH:BH,N867,'JPK_KR-1'!BJ:BJ,O867)),"")</f>
        <v/>
      </c>
      <c r="R867" s="117" t="str">
        <f>IF(kokpit!R867&lt;&gt;"",kokpit!R867,"")</f>
        <v/>
      </c>
      <c r="S867" s="117" t="str">
        <f>IF(kokpit!S867&lt;&gt;"",kokpit!S867,"")</f>
        <v/>
      </c>
      <c r="T867" s="117" t="str">
        <f>IF(kokpit!T867&lt;&gt;"",kokpit!T867,"")</f>
        <v/>
      </c>
      <c r="U867" s="141" t="str">
        <f>IF(R867&lt;&gt;"",SUMIFS('JPK_KR-1'!AL:AL,'JPK_KR-1'!W:W,S867),"")</f>
        <v/>
      </c>
      <c r="V867" s="144" t="str">
        <f>IF(R867&lt;&gt;"",SUMIFS('JPK_KR-1'!AM:AM,'JPK_KR-1'!W:W,S867),"")</f>
        <v/>
      </c>
    </row>
    <row r="868" spans="1:22" x14ac:dyDescent="0.3">
      <c r="A868" s="5" t="str">
        <f>IF(kokpit!A868&lt;&gt;"",kokpit!A868,"")</f>
        <v/>
      </c>
      <c r="B868" s="5" t="str">
        <f>IF(kokpit!B868&lt;&gt;"",kokpit!B868,"")</f>
        <v/>
      </c>
      <c r="C868" s="24" t="str">
        <f>IF(A868&lt;&gt;"",SUMIFS('JPK_KR-1'!AL:AL,'JPK_KR-1'!W:W,B868),"")</f>
        <v/>
      </c>
      <c r="D868" s="126" t="str">
        <f>IF(A868&lt;&gt;"",SUMIFS('JPK_KR-1'!AM:AM,'JPK_KR-1'!W:W,B868),"")</f>
        <v/>
      </c>
      <c r="E868" s="5" t="str">
        <f>IF(kokpit!E868&lt;&gt;"",kokpit!E868,"")</f>
        <v/>
      </c>
      <c r="F868" s="127" t="str">
        <f>IF(kokpit!F868&lt;&gt;"",kokpit!F868,"")</f>
        <v/>
      </c>
      <c r="G868" s="24" t="str">
        <f>IF(E868&lt;&gt;"",SUMIFS('JPK_KR-1'!AL:AL,'JPK_KR-1'!W:W,F868),"")</f>
        <v/>
      </c>
      <c r="H868" s="126" t="str">
        <f>IF(E868&lt;&gt;"",SUMIFS('JPK_KR-1'!AM:AM,'JPK_KR-1'!W:W,F868),"")</f>
        <v/>
      </c>
      <c r="I868" s="5" t="str">
        <f>IF(kokpit!I868&lt;&gt;"",kokpit!I868,"")</f>
        <v/>
      </c>
      <c r="J868" s="5" t="str">
        <f>IF(kokpit!J868&lt;&gt;"",kokpit!J868,"")</f>
        <v/>
      </c>
      <c r="K868" s="24" t="str">
        <f>IF(I868&lt;&gt;"",SUMIFS('JPK_KR-1'!AL:AL,'JPK_KR-1'!W:W,J868),"")</f>
        <v/>
      </c>
      <c r="L868" s="141" t="str">
        <f>IF(I868&lt;&gt;"",SUMIFS('JPK_KR-1'!AM:AM,'JPK_KR-1'!W:W,J868),"")</f>
        <v/>
      </c>
      <c r="M868" s="143" t="str">
        <f>IF(kokpit!M868&lt;&gt;"",kokpit!M868,"")</f>
        <v/>
      </c>
      <c r="N868" s="117" t="str">
        <f>IF(kokpit!N868&lt;&gt;"",kokpit!N868,"")</f>
        <v/>
      </c>
      <c r="O868" s="117" t="str">
        <f>IF(kokpit!O868&lt;&gt;"",kokpit!O868,"")</f>
        <v/>
      </c>
      <c r="P868" s="141" t="str">
        <f>IF(M868&lt;&gt;"",IF(O868="",SUMIFS('JPK_KR-1'!AL:AL,'JPK_KR-1'!W:W,N868),SUMIFS('JPK_KR-1'!BF:BF,'JPK_KR-1'!BE:BE,N868,'JPK_KR-1'!BG:BG,O868)),"")</f>
        <v/>
      </c>
      <c r="Q868" s="144" t="str">
        <f>IF(M868&lt;&gt;"",IF(O868="",SUMIFS('JPK_KR-1'!AM:AM,'JPK_KR-1'!W:W,N868),SUMIFS('JPK_KR-1'!BI:BI,'JPK_KR-1'!BH:BH,N868,'JPK_KR-1'!BJ:BJ,O868)),"")</f>
        <v/>
      </c>
      <c r="R868" s="117" t="str">
        <f>IF(kokpit!R868&lt;&gt;"",kokpit!R868,"")</f>
        <v/>
      </c>
      <c r="S868" s="117" t="str">
        <f>IF(kokpit!S868&lt;&gt;"",kokpit!S868,"")</f>
        <v/>
      </c>
      <c r="T868" s="117" t="str">
        <f>IF(kokpit!T868&lt;&gt;"",kokpit!T868,"")</f>
        <v/>
      </c>
      <c r="U868" s="141" t="str">
        <f>IF(R868&lt;&gt;"",SUMIFS('JPK_KR-1'!AL:AL,'JPK_KR-1'!W:W,S868),"")</f>
        <v/>
      </c>
      <c r="V868" s="144" t="str">
        <f>IF(R868&lt;&gt;"",SUMIFS('JPK_KR-1'!AM:AM,'JPK_KR-1'!W:W,S868),"")</f>
        <v/>
      </c>
    </row>
    <row r="869" spans="1:22" x14ac:dyDescent="0.3">
      <c r="A869" s="5" t="str">
        <f>IF(kokpit!A869&lt;&gt;"",kokpit!A869,"")</f>
        <v/>
      </c>
      <c r="B869" s="5" t="str">
        <f>IF(kokpit!B869&lt;&gt;"",kokpit!B869,"")</f>
        <v/>
      </c>
      <c r="C869" s="24" t="str">
        <f>IF(A869&lt;&gt;"",SUMIFS('JPK_KR-1'!AL:AL,'JPK_KR-1'!W:W,B869),"")</f>
        <v/>
      </c>
      <c r="D869" s="126" t="str">
        <f>IF(A869&lt;&gt;"",SUMIFS('JPK_KR-1'!AM:AM,'JPK_KR-1'!W:W,B869),"")</f>
        <v/>
      </c>
      <c r="E869" s="5" t="str">
        <f>IF(kokpit!E869&lt;&gt;"",kokpit!E869,"")</f>
        <v/>
      </c>
      <c r="F869" s="127" t="str">
        <f>IF(kokpit!F869&lt;&gt;"",kokpit!F869,"")</f>
        <v/>
      </c>
      <c r="G869" s="24" t="str">
        <f>IF(E869&lt;&gt;"",SUMIFS('JPK_KR-1'!AL:AL,'JPK_KR-1'!W:W,F869),"")</f>
        <v/>
      </c>
      <c r="H869" s="126" t="str">
        <f>IF(E869&lt;&gt;"",SUMIFS('JPK_KR-1'!AM:AM,'JPK_KR-1'!W:W,F869),"")</f>
        <v/>
      </c>
      <c r="I869" s="5" t="str">
        <f>IF(kokpit!I869&lt;&gt;"",kokpit!I869,"")</f>
        <v/>
      </c>
      <c r="J869" s="5" t="str">
        <f>IF(kokpit!J869&lt;&gt;"",kokpit!J869,"")</f>
        <v/>
      </c>
      <c r="K869" s="24" t="str">
        <f>IF(I869&lt;&gt;"",SUMIFS('JPK_KR-1'!AL:AL,'JPK_KR-1'!W:W,J869),"")</f>
        <v/>
      </c>
      <c r="L869" s="141" t="str">
        <f>IF(I869&lt;&gt;"",SUMIFS('JPK_KR-1'!AM:AM,'JPK_KR-1'!W:W,J869),"")</f>
        <v/>
      </c>
      <c r="M869" s="143" t="str">
        <f>IF(kokpit!M869&lt;&gt;"",kokpit!M869,"")</f>
        <v/>
      </c>
      <c r="N869" s="117" t="str">
        <f>IF(kokpit!N869&lt;&gt;"",kokpit!N869,"")</f>
        <v/>
      </c>
      <c r="O869" s="117" t="str">
        <f>IF(kokpit!O869&lt;&gt;"",kokpit!O869,"")</f>
        <v/>
      </c>
      <c r="P869" s="141" t="str">
        <f>IF(M869&lt;&gt;"",IF(O869="",SUMIFS('JPK_KR-1'!AL:AL,'JPK_KR-1'!W:W,N869),SUMIFS('JPK_KR-1'!BF:BF,'JPK_KR-1'!BE:BE,N869,'JPK_KR-1'!BG:BG,O869)),"")</f>
        <v/>
      </c>
      <c r="Q869" s="144" t="str">
        <f>IF(M869&lt;&gt;"",IF(O869="",SUMIFS('JPK_KR-1'!AM:AM,'JPK_KR-1'!W:W,N869),SUMIFS('JPK_KR-1'!BI:BI,'JPK_KR-1'!BH:BH,N869,'JPK_KR-1'!BJ:BJ,O869)),"")</f>
        <v/>
      </c>
      <c r="R869" s="117" t="str">
        <f>IF(kokpit!R869&lt;&gt;"",kokpit!R869,"")</f>
        <v/>
      </c>
      <c r="S869" s="117" t="str">
        <f>IF(kokpit!S869&lt;&gt;"",kokpit!S869,"")</f>
        <v/>
      </c>
      <c r="T869" s="117" t="str">
        <f>IF(kokpit!T869&lt;&gt;"",kokpit!T869,"")</f>
        <v/>
      </c>
      <c r="U869" s="141" t="str">
        <f>IF(R869&lt;&gt;"",SUMIFS('JPK_KR-1'!AL:AL,'JPK_KR-1'!W:W,S869),"")</f>
        <v/>
      </c>
      <c r="V869" s="144" t="str">
        <f>IF(R869&lt;&gt;"",SUMIFS('JPK_KR-1'!AM:AM,'JPK_KR-1'!W:W,S869),"")</f>
        <v/>
      </c>
    </row>
    <row r="870" spans="1:22" x14ac:dyDescent="0.3">
      <c r="A870" s="5" t="str">
        <f>IF(kokpit!A870&lt;&gt;"",kokpit!A870,"")</f>
        <v/>
      </c>
      <c r="B870" s="5" t="str">
        <f>IF(kokpit!B870&lt;&gt;"",kokpit!B870,"")</f>
        <v/>
      </c>
      <c r="C870" s="24" t="str">
        <f>IF(A870&lt;&gt;"",SUMIFS('JPK_KR-1'!AL:AL,'JPK_KR-1'!W:W,B870),"")</f>
        <v/>
      </c>
      <c r="D870" s="126" t="str">
        <f>IF(A870&lt;&gt;"",SUMIFS('JPK_KR-1'!AM:AM,'JPK_KR-1'!W:W,B870),"")</f>
        <v/>
      </c>
      <c r="E870" s="5" t="str">
        <f>IF(kokpit!E870&lt;&gt;"",kokpit!E870,"")</f>
        <v/>
      </c>
      <c r="F870" s="127" t="str">
        <f>IF(kokpit!F870&lt;&gt;"",kokpit!F870,"")</f>
        <v/>
      </c>
      <c r="G870" s="24" t="str">
        <f>IF(E870&lt;&gt;"",SUMIFS('JPK_KR-1'!AL:AL,'JPK_KR-1'!W:W,F870),"")</f>
        <v/>
      </c>
      <c r="H870" s="126" t="str">
        <f>IF(E870&lt;&gt;"",SUMIFS('JPK_KR-1'!AM:AM,'JPK_KR-1'!W:W,F870),"")</f>
        <v/>
      </c>
      <c r="I870" s="5" t="str">
        <f>IF(kokpit!I870&lt;&gt;"",kokpit!I870,"")</f>
        <v/>
      </c>
      <c r="J870" s="5" t="str">
        <f>IF(kokpit!J870&lt;&gt;"",kokpit!J870,"")</f>
        <v/>
      </c>
      <c r="K870" s="24" t="str">
        <f>IF(I870&lt;&gt;"",SUMIFS('JPK_KR-1'!AL:AL,'JPK_KR-1'!W:W,J870),"")</f>
        <v/>
      </c>
      <c r="L870" s="141" t="str">
        <f>IF(I870&lt;&gt;"",SUMIFS('JPK_KR-1'!AM:AM,'JPK_KR-1'!W:W,J870),"")</f>
        <v/>
      </c>
      <c r="M870" s="143" t="str">
        <f>IF(kokpit!M870&lt;&gt;"",kokpit!M870,"")</f>
        <v/>
      </c>
      <c r="N870" s="117" t="str">
        <f>IF(kokpit!N870&lt;&gt;"",kokpit!N870,"")</f>
        <v/>
      </c>
      <c r="O870" s="117" t="str">
        <f>IF(kokpit!O870&lt;&gt;"",kokpit!O870,"")</f>
        <v/>
      </c>
      <c r="P870" s="141" t="str">
        <f>IF(M870&lt;&gt;"",IF(O870="",SUMIFS('JPK_KR-1'!AL:AL,'JPK_KR-1'!W:W,N870),SUMIFS('JPK_KR-1'!BF:BF,'JPK_KR-1'!BE:BE,N870,'JPK_KR-1'!BG:BG,O870)),"")</f>
        <v/>
      </c>
      <c r="Q870" s="144" t="str">
        <f>IF(M870&lt;&gt;"",IF(O870="",SUMIFS('JPK_KR-1'!AM:AM,'JPK_KR-1'!W:W,N870),SUMIFS('JPK_KR-1'!BI:BI,'JPK_KR-1'!BH:BH,N870,'JPK_KR-1'!BJ:BJ,O870)),"")</f>
        <v/>
      </c>
      <c r="R870" s="117" t="str">
        <f>IF(kokpit!R870&lt;&gt;"",kokpit!R870,"")</f>
        <v/>
      </c>
      <c r="S870" s="117" t="str">
        <f>IF(kokpit!S870&lt;&gt;"",kokpit!S870,"")</f>
        <v/>
      </c>
      <c r="T870" s="117" t="str">
        <f>IF(kokpit!T870&lt;&gt;"",kokpit!T870,"")</f>
        <v/>
      </c>
      <c r="U870" s="141" t="str">
        <f>IF(R870&lt;&gt;"",SUMIFS('JPK_KR-1'!AL:AL,'JPK_KR-1'!W:W,S870),"")</f>
        <v/>
      </c>
      <c r="V870" s="144" t="str">
        <f>IF(R870&lt;&gt;"",SUMIFS('JPK_KR-1'!AM:AM,'JPK_KR-1'!W:W,S870),"")</f>
        <v/>
      </c>
    </row>
    <row r="871" spans="1:22" x14ac:dyDescent="0.3">
      <c r="A871" s="5" t="str">
        <f>IF(kokpit!A871&lt;&gt;"",kokpit!A871,"")</f>
        <v/>
      </c>
      <c r="B871" s="5" t="str">
        <f>IF(kokpit!B871&lt;&gt;"",kokpit!B871,"")</f>
        <v/>
      </c>
      <c r="C871" s="24" t="str">
        <f>IF(A871&lt;&gt;"",SUMIFS('JPK_KR-1'!AL:AL,'JPK_KR-1'!W:W,B871),"")</f>
        <v/>
      </c>
      <c r="D871" s="126" t="str">
        <f>IF(A871&lt;&gt;"",SUMIFS('JPK_KR-1'!AM:AM,'JPK_KR-1'!W:W,B871),"")</f>
        <v/>
      </c>
      <c r="E871" s="5" t="str">
        <f>IF(kokpit!E871&lt;&gt;"",kokpit!E871,"")</f>
        <v/>
      </c>
      <c r="F871" s="127" t="str">
        <f>IF(kokpit!F871&lt;&gt;"",kokpit!F871,"")</f>
        <v/>
      </c>
      <c r="G871" s="24" t="str">
        <f>IF(E871&lt;&gt;"",SUMIFS('JPK_KR-1'!AL:AL,'JPK_KR-1'!W:W,F871),"")</f>
        <v/>
      </c>
      <c r="H871" s="126" t="str">
        <f>IF(E871&lt;&gt;"",SUMIFS('JPK_KR-1'!AM:AM,'JPK_KR-1'!W:W,F871),"")</f>
        <v/>
      </c>
      <c r="I871" s="5" t="str">
        <f>IF(kokpit!I871&lt;&gt;"",kokpit!I871,"")</f>
        <v/>
      </c>
      <c r="J871" s="5" t="str">
        <f>IF(kokpit!J871&lt;&gt;"",kokpit!J871,"")</f>
        <v/>
      </c>
      <c r="K871" s="24" t="str">
        <f>IF(I871&lt;&gt;"",SUMIFS('JPK_KR-1'!AL:AL,'JPK_KR-1'!W:W,J871),"")</f>
        <v/>
      </c>
      <c r="L871" s="141" t="str">
        <f>IF(I871&lt;&gt;"",SUMIFS('JPK_KR-1'!AM:AM,'JPK_KR-1'!W:W,J871),"")</f>
        <v/>
      </c>
      <c r="M871" s="143" t="str">
        <f>IF(kokpit!M871&lt;&gt;"",kokpit!M871,"")</f>
        <v/>
      </c>
      <c r="N871" s="117" t="str">
        <f>IF(kokpit!N871&lt;&gt;"",kokpit!N871,"")</f>
        <v/>
      </c>
      <c r="O871" s="117" t="str">
        <f>IF(kokpit!O871&lt;&gt;"",kokpit!O871,"")</f>
        <v/>
      </c>
      <c r="P871" s="141" t="str">
        <f>IF(M871&lt;&gt;"",IF(O871="",SUMIFS('JPK_KR-1'!AL:AL,'JPK_KR-1'!W:W,N871),SUMIFS('JPK_KR-1'!BF:BF,'JPK_KR-1'!BE:BE,N871,'JPK_KR-1'!BG:BG,O871)),"")</f>
        <v/>
      </c>
      <c r="Q871" s="144" t="str">
        <f>IF(M871&lt;&gt;"",IF(O871="",SUMIFS('JPK_KR-1'!AM:AM,'JPK_KR-1'!W:W,N871),SUMIFS('JPK_KR-1'!BI:BI,'JPK_KR-1'!BH:BH,N871,'JPK_KR-1'!BJ:BJ,O871)),"")</f>
        <v/>
      </c>
      <c r="R871" s="117" t="str">
        <f>IF(kokpit!R871&lt;&gt;"",kokpit!R871,"")</f>
        <v/>
      </c>
      <c r="S871" s="117" t="str">
        <f>IF(kokpit!S871&lt;&gt;"",kokpit!S871,"")</f>
        <v/>
      </c>
      <c r="T871" s="117" t="str">
        <f>IF(kokpit!T871&lt;&gt;"",kokpit!T871,"")</f>
        <v/>
      </c>
      <c r="U871" s="141" t="str">
        <f>IF(R871&lt;&gt;"",SUMIFS('JPK_KR-1'!AL:AL,'JPK_KR-1'!W:W,S871),"")</f>
        <v/>
      </c>
      <c r="V871" s="144" t="str">
        <f>IF(R871&lt;&gt;"",SUMIFS('JPK_KR-1'!AM:AM,'JPK_KR-1'!W:W,S871),"")</f>
        <v/>
      </c>
    </row>
    <row r="872" spans="1:22" x14ac:dyDescent="0.3">
      <c r="A872" s="5" t="str">
        <f>IF(kokpit!A872&lt;&gt;"",kokpit!A872,"")</f>
        <v/>
      </c>
      <c r="B872" s="5" t="str">
        <f>IF(kokpit!B872&lt;&gt;"",kokpit!B872,"")</f>
        <v/>
      </c>
      <c r="C872" s="24" t="str">
        <f>IF(A872&lt;&gt;"",SUMIFS('JPK_KR-1'!AL:AL,'JPK_KR-1'!W:W,B872),"")</f>
        <v/>
      </c>
      <c r="D872" s="126" t="str">
        <f>IF(A872&lt;&gt;"",SUMIFS('JPK_KR-1'!AM:AM,'JPK_KR-1'!W:W,B872),"")</f>
        <v/>
      </c>
      <c r="E872" s="5" t="str">
        <f>IF(kokpit!E872&lt;&gt;"",kokpit!E872,"")</f>
        <v/>
      </c>
      <c r="F872" s="127" t="str">
        <f>IF(kokpit!F872&lt;&gt;"",kokpit!F872,"")</f>
        <v/>
      </c>
      <c r="G872" s="24" t="str">
        <f>IF(E872&lt;&gt;"",SUMIFS('JPK_KR-1'!AL:AL,'JPK_KR-1'!W:W,F872),"")</f>
        <v/>
      </c>
      <c r="H872" s="126" t="str">
        <f>IF(E872&lt;&gt;"",SUMIFS('JPK_KR-1'!AM:AM,'JPK_KR-1'!W:W,F872),"")</f>
        <v/>
      </c>
      <c r="I872" s="5" t="str">
        <f>IF(kokpit!I872&lt;&gt;"",kokpit!I872,"")</f>
        <v/>
      </c>
      <c r="J872" s="5" t="str">
        <f>IF(kokpit!J872&lt;&gt;"",kokpit!J872,"")</f>
        <v/>
      </c>
      <c r="K872" s="24" t="str">
        <f>IF(I872&lt;&gt;"",SUMIFS('JPK_KR-1'!AL:AL,'JPK_KR-1'!W:W,J872),"")</f>
        <v/>
      </c>
      <c r="L872" s="141" t="str">
        <f>IF(I872&lt;&gt;"",SUMIFS('JPK_KR-1'!AM:AM,'JPK_KR-1'!W:W,J872),"")</f>
        <v/>
      </c>
      <c r="M872" s="143" t="str">
        <f>IF(kokpit!M872&lt;&gt;"",kokpit!M872,"")</f>
        <v/>
      </c>
      <c r="N872" s="117" t="str">
        <f>IF(kokpit!N872&lt;&gt;"",kokpit!N872,"")</f>
        <v/>
      </c>
      <c r="O872" s="117" t="str">
        <f>IF(kokpit!O872&lt;&gt;"",kokpit!O872,"")</f>
        <v/>
      </c>
      <c r="P872" s="141" t="str">
        <f>IF(M872&lt;&gt;"",IF(O872="",SUMIFS('JPK_KR-1'!AL:AL,'JPK_KR-1'!W:W,N872),SUMIFS('JPK_KR-1'!BF:BF,'JPK_KR-1'!BE:BE,N872,'JPK_KR-1'!BG:BG,O872)),"")</f>
        <v/>
      </c>
      <c r="Q872" s="144" t="str">
        <f>IF(M872&lt;&gt;"",IF(O872="",SUMIFS('JPK_KR-1'!AM:AM,'JPK_KR-1'!W:W,N872),SUMIFS('JPK_KR-1'!BI:BI,'JPK_KR-1'!BH:BH,N872,'JPK_KR-1'!BJ:BJ,O872)),"")</f>
        <v/>
      </c>
      <c r="R872" s="117" t="str">
        <f>IF(kokpit!R872&lt;&gt;"",kokpit!R872,"")</f>
        <v/>
      </c>
      <c r="S872" s="117" t="str">
        <f>IF(kokpit!S872&lt;&gt;"",kokpit!S872,"")</f>
        <v/>
      </c>
      <c r="T872" s="117" t="str">
        <f>IF(kokpit!T872&lt;&gt;"",kokpit!T872,"")</f>
        <v/>
      </c>
      <c r="U872" s="141" t="str">
        <f>IF(R872&lt;&gt;"",SUMIFS('JPK_KR-1'!AL:AL,'JPK_KR-1'!W:W,S872),"")</f>
        <v/>
      </c>
      <c r="V872" s="144" t="str">
        <f>IF(R872&lt;&gt;"",SUMIFS('JPK_KR-1'!AM:AM,'JPK_KR-1'!W:W,S872),"")</f>
        <v/>
      </c>
    </row>
    <row r="873" spans="1:22" x14ac:dyDescent="0.3">
      <c r="A873" s="5" t="str">
        <f>IF(kokpit!A873&lt;&gt;"",kokpit!A873,"")</f>
        <v/>
      </c>
      <c r="B873" s="5" t="str">
        <f>IF(kokpit!B873&lt;&gt;"",kokpit!B873,"")</f>
        <v/>
      </c>
      <c r="C873" s="24" t="str">
        <f>IF(A873&lt;&gt;"",SUMIFS('JPK_KR-1'!AL:AL,'JPK_KR-1'!W:W,B873),"")</f>
        <v/>
      </c>
      <c r="D873" s="126" t="str">
        <f>IF(A873&lt;&gt;"",SUMIFS('JPK_KR-1'!AM:AM,'JPK_KR-1'!W:W,B873),"")</f>
        <v/>
      </c>
      <c r="E873" s="5" t="str">
        <f>IF(kokpit!E873&lt;&gt;"",kokpit!E873,"")</f>
        <v/>
      </c>
      <c r="F873" s="127" t="str">
        <f>IF(kokpit!F873&lt;&gt;"",kokpit!F873,"")</f>
        <v/>
      </c>
      <c r="G873" s="24" t="str">
        <f>IF(E873&lt;&gt;"",SUMIFS('JPK_KR-1'!AL:AL,'JPK_KR-1'!W:W,F873),"")</f>
        <v/>
      </c>
      <c r="H873" s="126" t="str">
        <f>IF(E873&lt;&gt;"",SUMIFS('JPK_KR-1'!AM:AM,'JPK_KR-1'!W:W,F873),"")</f>
        <v/>
      </c>
      <c r="I873" s="5" t="str">
        <f>IF(kokpit!I873&lt;&gt;"",kokpit!I873,"")</f>
        <v/>
      </c>
      <c r="J873" s="5" t="str">
        <f>IF(kokpit!J873&lt;&gt;"",kokpit!J873,"")</f>
        <v/>
      </c>
      <c r="K873" s="24" t="str">
        <f>IF(I873&lt;&gt;"",SUMIFS('JPK_KR-1'!AL:AL,'JPK_KR-1'!W:W,J873),"")</f>
        <v/>
      </c>
      <c r="L873" s="141" t="str">
        <f>IF(I873&lt;&gt;"",SUMIFS('JPK_KR-1'!AM:AM,'JPK_KR-1'!W:W,J873),"")</f>
        <v/>
      </c>
      <c r="M873" s="143" t="str">
        <f>IF(kokpit!M873&lt;&gt;"",kokpit!M873,"")</f>
        <v/>
      </c>
      <c r="N873" s="117" t="str">
        <f>IF(kokpit!N873&lt;&gt;"",kokpit!N873,"")</f>
        <v/>
      </c>
      <c r="O873" s="117" t="str">
        <f>IF(kokpit!O873&lt;&gt;"",kokpit!O873,"")</f>
        <v/>
      </c>
      <c r="P873" s="141" t="str">
        <f>IF(M873&lt;&gt;"",IF(O873="",SUMIFS('JPK_KR-1'!AL:AL,'JPK_KR-1'!W:W,N873),SUMIFS('JPK_KR-1'!BF:BF,'JPK_KR-1'!BE:BE,N873,'JPK_KR-1'!BG:BG,O873)),"")</f>
        <v/>
      </c>
      <c r="Q873" s="144" t="str">
        <f>IF(M873&lt;&gt;"",IF(O873="",SUMIFS('JPK_KR-1'!AM:AM,'JPK_KR-1'!W:W,N873),SUMIFS('JPK_KR-1'!BI:BI,'JPK_KR-1'!BH:BH,N873,'JPK_KR-1'!BJ:BJ,O873)),"")</f>
        <v/>
      </c>
      <c r="R873" s="117" t="str">
        <f>IF(kokpit!R873&lt;&gt;"",kokpit!R873,"")</f>
        <v/>
      </c>
      <c r="S873" s="117" t="str">
        <f>IF(kokpit!S873&lt;&gt;"",kokpit!S873,"")</f>
        <v/>
      </c>
      <c r="T873" s="117" t="str">
        <f>IF(kokpit!T873&lt;&gt;"",kokpit!T873,"")</f>
        <v/>
      </c>
      <c r="U873" s="141" t="str">
        <f>IF(R873&lt;&gt;"",SUMIFS('JPK_KR-1'!AL:AL,'JPK_KR-1'!W:W,S873),"")</f>
        <v/>
      </c>
      <c r="V873" s="144" t="str">
        <f>IF(R873&lt;&gt;"",SUMIFS('JPK_KR-1'!AM:AM,'JPK_KR-1'!W:W,S873),"")</f>
        <v/>
      </c>
    </row>
    <row r="874" spans="1:22" x14ac:dyDescent="0.3">
      <c r="A874" s="5" t="str">
        <f>IF(kokpit!A874&lt;&gt;"",kokpit!A874,"")</f>
        <v/>
      </c>
      <c r="B874" s="5" t="str">
        <f>IF(kokpit!B874&lt;&gt;"",kokpit!B874,"")</f>
        <v/>
      </c>
      <c r="C874" s="24" t="str">
        <f>IF(A874&lt;&gt;"",SUMIFS('JPK_KR-1'!AL:AL,'JPK_KR-1'!W:W,B874),"")</f>
        <v/>
      </c>
      <c r="D874" s="126" t="str">
        <f>IF(A874&lt;&gt;"",SUMIFS('JPK_KR-1'!AM:AM,'JPK_KR-1'!W:W,B874),"")</f>
        <v/>
      </c>
      <c r="E874" s="5" t="str">
        <f>IF(kokpit!E874&lt;&gt;"",kokpit!E874,"")</f>
        <v/>
      </c>
      <c r="F874" s="127" t="str">
        <f>IF(kokpit!F874&lt;&gt;"",kokpit!F874,"")</f>
        <v/>
      </c>
      <c r="G874" s="24" t="str">
        <f>IF(E874&lt;&gt;"",SUMIFS('JPK_KR-1'!AL:AL,'JPK_KR-1'!W:W,F874),"")</f>
        <v/>
      </c>
      <c r="H874" s="126" t="str">
        <f>IF(E874&lt;&gt;"",SUMIFS('JPK_KR-1'!AM:AM,'JPK_KR-1'!W:W,F874),"")</f>
        <v/>
      </c>
      <c r="I874" s="5" t="str">
        <f>IF(kokpit!I874&lt;&gt;"",kokpit!I874,"")</f>
        <v/>
      </c>
      <c r="J874" s="5" t="str">
        <f>IF(kokpit!J874&lt;&gt;"",kokpit!J874,"")</f>
        <v/>
      </c>
      <c r="K874" s="24" t="str">
        <f>IF(I874&lt;&gt;"",SUMIFS('JPK_KR-1'!AL:AL,'JPK_KR-1'!W:W,J874),"")</f>
        <v/>
      </c>
      <c r="L874" s="141" t="str">
        <f>IF(I874&lt;&gt;"",SUMIFS('JPK_KR-1'!AM:AM,'JPK_KR-1'!W:W,J874),"")</f>
        <v/>
      </c>
      <c r="M874" s="143" t="str">
        <f>IF(kokpit!M874&lt;&gt;"",kokpit!M874,"")</f>
        <v/>
      </c>
      <c r="N874" s="117" t="str">
        <f>IF(kokpit!N874&lt;&gt;"",kokpit!N874,"")</f>
        <v/>
      </c>
      <c r="O874" s="117" t="str">
        <f>IF(kokpit!O874&lt;&gt;"",kokpit!O874,"")</f>
        <v/>
      </c>
      <c r="P874" s="141" t="str">
        <f>IF(M874&lt;&gt;"",IF(O874="",SUMIFS('JPK_KR-1'!AL:AL,'JPK_KR-1'!W:W,N874),SUMIFS('JPK_KR-1'!BF:BF,'JPK_KR-1'!BE:BE,N874,'JPK_KR-1'!BG:BG,O874)),"")</f>
        <v/>
      </c>
      <c r="Q874" s="144" t="str">
        <f>IF(M874&lt;&gt;"",IF(O874="",SUMIFS('JPK_KR-1'!AM:AM,'JPK_KR-1'!W:W,N874),SUMIFS('JPK_KR-1'!BI:BI,'JPK_KR-1'!BH:BH,N874,'JPK_KR-1'!BJ:BJ,O874)),"")</f>
        <v/>
      </c>
      <c r="R874" s="117" t="str">
        <f>IF(kokpit!R874&lt;&gt;"",kokpit!R874,"")</f>
        <v/>
      </c>
      <c r="S874" s="117" t="str">
        <f>IF(kokpit!S874&lt;&gt;"",kokpit!S874,"")</f>
        <v/>
      </c>
      <c r="T874" s="117" t="str">
        <f>IF(kokpit!T874&lt;&gt;"",kokpit!T874,"")</f>
        <v/>
      </c>
      <c r="U874" s="141" t="str">
        <f>IF(R874&lt;&gt;"",SUMIFS('JPK_KR-1'!AL:AL,'JPK_KR-1'!W:W,S874),"")</f>
        <v/>
      </c>
      <c r="V874" s="144" t="str">
        <f>IF(R874&lt;&gt;"",SUMIFS('JPK_KR-1'!AM:AM,'JPK_KR-1'!W:W,S874),"")</f>
        <v/>
      </c>
    </row>
    <row r="875" spans="1:22" x14ac:dyDescent="0.3">
      <c r="A875" s="5" t="str">
        <f>IF(kokpit!A875&lt;&gt;"",kokpit!A875,"")</f>
        <v/>
      </c>
      <c r="B875" s="5" t="str">
        <f>IF(kokpit!B875&lt;&gt;"",kokpit!B875,"")</f>
        <v/>
      </c>
      <c r="C875" s="24" t="str">
        <f>IF(A875&lt;&gt;"",SUMIFS('JPK_KR-1'!AL:AL,'JPK_KR-1'!W:W,B875),"")</f>
        <v/>
      </c>
      <c r="D875" s="126" t="str">
        <f>IF(A875&lt;&gt;"",SUMIFS('JPK_KR-1'!AM:AM,'JPK_KR-1'!W:W,B875),"")</f>
        <v/>
      </c>
      <c r="E875" s="5" t="str">
        <f>IF(kokpit!E875&lt;&gt;"",kokpit!E875,"")</f>
        <v/>
      </c>
      <c r="F875" s="127" t="str">
        <f>IF(kokpit!F875&lt;&gt;"",kokpit!F875,"")</f>
        <v/>
      </c>
      <c r="G875" s="24" t="str">
        <f>IF(E875&lt;&gt;"",SUMIFS('JPK_KR-1'!AL:AL,'JPK_KR-1'!W:W,F875),"")</f>
        <v/>
      </c>
      <c r="H875" s="126" t="str">
        <f>IF(E875&lt;&gt;"",SUMIFS('JPK_KR-1'!AM:AM,'JPK_KR-1'!W:W,F875),"")</f>
        <v/>
      </c>
      <c r="I875" s="5" t="str">
        <f>IF(kokpit!I875&lt;&gt;"",kokpit!I875,"")</f>
        <v/>
      </c>
      <c r="J875" s="5" t="str">
        <f>IF(kokpit!J875&lt;&gt;"",kokpit!J875,"")</f>
        <v/>
      </c>
      <c r="K875" s="24" t="str">
        <f>IF(I875&lt;&gt;"",SUMIFS('JPK_KR-1'!AL:AL,'JPK_KR-1'!W:W,J875),"")</f>
        <v/>
      </c>
      <c r="L875" s="141" t="str">
        <f>IF(I875&lt;&gt;"",SUMIFS('JPK_KR-1'!AM:AM,'JPK_KR-1'!W:W,J875),"")</f>
        <v/>
      </c>
      <c r="M875" s="143" t="str">
        <f>IF(kokpit!M875&lt;&gt;"",kokpit!M875,"")</f>
        <v/>
      </c>
      <c r="N875" s="117" t="str">
        <f>IF(kokpit!N875&lt;&gt;"",kokpit!N875,"")</f>
        <v/>
      </c>
      <c r="O875" s="117" t="str">
        <f>IF(kokpit!O875&lt;&gt;"",kokpit!O875,"")</f>
        <v/>
      </c>
      <c r="P875" s="141" t="str">
        <f>IF(M875&lt;&gt;"",IF(O875="",SUMIFS('JPK_KR-1'!AL:AL,'JPK_KR-1'!W:W,N875),SUMIFS('JPK_KR-1'!BF:BF,'JPK_KR-1'!BE:BE,N875,'JPK_KR-1'!BG:BG,O875)),"")</f>
        <v/>
      </c>
      <c r="Q875" s="144" t="str">
        <f>IF(M875&lt;&gt;"",IF(O875="",SUMIFS('JPK_KR-1'!AM:AM,'JPK_KR-1'!W:W,N875),SUMIFS('JPK_KR-1'!BI:BI,'JPK_KR-1'!BH:BH,N875,'JPK_KR-1'!BJ:BJ,O875)),"")</f>
        <v/>
      </c>
      <c r="R875" s="117" t="str">
        <f>IF(kokpit!R875&lt;&gt;"",kokpit!R875,"")</f>
        <v/>
      </c>
      <c r="S875" s="117" t="str">
        <f>IF(kokpit!S875&lt;&gt;"",kokpit!S875,"")</f>
        <v/>
      </c>
      <c r="T875" s="117" t="str">
        <f>IF(kokpit!T875&lt;&gt;"",kokpit!T875,"")</f>
        <v/>
      </c>
      <c r="U875" s="141" t="str">
        <f>IF(R875&lt;&gt;"",SUMIFS('JPK_KR-1'!AL:AL,'JPK_KR-1'!W:W,S875),"")</f>
        <v/>
      </c>
      <c r="V875" s="144" t="str">
        <f>IF(R875&lt;&gt;"",SUMIFS('JPK_KR-1'!AM:AM,'JPK_KR-1'!W:W,S875),"")</f>
        <v/>
      </c>
    </row>
    <row r="876" spans="1:22" x14ac:dyDescent="0.3">
      <c r="A876" s="5" t="str">
        <f>IF(kokpit!A876&lt;&gt;"",kokpit!A876,"")</f>
        <v/>
      </c>
      <c r="B876" s="5" t="str">
        <f>IF(kokpit!B876&lt;&gt;"",kokpit!B876,"")</f>
        <v/>
      </c>
      <c r="C876" s="24" t="str">
        <f>IF(A876&lt;&gt;"",SUMIFS('JPK_KR-1'!AL:AL,'JPK_KR-1'!W:W,B876),"")</f>
        <v/>
      </c>
      <c r="D876" s="126" t="str">
        <f>IF(A876&lt;&gt;"",SUMIFS('JPK_KR-1'!AM:AM,'JPK_KR-1'!W:W,B876),"")</f>
        <v/>
      </c>
      <c r="E876" s="5" t="str">
        <f>IF(kokpit!E876&lt;&gt;"",kokpit!E876,"")</f>
        <v/>
      </c>
      <c r="F876" s="127" t="str">
        <f>IF(kokpit!F876&lt;&gt;"",kokpit!F876,"")</f>
        <v/>
      </c>
      <c r="G876" s="24" t="str">
        <f>IF(E876&lt;&gt;"",SUMIFS('JPK_KR-1'!AL:AL,'JPK_KR-1'!W:W,F876),"")</f>
        <v/>
      </c>
      <c r="H876" s="126" t="str">
        <f>IF(E876&lt;&gt;"",SUMIFS('JPK_KR-1'!AM:AM,'JPK_KR-1'!W:W,F876),"")</f>
        <v/>
      </c>
      <c r="I876" s="5" t="str">
        <f>IF(kokpit!I876&lt;&gt;"",kokpit!I876,"")</f>
        <v/>
      </c>
      <c r="J876" s="5" t="str">
        <f>IF(kokpit!J876&lt;&gt;"",kokpit!J876,"")</f>
        <v/>
      </c>
      <c r="K876" s="24" t="str">
        <f>IF(I876&lt;&gt;"",SUMIFS('JPK_KR-1'!AL:AL,'JPK_KR-1'!W:W,J876),"")</f>
        <v/>
      </c>
      <c r="L876" s="141" t="str">
        <f>IF(I876&lt;&gt;"",SUMIFS('JPK_KR-1'!AM:AM,'JPK_KR-1'!W:W,J876),"")</f>
        <v/>
      </c>
      <c r="M876" s="143" t="str">
        <f>IF(kokpit!M876&lt;&gt;"",kokpit!M876,"")</f>
        <v/>
      </c>
      <c r="N876" s="117" t="str">
        <f>IF(kokpit!N876&lt;&gt;"",kokpit!N876,"")</f>
        <v/>
      </c>
      <c r="O876" s="117" t="str">
        <f>IF(kokpit!O876&lt;&gt;"",kokpit!O876,"")</f>
        <v/>
      </c>
      <c r="P876" s="141" t="str">
        <f>IF(M876&lt;&gt;"",IF(O876="",SUMIFS('JPK_KR-1'!AL:AL,'JPK_KR-1'!W:W,N876),SUMIFS('JPK_KR-1'!BF:BF,'JPK_KR-1'!BE:BE,N876,'JPK_KR-1'!BG:BG,O876)),"")</f>
        <v/>
      </c>
      <c r="Q876" s="144" t="str">
        <f>IF(M876&lt;&gt;"",IF(O876="",SUMIFS('JPK_KR-1'!AM:AM,'JPK_KR-1'!W:W,N876),SUMIFS('JPK_KR-1'!BI:BI,'JPK_KR-1'!BH:BH,N876,'JPK_KR-1'!BJ:BJ,O876)),"")</f>
        <v/>
      </c>
      <c r="R876" s="117" t="str">
        <f>IF(kokpit!R876&lt;&gt;"",kokpit!R876,"")</f>
        <v/>
      </c>
      <c r="S876" s="117" t="str">
        <f>IF(kokpit!S876&lt;&gt;"",kokpit!S876,"")</f>
        <v/>
      </c>
      <c r="T876" s="117" t="str">
        <f>IF(kokpit!T876&lt;&gt;"",kokpit!T876,"")</f>
        <v/>
      </c>
      <c r="U876" s="141" t="str">
        <f>IF(R876&lt;&gt;"",SUMIFS('JPK_KR-1'!AL:AL,'JPK_KR-1'!W:W,S876),"")</f>
        <v/>
      </c>
      <c r="V876" s="144" t="str">
        <f>IF(R876&lt;&gt;"",SUMIFS('JPK_KR-1'!AM:AM,'JPK_KR-1'!W:W,S876),"")</f>
        <v/>
      </c>
    </row>
    <row r="877" spans="1:22" x14ac:dyDescent="0.3">
      <c r="A877" s="5" t="str">
        <f>IF(kokpit!A877&lt;&gt;"",kokpit!A877,"")</f>
        <v/>
      </c>
      <c r="B877" s="5" t="str">
        <f>IF(kokpit!B877&lt;&gt;"",kokpit!B877,"")</f>
        <v/>
      </c>
      <c r="C877" s="24" t="str">
        <f>IF(A877&lt;&gt;"",SUMIFS('JPK_KR-1'!AL:AL,'JPK_KR-1'!W:W,B877),"")</f>
        <v/>
      </c>
      <c r="D877" s="126" t="str">
        <f>IF(A877&lt;&gt;"",SUMIFS('JPK_KR-1'!AM:AM,'JPK_KR-1'!W:W,B877),"")</f>
        <v/>
      </c>
      <c r="E877" s="5" t="str">
        <f>IF(kokpit!E877&lt;&gt;"",kokpit!E877,"")</f>
        <v/>
      </c>
      <c r="F877" s="127" t="str">
        <f>IF(kokpit!F877&lt;&gt;"",kokpit!F877,"")</f>
        <v/>
      </c>
      <c r="G877" s="24" t="str">
        <f>IF(E877&lt;&gt;"",SUMIFS('JPK_KR-1'!AL:AL,'JPK_KR-1'!W:W,F877),"")</f>
        <v/>
      </c>
      <c r="H877" s="126" t="str">
        <f>IF(E877&lt;&gt;"",SUMIFS('JPK_KR-1'!AM:AM,'JPK_KR-1'!W:W,F877),"")</f>
        <v/>
      </c>
      <c r="I877" s="5" t="str">
        <f>IF(kokpit!I877&lt;&gt;"",kokpit!I877,"")</f>
        <v/>
      </c>
      <c r="J877" s="5" t="str">
        <f>IF(kokpit!J877&lt;&gt;"",kokpit!J877,"")</f>
        <v/>
      </c>
      <c r="K877" s="24" t="str">
        <f>IF(I877&lt;&gt;"",SUMIFS('JPK_KR-1'!AL:AL,'JPK_KR-1'!W:W,J877),"")</f>
        <v/>
      </c>
      <c r="L877" s="141" t="str">
        <f>IF(I877&lt;&gt;"",SUMIFS('JPK_KR-1'!AM:AM,'JPK_KR-1'!W:W,J877),"")</f>
        <v/>
      </c>
      <c r="M877" s="143" t="str">
        <f>IF(kokpit!M877&lt;&gt;"",kokpit!M877,"")</f>
        <v/>
      </c>
      <c r="N877" s="117" t="str">
        <f>IF(kokpit!N877&lt;&gt;"",kokpit!N877,"")</f>
        <v/>
      </c>
      <c r="O877" s="117" t="str">
        <f>IF(kokpit!O877&lt;&gt;"",kokpit!O877,"")</f>
        <v/>
      </c>
      <c r="P877" s="141" t="str">
        <f>IF(M877&lt;&gt;"",IF(O877="",SUMIFS('JPK_KR-1'!AL:AL,'JPK_KR-1'!W:W,N877),SUMIFS('JPK_KR-1'!BF:BF,'JPK_KR-1'!BE:BE,N877,'JPK_KR-1'!BG:BG,O877)),"")</f>
        <v/>
      </c>
      <c r="Q877" s="144" t="str">
        <f>IF(M877&lt;&gt;"",IF(O877="",SUMIFS('JPK_KR-1'!AM:AM,'JPK_KR-1'!W:W,N877),SUMIFS('JPK_KR-1'!BI:BI,'JPK_KR-1'!BH:BH,N877,'JPK_KR-1'!BJ:BJ,O877)),"")</f>
        <v/>
      </c>
      <c r="R877" s="117" t="str">
        <f>IF(kokpit!R877&lt;&gt;"",kokpit!R877,"")</f>
        <v/>
      </c>
      <c r="S877" s="117" t="str">
        <f>IF(kokpit!S877&lt;&gt;"",kokpit!S877,"")</f>
        <v/>
      </c>
      <c r="T877" s="117" t="str">
        <f>IF(kokpit!T877&lt;&gt;"",kokpit!T877,"")</f>
        <v/>
      </c>
      <c r="U877" s="141" t="str">
        <f>IF(R877&lt;&gt;"",SUMIFS('JPK_KR-1'!AL:AL,'JPK_KR-1'!W:W,S877),"")</f>
        <v/>
      </c>
      <c r="V877" s="144" t="str">
        <f>IF(R877&lt;&gt;"",SUMIFS('JPK_KR-1'!AM:AM,'JPK_KR-1'!W:W,S877),"")</f>
        <v/>
      </c>
    </row>
    <row r="878" spans="1:22" x14ac:dyDescent="0.3">
      <c r="A878" s="5" t="str">
        <f>IF(kokpit!A878&lt;&gt;"",kokpit!A878,"")</f>
        <v/>
      </c>
      <c r="B878" s="5" t="str">
        <f>IF(kokpit!B878&lt;&gt;"",kokpit!B878,"")</f>
        <v/>
      </c>
      <c r="C878" s="24" t="str">
        <f>IF(A878&lt;&gt;"",SUMIFS('JPK_KR-1'!AL:AL,'JPK_KR-1'!W:W,B878),"")</f>
        <v/>
      </c>
      <c r="D878" s="126" t="str">
        <f>IF(A878&lt;&gt;"",SUMIFS('JPK_KR-1'!AM:AM,'JPK_KR-1'!W:W,B878),"")</f>
        <v/>
      </c>
      <c r="E878" s="5" t="str">
        <f>IF(kokpit!E878&lt;&gt;"",kokpit!E878,"")</f>
        <v/>
      </c>
      <c r="F878" s="127" t="str">
        <f>IF(kokpit!F878&lt;&gt;"",kokpit!F878,"")</f>
        <v/>
      </c>
      <c r="G878" s="24" t="str">
        <f>IF(E878&lt;&gt;"",SUMIFS('JPK_KR-1'!AL:AL,'JPK_KR-1'!W:W,F878),"")</f>
        <v/>
      </c>
      <c r="H878" s="126" t="str">
        <f>IF(E878&lt;&gt;"",SUMIFS('JPK_KR-1'!AM:AM,'JPK_KR-1'!W:W,F878),"")</f>
        <v/>
      </c>
      <c r="I878" s="5" t="str">
        <f>IF(kokpit!I878&lt;&gt;"",kokpit!I878,"")</f>
        <v/>
      </c>
      <c r="J878" s="5" t="str">
        <f>IF(kokpit!J878&lt;&gt;"",kokpit!J878,"")</f>
        <v/>
      </c>
      <c r="K878" s="24" t="str">
        <f>IF(I878&lt;&gt;"",SUMIFS('JPK_KR-1'!AL:AL,'JPK_KR-1'!W:W,J878),"")</f>
        <v/>
      </c>
      <c r="L878" s="141" t="str">
        <f>IF(I878&lt;&gt;"",SUMIFS('JPK_KR-1'!AM:AM,'JPK_KR-1'!W:W,J878),"")</f>
        <v/>
      </c>
      <c r="M878" s="143" t="str">
        <f>IF(kokpit!M878&lt;&gt;"",kokpit!M878,"")</f>
        <v/>
      </c>
      <c r="N878" s="117" t="str">
        <f>IF(kokpit!N878&lt;&gt;"",kokpit!N878,"")</f>
        <v/>
      </c>
      <c r="O878" s="117" t="str">
        <f>IF(kokpit!O878&lt;&gt;"",kokpit!O878,"")</f>
        <v/>
      </c>
      <c r="P878" s="141" t="str">
        <f>IF(M878&lt;&gt;"",IF(O878="",SUMIFS('JPK_KR-1'!AL:AL,'JPK_KR-1'!W:W,N878),SUMIFS('JPK_KR-1'!BF:BF,'JPK_KR-1'!BE:BE,N878,'JPK_KR-1'!BG:BG,O878)),"")</f>
        <v/>
      </c>
      <c r="Q878" s="144" t="str">
        <f>IF(M878&lt;&gt;"",IF(O878="",SUMIFS('JPK_KR-1'!AM:AM,'JPK_KR-1'!W:W,N878),SUMIFS('JPK_KR-1'!BI:BI,'JPK_KR-1'!BH:BH,N878,'JPK_KR-1'!BJ:BJ,O878)),"")</f>
        <v/>
      </c>
      <c r="R878" s="117" t="str">
        <f>IF(kokpit!R878&lt;&gt;"",kokpit!R878,"")</f>
        <v/>
      </c>
      <c r="S878" s="117" t="str">
        <f>IF(kokpit!S878&lt;&gt;"",kokpit!S878,"")</f>
        <v/>
      </c>
      <c r="T878" s="117" t="str">
        <f>IF(kokpit!T878&lt;&gt;"",kokpit!T878,"")</f>
        <v/>
      </c>
      <c r="U878" s="141" t="str">
        <f>IF(R878&lt;&gt;"",SUMIFS('JPK_KR-1'!AL:AL,'JPK_KR-1'!W:W,S878),"")</f>
        <v/>
      </c>
      <c r="V878" s="144" t="str">
        <f>IF(R878&lt;&gt;"",SUMIFS('JPK_KR-1'!AM:AM,'JPK_KR-1'!W:W,S878),"")</f>
        <v/>
      </c>
    </row>
    <row r="879" spans="1:22" x14ac:dyDescent="0.3">
      <c r="A879" s="5" t="str">
        <f>IF(kokpit!A879&lt;&gt;"",kokpit!A879,"")</f>
        <v/>
      </c>
      <c r="B879" s="5" t="str">
        <f>IF(kokpit!B879&lt;&gt;"",kokpit!B879,"")</f>
        <v/>
      </c>
      <c r="C879" s="24" t="str">
        <f>IF(A879&lt;&gt;"",SUMIFS('JPK_KR-1'!AL:AL,'JPK_KR-1'!W:W,B879),"")</f>
        <v/>
      </c>
      <c r="D879" s="126" t="str">
        <f>IF(A879&lt;&gt;"",SUMIFS('JPK_KR-1'!AM:AM,'JPK_KR-1'!W:W,B879),"")</f>
        <v/>
      </c>
      <c r="E879" s="5" t="str">
        <f>IF(kokpit!E879&lt;&gt;"",kokpit!E879,"")</f>
        <v/>
      </c>
      <c r="F879" s="127" t="str">
        <f>IF(kokpit!F879&lt;&gt;"",kokpit!F879,"")</f>
        <v/>
      </c>
      <c r="G879" s="24" t="str">
        <f>IF(E879&lt;&gt;"",SUMIFS('JPK_KR-1'!AL:AL,'JPK_KR-1'!W:W,F879),"")</f>
        <v/>
      </c>
      <c r="H879" s="126" t="str">
        <f>IF(E879&lt;&gt;"",SUMIFS('JPK_KR-1'!AM:AM,'JPK_KR-1'!W:W,F879),"")</f>
        <v/>
      </c>
      <c r="I879" s="5" t="str">
        <f>IF(kokpit!I879&lt;&gt;"",kokpit!I879,"")</f>
        <v/>
      </c>
      <c r="J879" s="5" t="str">
        <f>IF(kokpit!J879&lt;&gt;"",kokpit!J879,"")</f>
        <v/>
      </c>
      <c r="K879" s="24" t="str">
        <f>IF(I879&lt;&gt;"",SUMIFS('JPK_KR-1'!AL:AL,'JPK_KR-1'!W:W,J879),"")</f>
        <v/>
      </c>
      <c r="L879" s="141" t="str">
        <f>IF(I879&lt;&gt;"",SUMIFS('JPK_KR-1'!AM:AM,'JPK_KR-1'!W:W,J879),"")</f>
        <v/>
      </c>
      <c r="M879" s="143" t="str">
        <f>IF(kokpit!M879&lt;&gt;"",kokpit!M879,"")</f>
        <v/>
      </c>
      <c r="N879" s="117" t="str">
        <f>IF(kokpit!N879&lt;&gt;"",kokpit!N879,"")</f>
        <v/>
      </c>
      <c r="O879" s="117" t="str">
        <f>IF(kokpit!O879&lt;&gt;"",kokpit!O879,"")</f>
        <v/>
      </c>
      <c r="P879" s="141" t="str">
        <f>IF(M879&lt;&gt;"",IF(O879="",SUMIFS('JPK_KR-1'!AL:AL,'JPK_KR-1'!W:W,N879),SUMIFS('JPK_KR-1'!BF:BF,'JPK_KR-1'!BE:BE,N879,'JPK_KR-1'!BG:BG,O879)),"")</f>
        <v/>
      </c>
      <c r="Q879" s="144" t="str">
        <f>IF(M879&lt;&gt;"",IF(O879="",SUMIFS('JPK_KR-1'!AM:AM,'JPK_KR-1'!W:W,N879),SUMIFS('JPK_KR-1'!BI:BI,'JPK_KR-1'!BH:BH,N879,'JPK_KR-1'!BJ:BJ,O879)),"")</f>
        <v/>
      </c>
      <c r="R879" s="117" t="str">
        <f>IF(kokpit!R879&lt;&gt;"",kokpit!R879,"")</f>
        <v/>
      </c>
      <c r="S879" s="117" t="str">
        <f>IF(kokpit!S879&lt;&gt;"",kokpit!S879,"")</f>
        <v/>
      </c>
      <c r="T879" s="117" t="str">
        <f>IF(kokpit!T879&lt;&gt;"",kokpit!T879,"")</f>
        <v/>
      </c>
      <c r="U879" s="141" t="str">
        <f>IF(R879&lt;&gt;"",SUMIFS('JPK_KR-1'!AL:AL,'JPK_KR-1'!W:W,S879),"")</f>
        <v/>
      </c>
      <c r="V879" s="144" t="str">
        <f>IF(R879&lt;&gt;"",SUMIFS('JPK_KR-1'!AM:AM,'JPK_KR-1'!W:W,S879),"")</f>
        <v/>
      </c>
    </row>
    <row r="880" spans="1:22" x14ac:dyDescent="0.3">
      <c r="A880" s="5" t="str">
        <f>IF(kokpit!A880&lt;&gt;"",kokpit!A880,"")</f>
        <v/>
      </c>
      <c r="B880" s="5" t="str">
        <f>IF(kokpit!B880&lt;&gt;"",kokpit!B880,"")</f>
        <v/>
      </c>
      <c r="C880" s="24" t="str">
        <f>IF(A880&lt;&gt;"",SUMIFS('JPK_KR-1'!AL:AL,'JPK_KR-1'!W:W,B880),"")</f>
        <v/>
      </c>
      <c r="D880" s="126" t="str">
        <f>IF(A880&lt;&gt;"",SUMIFS('JPK_KR-1'!AM:AM,'JPK_KR-1'!W:W,B880),"")</f>
        <v/>
      </c>
      <c r="E880" s="5" t="str">
        <f>IF(kokpit!E880&lt;&gt;"",kokpit!E880,"")</f>
        <v/>
      </c>
      <c r="F880" s="127" t="str">
        <f>IF(kokpit!F880&lt;&gt;"",kokpit!F880,"")</f>
        <v/>
      </c>
      <c r="G880" s="24" t="str">
        <f>IF(E880&lt;&gt;"",SUMIFS('JPK_KR-1'!AL:AL,'JPK_KR-1'!W:W,F880),"")</f>
        <v/>
      </c>
      <c r="H880" s="126" t="str">
        <f>IF(E880&lt;&gt;"",SUMIFS('JPK_KR-1'!AM:AM,'JPK_KR-1'!W:W,F880),"")</f>
        <v/>
      </c>
      <c r="I880" s="5" t="str">
        <f>IF(kokpit!I880&lt;&gt;"",kokpit!I880,"")</f>
        <v/>
      </c>
      <c r="J880" s="5" t="str">
        <f>IF(kokpit!J880&lt;&gt;"",kokpit!J880,"")</f>
        <v/>
      </c>
      <c r="K880" s="24" t="str">
        <f>IF(I880&lt;&gt;"",SUMIFS('JPK_KR-1'!AL:AL,'JPK_KR-1'!W:W,J880),"")</f>
        <v/>
      </c>
      <c r="L880" s="141" t="str">
        <f>IF(I880&lt;&gt;"",SUMIFS('JPK_KR-1'!AM:AM,'JPK_KR-1'!W:W,J880),"")</f>
        <v/>
      </c>
      <c r="M880" s="143" t="str">
        <f>IF(kokpit!M880&lt;&gt;"",kokpit!M880,"")</f>
        <v/>
      </c>
      <c r="N880" s="117" t="str">
        <f>IF(kokpit!N880&lt;&gt;"",kokpit!N880,"")</f>
        <v/>
      </c>
      <c r="O880" s="117" t="str">
        <f>IF(kokpit!O880&lt;&gt;"",kokpit!O880,"")</f>
        <v/>
      </c>
      <c r="P880" s="141" t="str">
        <f>IF(M880&lt;&gt;"",IF(O880="",SUMIFS('JPK_KR-1'!AL:AL,'JPK_KR-1'!W:W,N880),SUMIFS('JPK_KR-1'!BF:BF,'JPK_KR-1'!BE:BE,N880,'JPK_KR-1'!BG:BG,O880)),"")</f>
        <v/>
      </c>
      <c r="Q880" s="144" t="str">
        <f>IF(M880&lt;&gt;"",IF(O880="",SUMIFS('JPK_KR-1'!AM:AM,'JPK_KR-1'!W:W,N880),SUMIFS('JPK_KR-1'!BI:BI,'JPK_KR-1'!BH:BH,N880,'JPK_KR-1'!BJ:BJ,O880)),"")</f>
        <v/>
      </c>
      <c r="R880" s="117" t="str">
        <f>IF(kokpit!R880&lt;&gt;"",kokpit!R880,"")</f>
        <v/>
      </c>
      <c r="S880" s="117" t="str">
        <f>IF(kokpit!S880&lt;&gt;"",kokpit!S880,"")</f>
        <v/>
      </c>
      <c r="T880" s="117" t="str">
        <f>IF(kokpit!T880&lt;&gt;"",kokpit!T880,"")</f>
        <v/>
      </c>
      <c r="U880" s="141" t="str">
        <f>IF(R880&lt;&gt;"",SUMIFS('JPK_KR-1'!AL:AL,'JPK_KR-1'!W:W,S880),"")</f>
        <v/>
      </c>
      <c r="V880" s="144" t="str">
        <f>IF(R880&lt;&gt;"",SUMIFS('JPK_KR-1'!AM:AM,'JPK_KR-1'!W:W,S880),"")</f>
        <v/>
      </c>
    </row>
    <row r="881" spans="1:22" x14ac:dyDescent="0.3">
      <c r="A881" s="5" t="str">
        <f>IF(kokpit!A881&lt;&gt;"",kokpit!A881,"")</f>
        <v/>
      </c>
      <c r="B881" s="5" t="str">
        <f>IF(kokpit!B881&lt;&gt;"",kokpit!B881,"")</f>
        <v/>
      </c>
      <c r="C881" s="24" t="str">
        <f>IF(A881&lt;&gt;"",SUMIFS('JPK_KR-1'!AL:AL,'JPK_KR-1'!W:W,B881),"")</f>
        <v/>
      </c>
      <c r="D881" s="126" t="str">
        <f>IF(A881&lt;&gt;"",SUMIFS('JPK_KR-1'!AM:AM,'JPK_KR-1'!W:W,B881),"")</f>
        <v/>
      </c>
      <c r="E881" s="5" t="str">
        <f>IF(kokpit!E881&lt;&gt;"",kokpit!E881,"")</f>
        <v/>
      </c>
      <c r="F881" s="127" t="str">
        <f>IF(kokpit!F881&lt;&gt;"",kokpit!F881,"")</f>
        <v/>
      </c>
      <c r="G881" s="24" t="str">
        <f>IF(E881&lt;&gt;"",SUMIFS('JPK_KR-1'!AL:AL,'JPK_KR-1'!W:W,F881),"")</f>
        <v/>
      </c>
      <c r="H881" s="126" t="str">
        <f>IF(E881&lt;&gt;"",SUMIFS('JPK_KR-1'!AM:AM,'JPK_KR-1'!W:W,F881),"")</f>
        <v/>
      </c>
      <c r="I881" s="5" t="str">
        <f>IF(kokpit!I881&lt;&gt;"",kokpit!I881,"")</f>
        <v/>
      </c>
      <c r="J881" s="5" t="str">
        <f>IF(kokpit!J881&lt;&gt;"",kokpit!J881,"")</f>
        <v/>
      </c>
      <c r="K881" s="24" t="str">
        <f>IF(I881&lt;&gt;"",SUMIFS('JPK_KR-1'!AL:AL,'JPK_KR-1'!W:W,J881),"")</f>
        <v/>
      </c>
      <c r="L881" s="141" t="str">
        <f>IF(I881&lt;&gt;"",SUMIFS('JPK_KR-1'!AM:AM,'JPK_KR-1'!W:W,J881),"")</f>
        <v/>
      </c>
      <c r="M881" s="143" t="str">
        <f>IF(kokpit!M881&lt;&gt;"",kokpit!M881,"")</f>
        <v/>
      </c>
      <c r="N881" s="117" t="str">
        <f>IF(kokpit!N881&lt;&gt;"",kokpit!N881,"")</f>
        <v/>
      </c>
      <c r="O881" s="117" t="str">
        <f>IF(kokpit!O881&lt;&gt;"",kokpit!O881,"")</f>
        <v/>
      </c>
      <c r="P881" s="141" t="str">
        <f>IF(M881&lt;&gt;"",IF(O881="",SUMIFS('JPK_KR-1'!AL:AL,'JPK_KR-1'!W:W,N881),SUMIFS('JPK_KR-1'!BF:BF,'JPK_KR-1'!BE:BE,N881,'JPK_KR-1'!BG:BG,O881)),"")</f>
        <v/>
      </c>
      <c r="Q881" s="144" t="str">
        <f>IF(M881&lt;&gt;"",IF(O881="",SUMIFS('JPK_KR-1'!AM:AM,'JPK_KR-1'!W:W,N881),SUMIFS('JPK_KR-1'!BI:BI,'JPK_KR-1'!BH:BH,N881,'JPK_KR-1'!BJ:BJ,O881)),"")</f>
        <v/>
      </c>
      <c r="R881" s="117" t="str">
        <f>IF(kokpit!R881&lt;&gt;"",kokpit!R881,"")</f>
        <v/>
      </c>
      <c r="S881" s="117" t="str">
        <f>IF(kokpit!S881&lt;&gt;"",kokpit!S881,"")</f>
        <v/>
      </c>
      <c r="T881" s="117" t="str">
        <f>IF(kokpit!T881&lt;&gt;"",kokpit!T881,"")</f>
        <v/>
      </c>
      <c r="U881" s="141" t="str">
        <f>IF(R881&lt;&gt;"",SUMIFS('JPK_KR-1'!AL:AL,'JPK_KR-1'!W:W,S881),"")</f>
        <v/>
      </c>
      <c r="V881" s="144" t="str">
        <f>IF(R881&lt;&gt;"",SUMIFS('JPK_KR-1'!AM:AM,'JPK_KR-1'!W:W,S881),"")</f>
        <v/>
      </c>
    </row>
    <row r="882" spans="1:22" x14ac:dyDescent="0.3">
      <c r="A882" s="5" t="str">
        <f>IF(kokpit!A882&lt;&gt;"",kokpit!A882,"")</f>
        <v/>
      </c>
      <c r="B882" s="5" t="str">
        <f>IF(kokpit!B882&lt;&gt;"",kokpit!B882,"")</f>
        <v/>
      </c>
      <c r="C882" s="24" t="str">
        <f>IF(A882&lt;&gt;"",SUMIFS('JPK_KR-1'!AL:AL,'JPK_KR-1'!W:W,B882),"")</f>
        <v/>
      </c>
      <c r="D882" s="126" t="str">
        <f>IF(A882&lt;&gt;"",SUMIFS('JPK_KR-1'!AM:AM,'JPK_KR-1'!W:W,B882),"")</f>
        <v/>
      </c>
      <c r="E882" s="5" t="str">
        <f>IF(kokpit!E882&lt;&gt;"",kokpit!E882,"")</f>
        <v/>
      </c>
      <c r="F882" s="127" t="str">
        <f>IF(kokpit!F882&lt;&gt;"",kokpit!F882,"")</f>
        <v/>
      </c>
      <c r="G882" s="24" t="str">
        <f>IF(E882&lt;&gt;"",SUMIFS('JPK_KR-1'!AL:AL,'JPK_KR-1'!W:W,F882),"")</f>
        <v/>
      </c>
      <c r="H882" s="126" t="str">
        <f>IF(E882&lt;&gt;"",SUMIFS('JPK_KR-1'!AM:AM,'JPK_KR-1'!W:W,F882),"")</f>
        <v/>
      </c>
      <c r="I882" s="5" t="str">
        <f>IF(kokpit!I882&lt;&gt;"",kokpit!I882,"")</f>
        <v/>
      </c>
      <c r="J882" s="5" t="str">
        <f>IF(kokpit!J882&lt;&gt;"",kokpit!J882,"")</f>
        <v/>
      </c>
      <c r="K882" s="24" t="str">
        <f>IF(I882&lt;&gt;"",SUMIFS('JPK_KR-1'!AL:AL,'JPK_KR-1'!W:W,J882),"")</f>
        <v/>
      </c>
      <c r="L882" s="141" t="str">
        <f>IF(I882&lt;&gt;"",SUMIFS('JPK_KR-1'!AM:AM,'JPK_KR-1'!W:W,J882),"")</f>
        <v/>
      </c>
      <c r="M882" s="143" t="str">
        <f>IF(kokpit!M882&lt;&gt;"",kokpit!M882,"")</f>
        <v/>
      </c>
      <c r="N882" s="117" t="str">
        <f>IF(kokpit!N882&lt;&gt;"",kokpit!N882,"")</f>
        <v/>
      </c>
      <c r="O882" s="117" t="str">
        <f>IF(kokpit!O882&lt;&gt;"",kokpit!O882,"")</f>
        <v/>
      </c>
      <c r="P882" s="141" t="str">
        <f>IF(M882&lt;&gt;"",IF(O882="",SUMIFS('JPK_KR-1'!AL:AL,'JPK_KR-1'!W:W,N882),SUMIFS('JPK_KR-1'!BF:BF,'JPK_KR-1'!BE:BE,N882,'JPK_KR-1'!BG:BG,O882)),"")</f>
        <v/>
      </c>
      <c r="Q882" s="144" t="str">
        <f>IF(M882&lt;&gt;"",IF(O882="",SUMIFS('JPK_KR-1'!AM:AM,'JPK_KR-1'!W:W,N882),SUMIFS('JPK_KR-1'!BI:BI,'JPK_KR-1'!BH:BH,N882,'JPK_KR-1'!BJ:BJ,O882)),"")</f>
        <v/>
      </c>
      <c r="R882" s="117" t="str">
        <f>IF(kokpit!R882&lt;&gt;"",kokpit!R882,"")</f>
        <v/>
      </c>
      <c r="S882" s="117" t="str">
        <f>IF(kokpit!S882&lt;&gt;"",kokpit!S882,"")</f>
        <v/>
      </c>
      <c r="T882" s="117" t="str">
        <f>IF(kokpit!T882&lt;&gt;"",kokpit!T882,"")</f>
        <v/>
      </c>
      <c r="U882" s="141" t="str">
        <f>IF(R882&lt;&gt;"",SUMIFS('JPK_KR-1'!AL:AL,'JPK_KR-1'!W:W,S882),"")</f>
        <v/>
      </c>
      <c r="V882" s="144" t="str">
        <f>IF(R882&lt;&gt;"",SUMIFS('JPK_KR-1'!AM:AM,'JPK_KR-1'!W:W,S882),"")</f>
        <v/>
      </c>
    </row>
    <row r="883" spans="1:22" x14ac:dyDescent="0.3">
      <c r="A883" s="5" t="str">
        <f>IF(kokpit!A883&lt;&gt;"",kokpit!A883,"")</f>
        <v/>
      </c>
      <c r="B883" s="5" t="str">
        <f>IF(kokpit!B883&lt;&gt;"",kokpit!B883,"")</f>
        <v/>
      </c>
      <c r="C883" s="24" t="str">
        <f>IF(A883&lt;&gt;"",SUMIFS('JPK_KR-1'!AL:AL,'JPK_KR-1'!W:W,B883),"")</f>
        <v/>
      </c>
      <c r="D883" s="126" t="str">
        <f>IF(A883&lt;&gt;"",SUMIFS('JPK_KR-1'!AM:AM,'JPK_KR-1'!W:W,B883),"")</f>
        <v/>
      </c>
      <c r="E883" s="5" t="str">
        <f>IF(kokpit!E883&lt;&gt;"",kokpit!E883,"")</f>
        <v/>
      </c>
      <c r="F883" s="127" t="str">
        <f>IF(kokpit!F883&lt;&gt;"",kokpit!F883,"")</f>
        <v/>
      </c>
      <c r="G883" s="24" t="str">
        <f>IF(E883&lt;&gt;"",SUMIFS('JPK_KR-1'!AL:AL,'JPK_KR-1'!W:W,F883),"")</f>
        <v/>
      </c>
      <c r="H883" s="126" t="str">
        <f>IF(E883&lt;&gt;"",SUMIFS('JPK_KR-1'!AM:AM,'JPK_KR-1'!W:W,F883),"")</f>
        <v/>
      </c>
      <c r="I883" s="5" t="str">
        <f>IF(kokpit!I883&lt;&gt;"",kokpit!I883,"")</f>
        <v/>
      </c>
      <c r="J883" s="5" t="str">
        <f>IF(kokpit!J883&lt;&gt;"",kokpit!J883,"")</f>
        <v/>
      </c>
      <c r="K883" s="24" t="str">
        <f>IF(I883&lt;&gt;"",SUMIFS('JPK_KR-1'!AL:AL,'JPK_KR-1'!W:W,J883),"")</f>
        <v/>
      </c>
      <c r="L883" s="141" t="str">
        <f>IF(I883&lt;&gt;"",SUMIFS('JPK_KR-1'!AM:AM,'JPK_KR-1'!W:W,J883),"")</f>
        <v/>
      </c>
      <c r="M883" s="143" t="str">
        <f>IF(kokpit!M883&lt;&gt;"",kokpit!M883,"")</f>
        <v/>
      </c>
      <c r="N883" s="117" t="str">
        <f>IF(kokpit!N883&lt;&gt;"",kokpit!N883,"")</f>
        <v/>
      </c>
      <c r="O883" s="117" t="str">
        <f>IF(kokpit!O883&lt;&gt;"",kokpit!O883,"")</f>
        <v/>
      </c>
      <c r="P883" s="141" t="str">
        <f>IF(M883&lt;&gt;"",IF(O883="",SUMIFS('JPK_KR-1'!AL:AL,'JPK_KR-1'!W:W,N883),SUMIFS('JPK_KR-1'!BF:BF,'JPK_KR-1'!BE:BE,N883,'JPK_KR-1'!BG:BG,O883)),"")</f>
        <v/>
      </c>
      <c r="Q883" s="144" t="str">
        <f>IF(M883&lt;&gt;"",IF(O883="",SUMIFS('JPK_KR-1'!AM:AM,'JPK_KR-1'!W:W,N883),SUMIFS('JPK_KR-1'!BI:BI,'JPK_KR-1'!BH:BH,N883,'JPK_KR-1'!BJ:BJ,O883)),"")</f>
        <v/>
      </c>
      <c r="R883" s="117" t="str">
        <f>IF(kokpit!R883&lt;&gt;"",kokpit!R883,"")</f>
        <v/>
      </c>
      <c r="S883" s="117" t="str">
        <f>IF(kokpit!S883&lt;&gt;"",kokpit!S883,"")</f>
        <v/>
      </c>
      <c r="T883" s="117" t="str">
        <f>IF(kokpit!T883&lt;&gt;"",kokpit!T883,"")</f>
        <v/>
      </c>
      <c r="U883" s="141" t="str">
        <f>IF(R883&lt;&gt;"",SUMIFS('JPK_KR-1'!AL:AL,'JPK_KR-1'!W:W,S883),"")</f>
        <v/>
      </c>
      <c r="V883" s="144" t="str">
        <f>IF(R883&lt;&gt;"",SUMIFS('JPK_KR-1'!AM:AM,'JPK_KR-1'!W:W,S883),"")</f>
        <v/>
      </c>
    </row>
    <row r="884" spans="1:22" x14ac:dyDescent="0.3">
      <c r="A884" s="5" t="str">
        <f>IF(kokpit!A884&lt;&gt;"",kokpit!A884,"")</f>
        <v/>
      </c>
      <c r="B884" s="5" t="str">
        <f>IF(kokpit!B884&lt;&gt;"",kokpit!B884,"")</f>
        <v/>
      </c>
      <c r="C884" s="24" t="str">
        <f>IF(A884&lt;&gt;"",SUMIFS('JPK_KR-1'!AL:AL,'JPK_KR-1'!W:W,B884),"")</f>
        <v/>
      </c>
      <c r="D884" s="126" t="str">
        <f>IF(A884&lt;&gt;"",SUMIFS('JPK_KR-1'!AM:AM,'JPK_KR-1'!W:W,B884),"")</f>
        <v/>
      </c>
      <c r="E884" s="5" t="str">
        <f>IF(kokpit!E884&lt;&gt;"",kokpit!E884,"")</f>
        <v/>
      </c>
      <c r="F884" s="127" t="str">
        <f>IF(kokpit!F884&lt;&gt;"",kokpit!F884,"")</f>
        <v/>
      </c>
      <c r="G884" s="24" t="str">
        <f>IF(E884&lt;&gt;"",SUMIFS('JPK_KR-1'!AL:AL,'JPK_KR-1'!W:W,F884),"")</f>
        <v/>
      </c>
      <c r="H884" s="126" t="str">
        <f>IF(E884&lt;&gt;"",SUMIFS('JPK_KR-1'!AM:AM,'JPK_KR-1'!W:W,F884),"")</f>
        <v/>
      </c>
      <c r="I884" s="5" t="str">
        <f>IF(kokpit!I884&lt;&gt;"",kokpit!I884,"")</f>
        <v/>
      </c>
      <c r="J884" s="5" t="str">
        <f>IF(kokpit!J884&lt;&gt;"",kokpit!J884,"")</f>
        <v/>
      </c>
      <c r="K884" s="24" t="str">
        <f>IF(I884&lt;&gt;"",SUMIFS('JPK_KR-1'!AL:AL,'JPK_KR-1'!W:W,J884),"")</f>
        <v/>
      </c>
      <c r="L884" s="141" t="str">
        <f>IF(I884&lt;&gt;"",SUMIFS('JPK_KR-1'!AM:AM,'JPK_KR-1'!W:W,J884),"")</f>
        <v/>
      </c>
      <c r="M884" s="143" t="str">
        <f>IF(kokpit!M884&lt;&gt;"",kokpit!M884,"")</f>
        <v/>
      </c>
      <c r="N884" s="117" t="str">
        <f>IF(kokpit!N884&lt;&gt;"",kokpit!N884,"")</f>
        <v/>
      </c>
      <c r="O884" s="117" t="str">
        <f>IF(kokpit!O884&lt;&gt;"",kokpit!O884,"")</f>
        <v/>
      </c>
      <c r="P884" s="141" t="str">
        <f>IF(M884&lt;&gt;"",IF(O884="",SUMIFS('JPK_KR-1'!AL:AL,'JPK_KR-1'!W:W,N884),SUMIFS('JPK_KR-1'!BF:BF,'JPK_KR-1'!BE:BE,N884,'JPK_KR-1'!BG:BG,O884)),"")</f>
        <v/>
      </c>
      <c r="Q884" s="144" t="str">
        <f>IF(M884&lt;&gt;"",IF(O884="",SUMIFS('JPK_KR-1'!AM:AM,'JPK_KR-1'!W:W,N884),SUMIFS('JPK_KR-1'!BI:BI,'JPK_KR-1'!BH:BH,N884,'JPK_KR-1'!BJ:BJ,O884)),"")</f>
        <v/>
      </c>
      <c r="R884" s="117" t="str">
        <f>IF(kokpit!R884&lt;&gt;"",kokpit!R884,"")</f>
        <v/>
      </c>
      <c r="S884" s="117" t="str">
        <f>IF(kokpit!S884&lt;&gt;"",kokpit!S884,"")</f>
        <v/>
      </c>
      <c r="T884" s="117" t="str">
        <f>IF(kokpit!T884&lt;&gt;"",kokpit!T884,"")</f>
        <v/>
      </c>
      <c r="U884" s="141" t="str">
        <f>IF(R884&lt;&gt;"",SUMIFS('JPK_KR-1'!AL:AL,'JPK_KR-1'!W:W,S884),"")</f>
        <v/>
      </c>
      <c r="V884" s="144" t="str">
        <f>IF(R884&lt;&gt;"",SUMIFS('JPK_KR-1'!AM:AM,'JPK_KR-1'!W:W,S884),"")</f>
        <v/>
      </c>
    </row>
    <row r="885" spans="1:22" x14ac:dyDescent="0.3">
      <c r="A885" s="5" t="str">
        <f>IF(kokpit!A885&lt;&gt;"",kokpit!A885,"")</f>
        <v/>
      </c>
      <c r="B885" s="5" t="str">
        <f>IF(kokpit!B885&lt;&gt;"",kokpit!B885,"")</f>
        <v/>
      </c>
      <c r="C885" s="24" t="str">
        <f>IF(A885&lt;&gt;"",SUMIFS('JPK_KR-1'!AL:AL,'JPK_KR-1'!W:W,B885),"")</f>
        <v/>
      </c>
      <c r="D885" s="126" t="str">
        <f>IF(A885&lt;&gt;"",SUMIFS('JPK_KR-1'!AM:AM,'JPK_KR-1'!W:W,B885),"")</f>
        <v/>
      </c>
      <c r="E885" s="5" t="str">
        <f>IF(kokpit!E885&lt;&gt;"",kokpit!E885,"")</f>
        <v/>
      </c>
      <c r="F885" s="127" t="str">
        <f>IF(kokpit!F885&lt;&gt;"",kokpit!F885,"")</f>
        <v/>
      </c>
      <c r="G885" s="24" t="str">
        <f>IF(E885&lt;&gt;"",SUMIFS('JPK_KR-1'!AL:AL,'JPK_KR-1'!W:W,F885),"")</f>
        <v/>
      </c>
      <c r="H885" s="126" t="str">
        <f>IF(E885&lt;&gt;"",SUMIFS('JPK_KR-1'!AM:AM,'JPK_KR-1'!W:W,F885),"")</f>
        <v/>
      </c>
      <c r="I885" s="5" t="str">
        <f>IF(kokpit!I885&lt;&gt;"",kokpit!I885,"")</f>
        <v/>
      </c>
      <c r="J885" s="5" t="str">
        <f>IF(kokpit!J885&lt;&gt;"",kokpit!J885,"")</f>
        <v/>
      </c>
      <c r="K885" s="24" t="str">
        <f>IF(I885&lt;&gt;"",SUMIFS('JPK_KR-1'!AL:AL,'JPK_KR-1'!W:W,J885),"")</f>
        <v/>
      </c>
      <c r="L885" s="141" t="str">
        <f>IF(I885&lt;&gt;"",SUMIFS('JPK_KR-1'!AM:AM,'JPK_KR-1'!W:W,J885),"")</f>
        <v/>
      </c>
      <c r="M885" s="143" t="str">
        <f>IF(kokpit!M885&lt;&gt;"",kokpit!M885,"")</f>
        <v/>
      </c>
      <c r="N885" s="117" t="str">
        <f>IF(kokpit!N885&lt;&gt;"",kokpit!N885,"")</f>
        <v/>
      </c>
      <c r="O885" s="117" t="str">
        <f>IF(kokpit!O885&lt;&gt;"",kokpit!O885,"")</f>
        <v/>
      </c>
      <c r="P885" s="141" t="str">
        <f>IF(M885&lt;&gt;"",IF(O885="",SUMIFS('JPK_KR-1'!AL:AL,'JPK_KR-1'!W:W,N885),SUMIFS('JPK_KR-1'!BF:BF,'JPK_KR-1'!BE:BE,N885,'JPK_KR-1'!BG:BG,O885)),"")</f>
        <v/>
      </c>
      <c r="Q885" s="144" t="str">
        <f>IF(M885&lt;&gt;"",IF(O885="",SUMIFS('JPK_KR-1'!AM:AM,'JPK_KR-1'!W:W,N885),SUMIFS('JPK_KR-1'!BI:BI,'JPK_KR-1'!BH:BH,N885,'JPK_KR-1'!BJ:BJ,O885)),"")</f>
        <v/>
      </c>
      <c r="R885" s="117" t="str">
        <f>IF(kokpit!R885&lt;&gt;"",kokpit!R885,"")</f>
        <v/>
      </c>
      <c r="S885" s="117" t="str">
        <f>IF(kokpit!S885&lt;&gt;"",kokpit!S885,"")</f>
        <v/>
      </c>
      <c r="T885" s="117" t="str">
        <f>IF(kokpit!T885&lt;&gt;"",kokpit!T885,"")</f>
        <v/>
      </c>
      <c r="U885" s="141" t="str">
        <f>IF(R885&lt;&gt;"",SUMIFS('JPK_KR-1'!AL:AL,'JPK_KR-1'!W:W,S885),"")</f>
        <v/>
      </c>
      <c r="V885" s="144" t="str">
        <f>IF(R885&lt;&gt;"",SUMIFS('JPK_KR-1'!AM:AM,'JPK_KR-1'!W:W,S885),"")</f>
        <v/>
      </c>
    </row>
    <row r="886" spans="1:22" x14ac:dyDescent="0.3">
      <c r="A886" s="5" t="str">
        <f>IF(kokpit!A886&lt;&gt;"",kokpit!A886,"")</f>
        <v/>
      </c>
      <c r="B886" s="5" t="str">
        <f>IF(kokpit!B886&lt;&gt;"",kokpit!B886,"")</f>
        <v/>
      </c>
      <c r="C886" s="24" t="str">
        <f>IF(A886&lt;&gt;"",SUMIFS('JPK_KR-1'!AL:AL,'JPK_KR-1'!W:W,B886),"")</f>
        <v/>
      </c>
      <c r="D886" s="126" t="str">
        <f>IF(A886&lt;&gt;"",SUMIFS('JPK_KR-1'!AM:AM,'JPK_KR-1'!W:W,B886),"")</f>
        <v/>
      </c>
      <c r="E886" s="5" t="str">
        <f>IF(kokpit!E886&lt;&gt;"",kokpit!E886,"")</f>
        <v/>
      </c>
      <c r="F886" s="127" t="str">
        <f>IF(kokpit!F886&lt;&gt;"",kokpit!F886,"")</f>
        <v/>
      </c>
      <c r="G886" s="24" t="str">
        <f>IF(E886&lt;&gt;"",SUMIFS('JPK_KR-1'!AL:AL,'JPK_KR-1'!W:W,F886),"")</f>
        <v/>
      </c>
      <c r="H886" s="126" t="str">
        <f>IF(E886&lt;&gt;"",SUMIFS('JPK_KR-1'!AM:AM,'JPK_KR-1'!W:W,F886),"")</f>
        <v/>
      </c>
      <c r="I886" s="5" t="str">
        <f>IF(kokpit!I886&lt;&gt;"",kokpit!I886,"")</f>
        <v/>
      </c>
      <c r="J886" s="5" t="str">
        <f>IF(kokpit!J886&lt;&gt;"",kokpit!J886,"")</f>
        <v/>
      </c>
      <c r="K886" s="24" t="str">
        <f>IF(I886&lt;&gt;"",SUMIFS('JPK_KR-1'!AL:AL,'JPK_KR-1'!W:W,J886),"")</f>
        <v/>
      </c>
      <c r="L886" s="141" t="str">
        <f>IF(I886&lt;&gt;"",SUMIFS('JPK_KR-1'!AM:AM,'JPK_KR-1'!W:W,J886),"")</f>
        <v/>
      </c>
      <c r="M886" s="143" t="str">
        <f>IF(kokpit!M886&lt;&gt;"",kokpit!M886,"")</f>
        <v/>
      </c>
      <c r="N886" s="117" t="str">
        <f>IF(kokpit!N886&lt;&gt;"",kokpit!N886,"")</f>
        <v/>
      </c>
      <c r="O886" s="117" t="str">
        <f>IF(kokpit!O886&lt;&gt;"",kokpit!O886,"")</f>
        <v/>
      </c>
      <c r="P886" s="141" t="str">
        <f>IF(M886&lt;&gt;"",IF(O886="",SUMIFS('JPK_KR-1'!AL:AL,'JPK_KR-1'!W:W,N886),SUMIFS('JPK_KR-1'!BF:BF,'JPK_KR-1'!BE:BE,N886,'JPK_KR-1'!BG:BG,O886)),"")</f>
        <v/>
      </c>
      <c r="Q886" s="144" t="str">
        <f>IF(M886&lt;&gt;"",IF(O886="",SUMIFS('JPK_KR-1'!AM:AM,'JPK_KR-1'!W:W,N886),SUMIFS('JPK_KR-1'!BI:BI,'JPK_KR-1'!BH:BH,N886,'JPK_KR-1'!BJ:BJ,O886)),"")</f>
        <v/>
      </c>
      <c r="R886" s="117" t="str">
        <f>IF(kokpit!R886&lt;&gt;"",kokpit!R886,"")</f>
        <v/>
      </c>
      <c r="S886" s="117" t="str">
        <f>IF(kokpit!S886&lt;&gt;"",kokpit!S886,"")</f>
        <v/>
      </c>
      <c r="T886" s="117" t="str">
        <f>IF(kokpit!T886&lt;&gt;"",kokpit!T886,"")</f>
        <v/>
      </c>
      <c r="U886" s="141" t="str">
        <f>IF(R886&lt;&gt;"",SUMIFS('JPK_KR-1'!AL:AL,'JPK_KR-1'!W:W,S886),"")</f>
        <v/>
      </c>
      <c r="V886" s="144" t="str">
        <f>IF(R886&lt;&gt;"",SUMIFS('JPK_KR-1'!AM:AM,'JPK_KR-1'!W:W,S886),"")</f>
        <v/>
      </c>
    </row>
    <row r="887" spans="1:22" x14ac:dyDescent="0.3">
      <c r="A887" s="5" t="str">
        <f>IF(kokpit!A887&lt;&gt;"",kokpit!A887,"")</f>
        <v/>
      </c>
      <c r="B887" s="5" t="str">
        <f>IF(kokpit!B887&lt;&gt;"",kokpit!B887,"")</f>
        <v/>
      </c>
      <c r="C887" s="24" t="str">
        <f>IF(A887&lt;&gt;"",SUMIFS('JPK_KR-1'!AL:AL,'JPK_KR-1'!W:W,B887),"")</f>
        <v/>
      </c>
      <c r="D887" s="126" t="str">
        <f>IF(A887&lt;&gt;"",SUMIFS('JPK_KR-1'!AM:AM,'JPK_KR-1'!W:W,B887),"")</f>
        <v/>
      </c>
      <c r="E887" s="5" t="str">
        <f>IF(kokpit!E887&lt;&gt;"",kokpit!E887,"")</f>
        <v/>
      </c>
      <c r="F887" s="127" t="str">
        <f>IF(kokpit!F887&lt;&gt;"",kokpit!F887,"")</f>
        <v/>
      </c>
      <c r="G887" s="24" t="str">
        <f>IF(E887&lt;&gt;"",SUMIFS('JPK_KR-1'!AL:AL,'JPK_KR-1'!W:W,F887),"")</f>
        <v/>
      </c>
      <c r="H887" s="126" t="str">
        <f>IF(E887&lt;&gt;"",SUMIFS('JPK_KR-1'!AM:AM,'JPK_KR-1'!W:W,F887),"")</f>
        <v/>
      </c>
      <c r="I887" s="5" t="str">
        <f>IF(kokpit!I887&lt;&gt;"",kokpit!I887,"")</f>
        <v/>
      </c>
      <c r="J887" s="5" t="str">
        <f>IF(kokpit!J887&lt;&gt;"",kokpit!J887,"")</f>
        <v/>
      </c>
      <c r="K887" s="24" t="str">
        <f>IF(I887&lt;&gt;"",SUMIFS('JPK_KR-1'!AL:AL,'JPK_KR-1'!W:W,J887),"")</f>
        <v/>
      </c>
      <c r="L887" s="141" t="str">
        <f>IF(I887&lt;&gt;"",SUMIFS('JPK_KR-1'!AM:AM,'JPK_KR-1'!W:W,J887),"")</f>
        <v/>
      </c>
      <c r="M887" s="143" t="str">
        <f>IF(kokpit!M887&lt;&gt;"",kokpit!M887,"")</f>
        <v/>
      </c>
      <c r="N887" s="117" t="str">
        <f>IF(kokpit!N887&lt;&gt;"",kokpit!N887,"")</f>
        <v/>
      </c>
      <c r="O887" s="117" t="str">
        <f>IF(kokpit!O887&lt;&gt;"",kokpit!O887,"")</f>
        <v/>
      </c>
      <c r="P887" s="141" t="str">
        <f>IF(M887&lt;&gt;"",IF(O887="",SUMIFS('JPK_KR-1'!AL:AL,'JPK_KR-1'!W:W,N887),SUMIFS('JPK_KR-1'!BF:BF,'JPK_KR-1'!BE:BE,N887,'JPK_KR-1'!BG:BG,O887)),"")</f>
        <v/>
      </c>
      <c r="Q887" s="144" t="str">
        <f>IF(M887&lt;&gt;"",IF(O887="",SUMIFS('JPK_KR-1'!AM:AM,'JPK_KR-1'!W:W,N887),SUMIFS('JPK_KR-1'!BI:BI,'JPK_KR-1'!BH:BH,N887,'JPK_KR-1'!BJ:BJ,O887)),"")</f>
        <v/>
      </c>
      <c r="R887" s="117" t="str">
        <f>IF(kokpit!R887&lt;&gt;"",kokpit!R887,"")</f>
        <v/>
      </c>
      <c r="S887" s="117" t="str">
        <f>IF(kokpit!S887&lt;&gt;"",kokpit!S887,"")</f>
        <v/>
      </c>
      <c r="T887" s="117" t="str">
        <f>IF(kokpit!T887&lt;&gt;"",kokpit!T887,"")</f>
        <v/>
      </c>
      <c r="U887" s="141" t="str">
        <f>IF(R887&lt;&gt;"",SUMIFS('JPK_KR-1'!AL:AL,'JPK_KR-1'!W:W,S887),"")</f>
        <v/>
      </c>
      <c r="V887" s="144" t="str">
        <f>IF(R887&lt;&gt;"",SUMIFS('JPK_KR-1'!AM:AM,'JPK_KR-1'!W:W,S887),"")</f>
        <v/>
      </c>
    </row>
    <row r="888" spans="1:22" x14ac:dyDescent="0.3">
      <c r="A888" s="5" t="str">
        <f>IF(kokpit!A888&lt;&gt;"",kokpit!A888,"")</f>
        <v/>
      </c>
      <c r="B888" s="5" t="str">
        <f>IF(kokpit!B888&lt;&gt;"",kokpit!B888,"")</f>
        <v/>
      </c>
      <c r="C888" s="24" t="str">
        <f>IF(A888&lt;&gt;"",SUMIFS('JPK_KR-1'!AL:AL,'JPK_KR-1'!W:W,B888),"")</f>
        <v/>
      </c>
      <c r="D888" s="126" t="str">
        <f>IF(A888&lt;&gt;"",SUMIFS('JPK_KR-1'!AM:AM,'JPK_KR-1'!W:W,B888),"")</f>
        <v/>
      </c>
      <c r="E888" s="5" t="str">
        <f>IF(kokpit!E888&lt;&gt;"",kokpit!E888,"")</f>
        <v/>
      </c>
      <c r="F888" s="127" t="str">
        <f>IF(kokpit!F888&lt;&gt;"",kokpit!F888,"")</f>
        <v/>
      </c>
      <c r="G888" s="24" t="str">
        <f>IF(E888&lt;&gt;"",SUMIFS('JPK_KR-1'!AL:AL,'JPK_KR-1'!W:W,F888),"")</f>
        <v/>
      </c>
      <c r="H888" s="126" t="str">
        <f>IF(E888&lt;&gt;"",SUMIFS('JPK_KR-1'!AM:AM,'JPK_KR-1'!W:W,F888),"")</f>
        <v/>
      </c>
      <c r="I888" s="5" t="str">
        <f>IF(kokpit!I888&lt;&gt;"",kokpit!I888,"")</f>
        <v/>
      </c>
      <c r="J888" s="5" t="str">
        <f>IF(kokpit!J888&lt;&gt;"",kokpit!J888,"")</f>
        <v/>
      </c>
      <c r="K888" s="24" t="str">
        <f>IF(I888&lt;&gt;"",SUMIFS('JPK_KR-1'!AL:AL,'JPK_KR-1'!W:W,J888),"")</f>
        <v/>
      </c>
      <c r="L888" s="141" t="str">
        <f>IF(I888&lt;&gt;"",SUMIFS('JPK_KR-1'!AM:AM,'JPK_KR-1'!W:W,J888),"")</f>
        <v/>
      </c>
      <c r="M888" s="143" t="str">
        <f>IF(kokpit!M888&lt;&gt;"",kokpit!M888,"")</f>
        <v/>
      </c>
      <c r="N888" s="117" t="str">
        <f>IF(kokpit!N888&lt;&gt;"",kokpit!N888,"")</f>
        <v/>
      </c>
      <c r="O888" s="117" t="str">
        <f>IF(kokpit!O888&lt;&gt;"",kokpit!O888,"")</f>
        <v/>
      </c>
      <c r="P888" s="141" t="str">
        <f>IF(M888&lt;&gt;"",IF(O888="",SUMIFS('JPK_KR-1'!AL:AL,'JPK_KR-1'!W:W,N888),SUMIFS('JPK_KR-1'!BF:BF,'JPK_KR-1'!BE:BE,N888,'JPK_KR-1'!BG:BG,O888)),"")</f>
        <v/>
      </c>
      <c r="Q888" s="144" t="str">
        <f>IF(M888&lt;&gt;"",IF(O888="",SUMIFS('JPK_KR-1'!AM:AM,'JPK_KR-1'!W:W,N888),SUMIFS('JPK_KR-1'!BI:BI,'JPK_KR-1'!BH:BH,N888,'JPK_KR-1'!BJ:BJ,O888)),"")</f>
        <v/>
      </c>
      <c r="R888" s="117" t="str">
        <f>IF(kokpit!R888&lt;&gt;"",kokpit!R888,"")</f>
        <v/>
      </c>
      <c r="S888" s="117" t="str">
        <f>IF(kokpit!S888&lt;&gt;"",kokpit!S888,"")</f>
        <v/>
      </c>
      <c r="T888" s="117" t="str">
        <f>IF(kokpit!T888&lt;&gt;"",kokpit!T888,"")</f>
        <v/>
      </c>
      <c r="U888" s="141" t="str">
        <f>IF(R888&lt;&gt;"",SUMIFS('JPK_KR-1'!AL:AL,'JPK_KR-1'!W:W,S888),"")</f>
        <v/>
      </c>
      <c r="V888" s="144" t="str">
        <f>IF(R888&lt;&gt;"",SUMIFS('JPK_KR-1'!AM:AM,'JPK_KR-1'!W:W,S888),"")</f>
        <v/>
      </c>
    </row>
    <row r="889" spans="1:22" x14ac:dyDescent="0.3">
      <c r="A889" s="5" t="str">
        <f>IF(kokpit!A889&lt;&gt;"",kokpit!A889,"")</f>
        <v/>
      </c>
      <c r="B889" s="5" t="str">
        <f>IF(kokpit!B889&lt;&gt;"",kokpit!B889,"")</f>
        <v/>
      </c>
      <c r="C889" s="24" t="str">
        <f>IF(A889&lt;&gt;"",SUMIFS('JPK_KR-1'!AL:AL,'JPK_KR-1'!W:W,B889),"")</f>
        <v/>
      </c>
      <c r="D889" s="126" t="str">
        <f>IF(A889&lt;&gt;"",SUMIFS('JPK_KR-1'!AM:AM,'JPK_KR-1'!W:W,B889),"")</f>
        <v/>
      </c>
      <c r="E889" s="5" t="str">
        <f>IF(kokpit!E889&lt;&gt;"",kokpit!E889,"")</f>
        <v/>
      </c>
      <c r="F889" s="127" t="str">
        <f>IF(kokpit!F889&lt;&gt;"",kokpit!F889,"")</f>
        <v/>
      </c>
      <c r="G889" s="24" t="str">
        <f>IF(E889&lt;&gt;"",SUMIFS('JPK_KR-1'!AL:AL,'JPK_KR-1'!W:W,F889),"")</f>
        <v/>
      </c>
      <c r="H889" s="126" t="str">
        <f>IF(E889&lt;&gt;"",SUMIFS('JPK_KR-1'!AM:AM,'JPK_KR-1'!W:W,F889),"")</f>
        <v/>
      </c>
      <c r="I889" s="5" t="str">
        <f>IF(kokpit!I889&lt;&gt;"",kokpit!I889,"")</f>
        <v/>
      </c>
      <c r="J889" s="5" t="str">
        <f>IF(kokpit!J889&lt;&gt;"",kokpit!J889,"")</f>
        <v/>
      </c>
      <c r="K889" s="24" t="str">
        <f>IF(I889&lt;&gt;"",SUMIFS('JPK_KR-1'!AL:AL,'JPK_KR-1'!W:W,J889),"")</f>
        <v/>
      </c>
      <c r="L889" s="141" t="str">
        <f>IF(I889&lt;&gt;"",SUMIFS('JPK_KR-1'!AM:AM,'JPK_KR-1'!W:W,J889),"")</f>
        <v/>
      </c>
      <c r="M889" s="143" t="str">
        <f>IF(kokpit!M889&lt;&gt;"",kokpit!M889,"")</f>
        <v/>
      </c>
      <c r="N889" s="117" t="str">
        <f>IF(kokpit!N889&lt;&gt;"",kokpit!N889,"")</f>
        <v/>
      </c>
      <c r="O889" s="117" t="str">
        <f>IF(kokpit!O889&lt;&gt;"",kokpit!O889,"")</f>
        <v/>
      </c>
      <c r="P889" s="141" t="str">
        <f>IF(M889&lt;&gt;"",IF(O889="",SUMIFS('JPK_KR-1'!AL:AL,'JPK_KR-1'!W:W,N889),SUMIFS('JPK_KR-1'!BF:BF,'JPK_KR-1'!BE:BE,N889,'JPK_KR-1'!BG:BG,O889)),"")</f>
        <v/>
      </c>
      <c r="Q889" s="144" t="str">
        <f>IF(M889&lt;&gt;"",IF(O889="",SUMIFS('JPK_KR-1'!AM:AM,'JPK_KR-1'!W:W,N889),SUMIFS('JPK_KR-1'!BI:BI,'JPK_KR-1'!BH:BH,N889,'JPK_KR-1'!BJ:BJ,O889)),"")</f>
        <v/>
      </c>
      <c r="R889" s="117" t="str">
        <f>IF(kokpit!R889&lt;&gt;"",kokpit!R889,"")</f>
        <v/>
      </c>
      <c r="S889" s="117" t="str">
        <f>IF(kokpit!S889&lt;&gt;"",kokpit!S889,"")</f>
        <v/>
      </c>
      <c r="T889" s="117" t="str">
        <f>IF(kokpit!T889&lt;&gt;"",kokpit!T889,"")</f>
        <v/>
      </c>
      <c r="U889" s="141" t="str">
        <f>IF(R889&lt;&gt;"",SUMIFS('JPK_KR-1'!AL:AL,'JPK_KR-1'!W:W,S889),"")</f>
        <v/>
      </c>
      <c r="V889" s="144" t="str">
        <f>IF(R889&lt;&gt;"",SUMIFS('JPK_KR-1'!AM:AM,'JPK_KR-1'!W:W,S889),"")</f>
        <v/>
      </c>
    </row>
    <row r="890" spans="1:22" x14ac:dyDescent="0.3">
      <c r="A890" s="5" t="str">
        <f>IF(kokpit!A890&lt;&gt;"",kokpit!A890,"")</f>
        <v/>
      </c>
      <c r="B890" s="5" t="str">
        <f>IF(kokpit!B890&lt;&gt;"",kokpit!B890,"")</f>
        <v/>
      </c>
      <c r="C890" s="24" t="str">
        <f>IF(A890&lt;&gt;"",SUMIFS('JPK_KR-1'!AL:AL,'JPK_KR-1'!W:W,B890),"")</f>
        <v/>
      </c>
      <c r="D890" s="126" t="str">
        <f>IF(A890&lt;&gt;"",SUMIFS('JPK_KR-1'!AM:AM,'JPK_KR-1'!W:W,B890),"")</f>
        <v/>
      </c>
      <c r="E890" s="5" t="str">
        <f>IF(kokpit!E890&lt;&gt;"",kokpit!E890,"")</f>
        <v/>
      </c>
      <c r="F890" s="127" t="str">
        <f>IF(kokpit!F890&lt;&gt;"",kokpit!F890,"")</f>
        <v/>
      </c>
      <c r="G890" s="24" t="str">
        <f>IF(E890&lt;&gt;"",SUMIFS('JPK_KR-1'!AL:AL,'JPK_KR-1'!W:W,F890),"")</f>
        <v/>
      </c>
      <c r="H890" s="126" t="str">
        <f>IF(E890&lt;&gt;"",SUMIFS('JPK_KR-1'!AM:AM,'JPK_KR-1'!W:W,F890),"")</f>
        <v/>
      </c>
      <c r="I890" s="5" t="str">
        <f>IF(kokpit!I890&lt;&gt;"",kokpit!I890,"")</f>
        <v/>
      </c>
      <c r="J890" s="5" t="str">
        <f>IF(kokpit!J890&lt;&gt;"",kokpit!J890,"")</f>
        <v/>
      </c>
      <c r="K890" s="24" t="str">
        <f>IF(I890&lt;&gt;"",SUMIFS('JPK_KR-1'!AL:AL,'JPK_KR-1'!W:W,J890),"")</f>
        <v/>
      </c>
      <c r="L890" s="141" t="str">
        <f>IF(I890&lt;&gt;"",SUMIFS('JPK_KR-1'!AM:AM,'JPK_KR-1'!W:W,J890),"")</f>
        <v/>
      </c>
      <c r="M890" s="143" t="str">
        <f>IF(kokpit!M890&lt;&gt;"",kokpit!M890,"")</f>
        <v/>
      </c>
      <c r="N890" s="117" t="str">
        <f>IF(kokpit!N890&lt;&gt;"",kokpit!N890,"")</f>
        <v/>
      </c>
      <c r="O890" s="117" t="str">
        <f>IF(kokpit!O890&lt;&gt;"",kokpit!O890,"")</f>
        <v/>
      </c>
      <c r="P890" s="141" t="str">
        <f>IF(M890&lt;&gt;"",IF(O890="",SUMIFS('JPK_KR-1'!AL:AL,'JPK_KR-1'!W:W,N890),SUMIFS('JPK_KR-1'!BF:BF,'JPK_KR-1'!BE:BE,N890,'JPK_KR-1'!BG:BG,O890)),"")</f>
        <v/>
      </c>
      <c r="Q890" s="144" t="str">
        <f>IF(M890&lt;&gt;"",IF(O890="",SUMIFS('JPK_KR-1'!AM:AM,'JPK_KR-1'!W:W,N890),SUMIFS('JPK_KR-1'!BI:BI,'JPK_KR-1'!BH:BH,N890,'JPK_KR-1'!BJ:BJ,O890)),"")</f>
        <v/>
      </c>
      <c r="R890" s="117" t="str">
        <f>IF(kokpit!R890&lt;&gt;"",kokpit!R890,"")</f>
        <v/>
      </c>
      <c r="S890" s="117" t="str">
        <f>IF(kokpit!S890&lt;&gt;"",kokpit!S890,"")</f>
        <v/>
      </c>
      <c r="T890" s="117" t="str">
        <f>IF(kokpit!T890&lt;&gt;"",kokpit!T890,"")</f>
        <v/>
      </c>
      <c r="U890" s="141" t="str">
        <f>IF(R890&lt;&gt;"",SUMIFS('JPK_KR-1'!AL:AL,'JPK_KR-1'!W:W,S890),"")</f>
        <v/>
      </c>
      <c r="V890" s="144" t="str">
        <f>IF(R890&lt;&gt;"",SUMIFS('JPK_KR-1'!AM:AM,'JPK_KR-1'!W:W,S890),"")</f>
        <v/>
      </c>
    </row>
    <row r="891" spans="1:22" x14ac:dyDescent="0.3">
      <c r="A891" s="5" t="str">
        <f>IF(kokpit!A891&lt;&gt;"",kokpit!A891,"")</f>
        <v/>
      </c>
      <c r="B891" s="5" t="str">
        <f>IF(kokpit!B891&lt;&gt;"",kokpit!B891,"")</f>
        <v/>
      </c>
      <c r="C891" s="24" t="str">
        <f>IF(A891&lt;&gt;"",SUMIFS('JPK_KR-1'!AL:AL,'JPK_KR-1'!W:W,B891),"")</f>
        <v/>
      </c>
      <c r="D891" s="126" t="str">
        <f>IF(A891&lt;&gt;"",SUMIFS('JPK_KR-1'!AM:AM,'JPK_KR-1'!W:W,B891),"")</f>
        <v/>
      </c>
      <c r="E891" s="5" t="str">
        <f>IF(kokpit!E891&lt;&gt;"",kokpit!E891,"")</f>
        <v/>
      </c>
      <c r="F891" s="127" t="str">
        <f>IF(kokpit!F891&lt;&gt;"",kokpit!F891,"")</f>
        <v/>
      </c>
      <c r="G891" s="24" t="str">
        <f>IF(E891&lt;&gt;"",SUMIFS('JPK_KR-1'!AL:AL,'JPK_KR-1'!W:W,F891),"")</f>
        <v/>
      </c>
      <c r="H891" s="126" t="str">
        <f>IF(E891&lt;&gt;"",SUMIFS('JPK_KR-1'!AM:AM,'JPK_KR-1'!W:W,F891),"")</f>
        <v/>
      </c>
      <c r="I891" s="5" t="str">
        <f>IF(kokpit!I891&lt;&gt;"",kokpit!I891,"")</f>
        <v/>
      </c>
      <c r="J891" s="5" t="str">
        <f>IF(kokpit!J891&lt;&gt;"",kokpit!J891,"")</f>
        <v/>
      </c>
      <c r="K891" s="24" t="str">
        <f>IF(I891&lt;&gt;"",SUMIFS('JPK_KR-1'!AL:AL,'JPK_KR-1'!W:W,J891),"")</f>
        <v/>
      </c>
      <c r="L891" s="141" t="str">
        <f>IF(I891&lt;&gt;"",SUMIFS('JPK_KR-1'!AM:AM,'JPK_KR-1'!W:W,J891),"")</f>
        <v/>
      </c>
      <c r="M891" s="143" t="str">
        <f>IF(kokpit!M891&lt;&gt;"",kokpit!M891,"")</f>
        <v/>
      </c>
      <c r="N891" s="117" t="str">
        <f>IF(kokpit!N891&lt;&gt;"",kokpit!N891,"")</f>
        <v/>
      </c>
      <c r="O891" s="117" t="str">
        <f>IF(kokpit!O891&lt;&gt;"",kokpit!O891,"")</f>
        <v/>
      </c>
      <c r="P891" s="141" t="str">
        <f>IF(M891&lt;&gt;"",IF(O891="",SUMIFS('JPK_KR-1'!AL:AL,'JPK_KR-1'!W:W,N891),SUMIFS('JPK_KR-1'!BF:BF,'JPK_KR-1'!BE:BE,N891,'JPK_KR-1'!BG:BG,O891)),"")</f>
        <v/>
      </c>
      <c r="Q891" s="144" t="str">
        <f>IF(M891&lt;&gt;"",IF(O891="",SUMIFS('JPK_KR-1'!AM:AM,'JPK_KR-1'!W:W,N891),SUMIFS('JPK_KR-1'!BI:BI,'JPK_KR-1'!BH:BH,N891,'JPK_KR-1'!BJ:BJ,O891)),"")</f>
        <v/>
      </c>
      <c r="R891" s="117" t="str">
        <f>IF(kokpit!R891&lt;&gt;"",kokpit!R891,"")</f>
        <v/>
      </c>
      <c r="S891" s="117" t="str">
        <f>IF(kokpit!S891&lt;&gt;"",kokpit!S891,"")</f>
        <v/>
      </c>
      <c r="T891" s="117" t="str">
        <f>IF(kokpit!T891&lt;&gt;"",kokpit!T891,"")</f>
        <v/>
      </c>
      <c r="U891" s="141" t="str">
        <f>IF(R891&lt;&gt;"",SUMIFS('JPK_KR-1'!AL:AL,'JPK_KR-1'!W:W,S891),"")</f>
        <v/>
      </c>
      <c r="V891" s="144" t="str">
        <f>IF(R891&lt;&gt;"",SUMIFS('JPK_KR-1'!AM:AM,'JPK_KR-1'!W:W,S891),"")</f>
        <v/>
      </c>
    </row>
    <row r="892" spans="1:22" x14ac:dyDescent="0.3">
      <c r="A892" s="5" t="str">
        <f>IF(kokpit!A892&lt;&gt;"",kokpit!A892,"")</f>
        <v/>
      </c>
      <c r="B892" s="5" t="str">
        <f>IF(kokpit!B892&lt;&gt;"",kokpit!B892,"")</f>
        <v/>
      </c>
      <c r="C892" s="24" t="str">
        <f>IF(A892&lt;&gt;"",SUMIFS('JPK_KR-1'!AL:AL,'JPK_KR-1'!W:W,B892),"")</f>
        <v/>
      </c>
      <c r="D892" s="126" t="str">
        <f>IF(A892&lt;&gt;"",SUMIFS('JPK_KR-1'!AM:AM,'JPK_KR-1'!W:W,B892),"")</f>
        <v/>
      </c>
      <c r="E892" s="5" t="str">
        <f>IF(kokpit!E892&lt;&gt;"",kokpit!E892,"")</f>
        <v/>
      </c>
      <c r="F892" s="127" t="str">
        <f>IF(kokpit!F892&lt;&gt;"",kokpit!F892,"")</f>
        <v/>
      </c>
      <c r="G892" s="24" t="str">
        <f>IF(E892&lt;&gt;"",SUMIFS('JPK_KR-1'!AL:AL,'JPK_KR-1'!W:W,F892),"")</f>
        <v/>
      </c>
      <c r="H892" s="126" t="str">
        <f>IF(E892&lt;&gt;"",SUMIFS('JPK_KR-1'!AM:AM,'JPK_KR-1'!W:W,F892),"")</f>
        <v/>
      </c>
      <c r="I892" s="5" t="str">
        <f>IF(kokpit!I892&lt;&gt;"",kokpit!I892,"")</f>
        <v/>
      </c>
      <c r="J892" s="5" t="str">
        <f>IF(kokpit!J892&lt;&gt;"",kokpit!J892,"")</f>
        <v/>
      </c>
      <c r="K892" s="24" t="str">
        <f>IF(I892&lt;&gt;"",SUMIFS('JPK_KR-1'!AL:AL,'JPK_KR-1'!W:W,J892),"")</f>
        <v/>
      </c>
      <c r="L892" s="141" t="str">
        <f>IF(I892&lt;&gt;"",SUMIFS('JPK_KR-1'!AM:AM,'JPK_KR-1'!W:W,J892),"")</f>
        <v/>
      </c>
      <c r="M892" s="143" t="str">
        <f>IF(kokpit!M892&lt;&gt;"",kokpit!M892,"")</f>
        <v/>
      </c>
      <c r="N892" s="117" t="str">
        <f>IF(kokpit!N892&lt;&gt;"",kokpit!N892,"")</f>
        <v/>
      </c>
      <c r="O892" s="117" t="str">
        <f>IF(kokpit!O892&lt;&gt;"",kokpit!O892,"")</f>
        <v/>
      </c>
      <c r="P892" s="141" t="str">
        <f>IF(M892&lt;&gt;"",IF(O892="",SUMIFS('JPK_KR-1'!AL:AL,'JPK_KR-1'!W:W,N892),SUMIFS('JPK_KR-1'!BF:BF,'JPK_KR-1'!BE:BE,N892,'JPK_KR-1'!BG:BG,O892)),"")</f>
        <v/>
      </c>
      <c r="Q892" s="144" t="str">
        <f>IF(M892&lt;&gt;"",IF(O892="",SUMIFS('JPK_KR-1'!AM:AM,'JPK_KR-1'!W:W,N892),SUMIFS('JPK_KR-1'!BI:BI,'JPK_KR-1'!BH:BH,N892,'JPK_KR-1'!BJ:BJ,O892)),"")</f>
        <v/>
      </c>
      <c r="R892" s="117" t="str">
        <f>IF(kokpit!R892&lt;&gt;"",kokpit!R892,"")</f>
        <v/>
      </c>
      <c r="S892" s="117" t="str">
        <f>IF(kokpit!S892&lt;&gt;"",kokpit!S892,"")</f>
        <v/>
      </c>
      <c r="T892" s="117" t="str">
        <f>IF(kokpit!T892&lt;&gt;"",kokpit!T892,"")</f>
        <v/>
      </c>
      <c r="U892" s="141" t="str">
        <f>IF(R892&lt;&gt;"",SUMIFS('JPK_KR-1'!AL:AL,'JPK_KR-1'!W:W,S892),"")</f>
        <v/>
      </c>
      <c r="V892" s="144" t="str">
        <f>IF(R892&lt;&gt;"",SUMIFS('JPK_KR-1'!AM:AM,'JPK_KR-1'!W:W,S892),"")</f>
        <v/>
      </c>
    </row>
    <row r="893" spans="1:22" x14ac:dyDescent="0.3">
      <c r="A893" s="5" t="str">
        <f>IF(kokpit!A893&lt;&gt;"",kokpit!A893,"")</f>
        <v/>
      </c>
      <c r="B893" s="5" t="str">
        <f>IF(kokpit!B893&lt;&gt;"",kokpit!B893,"")</f>
        <v/>
      </c>
      <c r="C893" s="24" t="str">
        <f>IF(A893&lt;&gt;"",SUMIFS('JPK_KR-1'!AL:AL,'JPK_KR-1'!W:W,B893),"")</f>
        <v/>
      </c>
      <c r="D893" s="126" t="str">
        <f>IF(A893&lt;&gt;"",SUMIFS('JPK_KR-1'!AM:AM,'JPK_KR-1'!W:W,B893),"")</f>
        <v/>
      </c>
      <c r="E893" s="5" t="str">
        <f>IF(kokpit!E893&lt;&gt;"",kokpit!E893,"")</f>
        <v/>
      </c>
      <c r="F893" s="127" t="str">
        <f>IF(kokpit!F893&lt;&gt;"",kokpit!F893,"")</f>
        <v/>
      </c>
      <c r="G893" s="24" t="str">
        <f>IF(E893&lt;&gt;"",SUMIFS('JPK_KR-1'!AL:AL,'JPK_KR-1'!W:W,F893),"")</f>
        <v/>
      </c>
      <c r="H893" s="126" t="str">
        <f>IF(E893&lt;&gt;"",SUMIFS('JPK_KR-1'!AM:AM,'JPK_KR-1'!W:W,F893),"")</f>
        <v/>
      </c>
      <c r="I893" s="5" t="str">
        <f>IF(kokpit!I893&lt;&gt;"",kokpit!I893,"")</f>
        <v/>
      </c>
      <c r="J893" s="5" t="str">
        <f>IF(kokpit!J893&lt;&gt;"",kokpit!J893,"")</f>
        <v/>
      </c>
      <c r="K893" s="24" t="str">
        <f>IF(I893&lt;&gt;"",SUMIFS('JPK_KR-1'!AL:AL,'JPK_KR-1'!W:W,J893),"")</f>
        <v/>
      </c>
      <c r="L893" s="141" t="str">
        <f>IF(I893&lt;&gt;"",SUMIFS('JPK_KR-1'!AM:AM,'JPK_KR-1'!W:W,J893),"")</f>
        <v/>
      </c>
      <c r="M893" s="143" t="str">
        <f>IF(kokpit!M893&lt;&gt;"",kokpit!M893,"")</f>
        <v/>
      </c>
      <c r="N893" s="117" t="str">
        <f>IF(kokpit!N893&lt;&gt;"",kokpit!N893,"")</f>
        <v/>
      </c>
      <c r="O893" s="117" t="str">
        <f>IF(kokpit!O893&lt;&gt;"",kokpit!O893,"")</f>
        <v/>
      </c>
      <c r="P893" s="141" t="str">
        <f>IF(M893&lt;&gt;"",IF(O893="",SUMIFS('JPK_KR-1'!AL:AL,'JPK_KR-1'!W:W,N893),SUMIFS('JPK_KR-1'!BF:BF,'JPK_KR-1'!BE:BE,N893,'JPK_KR-1'!BG:BG,O893)),"")</f>
        <v/>
      </c>
      <c r="Q893" s="144" t="str">
        <f>IF(M893&lt;&gt;"",IF(O893="",SUMIFS('JPK_KR-1'!AM:AM,'JPK_KR-1'!W:W,N893),SUMIFS('JPK_KR-1'!BI:BI,'JPK_KR-1'!BH:BH,N893,'JPK_KR-1'!BJ:BJ,O893)),"")</f>
        <v/>
      </c>
      <c r="R893" s="117" t="str">
        <f>IF(kokpit!R893&lt;&gt;"",kokpit!R893,"")</f>
        <v/>
      </c>
      <c r="S893" s="117" t="str">
        <f>IF(kokpit!S893&lt;&gt;"",kokpit!S893,"")</f>
        <v/>
      </c>
      <c r="T893" s="117" t="str">
        <f>IF(kokpit!T893&lt;&gt;"",kokpit!T893,"")</f>
        <v/>
      </c>
      <c r="U893" s="141" t="str">
        <f>IF(R893&lt;&gt;"",SUMIFS('JPK_KR-1'!AL:AL,'JPK_KR-1'!W:W,S893),"")</f>
        <v/>
      </c>
      <c r="V893" s="144" t="str">
        <f>IF(R893&lt;&gt;"",SUMIFS('JPK_KR-1'!AM:AM,'JPK_KR-1'!W:W,S893),"")</f>
        <v/>
      </c>
    </row>
    <row r="894" spans="1:22" x14ac:dyDescent="0.3">
      <c r="A894" s="5" t="str">
        <f>IF(kokpit!A894&lt;&gt;"",kokpit!A894,"")</f>
        <v/>
      </c>
      <c r="B894" s="5" t="str">
        <f>IF(kokpit!B894&lt;&gt;"",kokpit!B894,"")</f>
        <v/>
      </c>
      <c r="C894" s="24" t="str">
        <f>IF(A894&lt;&gt;"",SUMIFS('JPK_KR-1'!AL:AL,'JPK_KR-1'!W:W,B894),"")</f>
        <v/>
      </c>
      <c r="D894" s="126" t="str">
        <f>IF(A894&lt;&gt;"",SUMIFS('JPK_KR-1'!AM:AM,'JPK_KR-1'!W:W,B894),"")</f>
        <v/>
      </c>
      <c r="E894" s="5" t="str">
        <f>IF(kokpit!E894&lt;&gt;"",kokpit!E894,"")</f>
        <v/>
      </c>
      <c r="F894" s="127" t="str">
        <f>IF(kokpit!F894&lt;&gt;"",kokpit!F894,"")</f>
        <v/>
      </c>
      <c r="G894" s="24" t="str">
        <f>IF(E894&lt;&gt;"",SUMIFS('JPK_KR-1'!AL:AL,'JPK_KR-1'!W:W,F894),"")</f>
        <v/>
      </c>
      <c r="H894" s="126" t="str">
        <f>IF(E894&lt;&gt;"",SUMIFS('JPK_KR-1'!AM:AM,'JPK_KR-1'!W:W,F894),"")</f>
        <v/>
      </c>
      <c r="I894" s="5" t="str">
        <f>IF(kokpit!I894&lt;&gt;"",kokpit!I894,"")</f>
        <v/>
      </c>
      <c r="J894" s="5" t="str">
        <f>IF(kokpit!J894&lt;&gt;"",kokpit!J894,"")</f>
        <v/>
      </c>
      <c r="K894" s="24" t="str">
        <f>IF(I894&lt;&gt;"",SUMIFS('JPK_KR-1'!AL:AL,'JPK_KR-1'!W:W,J894),"")</f>
        <v/>
      </c>
      <c r="L894" s="141" t="str">
        <f>IF(I894&lt;&gt;"",SUMIFS('JPK_KR-1'!AM:AM,'JPK_KR-1'!W:W,J894),"")</f>
        <v/>
      </c>
      <c r="M894" s="143" t="str">
        <f>IF(kokpit!M894&lt;&gt;"",kokpit!M894,"")</f>
        <v/>
      </c>
      <c r="N894" s="117" t="str">
        <f>IF(kokpit!N894&lt;&gt;"",kokpit!N894,"")</f>
        <v/>
      </c>
      <c r="O894" s="117" t="str">
        <f>IF(kokpit!O894&lt;&gt;"",kokpit!O894,"")</f>
        <v/>
      </c>
      <c r="P894" s="141" t="str">
        <f>IF(M894&lt;&gt;"",IF(O894="",SUMIFS('JPK_KR-1'!AL:AL,'JPK_KR-1'!W:W,N894),SUMIFS('JPK_KR-1'!BF:BF,'JPK_KR-1'!BE:BE,N894,'JPK_KR-1'!BG:BG,O894)),"")</f>
        <v/>
      </c>
      <c r="Q894" s="144" t="str">
        <f>IF(M894&lt;&gt;"",IF(O894="",SUMIFS('JPK_KR-1'!AM:AM,'JPK_KR-1'!W:W,N894),SUMIFS('JPK_KR-1'!BI:BI,'JPK_KR-1'!BH:BH,N894,'JPK_KR-1'!BJ:BJ,O894)),"")</f>
        <v/>
      </c>
      <c r="R894" s="117" t="str">
        <f>IF(kokpit!R894&lt;&gt;"",kokpit!R894,"")</f>
        <v/>
      </c>
      <c r="S894" s="117" t="str">
        <f>IF(kokpit!S894&lt;&gt;"",kokpit!S894,"")</f>
        <v/>
      </c>
      <c r="T894" s="117" t="str">
        <f>IF(kokpit!T894&lt;&gt;"",kokpit!T894,"")</f>
        <v/>
      </c>
      <c r="U894" s="141" t="str">
        <f>IF(R894&lt;&gt;"",SUMIFS('JPK_KR-1'!AL:AL,'JPK_KR-1'!W:W,S894),"")</f>
        <v/>
      </c>
      <c r="V894" s="144" t="str">
        <f>IF(R894&lt;&gt;"",SUMIFS('JPK_KR-1'!AM:AM,'JPK_KR-1'!W:W,S894),"")</f>
        <v/>
      </c>
    </row>
    <row r="895" spans="1:22" x14ac:dyDescent="0.3">
      <c r="A895" s="5" t="str">
        <f>IF(kokpit!A895&lt;&gt;"",kokpit!A895,"")</f>
        <v/>
      </c>
      <c r="B895" s="5" t="str">
        <f>IF(kokpit!B895&lt;&gt;"",kokpit!B895,"")</f>
        <v/>
      </c>
      <c r="C895" s="24" t="str">
        <f>IF(A895&lt;&gt;"",SUMIFS('JPK_KR-1'!AL:AL,'JPK_KR-1'!W:W,B895),"")</f>
        <v/>
      </c>
      <c r="D895" s="126" t="str">
        <f>IF(A895&lt;&gt;"",SUMIFS('JPK_KR-1'!AM:AM,'JPK_KR-1'!W:W,B895),"")</f>
        <v/>
      </c>
      <c r="E895" s="5" t="str">
        <f>IF(kokpit!E895&lt;&gt;"",kokpit!E895,"")</f>
        <v/>
      </c>
      <c r="F895" s="127" t="str">
        <f>IF(kokpit!F895&lt;&gt;"",kokpit!F895,"")</f>
        <v/>
      </c>
      <c r="G895" s="24" t="str">
        <f>IF(E895&lt;&gt;"",SUMIFS('JPK_KR-1'!AL:AL,'JPK_KR-1'!W:W,F895),"")</f>
        <v/>
      </c>
      <c r="H895" s="126" t="str">
        <f>IF(E895&lt;&gt;"",SUMIFS('JPK_KR-1'!AM:AM,'JPK_KR-1'!W:W,F895),"")</f>
        <v/>
      </c>
      <c r="I895" s="5" t="str">
        <f>IF(kokpit!I895&lt;&gt;"",kokpit!I895,"")</f>
        <v/>
      </c>
      <c r="J895" s="5" t="str">
        <f>IF(kokpit!J895&lt;&gt;"",kokpit!J895,"")</f>
        <v/>
      </c>
      <c r="K895" s="24" t="str">
        <f>IF(I895&lt;&gt;"",SUMIFS('JPK_KR-1'!AL:AL,'JPK_KR-1'!W:W,J895),"")</f>
        <v/>
      </c>
      <c r="L895" s="141" t="str">
        <f>IF(I895&lt;&gt;"",SUMIFS('JPK_KR-1'!AM:AM,'JPK_KR-1'!W:W,J895),"")</f>
        <v/>
      </c>
      <c r="M895" s="143" t="str">
        <f>IF(kokpit!M895&lt;&gt;"",kokpit!M895,"")</f>
        <v/>
      </c>
      <c r="N895" s="117" t="str">
        <f>IF(kokpit!N895&lt;&gt;"",kokpit!N895,"")</f>
        <v/>
      </c>
      <c r="O895" s="117" t="str">
        <f>IF(kokpit!O895&lt;&gt;"",kokpit!O895,"")</f>
        <v/>
      </c>
      <c r="P895" s="141" t="str">
        <f>IF(M895&lt;&gt;"",IF(O895="",SUMIFS('JPK_KR-1'!AL:AL,'JPK_KR-1'!W:W,N895),SUMIFS('JPK_KR-1'!BF:BF,'JPK_KR-1'!BE:BE,N895,'JPK_KR-1'!BG:BG,O895)),"")</f>
        <v/>
      </c>
      <c r="Q895" s="144" t="str">
        <f>IF(M895&lt;&gt;"",IF(O895="",SUMIFS('JPK_KR-1'!AM:AM,'JPK_KR-1'!W:W,N895),SUMIFS('JPK_KR-1'!BI:BI,'JPK_KR-1'!BH:BH,N895,'JPK_KR-1'!BJ:BJ,O895)),"")</f>
        <v/>
      </c>
      <c r="R895" s="117" t="str">
        <f>IF(kokpit!R895&lt;&gt;"",kokpit!R895,"")</f>
        <v/>
      </c>
      <c r="S895" s="117" t="str">
        <f>IF(kokpit!S895&lt;&gt;"",kokpit!S895,"")</f>
        <v/>
      </c>
      <c r="T895" s="117" t="str">
        <f>IF(kokpit!T895&lt;&gt;"",kokpit!T895,"")</f>
        <v/>
      </c>
      <c r="U895" s="141" t="str">
        <f>IF(R895&lt;&gt;"",SUMIFS('JPK_KR-1'!AL:AL,'JPK_KR-1'!W:W,S895),"")</f>
        <v/>
      </c>
      <c r="V895" s="144" t="str">
        <f>IF(R895&lt;&gt;"",SUMIFS('JPK_KR-1'!AM:AM,'JPK_KR-1'!W:W,S895),"")</f>
        <v/>
      </c>
    </row>
    <row r="896" spans="1:22" x14ac:dyDescent="0.3">
      <c r="A896" s="5" t="str">
        <f>IF(kokpit!A896&lt;&gt;"",kokpit!A896,"")</f>
        <v/>
      </c>
      <c r="B896" s="5" t="str">
        <f>IF(kokpit!B896&lt;&gt;"",kokpit!B896,"")</f>
        <v/>
      </c>
      <c r="C896" s="24" t="str">
        <f>IF(A896&lt;&gt;"",SUMIFS('JPK_KR-1'!AL:AL,'JPK_KR-1'!W:W,B896),"")</f>
        <v/>
      </c>
      <c r="D896" s="126" t="str">
        <f>IF(A896&lt;&gt;"",SUMIFS('JPK_KR-1'!AM:AM,'JPK_KR-1'!W:W,B896),"")</f>
        <v/>
      </c>
      <c r="E896" s="5" t="str">
        <f>IF(kokpit!E896&lt;&gt;"",kokpit!E896,"")</f>
        <v/>
      </c>
      <c r="F896" s="127" t="str">
        <f>IF(kokpit!F896&lt;&gt;"",kokpit!F896,"")</f>
        <v/>
      </c>
      <c r="G896" s="24" t="str">
        <f>IF(E896&lt;&gt;"",SUMIFS('JPK_KR-1'!AL:AL,'JPK_KR-1'!W:W,F896),"")</f>
        <v/>
      </c>
      <c r="H896" s="126" t="str">
        <f>IF(E896&lt;&gt;"",SUMIFS('JPK_KR-1'!AM:AM,'JPK_KR-1'!W:W,F896),"")</f>
        <v/>
      </c>
      <c r="I896" s="5" t="str">
        <f>IF(kokpit!I896&lt;&gt;"",kokpit!I896,"")</f>
        <v/>
      </c>
      <c r="J896" s="5" t="str">
        <f>IF(kokpit!J896&lt;&gt;"",kokpit!J896,"")</f>
        <v/>
      </c>
      <c r="K896" s="24" t="str">
        <f>IF(I896&lt;&gt;"",SUMIFS('JPK_KR-1'!AL:AL,'JPK_KR-1'!W:W,J896),"")</f>
        <v/>
      </c>
      <c r="L896" s="141" t="str">
        <f>IF(I896&lt;&gt;"",SUMIFS('JPK_KR-1'!AM:AM,'JPK_KR-1'!W:W,J896),"")</f>
        <v/>
      </c>
      <c r="M896" s="143" t="str">
        <f>IF(kokpit!M896&lt;&gt;"",kokpit!M896,"")</f>
        <v/>
      </c>
      <c r="N896" s="117" t="str">
        <f>IF(kokpit!N896&lt;&gt;"",kokpit!N896,"")</f>
        <v/>
      </c>
      <c r="O896" s="117" t="str">
        <f>IF(kokpit!O896&lt;&gt;"",kokpit!O896,"")</f>
        <v/>
      </c>
      <c r="P896" s="141" t="str">
        <f>IF(M896&lt;&gt;"",IF(O896="",SUMIFS('JPK_KR-1'!AL:AL,'JPK_KR-1'!W:W,N896),SUMIFS('JPK_KR-1'!BF:BF,'JPK_KR-1'!BE:BE,N896,'JPK_KR-1'!BG:BG,O896)),"")</f>
        <v/>
      </c>
      <c r="Q896" s="144" t="str">
        <f>IF(M896&lt;&gt;"",IF(O896="",SUMIFS('JPK_KR-1'!AM:AM,'JPK_KR-1'!W:W,N896),SUMIFS('JPK_KR-1'!BI:BI,'JPK_KR-1'!BH:BH,N896,'JPK_KR-1'!BJ:BJ,O896)),"")</f>
        <v/>
      </c>
      <c r="R896" s="117" t="str">
        <f>IF(kokpit!R896&lt;&gt;"",kokpit!R896,"")</f>
        <v/>
      </c>
      <c r="S896" s="117" t="str">
        <f>IF(kokpit!S896&lt;&gt;"",kokpit!S896,"")</f>
        <v/>
      </c>
      <c r="T896" s="117" t="str">
        <f>IF(kokpit!T896&lt;&gt;"",kokpit!T896,"")</f>
        <v/>
      </c>
      <c r="U896" s="141" t="str">
        <f>IF(R896&lt;&gt;"",SUMIFS('JPK_KR-1'!AL:AL,'JPK_KR-1'!W:W,S896),"")</f>
        <v/>
      </c>
      <c r="V896" s="144" t="str">
        <f>IF(R896&lt;&gt;"",SUMIFS('JPK_KR-1'!AM:AM,'JPK_KR-1'!W:W,S896),"")</f>
        <v/>
      </c>
    </row>
    <row r="897" spans="1:22" x14ac:dyDescent="0.3">
      <c r="A897" s="5" t="str">
        <f>IF(kokpit!A897&lt;&gt;"",kokpit!A897,"")</f>
        <v/>
      </c>
      <c r="B897" s="5" t="str">
        <f>IF(kokpit!B897&lt;&gt;"",kokpit!B897,"")</f>
        <v/>
      </c>
      <c r="C897" s="24" t="str">
        <f>IF(A897&lt;&gt;"",SUMIFS('JPK_KR-1'!AL:AL,'JPK_KR-1'!W:W,B897),"")</f>
        <v/>
      </c>
      <c r="D897" s="126" t="str">
        <f>IF(A897&lt;&gt;"",SUMIFS('JPK_KR-1'!AM:AM,'JPK_KR-1'!W:W,B897),"")</f>
        <v/>
      </c>
      <c r="E897" s="5" t="str">
        <f>IF(kokpit!E897&lt;&gt;"",kokpit!E897,"")</f>
        <v/>
      </c>
      <c r="F897" s="127" t="str">
        <f>IF(kokpit!F897&lt;&gt;"",kokpit!F897,"")</f>
        <v/>
      </c>
      <c r="G897" s="24" t="str">
        <f>IF(E897&lt;&gt;"",SUMIFS('JPK_KR-1'!AL:AL,'JPK_KR-1'!W:W,F897),"")</f>
        <v/>
      </c>
      <c r="H897" s="126" t="str">
        <f>IF(E897&lt;&gt;"",SUMIFS('JPK_KR-1'!AM:AM,'JPK_KR-1'!W:W,F897),"")</f>
        <v/>
      </c>
      <c r="I897" s="5" t="str">
        <f>IF(kokpit!I897&lt;&gt;"",kokpit!I897,"")</f>
        <v/>
      </c>
      <c r="J897" s="5" t="str">
        <f>IF(kokpit!J897&lt;&gt;"",kokpit!J897,"")</f>
        <v/>
      </c>
      <c r="K897" s="24" t="str">
        <f>IF(I897&lt;&gt;"",SUMIFS('JPK_KR-1'!AL:AL,'JPK_KR-1'!W:W,J897),"")</f>
        <v/>
      </c>
      <c r="L897" s="141" t="str">
        <f>IF(I897&lt;&gt;"",SUMIFS('JPK_KR-1'!AM:AM,'JPK_KR-1'!W:W,J897),"")</f>
        <v/>
      </c>
      <c r="M897" s="143" t="str">
        <f>IF(kokpit!M897&lt;&gt;"",kokpit!M897,"")</f>
        <v/>
      </c>
      <c r="N897" s="117" t="str">
        <f>IF(kokpit!N897&lt;&gt;"",kokpit!N897,"")</f>
        <v/>
      </c>
      <c r="O897" s="117" t="str">
        <f>IF(kokpit!O897&lt;&gt;"",kokpit!O897,"")</f>
        <v/>
      </c>
      <c r="P897" s="141" t="str">
        <f>IF(M897&lt;&gt;"",IF(O897="",SUMIFS('JPK_KR-1'!AL:AL,'JPK_KR-1'!W:W,N897),SUMIFS('JPK_KR-1'!BF:BF,'JPK_KR-1'!BE:BE,N897,'JPK_KR-1'!BG:BG,O897)),"")</f>
        <v/>
      </c>
      <c r="Q897" s="144" t="str">
        <f>IF(M897&lt;&gt;"",IF(O897="",SUMIFS('JPK_KR-1'!AM:AM,'JPK_KR-1'!W:W,N897),SUMIFS('JPK_KR-1'!BI:BI,'JPK_KR-1'!BH:BH,N897,'JPK_KR-1'!BJ:BJ,O897)),"")</f>
        <v/>
      </c>
      <c r="R897" s="117" t="str">
        <f>IF(kokpit!R897&lt;&gt;"",kokpit!R897,"")</f>
        <v/>
      </c>
      <c r="S897" s="117" t="str">
        <f>IF(kokpit!S897&lt;&gt;"",kokpit!S897,"")</f>
        <v/>
      </c>
      <c r="T897" s="117" t="str">
        <f>IF(kokpit!T897&lt;&gt;"",kokpit!T897,"")</f>
        <v/>
      </c>
      <c r="U897" s="141" t="str">
        <f>IF(R897&lt;&gt;"",SUMIFS('JPK_KR-1'!AL:AL,'JPK_KR-1'!W:W,S897),"")</f>
        <v/>
      </c>
      <c r="V897" s="144" t="str">
        <f>IF(R897&lt;&gt;"",SUMIFS('JPK_KR-1'!AM:AM,'JPK_KR-1'!W:W,S897),"")</f>
        <v/>
      </c>
    </row>
    <row r="898" spans="1:22" x14ac:dyDescent="0.3">
      <c r="A898" s="5" t="str">
        <f>IF(kokpit!A898&lt;&gt;"",kokpit!A898,"")</f>
        <v/>
      </c>
      <c r="B898" s="5" t="str">
        <f>IF(kokpit!B898&lt;&gt;"",kokpit!B898,"")</f>
        <v/>
      </c>
      <c r="C898" s="24" t="str">
        <f>IF(A898&lt;&gt;"",SUMIFS('JPK_KR-1'!AL:AL,'JPK_KR-1'!W:W,B898),"")</f>
        <v/>
      </c>
      <c r="D898" s="126" t="str">
        <f>IF(A898&lt;&gt;"",SUMIFS('JPK_KR-1'!AM:AM,'JPK_KR-1'!W:W,B898),"")</f>
        <v/>
      </c>
      <c r="E898" s="5" t="str">
        <f>IF(kokpit!E898&lt;&gt;"",kokpit!E898,"")</f>
        <v/>
      </c>
      <c r="F898" s="127" t="str">
        <f>IF(kokpit!F898&lt;&gt;"",kokpit!F898,"")</f>
        <v/>
      </c>
      <c r="G898" s="24" t="str">
        <f>IF(E898&lt;&gt;"",SUMIFS('JPK_KR-1'!AL:AL,'JPK_KR-1'!W:W,F898),"")</f>
        <v/>
      </c>
      <c r="H898" s="126" t="str">
        <f>IF(E898&lt;&gt;"",SUMIFS('JPK_KR-1'!AM:AM,'JPK_KR-1'!W:W,F898),"")</f>
        <v/>
      </c>
      <c r="I898" s="5" t="str">
        <f>IF(kokpit!I898&lt;&gt;"",kokpit!I898,"")</f>
        <v/>
      </c>
      <c r="J898" s="5" t="str">
        <f>IF(kokpit!J898&lt;&gt;"",kokpit!J898,"")</f>
        <v/>
      </c>
      <c r="K898" s="24" t="str">
        <f>IF(I898&lt;&gt;"",SUMIFS('JPK_KR-1'!AL:AL,'JPK_KR-1'!W:W,J898),"")</f>
        <v/>
      </c>
      <c r="L898" s="141" t="str">
        <f>IF(I898&lt;&gt;"",SUMIFS('JPK_KR-1'!AM:AM,'JPK_KR-1'!W:W,J898),"")</f>
        <v/>
      </c>
      <c r="M898" s="143" t="str">
        <f>IF(kokpit!M898&lt;&gt;"",kokpit!M898,"")</f>
        <v/>
      </c>
      <c r="N898" s="117" t="str">
        <f>IF(kokpit!N898&lt;&gt;"",kokpit!N898,"")</f>
        <v/>
      </c>
      <c r="O898" s="117" t="str">
        <f>IF(kokpit!O898&lt;&gt;"",kokpit!O898,"")</f>
        <v/>
      </c>
      <c r="P898" s="141" t="str">
        <f>IF(M898&lt;&gt;"",IF(O898="",SUMIFS('JPK_KR-1'!AL:AL,'JPK_KR-1'!W:W,N898),SUMIFS('JPK_KR-1'!BF:BF,'JPK_KR-1'!BE:BE,N898,'JPK_KR-1'!BG:BG,O898)),"")</f>
        <v/>
      </c>
      <c r="Q898" s="144" t="str">
        <f>IF(M898&lt;&gt;"",IF(O898="",SUMIFS('JPK_KR-1'!AM:AM,'JPK_KR-1'!W:W,N898),SUMIFS('JPK_KR-1'!BI:BI,'JPK_KR-1'!BH:BH,N898,'JPK_KR-1'!BJ:BJ,O898)),"")</f>
        <v/>
      </c>
      <c r="R898" s="117" t="str">
        <f>IF(kokpit!R898&lt;&gt;"",kokpit!R898,"")</f>
        <v/>
      </c>
      <c r="S898" s="117" t="str">
        <f>IF(kokpit!S898&lt;&gt;"",kokpit!S898,"")</f>
        <v/>
      </c>
      <c r="T898" s="117" t="str">
        <f>IF(kokpit!T898&lt;&gt;"",kokpit!T898,"")</f>
        <v/>
      </c>
      <c r="U898" s="141" t="str">
        <f>IF(R898&lt;&gt;"",SUMIFS('JPK_KR-1'!AL:AL,'JPK_KR-1'!W:W,S898),"")</f>
        <v/>
      </c>
      <c r="V898" s="144" t="str">
        <f>IF(R898&lt;&gt;"",SUMIFS('JPK_KR-1'!AM:AM,'JPK_KR-1'!W:W,S898),"")</f>
        <v/>
      </c>
    </row>
    <row r="899" spans="1:22" x14ac:dyDescent="0.3">
      <c r="A899" s="5" t="str">
        <f>IF(kokpit!A899&lt;&gt;"",kokpit!A899,"")</f>
        <v/>
      </c>
      <c r="B899" s="5" t="str">
        <f>IF(kokpit!B899&lt;&gt;"",kokpit!B899,"")</f>
        <v/>
      </c>
      <c r="C899" s="24" t="str">
        <f>IF(A899&lt;&gt;"",SUMIFS('JPK_KR-1'!AL:AL,'JPK_KR-1'!W:W,B899),"")</f>
        <v/>
      </c>
      <c r="D899" s="126" t="str">
        <f>IF(A899&lt;&gt;"",SUMIFS('JPK_KR-1'!AM:AM,'JPK_KR-1'!W:W,B899),"")</f>
        <v/>
      </c>
      <c r="E899" s="5" t="str">
        <f>IF(kokpit!E899&lt;&gt;"",kokpit!E899,"")</f>
        <v/>
      </c>
      <c r="F899" s="127" t="str">
        <f>IF(kokpit!F899&lt;&gt;"",kokpit!F899,"")</f>
        <v/>
      </c>
      <c r="G899" s="24" t="str">
        <f>IF(E899&lt;&gt;"",SUMIFS('JPK_KR-1'!AL:AL,'JPK_KR-1'!W:W,F899),"")</f>
        <v/>
      </c>
      <c r="H899" s="126" t="str">
        <f>IF(E899&lt;&gt;"",SUMIFS('JPK_KR-1'!AM:AM,'JPK_KR-1'!W:W,F899),"")</f>
        <v/>
      </c>
      <c r="I899" s="5" t="str">
        <f>IF(kokpit!I899&lt;&gt;"",kokpit!I899,"")</f>
        <v/>
      </c>
      <c r="J899" s="5" t="str">
        <f>IF(kokpit!J899&lt;&gt;"",kokpit!J899,"")</f>
        <v/>
      </c>
      <c r="K899" s="24" t="str">
        <f>IF(I899&lt;&gt;"",SUMIFS('JPK_KR-1'!AL:AL,'JPK_KR-1'!W:W,J899),"")</f>
        <v/>
      </c>
      <c r="L899" s="141" t="str">
        <f>IF(I899&lt;&gt;"",SUMIFS('JPK_KR-1'!AM:AM,'JPK_KR-1'!W:W,J899),"")</f>
        <v/>
      </c>
      <c r="M899" s="143" t="str">
        <f>IF(kokpit!M899&lt;&gt;"",kokpit!M899,"")</f>
        <v/>
      </c>
      <c r="N899" s="117" t="str">
        <f>IF(kokpit!N899&lt;&gt;"",kokpit!N899,"")</f>
        <v/>
      </c>
      <c r="O899" s="117" t="str">
        <f>IF(kokpit!O899&lt;&gt;"",kokpit!O899,"")</f>
        <v/>
      </c>
      <c r="P899" s="141" t="str">
        <f>IF(M899&lt;&gt;"",IF(O899="",SUMIFS('JPK_KR-1'!AL:AL,'JPK_KR-1'!W:W,N899),SUMIFS('JPK_KR-1'!BF:BF,'JPK_KR-1'!BE:BE,N899,'JPK_KR-1'!BG:BG,O899)),"")</f>
        <v/>
      </c>
      <c r="Q899" s="144" t="str">
        <f>IF(M899&lt;&gt;"",IF(O899="",SUMIFS('JPK_KR-1'!AM:AM,'JPK_KR-1'!W:W,N899),SUMIFS('JPK_KR-1'!BI:BI,'JPK_KR-1'!BH:BH,N899,'JPK_KR-1'!BJ:BJ,O899)),"")</f>
        <v/>
      </c>
      <c r="R899" s="117" t="str">
        <f>IF(kokpit!R899&lt;&gt;"",kokpit!R899,"")</f>
        <v/>
      </c>
      <c r="S899" s="117" t="str">
        <f>IF(kokpit!S899&lt;&gt;"",kokpit!S899,"")</f>
        <v/>
      </c>
      <c r="T899" s="117" t="str">
        <f>IF(kokpit!T899&lt;&gt;"",kokpit!T899,"")</f>
        <v/>
      </c>
      <c r="U899" s="141" t="str">
        <f>IF(R899&lt;&gt;"",SUMIFS('JPK_KR-1'!AL:AL,'JPK_KR-1'!W:W,S899),"")</f>
        <v/>
      </c>
      <c r="V899" s="144" t="str">
        <f>IF(R899&lt;&gt;"",SUMIFS('JPK_KR-1'!AM:AM,'JPK_KR-1'!W:W,S899),"")</f>
        <v/>
      </c>
    </row>
    <row r="900" spans="1:22" x14ac:dyDescent="0.3">
      <c r="A900" s="5" t="str">
        <f>IF(kokpit!A900&lt;&gt;"",kokpit!A900,"")</f>
        <v/>
      </c>
      <c r="B900" s="5" t="str">
        <f>IF(kokpit!B900&lt;&gt;"",kokpit!B900,"")</f>
        <v/>
      </c>
      <c r="C900" s="24" t="str">
        <f>IF(A900&lt;&gt;"",SUMIFS('JPK_KR-1'!AL:AL,'JPK_KR-1'!W:W,B900),"")</f>
        <v/>
      </c>
      <c r="D900" s="126" t="str">
        <f>IF(A900&lt;&gt;"",SUMIFS('JPK_KR-1'!AM:AM,'JPK_KR-1'!W:W,B900),"")</f>
        <v/>
      </c>
      <c r="E900" s="5" t="str">
        <f>IF(kokpit!E900&lt;&gt;"",kokpit!E900,"")</f>
        <v/>
      </c>
      <c r="F900" s="127" t="str">
        <f>IF(kokpit!F900&lt;&gt;"",kokpit!F900,"")</f>
        <v/>
      </c>
      <c r="G900" s="24" t="str">
        <f>IF(E900&lt;&gt;"",SUMIFS('JPK_KR-1'!AL:AL,'JPK_KR-1'!W:W,F900),"")</f>
        <v/>
      </c>
      <c r="H900" s="126" t="str">
        <f>IF(E900&lt;&gt;"",SUMIFS('JPK_KR-1'!AM:AM,'JPK_KR-1'!W:W,F900),"")</f>
        <v/>
      </c>
      <c r="I900" s="5" t="str">
        <f>IF(kokpit!I900&lt;&gt;"",kokpit!I900,"")</f>
        <v/>
      </c>
      <c r="J900" s="5" t="str">
        <f>IF(kokpit!J900&lt;&gt;"",kokpit!J900,"")</f>
        <v/>
      </c>
      <c r="K900" s="24" t="str">
        <f>IF(I900&lt;&gt;"",SUMIFS('JPK_KR-1'!AL:AL,'JPK_KR-1'!W:W,J900),"")</f>
        <v/>
      </c>
      <c r="L900" s="141" t="str">
        <f>IF(I900&lt;&gt;"",SUMIFS('JPK_KR-1'!AM:AM,'JPK_KR-1'!W:W,J900),"")</f>
        <v/>
      </c>
      <c r="M900" s="143" t="str">
        <f>IF(kokpit!M900&lt;&gt;"",kokpit!M900,"")</f>
        <v/>
      </c>
      <c r="N900" s="117" t="str">
        <f>IF(kokpit!N900&lt;&gt;"",kokpit!N900,"")</f>
        <v/>
      </c>
      <c r="O900" s="117" t="str">
        <f>IF(kokpit!O900&lt;&gt;"",kokpit!O900,"")</f>
        <v/>
      </c>
      <c r="P900" s="141" t="str">
        <f>IF(M900&lt;&gt;"",IF(O900="",SUMIFS('JPK_KR-1'!AL:AL,'JPK_KR-1'!W:W,N900),SUMIFS('JPK_KR-1'!BF:BF,'JPK_KR-1'!BE:BE,N900,'JPK_KR-1'!BG:BG,O900)),"")</f>
        <v/>
      </c>
      <c r="Q900" s="144" t="str">
        <f>IF(M900&lt;&gt;"",IF(O900="",SUMIFS('JPK_KR-1'!AM:AM,'JPK_KR-1'!W:W,N900),SUMIFS('JPK_KR-1'!BI:BI,'JPK_KR-1'!BH:BH,N900,'JPK_KR-1'!BJ:BJ,O900)),"")</f>
        <v/>
      </c>
      <c r="R900" s="117" t="str">
        <f>IF(kokpit!R900&lt;&gt;"",kokpit!R900,"")</f>
        <v/>
      </c>
      <c r="S900" s="117" t="str">
        <f>IF(kokpit!S900&lt;&gt;"",kokpit!S900,"")</f>
        <v/>
      </c>
      <c r="T900" s="117" t="str">
        <f>IF(kokpit!T900&lt;&gt;"",kokpit!T900,"")</f>
        <v/>
      </c>
      <c r="U900" s="141" t="str">
        <f>IF(R900&lt;&gt;"",SUMIFS('JPK_KR-1'!AL:AL,'JPK_KR-1'!W:W,S900),"")</f>
        <v/>
      </c>
      <c r="V900" s="144" t="str">
        <f>IF(R900&lt;&gt;"",SUMIFS('JPK_KR-1'!AM:AM,'JPK_KR-1'!W:W,S900),"")</f>
        <v/>
      </c>
    </row>
    <row r="901" spans="1:22" x14ac:dyDescent="0.3">
      <c r="A901" s="5" t="str">
        <f>IF(kokpit!A901&lt;&gt;"",kokpit!A901,"")</f>
        <v/>
      </c>
      <c r="B901" s="5" t="str">
        <f>IF(kokpit!B901&lt;&gt;"",kokpit!B901,"")</f>
        <v/>
      </c>
      <c r="C901" s="24" t="str">
        <f>IF(A901&lt;&gt;"",SUMIFS('JPK_KR-1'!AL:AL,'JPK_KR-1'!W:W,B901),"")</f>
        <v/>
      </c>
      <c r="D901" s="126" t="str">
        <f>IF(A901&lt;&gt;"",SUMIFS('JPK_KR-1'!AM:AM,'JPK_KR-1'!W:W,B901),"")</f>
        <v/>
      </c>
      <c r="E901" s="5" t="str">
        <f>IF(kokpit!E901&lt;&gt;"",kokpit!E901,"")</f>
        <v/>
      </c>
      <c r="F901" s="127" t="str">
        <f>IF(kokpit!F901&lt;&gt;"",kokpit!F901,"")</f>
        <v/>
      </c>
      <c r="G901" s="24" t="str">
        <f>IF(E901&lt;&gt;"",SUMIFS('JPK_KR-1'!AL:AL,'JPK_KR-1'!W:W,F901),"")</f>
        <v/>
      </c>
      <c r="H901" s="126" t="str">
        <f>IF(E901&lt;&gt;"",SUMIFS('JPK_KR-1'!AM:AM,'JPK_KR-1'!W:W,F901),"")</f>
        <v/>
      </c>
      <c r="I901" s="5" t="str">
        <f>IF(kokpit!I901&lt;&gt;"",kokpit!I901,"")</f>
        <v/>
      </c>
      <c r="J901" s="5" t="str">
        <f>IF(kokpit!J901&lt;&gt;"",kokpit!J901,"")</f>
        <v/>
      </c>
      <c r="K901" s="24" t="str">
        <f>IF(I901&lt;&gt;"",SUMIFS('JPK_KR-1'!AL:AL,'JPK_KR-1'!W:W,J901),"")</f>
        <v/>
      </c>
      <c r="L901" s="141" t="str">
        <f>IF(I901&lt;&gt;"",SUMIFS('JPK_KR-1'!AM:AM,'JPK_KR-1'!W:W,J901),"")</f>
        <v/>
      </c>
      <c r="M901" s="143" t="str">
        <f>IF(kokpit!M901&lt;&gt;"",kokpit!M901,"")</f>
        <v/>
      </c>
      <c r="N901" s="117" t="str">
        <f>IF(kokpit!N901&lt;&gt;"",kokpit!N901,"")</f>
        <v/>
      </c>
      <c r="O901" s="117" t="str">
        <f>IF(kokpit!O901&lt;&gt;"",kokpit!O901,"")</f>
        <v/>
      </c>
      <c r="P901" s="141" t="str">
        <f>IF(M901&lt;&gt;"",IF(O901="",SUMIFS('JPK_KR-1'!AL:AL,'JPK_KR-1'!W:W,N901),SUMIFS('JPK_KR-1'!BF:BF,'JPK_KR-1'!BE:BE,N901,'JPK_KR-1'!BG:BG,O901)),"")</f>
        <v/>
      </c>
      <c r="Q901" s="144" t="str">
        <f>IF(M901&lt;&gt;"",IF(O901="",SUMIFS('JPK_KR-1'!AM:AM,'JPK_KR-1'!W:W,N901),SUMIFS('JPK_KR-1'!BI:BI,'JPK_KR-1'!BH:BH,N901,'JPK_KR-1'!BJ:BJ,O901)),"")</f>
        <v/>
      </c>
      <c r="R901" s="117" t="str">
        <f>IF(kokpit!R901&lt;&gt;"",kokpit!R901,"")</f>
        <v/>
      </c>
      <c r="S901" s="117" t="str">
        <f>IF(kokpit!S901&lt;&gt;"",kokpit!S901,"")</f>
        <v/>
      </c>
      <c r="T901" s="117" t="str">
        <f>IF(kokpit!T901&lt;&gt;"",kokpit!T901,"")</f>
        <v/>
      </c>
      <c r="U901" s="141" t="str">
        <f>IF(R901&lt;&gt;"",SUMIFS('JPK_KR-1'!AL:AL,'JPK_KR-1'!W:W,S901),"")</f>
        <v/>
      </c>
      <c r="V901" s="144" t="str">
        <f>IF(R901&lt;&gt;"",SUMIFS('JPK_KR-1'!AM:AM,'JPK_KR-1'!W:W,S901),"")</f>
        <v/>
      </c>
    </row>
    <row r="902" spans="1:22" x14ac:dyDescent="0.3">
      <c r="A902" s="5" t="str">
        <f>IF(kokpit!A902&lt;&gt;"",kokpit!A902,"")</f>
        <v/>
      </c>
      <c r="B902" s="5" t="str">
        <f>IF(kokpit!B902&lt;&gt;"",kokpit!B902,"")</f>
        <v/>
      </c>
      <c r="C902" s="24" t="str">
        <f>IF(A902&lt;&gt;"",SUMIFS('JPK_KR-1'!AL:AL,'JPK_KR-1'!W:W,B902),"")</f>
        <v/>
      </c>
      <c r="D902" s="126" t="str">
        <f>IF(A902&lt;&gt;"",SUMIFS('JPK_KR-1'!AM:AM,'JPK_KR-1'!W:W,B902),"")</f>
        <v/>
      </c>
      <c r="E902" s="5" t="str">
        <f>IF(kokpit!E902&lt;&gt;"",kokpit!E902,"")</f>
        <v/>
      </c>
      <c r="F902" s="127" t="str">
        <f>IF(kokpit!F902&lt;&gt;"",kokpit!F902,"")</f>
        <v/>
      </c>
      <c r="G902" s="24" t="str">
        <f>IF(E902&lt;&gt;"",SUMIFS('JPK_KR-1'!AL:AL,'JPK_KR-1'!W:W,F902),"")</f>
        <v/>
      </c>
      <c r="H902" s="126" t="str">
        <f>IF(E902&lt;&gt;"",SUMIFS('JPK_KR-1'!AM:AM,'JPK_KR-1'!W:W,F902),"")</f>
        <v/>
      </c>
      <c r="I902" s="5" t="str">
        <f>IF(kokpit!I902&lt;&gt;"",kokpit!I902,"")</f>
        <v/>
      </c>
      <c r="J902" s="5" t="str">
        <f>IF(kokpit!J902&lt;&gt;"",kokpit!J902,"")</f>
        <v/>
      </c>
      <c r="K902" s="24" t="str">
        <f>IF(I902&lt;&gt;"",SUMIFS('JPK_KR-1'!AL:AL,'JPK_KR-1'!W:W,J902),"")</f>
        <v/>
      </c>
      <c r="L902" s="141" t="str">
        <f>IF(I902&lt;&gt;"",SUMIFS('JPK_KR-1'!AM:AM,'JPK_KR-1'!W:W,J902),"")</f>
        <v/>
      </c>
      <c r="M902" s="143" t="str">
        <f>IF(kokpit!M902&lt;&gt;"",kokpit!M902,"")</f>
        <v/>
      </c>
      <c r="N902" s="117" t="str">
        <f>IF(kokpit!N902&lt;&gt;"",kokpit!N902,"")</f>
        <v/>
      </c>
      <c r="O902" s="117" t="str">
        <f>IF(kokpit!O902&lt;&gt;"",kokpit!O902,"")</f>
        <v/>
      </c>
      <c r="P902" s="141" t="str">
        <f>IF(M902&lt;&gt;"",IF(O902="",SUMIFS('JPK_KR-1'!AL:AL,'JPK_KR-1'!W:W,N902),SUMIFS('JPK_KR-1'!BF:BF,'JPK_KR-1'!BE:BE,N902,'JPK_KR-1'!BG:BG,O902)),"")</f>
        <v/>
      </c>
      <c r="Q902" s="144" t="str">
        <f>IF(M902&lt;&gt;"",IF(O902="",SUMIFS('JPK_KR-1'!AM:AM,'JPK_KR-1'!W:W,N902),SUMIFS('JPK_KR-1'!BI:BI,'JPK_KR-1'!BH:BH,N902,'JPK_KR-1'!BJ:BJ,O902)),"")</f>
        <v/>
      </c>
      <c r="R902" s="117" t="str">
        <f>IF(kokpit!R902&lt;&gt;"",kokpit!R902,"")</f>
        <v/>
      </c>
      <c r="S902" s="117" t="str">
        <f>IF(kokpit!S902&lt;&gt;"",kokpit!S902,"")</f>
        <v/>
      </c>
      <c r="T902" s="117" t="str">
        <f>IF(kokpit!T902&lt;&gt;"",kokpit!T902,"")</f>
        <v/>
      </c>
      <c r="U902" s="141" t="str">
        <f>IF(R902&lt;&gt;"",SUMIFS('JPK_KR-1'!AL:AL,'JPK_KR-1'!W:W,S902),"")</f>
        <v/>
      </c>
      <c r="V902" s="144" t="str">
        <f>IF(R902&lt;&gt;"",SUMIFS('JPK_KR-1'!AM:AM,'JPK_KR-1'!W:W,S902),"")</f>
        <v/>
      </c>
    </row>
    <row r="903" spans="1:22" x14ac:dyDescent="0.3">
      <c r="A903" s="5" t="str">
        <f>IF(kokpit!A903&lt;&gt;"",kokpit!A903,"")</f>
        <v/>
      </c>
      <c r="B903" s="5" t="str">
        <f>IF(kokpit!B903&lt;&gt;"",kokpit!B903,"")</f>
        <v/>
      </c>
      <c r="C903" s="24" t="str">
        <f>IF(A903&lt;&gt;"",SUMIFS('JPK_KR-1'!AL:AL,'JPK_KR-1'!W:W,B903),"")</f>
        <v/>
      </c>
      <c r="D903" s="126" t="str">
        <f>IF(A903&lt;&gt;"",SUMIFS('JPK_KR-1'!AM:AM,'JPK_KR-1'!W:W,B903),"")</f>
        <v/>
      </c>
      <c r="E903" s="5" t="str">
        <f>IF(kokpit!E903&lt;&gt;"",kokpit!E903,"")</f>
        <v/>
      </c>
      <c r="F903" s="127" t="str">
        <f>IF(kokpit!F903&lt;&gt;"",kokpit!F903,"")</f>
        <v/>
      </c>
      <c r="G903" s="24" t="str">
        <f>IF(E903&lt;&gt;"",SUMIFS('JPK_KR-1'!AL:AL,'JPK_KR-1'!W:W,F903),"")</f>
        <v/>
      </c>
      <c r="H903" s="126" t="str">
        <f>IF(E903&lt;&gt;"",SUMIFS('JPK_KR-1'!AM:AM,'JPK_KR-1'!W:W,F903),"")</f>
        <v/>
      </c>
      <c r="I903" s="5" t="str">
        <f>IF(kokpit!I903&lt;&gt;"",kokpit!I903,"")</f>
        <v/>
      </c>
      <c r="J903" s="5" t="str">
        <f>IF(kokpit!J903&lt;&gt;"",kokpit!J903,"")</f>
        <v/>
      </c>
      <c r="K903" s="24" t="str">
        <f>IF(I903&lt;&gt;"",SUMIFS('JPK_KR-1'!AL:AL,'JPK_KR-1'!W:W,J903),"")</f>
        <v/>
      </c>
      <c r="L903" s="141" t="str">
        <f>IF(I903&lt;&gt;"",SUMIFS('JPK_KR-1'!AM:AM,'JPK_KR-1'!W:W,J903),"")</f>
        <v/>
      </c>
      <c r="M903" s="143" t="str">
        <f>IF(kokpit!M903&lt;&gt;"",kokpit!M903,"")</f>
        <v/>
      </c>
      <c r="N903" s="117" t="str">
        <f>IF(kokpit!N903&lt;&gt;"",kokpit!N903,"")</f>
        <v/>
      </c>
      <c r="O903" s="117" t="str">
        <f>IF(kokpit!O903&lt;&gt;"",kokpit!O903,"")</f>
        <v/>
      </c>
      <c r="P903" s="141" t="str">
        <f>IF(M903&lt;&gt;"",IF(O903="",SUMIFS('JPK_KR-1'!AL:AL,'JPK_KR-1'!W:W,N903),SUMIFS('JPK_KR-1'!BF:BF,'JPK_KR-1'!BE:BE,N903,'JPK_KR-1'!BG:BG,O903)),"")</f>
        <v/>
      </c>
      <c r="Q903" s="144" t="str">
        <f>IF(M903&lt;&gt;"",IF(O903="",SUMIFS('JPK_KR-1'!AM:AM,'JPK_KR-1'!W:W,N903),SUMIFS('JPK_KR-1'!BI:BI,'JPK_KR-1'!BH:BH,N903,'JPK_KR-1'!BJ:BJ,O903)),"")</f>
        <v/>
      </c>
      <c r="R903" s="117" t="str">
        <f>IF(kokpit!R903&lt;&gt;"",kokpit!R903,"")</f>
        <v/>
      </c>
      <c r="S903" s="117" t="str">
        <f>IF(kokpit!S903&lt;&gt;"",kokpit!S903,"")</f>
        <v/>
      </c>
      <c r="T903" s="117" t="str">
        <f>IF(kokpit!T903&lt;&gt;"",kokpit!T903,"")</f>
        <v/>
      </c>
      <c r="U903" s="141" t="str">
        <f>IF(R903&lt;&gt;"",SUMIFS('JPK_KR-1'!AL:AL,'JPK_KR-1'!W:W,S903),"")</f>
        <v/>
      </c>
      <c r="V903" s="144" t="str">
        <f>IF(R903&lt;&gt;"",SUMIFS('JPK_KR-1'!AM:AM,'JPK_KR-1'!W:W,S903),"")</f>
        <v/>
      </c>
    </row>
    <row r="904" spans="1:22" x14ac:dyDescent="0.3">
      <c r="A904" s="5" t="str">
        <f>IF(kokpit!A904&lt;&gt;"",kokpit!A904,"")</f>
        <v/>
      </c>
      <c r="B904" s="5" t="str">
        <f>IF(kokpit!B904&lt;&gt;"",kokpit!B904,"")</f>
        <v/>
      </c>
      <c r="C904" s="24" t="str">
        <f>IF(A904&lt;&gt;"",SUMIFS('JPK_KR-1'!AL:AL,'JPK_KR-1'!W:W,B904),"")</f>
        <v/>
      </c>
      <c r="D904" s="126" t="str">
        <f>IF(A904&lt;&gt;"",SUMIFS('JPK_KR-1'!AM:AM,'JPK_KR-1'!W:W,B904),"")</f>
        <v/>
      </c>
      <c r="E904" s="5" t="str">
        <f>IF(kokpit!E904&lt;&gt;"",kokpit!E904,"")</f>
        <v/>
      </c>
      <c r="F904" s="127" t="str">
        <f>IF(kokpit!F904&lt;&gt;"",kokpit!F904,"")</f>
        <v/>
      </c>
      <c r="G904" s="24" t="str">
        <f>IF(E904&lt;&gt;"",SUMIFS('JPK_KR-1'!AL:AL,'JPK_KR-1'!W:W,F904),"")</f>
        <v/>
      </c>
      <c r="H904" s="126" t="str">
        <f>IF(E904&lt;&gt;"",SUMIFS('JPK_KR-1'!AM:AM,'JPK_KR-1'!W:W,F904),"")</f>
        <v/>
      </c>
      <c r="I904" s="5" t="str">
        <f>IF(kokpit!I904&lt;&gt;"",kokpit!I904,"")</f>
        <v/>
      </c>
      <c r="J904" s="5" t="str">
        <f>IF(kokpit!J904&lt;&gt;"",kokpit!J904,"")</f>
        <v/>
      </c>
      <c r="K904" s="24" t="str">
        <f>IF(I904&lt;&gt;"",SUMIFS('JPK_KR-1'!AL:AL,'JPK_KR-1'!W:W,J904),"")</f>
        <v/>
      </c>
      <c r="L904" s="141" t="str">
        <f>IF(I904&lt;&gt;"",SUMIFS('JPK_KR-1'!AM:AM,'JPK_KR-1'!W:W,J904),"")</f>
        <v/>
      </c>
      <c r="M904" s="143" t="str">
        <f>IF(kokpit!M904&lt;&gt;"",kokpit!M904,"")</f>
        <v/>
      </c>
      <c r="N904" s="117" t="str">
        <f>IF(kokpit!N904&lt;&gt;"",kokpit!N904,"")</f>
        <v/>
      </c>
      <c r="O904" s="117" t="str">
        <f>IF(kokpit!O904&lt;&gt;"",kokpit!O904,"")</f>
        <v/>
      </c>
      <c r="P904" s="141" t="str">
        <f>IF(M904&lt;&gt;"",IF(O904="",SUMIFS('JPK_KR-1'!AL:AL,'JPK_KR-1'!W:W,N904),SUMIFS('JPK_KR-1'!BF:BF,'JPK_KR-1'!BE:BE,N904,'JPK_KR-1'!BG:BG,O904)),"")</f>
        <v/>
      </c>
      <c r="Q904" s="144" t="str">
        <f>IF(M904&lt;&gt;"",IF(O904="",SUMIFS('JPK_KR-1'!AM:AM,'JPK_KR-1'!W:W,N904),SUMIFS('JPK_KR-1'!BI:BI,'JPK_KR-1'!BH:BH,N904,'JPK_KR-1'!BJ:BJ,O904)),"")</f>
        <v/>
      </c>
      <c r="R904" s="117" t="str">
        <f>IF(kokpit!R904&lt;&gt;"",kokpit!R904,"")</f>
        <v/>
      </c>
      <c r="S904" s="117" t="str">
        <f>IF(kokpit!S904&lt;&gt;"",kokpit!S904,"")</f>
        <v/>
      </c>
      <c r="T904" s="117" t="str">
        <f>IF(kokpit!T904&lt;&gt;"",kokpit!T904,"")</f>
        <v/>
      </c>
      <c r="U904" s="141" t="str">
        <f>IF(R904&lt;&gt;"",SUMIFS('JPK_KR-1'!AL:AL,'JPK_KR-1'!W:W,S904),"")</f>
        <v/>
      </c>
      <c r="V904" s="144" t="str">
        <f>IF(R904&lt;&gt;"",SUMIFS('JPK_KR-1'!AM:AM,'JPK_KR-1'!W:W,S904),"")</f>
        <v/>
      </c>
    </row>
    <row r="905" spans="1:22" x14ac:dyDescent="0.3">
      <c r="A905" s="5" t="str">
        <f>IF(kokpit!A905&lt;&gt;"",kokpit!A905,"")</f>
        <v/>
      </c>
      <c r="B905" s="5" t="str">
        <f>IF(kokpit!B905&lt;&gt;"",kokpit!B905,"")</f>
        <v/>
      </c>
      <c r="C905" s="24" t="str">
        <f>IF(A905&lt;&gt;"",SUMIFS('JPK_KR-1'!AL:AL,'JPK_KR-1'!W:W,B905),"")</f>
        <v/>
      </c>
      <c r="D905" s="126" t="str">
        <f>IF(A905&lt;&gt;"",SUMIFS('JPK_KR-1'!AM:AM,'JPK_KR-1'!W:W,B905),"")</f>
        <v/>
      </c>
      <c r="E905" s="5" t="str">
        <f>IF(kokpit!E905&lt;&gt;"",kokpit!E905,"")</f>
        <v/>
      </c>
      <c r="F905" s="127" t="str">
        <f>IF(kokpit!F905&lt;&gt;"",kokpit!F905,"")</f>
        <v/>
      </c>
      <c r="G905" s="24" t="str">
        <f>IF(E905&lt;&gt;"",SUMIFS('JPK_KR-1'!AL:AL,'JPK_KR-1'!W:W,F905),"")</f>
        <v/>
      </c>
      <c r="H905" s="126" t="str">
        <f>IF(E905&lt;&gt;"",SUMIFS('JPK_KR-1'!AM:AM,'JPK_KR-1'!W:W,F905),"")</f>
        <v/>
      </c>
      <c r="I905" s="5" t="str">
        <f>IF(kokpit!I905&lt;&gt;"",kokpit!I905,"")</f>
        <v/>
      </c>
      <c r="J905" s="5" t="str">
        <f>IF(kokpit!J905&lt;&gt;"",kokpit!J905,"")</f>
        <v/>
      </c>
      <c r="K905" s="24" t="str">
        <f>IF(I905&lt;&gt;"",SUMIFS('JPK_KR-1'!AL:AL,'JPK_KR-1'!W:W,J905),"")</f>
        <v/>
      </c>
      <c r="L905" s="141" t="str">
        <f>IF(I905&lt;&gt;"",SUMIFS('JPK_KR-1'!AM:AM,'JPK_KR-1'!W:W,J905),"")</f>
        <v/>
      </c>
      <c r="M905" s="143" t="str">
        <f>IF(kokpit!M905&lt;&gt;"",kokpit!M905,"")</f>
        <v/>
      </c>
      <c r="N905" s="117" t="str">
        <f>IF(kokpit!N905&lt;&gt;"",kokpit!N905,"")</f>
        <v/>
      </c>
      <c r="O905" s="117" t="str">
        <f>IF(kokpit!O905&lt;&gt;"",kokpit!O905,"")</f>
        <v/>
      </c>
      <c r="P905" s="141" t="str">
        <f>IF(M905&lt;&gt;"",IF(O905="",SUMIFS('JPK_KR-1'!AL:AL,'JPK_KR-1'!W:W,N905),SUMIFS('JPK_KR-1'!BF:BF,'JPK_KR-1'!BE:BE,N905,'JPK_KR-1'!BG:BG,O905)),"")</f>
        <v/>
      </c>
      <c r="Q905" s="144" t="str">
        <f>IF(M905&lt;&gt;"",IF(O905="",SUMIFS('JPK_KR-1'!AM:AM,'JPK_KR-1'!W:W,N905),SUMIFS('JPK_KR-1'!BI:BI,'JPK_KR-1'!BH:BH,N905,'JPK_KR-1'!BJ:BJ,O905)),"")</f>
        <v/>
      </c>
      <c r="R905" s="117" t="str">
        <f>IF(kokpit!R905&lt;&gt;"",kokpit!R905,"")</f>
        <v/>
      </c>
      <c r="S905" s="117" t="str">
        <f>IF(kokpit!S905&lt;&gt;"",kokpit!S905,"")</f>
        <v/>
      </c>
      <c r="T905" s="117" t="str">
        <f>IF(kokpit!T905&lt;&gt;"",kokpit!T905,"")</f>
        <v/>
      </c>
      <c r="U905" s="141" t="str">
        <f>IF(R905&lt;&gt;"",SUMIFS('JPK_KR-1'!AL:AL,'JPK_KR-1'!W:W,S905),"")</f>
        <v/>
      </c>
      <c r="V905" s="144" t="str">
        <f>IF(R905&lt;&gt;"",SUMIFS('JPK_KR-1'!AM:AM,'JPK_KR-1'!W:W,S905),"")</f>
        <v/>
      </c>
    </row>
    <row r="906" spans="1:22" x14ac:dyDescent="0.3">
      <c r="A906" s="5" t="str">
        <f>IF(kokpit!A906&lt;&gt;"",kokpit!A906,"")</f>
        <v/>
      </c>
      <c r="B906" s="5" t="str">
        <f>IF(kokpit!B906&lt;&gt;"",kokpit!B906,"")</f>
        <v/>
      </c>
      <c r="C906" s="24" t="str">
        <f>IF(A906&lt;&gt;"",SUMIFS('JPK_KR-1'!AL:AL,'JPK_KR-1'!W:W,B906),"")</f>
        <v/>
      </c>
      <c r="D906" s="126" t="str">
        <f>IF(A906&lt;&gt;"",SUMIFS('JPK_KR-1'!AM:AM,'JPK_KR-1'!W:W,B906),"")</f>
        <v/>
      </c>
      <c r="E906" s="5" t="str">
        <f>IF(kokpit!E906&lt;&gt;"",kokpit!E906,"")</f>
        <v/>
      </c>
      <c r="F906" s="127" t="str">
        <f>IF(kokpit!F906&lt;&gt;"",kokpit!F906,"")</f>
        <v/>
      </c>
      <c r="G906" s="24" t="str">
        <f>IF(E906&lt;&gt;"",SUMIFS('JPK_KR-1'!AL:AL,'JPK_KR-1'!W:W,F906),"")</f>
        <v/>
      </c>
      <c r="H906" s="126" t="str">
        <f>IF(E906&lt;&gt;"",SUMIFS('JPK_KR-1'!AM:AM,'JPK_KR-1'!W:W,F906),"")</f>
        <v/>
      </c>
      <c r="I906" s="5" t="str">
        <f>IF(kokpit!I906&lt;&gt;"",kokpit!I906,"")</f>
        <v/>
      </c>
      <c r="J906" s="5" t="str">
        <f>IF(kokpit!J906&lt;&gt;"",kokpit!J906,"")</f>
        <v/>
      </c>
      <c r="K906" s="24" t="str">
        <f>IF(I906&lt;&gt;"",SUMIFS('JPK_KR-1'!AL:AL,'JPK_KR-1'!W:W,J906),"")</f>
        <v/>
      </c>
      <c r="L906" s="141" t="str">
        <f>IF(I906&lt;&gt;"",SUMIFS('JPK_KR-1'!AM:AM,'JPK_KR-1'!W:W,J906),"")</f>
        <v/>
      </c>
      <c r="M906" s="143" t="str">
        <f>IF(kokpit!M906&lt;&gt;"",kokpit!M906,"")</f>
        <v/>
      </c>
      <c r="N906" s="117" t="str">
        <f>IF(kokpit!N906&lt;&gt;"",kokpit!N906,"")</f>
        <v/>
      </c>
      <c r="O906" s="117" t="str">
        <f>IF(kokpit!O906&lt;&gt;"",kokpit!O906,"")</f>
        <v/>
      </c>
      <c r="P906" s="141" t="str">
        <f>IF(M906&lt;&gt;"",IF(O906="",SUMIFS('JPK_KR-1'!AL:AL,'JPK_KR-1'!W:W,N906),SUMIFS('JPK_KR-1'!BF:BF,'JPK_KR-1'!BE:BE,N906,'JPK_KR-1'!BG:BG,O906)),"")</f>
        <v/>
      </c>
      <c r="Q906" s="144" t="str">
        <f>IF(M906&lt;&gt;"",IF(O906="",SUMIFS('JPK_KR-1'!AM:AM,'JPK_KR-1'!W:W,N906),SUMIFS('JPK_KR-1'!BI:BI,'JPK_KR-1'!BH:BH,N906,'JPK_KR-1'!BJ:BJ,O906)),"")</f>
        <v/>
      </c>
      <c r="R906" s="117" t="str">
        <f>IF(kokpit!R906&lt;&gt;"",kokpit!R906,"")</f>
        <v/>
      </c>
      <c r="S906" s="117" t="str">
        <f>IF(kokpit!S906&lt;&gt;"",kokpit!S906,"")</f>
        <v/>
      </c>
      <c r="T906" s="117" t="str">
        <f>IF(kokpit!T906&lt;&gt;"",kokpit!T906,"")</f>
        <v/>
      </c>
      <c r="U906" s="141" t="str">
        <f>IF(R906&lt;&gt;"",SUMIFS('JPK_KR-1'!AL:AL,'JPK_KR-1'!W:W,S906),"")</f>
        <v/>
      </c>
      <c r="V906" s="144" t="str">
        <f>IF(R906&lt;&gt;"",SUMIFS('JPK_KR-1'!AM:AM,'JPK_KR-1'!W:W,S906),"")</f>
        <v/>
      </c>
    </row>
    <row r="907" spans="1:22" x14ac:dyDescent="0.3">
      <c r="A907" s="5" t="str">
        <f>IF(kokpit!A907&lt;&gt;"",kokpit!A907,"")</f>
        <v/>
      </c>
      <c r="B907" s="5" t="str">
        <f>IF(kokpit!B907&lt;&gt;"",kokpit!B907,"")</f>
        <v/>
      </c>
      <c r="C907" s="24" t="str">
        <f>IF(A907&lt;&gt;"",SUMIFS('JPK_KR-1'!AL:AL,'JPK_KR-1'!W:W,B907),"")</f>
        <v/>
      </c>
      <c r="D907" s="126" t="str">
        <f>IF(A907&lt;&gt;"",SUMIFS('JPK_KR-1'!AM:AM,'JPK_KR-1'!W:W,B907),"")</f>
        <v/>
      </c>
      <c r="E907" s="5" t="str">
        <f>IF(kokpit!E907&lt;&gt;"",kokpit!E907,"")</f>
        <v/>
      </c>
      <c r="F907" s="127" t="str">
        <f>IF(kokpit!F907&lt;&gt;"",kokpit!F907,"")</f>
        <v/>
      </c>
      <c r="G907" s="24" t="str">
        <f>IF(E907&lt;&gt;"",SUMIFS('JPK_KR-1'!AL:AL,'JPK_KR-1'!W:W,F907),"")</f>
        <v/>
      </c>
      <c r="H907" s="126" t="str">
        <f>IF(E907&lt;&gt;"",SUMIFS('JPK_KR-1'!AM:AM,'JPK_KR-1'!W:W,F907),"")</f>
        <v/>
      </c>
      <c r="I907" s="5" t="str">
        <f>IF(kokpit!I907&lt;&gt;"",kokpit!I907,"")</f>
        <v/>
      </c>
      <c r="J907" s="5" t="str">
        <f>IF(kokpit!J907&lt;&gt;"",kokpit!J907,"")</f>
        <v/>
      </c>
      <c r="K907" s="24" t="str">
        <f>IF(I907&lt;&gt;"",SUMIFS('JPK_KR-1'!AL:AL,'JPK_KR-1'!W:W,J907),"")</f>
        <v/>
      </c>
      <c r="L907" s="141" t="str">
        <f>IF(I907&lt;&gt;"",SUMIFS('JPK_KR-1'!AM:AM,'JPK_KR-1'!W:W,J907),"")</f>
        <v/>
      </c>
      <c r="M907" s="143" t="str">
        <f>IF(kokpit!M907&lt;&gt;"",kokpit!M907,"")</f>
        <v/>
      </c>
      <c r="N907" s="117" t="str">
        <f>IF(kokpit!N907&lt;&gt;"",kokpit!N907,"")</f>
        <v/>
      </c>
      <c r="O907" s="117" t="str">
        <f>IF(kokpit!O907&lt;&gt;"",kokpit!O907,"")</f>
        <v/>
      </c>
      <c r="P907" s="141" t="str">
        <f>IF(M907&lt;&gt;"",IF(O907="",SUMIFS('JPK_KR-1'!AL:AL,'JPK_KR-1'!W:W,N907),SUMIFS('JPK_KR-1'!BF:BF,'JPK_KR-1'!BE:BE,N907,'JPK_KR-1'!BG:BG,O907)),"")</f>
        <v/>
      </c>
      <c r="Q907" s="144" t="str">
        <f>IF(M907&lt;&gt;"",IF(O907="",SUMIFS('JPK_KR-1'!AM:AM,'JPK_KR-1'!W:W,N907),SUMIFS('JPK_KR-1'!BI:BI,'JPK_KR-1'!BH:BH,N907,'JPK_KR-1'!BJ:BJ,O907)),"")</f>
        <v/>
      </c>
      <c r="R907" s="117" t="str">
        <f>IF(kokpit!R907&lt;&gt;"",kokpit!R907,"")</f>
        <v/>
      </c>
      <c r="S907" s="117" t="str">
        <f>IF(kokpit!S907&lt;&gt;"",kokpit!S907,"")</f>
        <v/>
      </c>
      <c r="T907" s="117" t="str">
        <f>IF(kokpit!T907&lt;&gt;"",kokpit!T907,"")</f>
        <v/>
      </c>
      <c r="U907" s="141" t="str">
        <f>IF(R907&lt;&gt;"",SUMIFS('JPK_KR-1'!AL:AL,'JPK_KR-1'!W:W,S907),"")</f>
        <v/>
      </c>
      <c r="V907" s="144" t="str">
        <f>IF(R907&lt;&gt;"",SUMIFS('JPK_KR-1'!AM:AM,'JPK_KR-1'!W:W,S907),"")</f>
        <v/>
      </c>
    </row>
    <row r="908" spans="1:22" x14ac:dyDescent="0.3">
      <c r="A908" s="5" t="str">
        <f>IF(kokpit!A908&lt;&gt;"",kokpit!A908,"")</f>
        <v/>
      </c>
      <c r="B908" s="5" t="str">
        <f>IF(kokpit!B908&lt;&gt;"",kokpit!B908,"")</f>
        <v/>
      </c>
      <c r="C908" s="24" t="str">
        <f>IF(A908&lt;&gt;"",SUMIFS('JPK_KR-1'!AL:AL,'JPK_KR-1'!W:W,B908),"")</f>
        <v/>
      </c>
      <c r="D908" s="126" t="str">
        <f>IF(A908&lt;&gt;"",SUMIFS('JPK_KR-1'!AM:AM,'JPK_KR-1'!W:W,B908),"")</f>
        <v/>
      </c>
      <c r="E908" s="5" t="str">
        <f>IF(kokpit!E908&lt;&gt;"",kokpit!E908,"")</f>
        <v/>
      </c>
      <c r="F908" s="127" t="str">
        <f>IF(kokpit!F908&lt;&gt;"",kokpit!F908,"")</f>
        <v/>
      </c>
      <c r="G908" s="24" t="str">
        <f>IF(E908&lt;&gt;"",SUMIFS('JPK_KR-1'!AL:AL,'JPK_KR-1'!W:W,F908),"")</f>
        <v/>
      </c>
      <c r="H908" s="126" t="str">
        <f>IF(E908&lt;&gt;"",SUMIFS('JPK_KR-1'!AM:AM,'JPK_KR-1'!W:W,F908),"")</f>
        <v/>
      </c>
      <c r="I908" s="5" t="str">
        <f>IF(kokpit!I908&lt;&gt;"",kokpit!I908,"")</f>
        <v/>
      </c>
      <c r="J908" s="5" t="str">
        <f>IF(kokpit!J908&lt;&gt;"",kokpit!J908,"")</f>
        <v/>
      </c>
      <c r="K908" s="24" t="str">
        <f>IF(I908&lt;&gt;"",SUMIFS('JPK_KR-1'!AL:AL,'JPK_KR-1'!W:W,J908),"")</f>
        <v/>
      </c>
      <c r="L908" s="141" t="str">
        <f>IF(I908&lt;&gt;"",SUMIFS('JPK_KR-1'!AM:AM,'JPK_KR-1'!W:W,J908),"")</f>
        <v/>
      </c>
      <c r="M908" s="143" t="str">
        <f>IF(kokpit!M908&lt;&gt;"",kokpit!M908,"")</f>
        <v/>
      </c>
      <c r="N908" s="117" t="str">
        <f>IF(kokpit!N908&lt;&gt;"",kokpit!N908,"")</f>
        <v/>
      </c>
      <c r="O908" s="117" t="str">
        <f>IF(kokpit!O908&lt;&gt;"",kokpit!O908,"")</f>
        <v/>
      </c>
      <c r="P908" s="141" t="str">
        <f>IF(M908&lt;&gt;"",IF(O908="",SUMIFS('JPK_KR-1'!AL:AL,'JPK_KR-1'!W:W,N908),SUMIFS('JPK_KR-1'!BF:BF,'JPK_KR-1'!BE:BE,N908,'JPK_KR-1'!BG:BG,O908)),"")</f>
        <v/>
      </c>
      <c r="Q908" s="144" t="str">
        <f>IF(M908&lt;&gt;"",IF(O908="",SUMIFS('JPK_KR-1'!AM:AM,'JPK_KR-1'!W:W,N908),SUMIFS('JPK_KR-1'!BI:BI,'JPK_KR-1'!BH:BH,N908,'JPK_KR-1'!BJ:BJ,O908)),"")</f>
        <v/>
      </c>
      <c r="R908" s="117" t="str">
        <f>IF(kokpit!R908&lt;&gt;"",kokpit!R908,"")</f>
        <v/>
      </c>
      <c r="S908" s="117" t="str">
        <f>IF(kokpit!S908&lt;&gt;"",kokpit!S908,"")</f>
        <v/>
      </c>
      <c r="T908" s="117" t="str">
        <f>IF(kokpit!T908&lt;&gt;"",kokpit!T908,"")</f>
        <v/>
      </c>
      <c r="U908" s="141" t="str">
        <f>IF(R908&lt;&gt;"",SUMIFS('JPK_KR-1'!AL:AL,'JPK_KR-1'!W:W,S908),"")</f>
        <v/>
      </c>
      <c r="V908" s="144" t="str">
        <f>IF(R908&lt;&gt;"",SUMIFS('JPK_KR-1'!AM:AM,'JPK_KR-1'!W:W,S908),"")</f>
        <v/>
      </c>
    </row>
    <row r="909" spans="1:22" x14ac:dyDescent="0.3">
      <c r="A909" s="5" t="str">
        <f>IF(kokpit!A909&lt;&gt;"",kokpit!A909,"")</f>
        <v/>
      </c>
      <c r="B909" s="5" t="str">
        <f>IF(kokpit!B909&lt;&gt;"",kokpit!B909,"")</f>
        <v/>
      </c>
      <c r="C909" s="24" t="str">
        <f>IF(A909&lt;&gt;"",SUMIFS('JPK_KR-1'!AL:AL,'JPK_KR-1'!W:W,B909),"")</f>
        <v/>
      </c>
      <c r="D909" s="126" t="str">
        <f>IF(A909&lt;&gt;"",SUMIFS('JPK_KR-1'!AM:AM,'JPK_KR-1'!W:W,B909),"")</f>
        <v/>
      </c>
      <c r="E909" s="5" t="str">
        <f>IF(kokpit!E909&lt;&gt;"",kokpit!E909,"")</f>
        <v/>
      </c>
      <c r="F909" s="127" t="str">
        <f>IF(kokpit!F909&lt;&gt;"",kokpit!F909,"")</f>
        <v/>
      </c>
      <c r="G909" s="24" t="str">
        <f>IF(E909&lt;&gt;"",SUMIFS('JPK_KR-1'!AL:AL,'JPK_KR-1'!W:W,F909),"")</f>
        <v/>
      </c>
      <c r="H909" s="126" t="str">
        <f>IF(E909&lt;&gt;"",SUMIFS('JPK_KR-1'!AM:AM,'JPK_KR-1'!W:W,F909),"")</f>
        <v/>
      </c>
      <c r="I909" s="5" t="str">
        <f>IF(kokpit!I909&lt;&gt;"",kokpit!I909,"")</f>
        <v/>
      </c>
      <c r="J909" s="5" t="str">
        <f>IF(kokpit!J909&lt;&gt;"",kokpit!J909,"")</f>
        <v/>
      </c>
      <c r="K909" s="24" t="str">
        <f>IF(I909&lt;&gt;"",SUMIFS('JPK_KR-1'!AL:AL,'JPK_KR-1'!W:W,J909),"")</f>
        <v/>
      </c>
      <c r="L909" s="141" t="str">
        <f>IF(I909&lt;&gt;"",SUMIFS('JPK_KR-1'!AM:AM,'JPK_KR-1'!W:W,J909),"")</f>
        <v/>
      </c>
      <c r="M909" s="143" t="str">
        <f>IF(kokpit!M909&lt;&gt;"",kokpit!M909,"")</f>
        <v/>
      </c>
      <c r="N909" s="117" t="str">
        <f>IF(kokpit!N909&lt;&gt;"",kokpit!N909,"")</f>
        <v/>
      </c>
      <c r="O909" s="117" t="str">
        <f>IF(kokpit!O909&lt;&gt;"",kokpit!O909,"")</f>
        <v/>
      </c>
      <c r="P909" s="141" t="str">
        <f>IF(M909&lt;&gt;"",IF(O909="",SUMIFS('JPK_KR-1'!AL:AL,'JPK_KR-1'!W:W,N909),SUMIFS('JPK_KR-1'!BF:BF,'JPK_KR-1'!BE:BE,N909,'JPK_KR-1'!BG:BG,O909)),"")</f>
        <v/>
      </c>
      <c r="Q909" s="144" t="str">
        <f>IF(M909&lt;&gt;"",IF(O909="",SUMIFS('JPK_KR-1'!AM:AM,'JPK_KR-1'!W:W,N909),SUMIFS('JPK_KR-1'!BI:BI,'JPK_KR-1'!BH:BH,N909,'JPK_KR-1'!BJ:BJ,O909)),"")</f>
        <v/>
      </c>
      <c r="R909" s="117" t="str">
        <f>IF(kokpit!R909&lt;&gt;"",kokpit!R909,"")</f>
        <v/>
      </c>
      <c r="S909" s="117" t="str">
        <f>IF(kokpit!S909&lt;&gt;"",kokpit!S909,"")</f>
        <v/>
      </c>
      <c r="T909" s="117" t="str">
        <f>IF(kokpit!T909&lt;&gt;"",kokpit!T909,"")</f>
        <v/>
      </c>
      <c r="U909" s="141" t="str">
        <f>IF(R909&lt;&gt;"",SUMIFS('JPK_KR-1'!AL:AL,'JPK_KR-1'!W:W,S909),"")</f>
        <v/>
      </c>
      <c r="V909" s="144" t="str">
        <f>IF(R909&lt;&gt;"",SUMIFS('JPK_KR-1'!AM:AM,'JPK_KR-1'!W:W,S909),"")</f>
        <v/>
      </c>
    </row>
    <row r="910" spans="1:22" x14ac:dyDescent="0.3">
      <c r="A910" s="5" t="str">
        <f>IF(kokpit!A910&lt;&gt;"",kokpit!A910,"")</f>
        <v/>
      </c>
      <c r="B910" s="5" t="str">
        <f>IF(kokpit!B910&lt;&gt;"",kokpit!B910,"")</f>
        <v/>
      </c>
      <c r="C910" s="24" t="str">
        <f>IF(A910&lt;&gt;"",SUMIFS('JPK_KR-1'!AL:AL,'JPK_KR-1'!W:W,B910),"")</f>
        <v/>
      </c>
      <c r="D910" s="126" t="str">
        <f>IF(A910&lt;&gt;"",SUMIFS('JPK_KR-1'!AM:AM,'JPK_KR-1'!W:W,B910),"")</f>
        <v/>
      </c>
      <c r="E910" s="5" t="str">
        <f>IF(kokpit!E910&lt;&gt;"",kokpit!E910,"")</f>
        <v/>
      </c>
      <c r="F910" s="127" t="str">
        <f>IF(kokpit!F910&lt;&gt;"",kokpit!F910,"")</f>
        <v/>
      </c>
      <c r="G910" s="24" t="str">
        <f>IF(E910&lt;&gt;"",SUMIFS('JPK_KR-1'!AL:AL,'JPK_KR-1'!W:W,F910),"")</f>
        <v/>
      </c>
      <c r="H910" s="126" t="str">
        <f>IF(E910&lt;&gt;"",SUMIFS('JPK_KR-1'!AM:AM,'JPK_KR-1'!W:W,F910),"")</f>
        <v/>
      </c>
      <c r="I910" s="5" t="str">
        <f>IF(kokpit!I910&lt;&gt;"",kokpit!I910,"")</f>
        <v/>
      </c>
      <c r="J910" s="5" t="str">
        <f>IF(kokpit!J910&lt;&gt;"",kokpit!J910,"")</f>
        <v/>
      </c>
      <c r="K910" s="24" t="str">
        <f>IF(I910&lt;&gt;"",SUMIFS('JPK_KR-1'!AL:AL,'JPK_KR-1'!W:W,J910),"")</f>
        <v/>
      </c>
      <c r="L910" s="141" t="str">
        <f>IF(I910&lt;&gt;"",SUMIFS('JPK_KR-1'!AM:AM,'JPK_KR-1'!W:W,J910),"")</f>
        <v/>
      </c>
      <c r="M910" s="143" t="str">
        <f>IF(kokpit!M910&lt;&gt;"",kokpit!M910,"")</f>
        <v/>
      </c>
      <c r="N910" s="117" t="str">
        <f>IF(kokpit!N910&lt;&gt;"",kokpit!N910,"")</f>
        <v/>
      </c>
      <c r="O910" s="117" t="str">
        <f>IF(kokpit!O910&lt;&gt;"",kokpit!O910,"")</f>
        <v/>
      </c>
      <c r="P910" s="141" t="str">
        <f>IF(M910&lt;&gt;"",IF(O910="",SUMIFS('JPK_KR-1'!AL:AL,'JPK_KR-1'!W:W,N910),SUMIFS('JPK_KR-1'!BF:BF,'JPK_KR-1'!BE:BE,N910,'JPK_KR-1'!BG:BG,O910)),"")</f>
        <v/>
      </c>
      <c r="Q910" s="144" t="str">
        <f>IF(M910&lt;&gt;"",IF(O910="",SUMIFS('JPK_KR-1'!AM:AM,'JPK_KR-1'!W:W,N910),SUMIFS('JPK_KR-1'!BI:BI,'JPK_KR-1'!BH:BH,N910,'JPK_KR-1'!BJ:BJ,O910)),"")</f>
        <v/>
      </c>
      <c r="R910" s="117" t="str">
        <f>IF(kokpit!R910&lt;&gt;"",kokpit!R910,"")</f>
        <v/>
      </c>
      <c r="S910" s="117" t="str">
        <f>IF(kokpit!S910&lt;&gt;"",kokpit!S910,"")</f>
        <v/>
      </c>
      <c r="T910" s="117" t="str">
        <f>IF(kokpit!T910&lt;&gt;"",kokpit!T910,"")</f>
        <v/>
      </c>
      <c r="U910" s="141" t="str">
        <f>IF(R910&lt;&gt;"",SUMIFS('JPK_KR-1'!AL:AL,'JPK_KR-1'!W:W,S910),"")</f>
        <v/>
      </c>
      <c r="V910" s="144" t="str">
        <f>IF(R910&lt;&gt;"",SUMIFS('JPK_KR-1'!AM:AM,'JPK_KR-1'!W:W,S910),"")</f>
        <v/>
      </c>
    </row>
    <row r="911" spans="1:22" x14ac:dyDescent="0.3">
      <c r="A911" s="5" t="str">
        <f>IF(kokpit!A911&lt;&gt;"",kokpit!A911,"")</f>
        <v/>
      </c>
      <c r="B911" s="5" t="str">
        <f>IF(kokpit!B911&lt;&gt;"",kokpit!B911,"")</f>
        <v/>
      </c>
      <c r="C911" s="24" t="str">
        <f>IF(A911&lt;&gt;"",SUMIFS('JPK_KR-1'!AL:AL,'JPK_KR-1'!W:W,B911),"")</f>
        <v/>
      </c>
      <c r="D911" s="126" t="str">
        <f>IF(A911&lt;&gt;"",SUMIFS('JPK_KR-1'!AM:AM,'JPK_KR-1'!W:W,B911),"")</f>
        <v/>
      </c>
      <c r="E911" s="5" t="str">
        <f>IF(kokpit!E911&lt;&gt;"",kokpit!E911,"")</f>
        <v/>
      </c>
      <c r="F911" s="127" t="str">
        <f>IF(kokpit!F911&lt;&gt;"",kokpit!F911,"")</f>
        <v/>
      </c>
      <c r="G911" s="24" t="str">
        <f>IF(E911&lt;&gt;"",SUMIFS('JPK_KR-1'!AL:AL,'JPK_KR-1'!W:W,F911),"")</f>
        <v/>
      </c>
      <c r="H911" s="126" t="str">
        <f>IF(E911&lt;&gt;"",SUMIFS('JPK_KR-1'!AM:AM,'JPK_KR-1'!W:W,F911),"")</f>
        <v/>
      </c>
      <c r="I911" s="5" t="str">
        <f>IF(kokpit!I911&lt;&gt;"",kokpit!I911,"")</f>
        <v/>
      </c>
      <c r="J911" s="5" t="str">
        <f>IF(kokpit!J911&lt;&gt;"",kokpit!J911,"")</f>
        <v/>
      </c>
      <c r="K911" s="24" t="str">
        <f>IF(I911&lt;&gt;"",SUMIFS('JPK_KR-1'!AL:AL,'JPK_KR-1'!W:W,J911),"")</f>
        <v/>
      </c>
      <c r="L911" s="141" t="str">
        <f>IF(I911&lt;&gt;"",SUMIFS('JPK_KR-1'!AM:AM,'JPK_KR-1'!W:W,J911),"")</f>
        <v/>
      </c>
      <c r="M911" s="143" t="str">
        <f>IF(kokpit!M911&lt;&gt;"",kokpit!M911,"")</f>
        <v/>
      </c>
      <c r="N911" s="117" t="str">
        <f>IF(kokpit!N911&lt;&gt;"",kokpit!N911,"")</f>
        <v/>
      </c>
      <c r="O911" s="117" t="str">
        <f>IF(kokpit!O911&lt;&gt;"",kokpit!O911,"")</f>
        <v/>
      </c>
      <c r="P911" s="141" t="str">
        <f>IF(M911&lt;&gt;"",IF(O911="",SUMIFS('JPK_KR-1'!AL:AL,'JPK_KR-1'!W:W,N911),SUMIFS('JPK_KR-1'!BF:BF,'JPK_KR-1'!BE:BE,N911,'JPK_KR-1'!BG:BG,O911)),"")</f>
        <v/>
      </c>
      <c r="Q911" s="144" t="str">
        <f>IF(M911&lt;&gt;"",IF(O911="",SUMIFS('JPK_KR-1'!AM:AM,'JPK_KR-1'!W:W,N911),SUMIFS('JPK_KR-1'!BI:BI,'JPK_KR-1'!BH:BH,N911,'JPK_KR-1'!BJ:BJ,O911)),"")</f>
        <v/>
      </c>
      <c r="R911" s="117" t="str">
        <f>IF(kokpit!R911&lt;&gt;"",kokpit!R911,"")</f>
        <v/>
      </c>
      <c r="S911" s="117" t="str">
        <f>IF(kokpit!S911&lt;&gt;"",kokpit!S911,"")</f>
        <v/>
      </c>
      <c r="T911" s="117" t="str">
        <f>IF(kokpit!T911&lt;&gt;"",kokpit!T911,"")</f>
        <v/>
      </c>
      <c r="U911" s="141" t="str">
        <f>IF(R911&lt;&gt;"",SUMIFS('JPK_KR-1'!AL:AL,'JPK_KR-1'!W:W,S911),"")</f>
        <v/>
      </c>
      <c r="V911" s="144" t="str">
        <f>IF(R911&lt;&gt;"",SUMIFS('JPK_KR-1'!AM:AM,'JPK_KR-1'!W:W,S911),"")</f>
        <v/>
      </c>
    </row>
    <row r="912" spans="1:22" x14ac:dyDescent="0.3">
      <c r="A912" s="5" t="str">
        <f>IF(kokpit!A912&lt;&gt;"",kokpit!A912,"")</f>
        <v/>
      </c>
      <c r="B912" s="5" t="str">
        <f>IF(kokpit!B912&lt;&gt;"",kokpit!B912,"")</f>
        <v/>
      </c>
      <c r="C912" s="24" t="str">
        <f>IF(A912&lt;&gt;"",SUMIFS('JPK_KR-1'!AL:AL,'JPK_KR-1'!W:W,B912),"")</f>
        <v/>
      </c>
      <c r="D912" s="126" t="str">
        <f>IF(A912&lt;&gt;"",SUMIFS('JPK_KR-1'!AM:AM,'JPK_KR-1'!W:W,B912),"")</f>
        <v/>
      </c>
      <c r="E912" s="5" t="str">
        <f>IF(kokpit!E912&lt;&gt;"",kokpit!E912,"")</f>
        <v/>
      </c>
      <c r="F912" s="127" t="str">
        <f>IF(kokpit!F912&lt;&gt;"",kokpit!F912,"")</f>
        <v/>
      </c>
      <c r="G912" s="24" t="str">
        <f>IF(E912&lt;&gt;"",SUMIFS('JPK_KR-1'!AL:AL,'JPK_KR-1'!W:W,F912),"")</f>
        <v/>
      </c>
      <c r="H912" s="126" t="str">
        <f>IF(E912&lt;&gt;"",SUMIFS('JPK_KR-1'!AM:AM,'JPK_KR-1'!W:W,F912),"")</f>
        <v/>
      </c>
      <c r="I912" s="5" t="str">
        <f>IF(kokpit!I912&lt;&gt;"",kokpit!I912,"")</f>
        <v/>
      </c>
      <c r="J912" s="5" t="str">
        <f>IF(kokpit!J912&lt;&gt;"",kokpit!J912,"")</f>
        <v/>
      </c>
      <c r="K912" s="24" t="str">
        <f>IF(I912&lt;&gt;"",SUMIFS('JPK_KR-1'!AL:AL,'JPK_KR-1'!W:W,J912),"")</f>
        <v/>
      </c>
      <c r="L912" s="141" t="str">
        <f>IF(I912&lt;&gt;"",SUMIFS('JPK_KR-1'!AM:AM,'JPK_KR-1'!W:W,J912),"")</f>
        <v/>
      </c>
      <c r="M912" s="143" t="str">
        <f>IF(kokpit!M912&lt;&gt;"",kokpit!M912,"")</f>
        <v/>
      </c>
      <c r="N912" s="117" t="str">
        <f>IF(kokpit!N912&lt;&gt;"",kokpit!N912,"")</f>
        <v/>
      </c>
      <c r="O912" s="117" t="str">
        <f>IF(kokpit!O912&lt;&gt;"",kokpit!O912,"")</f>
        <v/>
      </c>
      <c r="P912" s="141" t="str">
        <f>IF(M912&lt;&gt;"",IF(O912="",SUMIFS('JPK_KR-1'!AL:AL,'JPK_KR-1'!W:W,N912),SUMIFS('JPK_KR-1'!BF:BF,'JPK_KR-1'!BE:BE,N912,'JPK_KR-1'!BG:BG,O912)),"")</f>
        <v/>
      </c>
      <c r="Q912" s="144" t="str">
        <f>IF(M912&lt;&gt;"",IF(O912="",SUMIFS('JPK_KR-1'!AM:AM,'JPK_KR-1'!W:W,N912),SUMIFS('JPK_KR-1'!BI:BI,'JPK_KR-1'!BH:BH,N912,'JPK_KR-1'!BJ:BJ,O912)),"")</f>
        <v/>
      </c>
      <c r="R912" s="117" t="str">
        <f>IF(kokpit!R912&lt;&gt;"",kokpit!R912,"")</f>
        <v/>
      </c>
      <c r="S912" s="117" t="str">
        <f>IF(kokpit!S912&lt;&gt;"",kokpit!S912,"")</f>
        <v/>
      </c>
      <c r="T912" s="117" t="str">
        <f>IF(kokpit!T912&lt;&gt;"",kokpit!T912,"")</f>
        <v/>
      </c>
      <c r="U912" s="141" t="str">
        <f>IF(R912&lt;&gt;"",SUMIFS('JPK_KR-1'!AL:AL,'JPK_KR-1'!W:W,S912),"")</f>
        <v/>
      </c>
      <c r="V912" s="144" t="str">
        <f>IF(R912&lt;&gt;"",SUMIFS('JPK_KR-1'!AM:AM,'JPK_KR-1'!W:W,S912),"")</f>
        <v/>
      </c>
    </row>
    <row r="913" spans="1:22" x14ac:dyDescent="0.3">
      <c r="A913" s="5" t="str">
        <f>IF(kokpit!A913&lt;&gt;"",kokpit!A913,"")</f>
        <v/>
      </c>
      <c r="B913" s="5" t="str">
        <f>IF(kokpit!B913&lt;&gt;"",kokpit!B913,"")</f>
        <v/>
      </c>
      <c r="C913" s="24" t="str">
        <f>IF(A913&lt;&gt;"",SUMIFS('JPK_KR-1'!AL:AL,'JPK_KR-1'!W:W,B913),"")</f>
        <v/>
      </c>
      <c r="D913" s="126" t="str">
        <f>IF(A913&lt;&gt;"",SUMIFS('JPK_KR-1'!AM:AM,'JPK_KR-1'!W:W,B913),"")</f>
        <v/>
      </c>
      <c r="E913" s="5" t="str">
        <f>IF(kokpit!E913&lt;&gt;"",kokpit!E913,"")</f>
        <v/>
      </c>
      <c r="F913" s="127" t="str">
        <f>IF(kokpit!F913&lt;&gt;"",kokpit!F913,"")</f>
        <v/>
      </c>
      <c r="G913" s="24" t="str">
        <f>IF(E913&lt;&gt;"",SUMIFS('JPK_KR-1'!AL:AL,'JPK_KR-1'!W:W,F913),"")</f>
        <v/>
      </c>
      <c r="H913" s="126" t="str">
        <f>IF(E913&lt;&gt;"",SUMIFS('JPK_KR-1'!AM:AM,'JPK_KR-1'!W:W,F913),"")</f>
        <v/>
      </c>
      <c r="I913" s="5" t="str">
        <f>IF(kokpit!I913&lt;&gt;"",kokpit!I913,"")</f>
        <v/>
      </c>
      <c r="J913" s="5" t="str">
        <f>IF(kokpit!J913&lt;&gt;"",kokpit!J913,"")</f>
        <v/>
      </c>
      <c r="K913" s="24" t="str">
        <f>IF(I913&lt;&gt;"",SUMIFS('JPK_KR-1'!AL:AL,'JPK_KR-1'!W:W,J913),"")</f>
        <v/>
      </c>
      <c r="L913" s="141" t="str">
        <f>IF(I913&lt;&gt;"",SUMIFS('JPK_KR-1'!AM:AM,'JPK_KR-1'!W:W,J913),"")</f>
        <v/>
      </c>
      <c r="M913" s="143" t="str">
        <f>IF(kokpit!M913&lt;&gt;"",kokpit!M913,"")</f>
        <v/>
      </c>
      <c r="N913" s="117" t="str">
        <f>IF(kokpit!N913&lt;&gt;"",kokpit!N913,"")</f>
        <v/>
      </c>
      <c r="O913" s="117" t="str">
        <f>IF(kokpit!O913&lt;&gt;"",kokpit!O913,"")</f>
        <v/>
      </c>
      <c r="P913" s="141" t="str">
        <f>IF(M913&lt;&gt;"",IF(O913="",SUMIFS('JPK_KR-1'!AL:AL,'JPK_KR-1'!W:W,N913),SUMIFS('JPK_KR-1'!BF:BF,'JPK_KR-1'!BE:BE,N913,'JPK_KR-1'!BG:BG,O913)),"")</f>
        <v/>
      </c>
      <c r="Q913" s="144" t="str">
        <f>IF(M913&lt;&gt;"",IF(O913="",SUMIFS('JPK_KR-1'!AM:AM,'JPK_KR-1'!W:W,N913),SUMIFS('JPK_KR-1'!BI:BI,'JPK_KR-1'!BH:BH,N913,'JPK_KR-1'!BJ:BJ,O913)),"")</f>
        <v/>
      </c>
      <c r="R913" s="117" t="str">
        <f>IF(kokpit!R913&lt;&gt;"",kokpit!R913,"")</f>
        <v/>
      </c>
      <c r="S913" s="117" t="str">
        <f>IF(kokpit!S913&lt;&gt;"",kokpit!S913,"")</f>
        <v/>
      </c>
      <c r="T913" s="117" t="str">
        <f>IF(kokpit!T913&lt;&gt;"",kokpit!T913,"")</f>
        <v/>
      </c>
      <c r="U913" s="141" t="str">
        <f>IF(R913&lt;&gt;"",SUMIFS('JPK_KR-1'!AL:AL,'JPK_KR-1'!W:W,S913),"")</f>
        <v/>
      </c>
      <c r="V913" s="144" t="str">
        <f>IF(R913&lt;&gt;"",SUMIFS('JPK_KR-1'!AM:AM,'JPK_KR-1'!W:W,S913),"")</f>
        <v/>
      </c>
    </row>
    <row r="914" spans="1:22" x14ac:dyDescent="0.3">
      <c r="A914" s="5" t="str">
        <f>IF(kokpit!A914&lt;&gt;"",kokpit!A914,"")</f>
        <v/>
      </c>
      <c r="B914" s="5" t="str">
        <f>IF(kokpit!B914&lt;&gt;"",kokpit!B914,"")</f>
        <v/>
      </c>
      <c r="C914" s="24" t="str">
        <f>IF(A914&lt;&gt;"",SUMIFS('JPK_KR-1'!AL:AL,'JPK_KR-1'!W:W,B914),"")</f>
        <v/>
      </c>
      <c r="D914" s="126" t="str">
        <f>IF(A914&lt;&gt;"",SUMIFS('JPK_KR-1'!AM:AM,'JPK_KR-1'!W:W,B914),"")</f>
        <v/>
      </c>
      <c r="E914" s="5" t="str">
        <f>IF(kokpit!E914&lt;&gt;"",kokpit!E914,"")</f>
        <v/>
      </c>
      <c r="F914" s="127" t="str">
        <f>IF(kokpit!F914&lt;&gt;"",kokpit!F914,"")</f>
        <v/>
      </c>
      <c r="G914" s="24" t="str">
        <f>IF(E914&lt;&gt;"",SUMIFS('JPK_KR-1'!AL:AL,'JPK_KR-1'!W:W,F914),"")</f>
        <v/>
      </c>
      <c r="H914" s="126" t="str">
        <f>IF(E914&lt;&gt;"",SUMIFS('JPK_KR-1'!AM:AM,'JPK_KR-1'!W:W,F914),"")</f>
        <v/>
      </c>
      <c r="I914" s="5" t="str">
        <f>IF(kokpit!I914&lt;&gt;"",kokpit!I914,"")</f>
        <v/>
      </c>
      <c r="J914" s="5" t="str">
        <f>IF(kokpit!J914&lt;&gt;"",kokpit!J914,"")</f>
        <v/>
      </c>
      <c r="K914" s="24" t="str">
        <f>IF(I914&lt;&gt;"",SUMIFS('JPK_KR-1'!AL:AL,'JPK_KR-1'!W:W,J914),"")</f>
        <v/>
      </c>
      <c r="L914" s="141" t="str">
        <f>IF(I914&lt;&gt;"",SUMIFS('JPK_KR-1'!AM:AM,'JPK_KR-1'!W:W,J914),"")</f>
        <v/>
      </c>
      <c r="M914" s="143" t="str">
        <f>IF(kokpit!M914&lt;&gt;"",kokpit!M914,"")</f>
        <v/>
      </c>
      <c r="N914" s="117" t="str">
        <f>IF(kokpit!N914&lt;&gt;"",kokpit!N914,"")</f>
        <v/>
      </c>
      <c r="O914" s="117" t="str">
        <f>IF(kokpit!O914&lt;&gt;"",kokpit!O914,"")</f>
        <v/>
      </c>
      <c r="P914" s="141" t="str">
        <f>IF(M914&lt;&gt;"",IF(O914="",SUMIFS('JPK_KR-1'!AL:AL,'JPK_KR-1'!W:W,N914),SUMIFS('JPK_KR-1'!BF:BF,'JPK_KR-1'!BE:BE,N914,'JPK_KR-1'!BG:BG,O914)),"")</f>
        <v/>
      </c>
      <c r="Q914" s="144" t="str">
        <f>IF(M914&lt;&gt;"",IF(O914="",SUMIFS('JPK_KR-1'!AM:AM,'JPK_KR-1'!W:W,N914),SUMIFS('JPK_KR-1'!BI:BI,'JPK_KR-1'!BH:BH,N914,'JPK_KR-1'!BJ:BJ,O914)),"")</f>
        <v/>
      </c>
      <c r="R914" s="117" t="str">
        <f>IF(kokpit!R914&lt;&gt;"",kokpit!R914,"")</f>
        <v/>
      </c>
      <c r="S914" s="117" t="str">
        <f>IF(kokpit!S914&lt;&gt;"",kokpit!S914,"")</f>
        <v/>
      </c>
      <c r="T914" s="117" t="str">
        <f>IF(kokpit!T914&lt;&gt;"",kokpit!T914,"")</f>
        <v/>
      </c>
      <c r="U914" s="141" t="str">
        <f>IF(R914&lt;&gt;"",SUMIFS('JPK_KR-1'!AL:AL,'JPK_KR-1'!W:W,S914),"")</f>
        <v/>
      </c>
      <c r="V914" s="144" t="str">
        <f>IF(R914&lt;&gt;"",SUMIFS('JPK_KR-1'!AM:AM,'JPK_KR-1'!W:W,S914),"")</f>
        <v/>
      </c>
    </row>
    <row r="915" spans="1:22" x14ac:dyDescent="0.3">
      <c r="A915" s="5" t="str">
        <f>IF(kokpit!A915&lt;&gt;"",kokpit!A915,"")</f>
        <v/>
      </c>
      <c r="B915" s="5" t="str">
        <f>IF(kokpit!B915&lt;&gt;"",kokpit!B915,"")</f>
        <v/>
      </c>
      <c r="C915" s="24" t="str">
        <f>IF(A915&lt;&gt;"",SUMIFS('JPK_KR-1'!AL:AL,'JPK_KR-1'!W:W,B915),"")</f>
        <v/>
      </c>
      <c r="D915" s="126" t="str">
        <f>IF(A915&lt;&gt;"",SUMIFS('JPK_KR-1'!AM:AM,'JPK_KR-1'!W:W,B915),"")</f>
        <v/>
      </c>
      <c r="E915" s="5" t="str">
        <f>IF(kokpit!E915&lt;&gt;"",kokpit!E915,"")</f>
        <v/>
      </c>
      <c r="F915" s="127" t="str">
        <f>IF(kokpit!F915&lt;&gt;"",kokpit!F915,"")</f>
        <v/>
      </c>
      <c r="G915" s="24" t="str">
        <f>IF(E915&lt;&gt;"",SUMIFS('JPK_KR-1'!AL:AL,'JPK_KR-1'!W:W,F915),"")</f>
        <v/>
      </c>
      <c r="H915" s="126" t="str">
        <f>IF(E915&lt;&gt;"",SUMIFS('JPK_KR-1'!AM:AM,'JPK_KR-1'!W:W,F915),"")</f>
        <v/>
      </c>
      <c r="I915" s="5" t="str">
        <f>IF(kokpit!I915&lt;&gt;"",kokpit!I915,"")</f>
        <v/>
      </c>
      <c r="J915" s="5" t="str">
        <f>IF(kokpit!J915&lt;&gt;"",kokpit!J915,"")</f>
        <v/>
      </c>
      <c r="K915" s="24" t="str">
        <f>IF(I915&lt;&gt;"",SUMIFS('JPK_KR-1'!AL:AL,'JPK_KR-1'!W:W,J915),"")</f>
        <v/>
      </c>
      <c r="L915" s="141" t="str">
        <f>IF(I915&lt;&gt;"",SUMIFS('JPK_KR-1'!AM:AM,'JPK_KR-1'!W:W,J915),"")</f>
        <v/>
      </c>
      <c r="M915" s="143" t="str">
        <f>IF(kokpit!M915&lt;&gt;"",kokpit!M915,"")</f>
        <v/>
      </c>
      <c r="N915" s="117" t="str">
        <f>IF(kokpit!N915&lt;&gt;"",kokpit!N915,"")</f>
        <v/>
      </c>
      <c r="O915" s="117" t="str">
        <f>IF(kokpit!O915&lt;&gt;"",kokpit!O915,"")</f>
        <v/>
      </c>
      <c r="P915" s="141" t="str">
        <f>IF(M915&lt;&gt;"",IF(O915="",SUMIFS('JPK_KR-1'!AL:AL,'JPK_KR-1'!W:W,N915),SUMIFS('JPK_KR-1'!BF:BF,'JPK_KR-1'!BE:BE,N915,'JPK_KR-1'!BG:BG,O915)),"")</f>
        <v/>
      </c>
      <c r="Q915" s="144" t="str">
        <f>IF(M915&lt;&gt;"",IF(O915="",SUMIFS('JPK_KR-1'!AM:AM,'JPK_KR-1'!W:W,N915),SUMIFS('JPK_KR-1'!BI:BI,'JPK_KR-1'!BH:BH,N915,'JPK_KR-1'!BJ:BJ,O915)),"")</f>
        <v/>
      </c>
      <c r="R915" s="117" t="str">
        <f>IF(kokpit!R915&lt;&gt;"",kokpit!R915,"")</f>
        <v/>
      </c>
      <c r="S915" s="117" t="str">
        <f>IF(kokpit!S915&lt;&gt;"",kokpit!S915,"")</f>
        <v/>
      </c>
      <c r="T915" s="117" t="str">
        <f>IF(kokpit!T915&lt;&gt;"",kokpit!T915,"")</f>
        <v/>
      </c>
      <c r="U915" s="141" t="str">
        <f>IF(R915&lt;&gt;"",SUMIFS('JPK_KR-1'!AL:AL,'JPK_KR-1'!W:W,S915),"")</f>
        <v/>
      </c>
      <c r="V915" s="144" t="str">
        <f>IF(R915&lt;&gt;"",SUMIFS('JPK_KR-1'!AM:AM,'JPK_KR-1'!W:W,S915),"")</f>
        <v/>
      </c>
    </row>
    <row r="916" spans="1:22" x14ac:dyDescent="0.3">
      <c r="A916" s="5" t="str">
        <f>IF(kokpit!A916&lt;&gt;"",kokpit!A916,"")</f>
        <v/>
      </c>
      <c r="B916" s="5" t="str">
        <f>IF(kokpit!B916&lt;&gt;"",kokpit!B916,"")</f>
        <v/>
      </c>
      <c r="C916" s="24" t="str">
        <f>IF(A916&lt;&gt;"",SUMIFS('JPK_KR-1'!AL:AL,'JPK_KR-1'!W:W,B916),"")</f>
        <v/>
      </c>
      <c r="D916" s="126" t="str">
        <f>IF(A916&lt;&gt;"",SUMIFS('JPK_KR-1'!AM:AM,'JPK_KR-1'!W:W,B916),"")</f>
        <v/>
      </c>
      <c r="E916" s="5" t="str">
        <f>IF(kokpit!E916&lt;&gt;"",kokpit!E916,"")</f>
        <v/>
      </c>
      <c r="F916" s="127" t="str">
        <f>IF(kokpit!F916&lt;&gt;"",kokpit!F916,"")</f>
        <v/>
      </c>
      <c r="G916" s="24" t="str">
        <f>IF(E916&lt;&gt;"",SUMIFS('JPK_KR-1'!AL:AL,'JPK_KR-1'!W:W,F916),"")</f>
        <v/>
      </c>
      <c r="H916" s="126" t="str">
        <f>IF(E916&lt;&gt;"",SUMIFS('JPK_KR-1'!AM:AM,'JPK_KR-1'!W:W,F916),"")</f>
        <v/>
      </c>
      <c r="I916" s="5" t="str">
        <f>IF(kokpit!I916&lt;&gt;"",kokpit!I916,"")</f>
        <v/>
      </c>
      <c r="J916" s="5" t="str">
        <f>IF(kokpit!J916&lt;&gt;"",kokpit!J916,"")</f>
        <v/>
      </c>
      <c r="K916" s="24" t="str">
        <f>IF(I916&lt;&gt;"",SUMIFS('JPK_KR-1'!AL:AL,'JPK_KR-1'!W:W,J916),"")</f>
        <v/>
      </c>
      <c r="L916" s="141" t="str">
        <f>IF(I916&lt;&gt;"",SUMIFS('JPK_KR-1'!AM:AM,'JPK_KR-1'!W:W,J916),"")</f>
        <v/>
      </c>
      <c r="M916" s="143" t="str">
        <f>IF(kokpit!M916&lt;&gt;"",kokpit!M916,"")</f>
        <v/>
      </c>
      <c r="N916" s="117" t="str">
        <f>IF(kokpit!N916&lt;&gt;"",kokpit!N916,"")</f>
        <v/>
      </c>
      <c r="O916" s="117" t="str">
        <f>IF(kokpit!O916&lt;&gt;"",kokpit!O916,"")</f>
        <v/>
      </c>
      <c r="P916" s="141" t="str">
        <f>IF(M916&lt;&gt;"",IF(O916="",SUMIFS('JPK_KR-1'!AL:AL,'JPK_KR-1'!W:W,N916),SUMIFS('JPK_KR-1'!BF:BF,'JPK_KR-1'!BE:BE,N916,'JPK_KR-1'!BG:BG,O916)),"")</f>
        <v/>
      </c>
      <c r="Q916" s="144" t="str">
        <f>IF(M916&lt;&gt;"",IF(O916="",SUMIFS('JPK_KR-1'!AM:AM,'JPK_KR-1'!W:W,N916),SUMIFS('JPK_KR-1'!BI:BI,'JPK_KR-1'!BH:BH,N916,'JPK_KR-1'!BJ:BJ,O916)),"")</f>
        <v/>
      </c>
      <c r="R916" s="117" t="str">
        <f>IF(kokpit!R916&lt;&gt;"",kokpit!R916,"")</f>
        <v/>
      </c>
      <c r="S916" s="117" t="str">
        <f>IF(kokpit!S916&lt;&gt;"",kokpit!S916,"")</f>
        <v/>
      </c>
      <c r="T916" s="117" t="str">
        <f>IF(kokpit!T916&lt;&gt;"",kokpit!T916,"")</f>
        <v/>
      </c>
      <c r="U916" s="141" t="str">
        <f>IF(R916&lt;&gt;"",SUMIFS('JPK_KR-1'!AL:AL,'JPK_KR-1'!W:W,S916),"")</f>
        <v/>
      </c>
      <c r="V916" s="144" t="str">
        <f>IF(R916&lt;&gt;"",SUMIFS('JPK_KR-1'!AM:AM,'JPK_KR-1'!W:W,S916),"")</f>
        <v/>
      </c>
    </row>
    <row r="917" spans="1:22" x14ac:dyDescent="0.3">
      <c r="A917" s="5" t="str">
        <f>IF(kokpit!A917&lt;&gt;"",kokpit!A917,"")</f>
        <v/>
      </c>
      <c r="B917" s="5" t="str">
        <f>IF(kokpit!B917&lt;&gt;"",kokpit!B917,"")</f>
        <v/>
      </c>
      <c r="C917" s="24" t="str">
        <f>IF(A917&lt;&gt;"",SUMIFS('JPK_KR-1'!AL:AL,'JPK_KR-1'!W:W,B917),"")</f>
        <v/>
      </c>
      <c r="D917" s="126" t="str">
        <f>IF(A917&lt;&gt;"",SUMIFS('JPK_KR-1'!AM:AM,'JPK_KR-1'!W:W,B917),"")</f>
        <v/>
      </c>
      <c r="E917" s="5" t="str">
        <f>IF(kokpit!E917&lt;&gt;"",kokpit!E917,"")</f>
        <v/>
      </c>
      <c r="F917" s="127" t="str">
        <f>IF(kokpit!F917&lt;&gt;"",kokpit!F917,"")</f>
        <v/>
      </c>
      <c r="G917" s="24" t="str">
        <f>IF(E917&lt;&gt;"",SUMIFS('JPK_KR-1'!AL:AL,'JPK_KR-1'!W:W,F917),"")</f>
        <v/>
      </c>
      <c r="H917" s="126" t="str">
        <f>IF(E917&lt;&gt;"",SUMIFS('JPK_KR-1'!AM:AM,'JPK_KR-1'!W:W,F917),"")</f>
        <v/>
      </c>
      <c r="I917" s="5" t="str">
        <f>IF(kokpit!I917&lt;&gt;"",kokpit!I917,"")</f>
        <v/>
      </c>
      <c r="J917" s="5" t="str">
        <f>IF(kokpit!J917&lt;&gt;"",kokpit!J917,"")</f>
        <v/>
      </c>
      <c r="K917" s="24" t="str">
        <f>IF(I917&lt;&gt;"",SUMIFS('JPK_KR-1'!AL:AL,'JPK_KR-1'!W:W,J917),"")</f>
        <v/>
      </c>
      <c r="L917" s="141" t="str">
        <f>IF(I917&lt;&gt;"",SUMIFS('JPK_KR-1'!AM:AM,'JPK_KR-1'!W:W,J917),"")</f>
        <v/>
      </c>
      <c r="M917" s="143" t="str">
        <f>IF(kokpit!M917&lt;&gt;"",kokpit!M917,"")</f>
        <v/>
      </c>
      <c r="N917" s="117" t="str">
        <f>IF(kokpit!N917&lt;&gt;"",kokpit!N917,"")</f>
        <v/>
      </c>
      <c r="O917" s="117" t="str">
        <f>IF(kokpit!O917&lt;&gt;"",kokpit!O917,"")</f>
        <v/>
      </c>
      <c r="P917" s="141" t="str">
        <f>IF(M917&lt;&gt;"",IF(O917="",SUMIFS('JPK_KR-1'!AL:AL,'JPK_KR-1'!W:W,N917),SUMIFS('JPK_KR-1'!BF:BF,'JPK_KR-1'!BE:BE,N917,'JPK_KR-1'!BG:BG,O917)),"")</f>
        <v/>
      </c>
      <c r="Q917" s="144" t="str">
        <f>IF(M917&lt;&gt;"",IF(O917="",SUMIFS('JPK_KR-1'!AM:AM,'JPK_KR-1'!W:W,N917),SUMIFS('JPK_KR-1'!BI:BI,'JPK_KR-1'!BH:BH,N917,'JPK_KR-1'!BJ:BJ,O917)),"")</f>
        <v/>
      </c>
      <c r="R917" s="117" t="str">
        <f>IF(kokpit!R917&lt;&gt;"",kokpit!R917,"")</f>
        <v/>
      </c>
      <c r="S917" s="117" t="str">
        <f>IF(kokpit!S917&lt;&gt;"",kokpit!S917,"")</f>
        <v/>
      </c>
      <c r="T917" s="117" t="str">
        <f>IF(kokpit!T917&lt;&gt;"",kokpit!T917,"")</f>
        <v/>
      </c>
      <c r="U917" s="141" t="str">
        <f>IF(R917&lt;&gt;"",SUMIFS('JPK_KR-1'!AL:AL,'JPK_KR-1'!W:W,S917),"")</f>
        <v/>
      </c>
      <c r="V917" s="144" t="str">
        <f>IF(R917&lt;&gt;"",SUMIFS('JPK_KR-1'!AM:AM,'JPK_KR-1'!W:W,S917),"")</f>
        <v/>
      </c>
    </row>
    <row r="918" spans="1:22" x14ac:dyDescent="0.3">
      <c r="A918" s="5" t="str">
        <f>IF(kokpit!A918&lt;&gt;"",kokpit!A918,"")</f>
        <v/>
      </c>
      <c r="B918" s="5" t="str">
        <f>IF(kokpit!B918&lt;&gt;"",kokpit!B918,"")</f>
        <v/>
      </c>
      <c r="C918" s="24" t="str">
        <f>IF(A918&lt;&gt;"",SUMIFS('JPK_KR-1'!AL:AL,'JPK_KR-1'!W:W,B918),"")</f>
        <v/>
      </c>
      <c r="D918" s="126" t="str">
        <f>IF(A918&lt;&gt;"",SUMIFS('JPK_KR-1'!AM:AM,'JPK_KR-1'!W:W,B918),"")</f>
        <v/>
      </c>
      <c r="E918" s="5" t="str">
        <f>IF(kokpit!E918&lt;&gt;"",kokpit!E918,"")</f>
        <v/>
      </c>
      <c r="F918" s="127" t="str">
        <f>IF(kokpit!F918&lt;&gt;"",kokpit!F918,"")</f>
        <v/>
      </c>
      <c r="G918" s="24" t="str">
        <f>IF(E918&lt;&gt;"",SUMIFS('JPK_KR-1'!AL:AL,'JPK_KR-1'!W:W,F918),"")</f>
        <v/>
      </c>
      <c r="H918" s="126" t="str">
        <f>IF(E918&lt;&gt;"",SUMIFS('JPK_KR-1'!AM:AM,'JPK_KR-1'!W:W,F918),"")</f>
        <v/>
      </c>
      <c r="I918" s="5" t="str">
        <f>IF(kokpit!I918&lt;&gt;"",kokpit!I918,"")</f>
        <v/>
      </c>
      <c r="J918" s="5" t="str">
        <f>IF(kokpit!J918&lt;&gt;"",kokpit!J918,"")</f>
        <v/>
      </c>
      <c r="K918" s="24" t="str">
        <f>IF(I918&lt;&gt;"",SUMIFS('JPK_KR-1'!AL:AL,'JPK_KR-1'!W:W,J918),"")</f>
        <v/>
      </c>
      <c r="L918" s="141" t="str">
        <f>IF(I918&lt;&gt;"",SUMIFS('JPK_KR-1'!AM:AM,'JPK_KR-1'!W:W,J918),"")</f>
        <v/>
      </c>
      <c r="M918" s="143" t="str">
        <f>IF(kokpit!M918&lt;&gt;"",kokpit!M918,"")</f>
        <v/>
      </c>
      <c r="N918" s="117" t="str">
        <f>IF(kokpit!N918&lt;&gt;"",kokpit!N918,"")</f>
        <v/>
      </c>
      <c r="O918" s="117" t="str">
        <f>IF(kokpit!O918&lt;&gt;"",kokpit!O918,"")</f>
        <v/>
      </c>
      <c r="P918" s="141" t="str">
        <f>IF(M918&lt;&gt;"",IF(O918="",SUMIFS('JPK_KR-1'!AL:AL,'JPK_KR-1'!W:W,N918),SUMIFS('JPK_KR-1'!BF:BF,'JPK_KR-1'!BE:BE,N918,'JPK_KR-1'!BG:BG,O918)),"")</f>
        <v/>
      </c>
      <c r="Q918" s="144" t="str">
        <f>IF(M918&lt;&gt;"",IF(O918="",SUMIFS('JPK_KR-1'!AM:AM,'JPK_KR-1'!W:W,N918),SUMIFS('JPK_KR-1'!BI:BI,'JPK_KR-1'!BH:BH,N918,'JPK_KR-1'!BJ:BJ,O918)),"")</f>
        <v/>
      </c>
      <c r="R918" s="117" t="str">
        <f>IF(kokpit!R918&lt;&gt;"",kokpit!R918,"")</f>
        <v/>
      </c>
      <c r="S918" s="117" t="str">
        <f>IF(kokpit!S918&lt;&gt;"",kokpit!S918,"")</f>
        <v/>
      </c>
      <c r="T918" s="117" t="str">
        <f>IF(kokpit!T918&lt;&gt;"",kokpit!T918,"")</f>
        <v/>
      </c>
      <c r="U918" s="141" t="str">
        <f>IF(R918&lt;&gt;"",SUMIFS('JPK_KR-1'!AL:AL,'JPK_KR-1'!W:W,S918),"")</f>
        <v/>
      </c>
      <c r="V918" s="144" t="str">
        <f>IF(R918&lt;&gt;"",SUMIFS('JPK_KR-1'!AM:AM,'JPK_KR-1'!W:W,S918),"")</f>
        <v/>
      </c>
    </row>
    <row r="919" spans="1:22" x14ac:dyDescent="0.3">
      <c r="A919" s="5" t="str">
        <f>IF(kokpit!A919&lt;&gt;"",kokpit!A919,"")</f>
        <v/>
      </c>
      <c r="B919" s="5" t="str">
        <f>IF(kokpit!B919&lt;&gt;"",kokpit!B919,"")</f>
        <v/>
      </c>
      <c r="C919" s="24" t="str">
        <f>IF(A919&lt;&gt;"",SUMIFS('JPK_KR-1'!AL:AL,'JPK_KR-1'!W:W,B919),"")</f>
        <v/>
      </c>
      <c r="D919" s="126" t="str">
        <f>IF(A919&lt;&gt;"",SUMIFS('JPK_KR-1'!AM:AM,'JPK_KR-1'!W:W,B919),"")</f>
        <v/>
      </c>
      <c r="E919" s="5" t="str">
        <f>IF(kokpit!E919&lt;&gt;"",kokpit!E919,"")</f>
        <v/>
      </c>
      <c r="F919" s="127" t="str">
        <f>IF(kokpit!F919&lt;&gt;"",kokpit!F919,"")</f>
        <v/>
      </c>
      <c r="G919" s="24" t="str">
        <f>IF(E919&lt;&gt;"",SUMIFS('JPK_KR-1'!AL:AL,'JPK_KR-1'!W:W,F919),"")</f>
        <v/>
      </c>
      <c r="H919" s="126" t="str">
        <f>IF(E919&lt;&gt;"",SUMIFS('JPK_KR-1'!AM:AM,'JPK_KR-1'!W:W,F919),"")</f>
        <v/>
      </c>
      <c r="I919" s="5" t="str">
        <f>IF(kokpit!I919&lt;&gt;"",kokpit!I919,"")</f>
        <v/>
      </c>
      <c r="J919" s="5" t="str">
        <f>IF(kokpit!J919&lt;&gt;"",kokpit!J919,"")</f>
        <v/>
      </c>
      <c r="K919" s="24" t="str">
        <f>IF(I919&lt;&gt;"",SUMIFS('JPK_KR-1'!AL:AL,'JPK_KR-1'!W:W,J919),"")</f>
        <v/>
      </c>
      <c r="L919" s="141" t="str">
        <f>IF(I919&lt;&gt;"",SUMIFS('JPK_KR-1'!AM:AM,'JPK_KR-1'!W:W,J919),"")</f>
        <v/>
      </c>
      <c r="M919" s="143" t="str">
        <f>IF(kokpit!M919&lt;&gt;"",kokpit!M919,"")</f>
        <v/>
      </c>
      <c r="N919" s="117" t="str">
        <f>IF(kokpit!N919&lt;&gt;"",kokpit!N919,"")</f>
        <v/>
      </c>
      <c r="O919" s="117" t="str">
        <f>IF(kokpit!O919&lt;&gt;"",kokpit!O919,"")</f>
        <v/>
      </c>
      <c r="P919" s="141" t="str">
        <f>IF(M919&lt;&gt;"",IF(O919="",SUMIFS('JPK_KR-1'!AL:AL,'JPK_KR-1'!W:W,N919),SUMIFS('JPK_KR-1'!BF:BF,'JPK_KR-1'!BE:BE,N919,'JPK_KR-1'!BG:BG,O919)),"")</f>
        <v/>
      </c>
      <c r="Q919" s="144" t="str">
        <f>IF(M919&lt;&gt;"",IF(O919="",SUMIFS('JPK_KR-1'!AM:AM,'JPK_KR-1'!W:W,N919),SUMIFS('JPK_KR-1'!BI:BI,'JPK_KR-1'!BH:BH,N919,'JPK_KR-1'!BJ:BJ,O919)),"")</f>
        <v/>
      </c>
      <c r="R919" s="117" t="str">
        <f>IF(kokpit!R919&lt;&gt;"",kokpit!R919,"")</f>
        <v/>
      </c>
      <c r="S919" s="117" t="str">
        <f>IF(kokpit!S919&lt;&gt;"",kokpit!S919,"")</f>
        <v/>
      </c>
      <c r="T919" s="117" t="str">
        <f>IF(kokpit!T919&lt;&gt;"",kokpit!T919,"")</f>
        <v/>
      </c>
      <c r="U919" s="141" t="str">
        <f>IF(R919&lt;&gt;"",SUMIFS('JPK_KR-1'!AL:AL,'JPK_KR-1'!W:W,S919),"")</f>
        <v/>
      </c>
      <c r="V919" s="144" t="str">
        <f>IF(R919&lt;&gt;"",SUMIFS('JPK_KR-1'!AM:AM,'JPK_KR-1'!W:W,S919),"")</f>
        <v/>
      </c>
    </row>
    <row r="920" spans="1:22" x14ac:dyDescent="0.3">
      <c r="A920" s="5" t="str">
        <f>IF(kokpit!A920&lt;&gt;"",kokpit!A920,"")</f>
        <v/>
      </c>
      <c r="B920" s="5" t="str">
        <f>IF(kokpit!B920&lt;&gt;"",kokpit!B920,"")</f>
        <v/>
      </c>
      <c r="C920" s="24" t="str">
        <f>IF(A920&lt;&gt;"",SUMIFS('JPK_KR-1'!AL:AL,'JPK_KR-1'!W:W,B920),"")</f>
        <v/>
      </c>
      <c r="D920" s="126" t="str">
        <f>IF(A920&lt;&gt;"",SUMIFS('JPK_KR-1'!AM:AM,'JPK_KR-1'!W:W,B920),"")</f>
        <v/>
      </c>
      <c r="E920" s="5" t="str">
        <f>IF(kokpit!E920&lt;&gt;"",kokpit!E920,"")</f>
        <v/>
      </c>
      <c r="F920" s="127" t="str">
        <f>IF(kokpit!F920&lt;&gt;"",kokpit!F920,"")</f>
        <v/>
      </c>
      <c r="G920" s="24" t="str">
        <f>IF(E920&lt;&gt;"",SUMIFS('JPK_KR-1'!AL:AL,'JPK_KR-1'!W:W,F920),"")</f>
        <v/>
      </c>
      <c r="H920" s="126" t="str">
        <f>IF(E920&lt;&gt;"",SUMIFS('JPK_KR-1'!AM:AM,'JPK_KR-1'!W:W,F920),"")</f>
        <v/>
      </c>
      <c r="I920" s="5" t="str">
        <f>IF(kokpit!I920&lt;&gt;"",kokpit!I920,"")</f>
        <v/>
      </c>
      <c r="J920" s="5" t="str">
        <f>IF(kokpit!J920&lt;&gt;"",kokpit!J920,"")</f>
        <v/>
      </c>
      <c r="K920" s="24" t="str">
        <f>IF(I920&lt;&gt;"",SUMIFS('JPK_KR-1'!AL:AL,'JPK_KR-1'!W:W,J920),"")</f>
        <v/>
      </c>
      <c r="L920" s="141" t="str">
        <f>IF(I920&lt;&gt;"",SUMIFS('JPK_KR-1'!AM:AM,'JPK_KR-1'!W:W,J920),"")</f>
        <v/>
      </c>
      <c r="M920" s="143" t="str">
        <f>IF(kokpit!M920&lt;&gt;"",kokpit!M920,"")</f>
        <v/>
      </c>
      <c r="N920" s="117" t="str">
        <f>IF(kokpit!N920&lt;&gt;"",kokpit!N920,"")</f>
        <v/>
      </c>
      <c r="O920" s="117" t="str">
        <f>IF(kokpit!O920&lt;&gt;"",kokpit!O920,"")</f>
        <v/>
      </c>
      <c r="P920" s="141" t="str">
        <f>IF(M920&lt;&gt;"",IF(O920="",SUMIFS('JPK_KR-1'!AL:AL,'JPK_KR-1'!W:W,N920),SUMIFS('JPK_KR-1'!BF:BF,'JPK_KR-1'!BE:BE,N920,'JPK_KR-1'!BG:BG,O920)),"")</f>
        <v/>
      </c>
      <c r="Q920" s="144" t="str">
        <f>IF(M920&lt;&gt;"",IF(O920="",SUMIFS('JPK_KR-1'!AM:AM,'JPK_KR-1'!W:W,N920),SUMIFS('JPK_KR-1'!BI:BI,'JPK_KR-1'!BH:BH,N920,'JPK_KR-1'!BJ:BJ,O920)),"")</f>
        <v/>
      </c>
      <c r="R920" s="117" t="str">
        <f>IF(kokpit!R920&lt;&gt;"",kokpit!R920,"")</f>
        <v/>
      </c>
      <c r="S920" s="117" t="str">
        <f>IF(kokpit!S920&lt;&gt;"",kokpit!S920,"")</f>
        <v/>
      </c>
      <c r="T920" s="117" t="str">
        <f>IF(kokpit!T920&lt;&gt;"",kokpit!T920,"")</f>
        <v/>
      </c>
      <c r="U920" s="141" t="str">
        <f>IF(R920&lt;&gt;"",SUMIFS('JPK_KR-1'!AL:AL,'JPK_KR-1'!W:W,S920),"")</f>
        <v/>
      </c>
      <c r="V920" s="144" t="str">
        <f>IF(R920&lt;&gt;"",SUMIFS('JPK_KR-1'!AM:AM,'JPK_KR-1'!W:W,S920),"")</f>
        <v/>
      </c>
    </row>
    <row r="921" spans="1:22" x14ac:dyDescent="0.3">
      <c r="A921" s="5" t="str">
        <f>IF(kokpit!A921&lt;&gt;"",kokpit!A921,"")</f>
        <v/>
      </c>
      <c r="B921" s="5" t="str">
        <f>IF(kokpit!B921&lt;&gt;"",kokpit!B921,"")</f>
        <v/>
      </c>
      <c r="C921" s="24" t="str">
        <f>IF(A921&lt;&gt;"",SUMIFS('JPK_KR-1'!AL:AL,'JPK_KR-1'!W:W,B921),"")</f>
        <v/>
      </c>
      <c r="D921" s="126" t="str">
        <f>IF(A921&lt;&gt;"",SUMIFS('JPK_KR-1'!AM:AM,'JPK_KR-1'!W:W,B921),"")</f>
        <v/>
      </c>
      <c r="E921" s="5" t="str">
        <f>IF(kokpit!E921&lt;&gt;"",kokpit!E921,"")</f>
        <v/>
      </c>
      <c r="F921" s="127" t="str">
        <f>IF(kokpit!F921&lt;&gt;"",kokpit!F921,"")</f>
        <v/>
      </c>
      <c r="G921" s="24" t="str">
        <f>IF(E921&lt;&gt;"",SUMIFS('JPK_KR-1'!AL:AL,'JPK_KR-1'!W:W,F921),"")</f>
        <v/>
      </c>
      <c r="H921" s="126" t="str">
        <f>IF(E921&lt;&gt;"",SUMIFS('JPK_KR-1'!AM:AM,'JPK_KR-1'!W:W,F921),"")</f>
        <v/>
      </c>
      <c r="I921" s="5" t="str">
        <f>IF(kokpit!I921&lt;&gt;"",kokpit!I921,"")</f>
        <v/>
      </c>
      <c r="J921" s="5" t="str">
        <f>IF(kokpit!J921&lt;&gt;"",kokpit!J921,"")</f>
        <v/>
      </c>
      <c r="K921" s="24" t="str">
        <f>IF(I921&lt;&gt;"",SUMIFS('JPK_KR-1'!AL:AL,'JPK_KR-1'!W:W,J921),"")</f>
        <v/>
      </c>
      <c r="L921" s="141" t="str">
        <f>IF(I921&lt;&gt;"",SUMIFS('JPK_KR-1'!AM:AM,'JPK_KR-1'!W:W,J921),"")</f>
        <v/>
      </c>
      <c r="M921" s="143" t="str">
        <f>IF(kokpit!M921&lt;&gt;"",kokpit!M921,"")</f>
        <v/>
      </c>
      <c r="N921" s="117" t="str">
        <f>IF(kokpit!N921&lt;&gt;"",kokpit!N921,"")</f>
        <v/>
      </c>
      <c r="O921" s="117" t="str">
        <f>IF(kokpit!O921&lt;&gt;"",kokpit!O921,"")</f>
        <v/>
      </c>
      <c r="P921" s="141" t="str">
        <f>IF(M921&lt;&gt;"",IF(O921="",SUMIFS('JPK_KR-1'!AL:AL,'JPK_KR-1'!W:W,N921),SUMIFS('JPK_KR-1'!BF:BF,'JPK_KR-1'!BE:BE,N921,'JPK_KR-1'!BG:BG,O921)),"")</f>
        <v/>
      </c>
      <c r="Q921" s="144" t="str">
        <f>IF(M921&lt;&gt;"",IF(O921="",SUMIFS('JPK_KR-1'!AM:AM,'JPK_KR-1'!W:W,N921),SUMIFS('JPK_KR-1'!BI:BI,'JPK_KR-1'!BH:BH,N921,'JPK_KR-1'!BJ:BJ,O921)),"")</f>
        <v/>
      </c>
      <c r="R921" s="117" t="str">
        <f>IF(kokpit!R921&lt;&gt;"",kokpit!R921,"")</f>
        <v/>
      </c>
      <c r="S921" s="117" t="str">
        <f>IF(kokpit!S921&lt;&gt;"",kokpit!S921,"")</f>
        <v/>
      </c>
      <c r="T921" s="117" t="str">
        <f>IF(kokpit!T921&lt;&gt;"",kokpit!T921,"")</f>
        <v/>
      </c>
      <c r="U921" s="141" t="str">
        <f>IF(R921&lt;&gt;"",SUMIFS('JPK_KR-1'!AL:AL,'JPK_KR-1'!W:W,S921),"")</f>
        <v/>
      </c>
      <c r="V921" s="144" t="str">
        <f>IF(R921&lt;&gt;"",SUMIFS('JPK_KR-1'!AM:AM,'JPK_KR-1'!W:W,S921),"")</f>
        <v/>
      </c>
    </row>
    <row r="922" spans="1:22" x14ac:dyDescent="0.3">
      <c r="A922" s="5" t="str">
        <f>IF(kokpit!A922&lt;&gt;"",kokpit!A922,"")</f>
        <v/>
      </c>
      <c r="B922" s="5" t="str">
        <f>IF(kokpit!B922&lt;&gt;"",kokpit!B922,"")</f>
        <v/>
      </c>
      <c r="C922" s="24" t="str">
        <f>IF(A922&lt;&gt;"",SUMIFS('JPK_KR-1'!AL:AL,'JPK_KR-1'!W:W,B922),"")</f>
        <v/>
      </c>
      <c r="D922" s="126" t="str">
        <f>IF(A922&lt;&gt;"",SUMIFS('JPK_KR-1'!AM:AM,'JPK_KR-1'!W:W,B922),"")</f>
        <v/>
      </c>
      <c r="E922" s="5" t="str">
        <f>IF(kokpit!E922&lt;&gt;"",kokpit!E922,"")</f>
        <v/>
      </c>
      <c r="F922" s="127" t="str">
        <f>IF(kokpit!F922&lt;&gt;"",kokpit!F922,"")</f>
        <v/>
      </c>
      <c r="G922" s="24" t="str">
        <f>IF(E922&lt;&gt;"",SUMIFS('JPK_KR-1'!AL:AL,'JPK_KR-1'!W:W,F922),"")</f>
        <v/>
      </c>
      <c r="H922" s="126" t="str">
        <f>IF(E922&lt;&gt;"",SUMIFS('JPK_KR-1'!AM:AM,'JPK_KR-1'!W:W,F922),"")</f>
        <v/>
      </c>
      <c r="I922" s="5" t="str">
        <f>IF(kokpit!I922&lt;&gt;"",kokpit!I922,"")</f>
        <v/>
      </c>
      <c r="J922" s="5" t="str">
        <f>IF(kokpit!J922&lt;&gt;"",kokpit!J922,"")</f>
        <v/>
      </c>
      <c r="K922" s="24" t="str">
        <f>IF(I922&lt;&gt;"",SUMIFS('JPK_KR-1'!AL:AL,'JPK_KR-1'!W:W,J922),"")</f>
        <v/>
      </c>
      <c r="L922" s="141" t="str">
        <f>IF(I922&lt;&gt;"",SUMIFS('JPK_KR-1'!AM:AM,'JPK_KR-1'!W:W,J922),"")</f>
        <v/>
      </c>
      <c r="M922" s="143" t="str">
        <f>IF(kokpit!M922&lt;&gt;"",kokpit!M922,"")</f>
        <v/>
      </c>
      <c r="N922" s="117" t="str">
        <f>IF(kokpit!N922&lt;&gt;"",kokpit!N922,"")</f>
        <v/>
      </c>
      <c r="O922" s="117" t="str">
        <f>IF(kokpit!O922&lt;&gt;"",kokpit!O922,"")</f>
        <v/>
      </c>
      <c r="P922" s="141" t="str">
        <f>IF(M922&lt;&gt;"",IF(O922="",SUMIFS('JPK_KR-1'!AL:AL,'JPK_KR-1'!W:W,N922),SUMIFS('JPK_KR-1'!BF:BF,'JPK_KR-1'!BE:BE,N922,'JPK_KR-1'!BG:BG,O922)),"")</f>
        <v/>
      </c>
      <c r="Q922" s="144" t="str">
        <f>IF(M922&lt;&gt;"",IF(O922="",SUMIFS('JPK_KR-1'!AM:AM,'JPK_KR-1'!W:W,N922),SUMIFS('JPK_KR-1'!BI:BI,'JPK_KR-1'!BH:BH,N922,'JPK_KR-1'!BJ:BJ,O922)),"")</f>
        <v/>
      </c>
      <c r="R922" s="117" t="str">
        <f>IF(kokpit!R922&lt;&gt;"",kokpit!R922,"")</f>
        <v/>
      </c>
      <c r="S922" s="117" t="str">
        <f>IF(kokpit!S922&lt;&gt;"",kokpit!S922,"")</f>
        <v/>
      </c>
      <c r="T922" s="117" t="str">
        <f>IF(kokpit!T922&lt;&gt;"",kokpit!T922,"")</f>
        <v/>
      </c>
      <c r="U922" s="141" t="str">
        <f>IF(R922&lt;&gt;"",SUMIFS('JPK_KR-1'!AL:AL,'JPK_KR-1'!W:W,S922),"")</f>
        <v/>
      </c>
      <c r="V922" s="144" t="str">
        <f>IF(R922&lt;&gt;"",SUMIFS('JPK_KR-1'!AM:AM,'JPK_KR-1'!W:W,S922),"")</f>
        <v/>
      </c>
    </row>
    <row r="923" spans="1:22" x14ac:dyDescent="0.3">
      <c r="A923" s="5" t="str">
        <f>IF(kokpit!A923&lt;&gt;"",kokpit!A923,"")</f>
        <v/>
      </c>
      <c r="B923" s="5" t="str">
        <f>IF(kokpit!B923&lt;&gt;"",kokpit!B923,"")</f>
        <v/>
      </c>
      <c r="C923" s="24" t="str">
        <f>IF(A923&lt;&gt;"",SUMIFS('JPK_KR-1'!AL:AL,'JPK_KR-1'!W:W,B923),"")</f>
        <v/>
      </c>
      <c r="D923" s="126" t="str">
        <f>IF(A923&lt;&gt;"",SUMIFS('JPK_KR-1'!AM:AM,'JPK_KR-1'!W:W,B923),"")</f>
        <v/>
      </c>
      <c r="E923" s="5" t="str">
        <f>IF(kokpit!E923&lt;&gt;"",kokpit!E923,"")</f>
        <v/>
      </c>
      <c r="F923" s="127" t="str">
        <f>IF(kokpit!F923&lt;&gt;"",kokpit!F923,"")</f>
        <v/>
      </c>
      <c r="G923" s="24" t="str">
        <f>IF(E923&lt;&gt;"",SUMIFS('JPK_KR-1'!AL:AL,'JPK_KR-1'!W:W,F923),"")</f>
        <v/>
      </c>
      <c r="H923" s="126" t="str">
        <f>IF(E923&lt;&gt;"",SUMIFS('JPK_KR-1'!AM:AM,'JPK_KR-1'!W:W,F923),"")</f>
        <v/>
      </c>
      <c r="I923" s="5" t="str">
        <f>IF(kokpit!I923&lt;&gt;"",kokpit!I923,"")</f>
        <v/>
      </c>
      <c r="J923" s="5" t="str">
        <f>IF(kokpit!J923&lt;&gt;"",kokpit!J923,"")</f>
        <v/>
      </c>
      <c r="K923" s="24" t="str">
        <f>IF(I923&lt;&gt;"",SUMIFS('JPK_KR-1'!AL:AL,'JPK_KR-1'!W:W,J923),"")</f>
        <v/>
      </c>
      <c r="L923" s="141" t="str">
        <f>IF(I923&lt;&gt;"",SUMIFS('JPK_KR-1'!AM:AM,'JPK_KR-1'!W:W,J923),"")</f>
        <v/>
      </c>
      <c r="M923" s="143" t="str">
        <f>IF(kokpit!M923&lt;&gt;"",kokpit!M923,"")</f>
        <v/>
      </c>
      <c r="N923" s="117" t="str">
        <f>IF(kokpit!N923&lt;&gt;"",kokpit!N923,"")</f>
        <v/>
      </c>
      <c r="O923" s="117" t="str">
        <f>IF(kokpit!O923&lt;&gt;"",kokpit!O923,"")</f>
        <v/>
      </c>
      <c r="P923" s="141" t="str">
        <f>IF(M923&lt;&gt;"",IF(O923="",SUMIFS('JPK_KR-1'!AL:AL,'JPK_KR-1'!W:W,N923),SUMIFS('JPK_KR-1'!BF:BF,'JPK_KR-1'!BE:BE,N923,'JPK_KR-1'!BG:BG,O923)),"")</f>
        <v/>
      </c>
      <c r="Q923" s="144" t="str">
        <f>IF(M923&lt;&gt;"",IF(O923="",SUMIFS('JPK_KR-1'!AM:AM,'JPK_KR-1'!W:W,N923),SUMIFS('JPK_KR-1'!BI:BI,'JPK_KR-1'!BH:BH,N923,'JPK_KR-1'!BJ:BJ,O923)),"")</f>
        <v/>
      </c>
      <c r="R923" s="117" t="str">
        <f>IF(kokpit!R923&lt;&gt;"",kokpit!R923,"")</f>
        <v/>
      </c>
      <c r="S923" s="117" t="str">
        <f>IF(kokpit!S923&lt;&gt;"",kokpit!S923,"")</f>
        <v/>
      </c>
      <c r="T923" s="117" t="str">
        <f>IF(kokpit!T923&lt;&gt;"",kokpit!T923,"")</f>
        <v/>
      </c>
      <c r="U923" s="141" t="str">
        <f>IF(R923&lt;&gt;"",SUMIFS('JPK_KR-1'!AL:AL,'JPK_KR-1'!W:W,S923),"")</f>
        <v/>
      </c>
      <c r="V923" s="144" t="str">
        <f>IF(R923&lt;&gt;"",SUMIFS('JPK_KR-1'!AM:AM,'JPK_KR-1'!W:W,S923),"")</f>
        <v/>
      </c>
    </row>
    <row r="924" spans="1:22" x14ac:dyDescent="0.3">
      <c r="A924" s="5" t="str">
        <f>IF(kokpit!A924&lt;&gt;"",kokpit!A924,"")</f>
        <v/>
      </c>
      <c r="B924" s="5" t="str">
        <f>IF(kokpit!B924&lt;&gt;"",kokpit!B924,"")</f>
        <v/>
      </c>
      <c r="C924" s="24" t="str">
        <f>IF(A924&lt;&gt;"",SUMIFS('JPK_KR-1'!AL:AL,'JPK_KR-1'!W:W,B924),"")</f>
        <v/>
      </c>
      <c r="D924" s="126" t="str">
        <f>IF(A924&lt;&gt;"",SUMIFS('JPK_KR-1'!AM:AM,'JPK_KR-1'!W:W,B924),"")</f>
        <v/>
      </c>
      <c r="E924" s="5" t="str">
        <f>IF(kokpit!E924&lt;&gt;"",kokpit!E924,"")</f>
        <v/>
      </c>
      <c r="F924" s="127" t="str">
        <f>IF(kokpit!F924&lt;&gt;"",kokpit!F924,"")</f>
        <v/>
      </c>
      <c r="G924" s="24" t="str">
        <f>IF(E924&lt;&gt;"",SUMIFS('JPK_KR-1'!AL:AL,'JPK_KR-1'!W:W,F924),"")</f>
        <v/>
      </c>
      <c r="H924" s="126" t="str">
        <f>IF(E924&lt;&gt;"",SUMIFS('JPK_KR-1'!AM:AM,'JPK_KR-1'!W:W,F924),"")</f>
        <v/>
      </c>
      <c r="I924" s="5" t="str">
        <f>IF(kokpit!I924&lt;&gt;"",kokpit!I924,"")</f>
        <v/>
      </c>
      <c r="J924" s="5" t="str">
        <f>IF(kokpit!J924&lt;&gt;"",kokpit!J924,"")</f>
        <v/>
      </c>
      <c r="K924" s="24" t="str">
        <f>IF(I924&lt;&gt;"",SUMIFS('JPK_KR-1'!AL:AL,'JPK_KR-1'!W:W,J924),"")</f>
        <v/>
      </c>
      <c r="L924" s="141" t="str">
        <f>IF(I924&lt;&gt;"",SUMIFS('JPK_KR-1'!AM:AM,'JPK_KR-1'!W:W,J924),"")</f>
        <v/>
      </c>
      <c r="M924" s="143" t="str">
        <f>IF(kokpit!M924&lt;&gt;"",kokpit!M924,"")</f>
        <v/>
      </c>
      <c r="N924" s="117" t="str">
        <f>IF(kokpit!N924&lt;&gt;"",kokpit!N924,"")</f>
        <v/>
      </c>
      <c r="O924" s="117" t="str">
        <f>IF(kokpit!O924&lt;&gt;"",kokpit!O924,"")</f>
        <v/>
      </c>
      <c r="P924" s="141" t="str">
        <f>IF(M924&lt;&gt;"",IF(O924="",SUMIFS('JPK_KR-1'!AL:AL,'JPK_KR-1'!W:W,N924),SUMIFS('JPK_KR-1'!BF:BF,'JPK_KR-1'!BE:BE,N924,'JPK_KR-1'!BG:BG,O924)),"")</f>
        <v/>
      </c>
      <c r="Q924" s="144" t="str">
        <f>IF(M924&lt;&gt;"",IF(O924="",SUMIFS('JPK_KR-1'!AM:AM,'JPK_KR-1'!W:W,N924),SUMIFS('JPK_KR-1'!BI:BI,'JPK_KR-1'!BH:BH,N924,'JPK_KR-1'!BJ:BJ,O924)),"")</f>
        <v/>
      </c>
      <c r="R924" s="117" t="str">
        <f>IF(kokpit!R924&lt;&gt;"",kokpit!R924,"")</f>
        <v/>
      </c>
      <c r="S924" s="117" t="str">
        <f>IF(kokpit!S924&lt;&gt;"",kokpit!S924,"")</f>
        <v/>
      </c>
      <c r="T924" s="117" t="str">
        <f>IF(kokpit!T924&lt;&gt;"",kokpit!T924,"")</f>
        <v/>
      </c>
      <c r="U924" s="141" t="str">
        <f>IF(R924&lt;&gt;"",SUMIFS('JPK_KR-1'!AL:AL,'JPK_KR-1'!W:W,S924),"")</f>
        <v/>
      </c>
      <c r="V924" s="144" t="str">
        <f>IF(R924&lt;&gt;"",SUMIFS('JPK_KR-1'!AM:AM,'JPK_KR-1'!W:W,S924),"")</f>
        <v/>
      </c>
    </row>
    <row r="925" spans="1:22" x14ac:dyDescent="0.3">
      <c r="A925" s="5" t="str">
        <f>IF(kokpit!A925&lt;&gt;"",kokpit!A925,"")</f>
        <v/>
      </c>
      <c r="B925" s="5" t="str">
        <f>IF(kokpit!B925&lt;&gt;"",kokpit!B925,"")</f>
        <v/>
      </c>
      <c r="C925" s="24" t="str">
        <f>IF(A925&lt;&gt;"",SUMIFS('JPK_KR-1'!AL:AL,'JPK_KR-1'!W:W,B925),"")</f>
        <v/>
      </c>
      <c r="D925" s="126" t="str">
        <f>IF(A925&lt;&gt;"",SUMIFS('JPK_KR-1'!AM:AM,'JPK_KR-1'!W:W,B925),"")</f>
        <v/>
      </c>
      <c r="E925" s="5" t="str">
        <f>IF(kokpit!E925&lt;&gt;"",kokpit!E925,"")</f>
        <v/>
      </c>
      <c r="F925" s="127" t="str">
        <f>IF(kokpit!F925&lt;&gt;"",kokpit!F925,"")</f>
        <v/>
      </c>
      <c r="G925" s="24" t="str">
        <f>IF(E925&lt;&gt;"",SUMIFS('JPK_KR-1'!AL:AL,'JPK_KR-1'!W:W,F925),"")</f>
        <v/>
      </c>
      <c r="H925" s="126" t="str">
        <f>IF(E925&lt;&gt;"",SUMIFS('JPK_KR-1'!AM:AM,'JPK_KR-1'!W:W,F925),"")</f>
        <v/>
      </c>
      <c r="I925" s="5" t="str">
        <f>IF(kokpit!I925&lt;&gt;"",kokpit!I925,"")</f>
        <v/>
      </c>
      <c r="J925" s="5" t="str">
        <f>IF(kokpit!J925&lt;&gt;"",kokpit!J925,"")</f>
        <v/>
      </c>
      <c r="K925" s="24" t="str">
        <f>IF(I925&lt;&gt;"",SUMIFS('JPK_KR-1'!AL:AL,'JPK_KR-1'!W:W,J925),"")</f>
        <v/>
      </c>
      <c r="L925" s="141" t="str">
        <f>IF(I925&lt;&gt;"",SUMIFS('JPK_KR-1'!AM:AM,'JPK_KR-1'!W:W,J925),"")</f>
        <v/>
      </c>
      <c r="M925" s="143" t="str">
        <f>IF(kokpit!M925&lt;&gt;"",kokpit!M925,"")</f>
        <v/>
      </c>
      <c r="N925" s="117" t="str">
        <f>IF(kokpit!N925&lt;&gt;"",kokpit!N925,"")</f>
        <v/>
      </c>
      <c r="O925" s="117" t="str">
        <f>IF(kokpit!O925&lt;&gt;"",kokpit!O925,"")</f>
        <v/>
      </c>
      <c r="P925" s="141" t="str">
        <f>IF(M925&lt;&gt;"",IF(O925="",SUMIFS('JPK_KR-1'!AL:AL,'JPK_KR-1'!W:W,N925),SUMIFS('JPK_KR-1'!BF:BF,'JPK_KR-1'!BE:BE,N925,'JPK_KR-1'!BG:BG,O925)),"")</f>
        <v/>
      </c>
      <c r="Q925" s="144" t="str">
        <f>IF(M925&lt;&gt;"",IF(O925="",SUMIFS('JPK_KR-1'!AM:AM,'JPK_KR-1'!W:W,N925),SUMIFS('JPK_KR-1'!BI:BI,'JPK_KR-1'!BH:BH,N925,'JPK_KR-1'!BJ:BJ,O925)),"")</f>
        <v/>
      </c>
      <c r="R925" s="117" t="str">
        <f>IF(kokpit!R925&lt;&gt;"",kokpit!R925,"")</f>
        <v/>
      </c>
      <c r="S925" s="117" t="str">
        <f>IF(kokpit!S925&lt;&gt;"",kokpit!S925,"")</f>
        <v/>
      </c>
      <c r="T925" s="117" t="str">
        <f>IF(kokpit!T925&lt;&gt;"",kokpit!T925,"")</f>
        <v/>
      </c>
      <c r="U925" s="141" t="str">
        <f>IF(R925&lt;&gt;"",SUMIFS('JPK_KR-1'!AL:AL,'JPK_KR-1'!W:W,S925),"")</f>
        <v/>
      </c>
      <c r="V925" s="144" t="str">
        <f>IF(R925&lt;&gt;"",SUMIFS('JPK_KR-1'!AM:AM,'JPK_KR-1'!W:W,S925),"")</f>
        <v/>
      </c>
    </row>
    <row r="926" spans="1:22" x14ac:dyDescent="0.3">
      <c r="A926" s="5" t="str">
        <f>IF(kokpit!A926&lt;&gt;"",kokpit!A926,"")</f>
        <v/>
      </c>
      <c r="B926" s="5" t="str">
        <f>IF(kokpit!B926&lt;&gt;"",kokpit!B926,"")</f>
        <v/>
      </c>
      <c r="C926" s="24" t="str">
        <f>IF(A926&lt;&gt;"",SUMIFS('JPK_KR-1'!AL:AL,'JPK_KR-1'!W:W,B926),"")</f>
        <v/>
      </c>
      <c r="D926" s="126" t="str">
        <f>IF(A926&lt;&gt;"",SUMIFS('JPK_KR-1'!AM:AM,'JPK_KR-1'!W:W,B926),"")</f>
        <v/>
      </c>
      <c r="E926" s="5" t="str">
        <f>IF(kokpit!E926&lt;&gt;"",kokpit!E926,"")</f>
        <v/>
      </c>
      <c r="F926" s="127" t="str">
        <f>IF(kokpit!F926&lt;&gt;"",kokpit!F926,"")</f>
        <v/>
      </c>
      <c r="G926" s="24" t="str">
        <f>IF(E926&lt;&gt;"",SUMIFS('JPK_KR-1'!AL:AL,'JPK_KR-1'!W:W,F926),"")</f>
        <v/>
      </c>
      <c r="H926" s="126" t="str">
        <f>IF(E926&lt;&gt;"",SUMIFS('JPK_KR-1'!AM:AM,'JPK_KR-1'!W:W,F926),"")</f>
        <v/>
      </c>
      <c r="I926" s="5" t="str">
        <f>IF(kokpit!I926&lt;&gt;"",kokpit!I926,"")</f>
        <v/>
      </c>
      <c r="J926" s="5" t="str">
        <f>IF(kokpit!J926&lt;&gt;"",kokpit!J926,"")</f>
        <v/>
      </c>
      <c r="K926" s="24" t="str">
        <f>IF(I926&lt;&gt;"",SUMIFS('JPK_KR-1'!AL:AL,'JPK_KR-1'!W:W,J926),"")</f>
        <v/>
      </c>
      <c r="L926" s="141" t="str">
        <f>IF(I926&lt;&gt;"",SUMIFS('JPK_KR-1'!AM:AM,'JPK_KR-1'!W:W,J926),"")</f>
        <v/>
      </c>
      <c r="M926" s="143" t="str">
        <f>IF(kokpit!M926&lt;&gt;"",kokpit!M926,"")</f>
        <v/>
      </c>
      <c r="N926" s="117" t="str">
        <f>IF(kokpit!N926&lt;&gt;"",kokpit!N926,"")</f>
        <v/>
      </c>
      <c r="O926" s="117" t="str">
        <f>IF(kokpit!O926&lt;&gt;"",kokpit!O926,"")</f>
        <v/>
      </c>
      <c r="P926" s="141" t="str">
        <f>IF(M926&lt;&gt;"",IF(O926="",SUMIFS('JPK_KR-1'!AL:AL,'JPK_KR-1'!W:W,N926),SUMIFS('JPK_KR-1'!BF:BF,'JPK_KR-1'!BE:BE,N926,'JPK_KR-1'!BG:BG,O926)),"")</f>
        <v/>
      </c>
      <c r="Q926" s="144" t="str">
        <f>IF(M926&lt;&gt;"",IF(O926="",SUMIFS('JPK_KR-1'!AM:AM,'JPK_KR-1'!W:W,N926),SUMIFS('JPK_KR-1'!BI:BI,'JPK_KR-1'!BH:BH,N926,'JPK_KR-1'!BJ:BJ,O926)),"")</f>
        <v/>
      </c>
      <c r="R926" s="117" t="str">
        <f>IF(kokpit!R926&lt;&gt;"",kokpit!R926,"")</f>
        <v/>
      </c>
      <c r="S926" s="117" t="str">
        <f>IF(kokpit!S926&lt;&gt;"",kokpit!S926,"")</f>
        <v/>
      </c>
      <c r="T926" s="117" t="str">
        <f>IF(kokpit!T926&lt;&gt;"",kokpit!T926,"")</f>
        <v/>
      </c>
      <c r="U926" s="141" t="str">
        <f>IF(R926&lt;&gt;"",SUMIFS('JPK_KR-1'!AL:AL,'JPK_KR-1'!W:W,S926),"")</f>
        <v/>
      </c>
      <c r="V926" s="144" t="str">
        <f>IF(R926&lt;&gt;"",SUMIFS('JPK_KR-1'!AM:AM,'JPK_KR-1'!W:W,S926),"")</f>
        <v/>
      </c>
    </row>
    <row r="927" spans="1:22" x14ac:dyDescent="0.3">
      <c r="A927" s="5" t="str">
        <f>IF(kokpit!A927&lt;&gt;"",kokpit!A927,"")</f>
        <v/>
      </c>
      <c r="B927" s="5" t="str">
        <f>IF(kokpit!B927&lt;&gt;"",kokpit!B927,"")</f>
        <v/>
      </c>
      <c r="C927" s="24" t="str">
        <f>IF(A927&lt;&gt;"",SUMIFS('JPK_KR-1'!AL:AL,'JPK_KR-1'!W:W,B927),"")</f>
        <v/>
      </c>
      <c r="D927" s="126" t="str">
        <f>IF(A927&lt;&gt;"",SUMIFS('JPK_KR-1'!AM:AM,'JPK_KR-1'!W:W,B927),"")</f>
        <v/>
      </c>
      <c r="E927" s="5" t="str">
        <f>IF(kokpit!E927&lt;&gt;"",kokpit!E927,"")</f>
        <v/>
      </c>
      <c r="F927" s="127" t="str">
        <f>IF(kokpit!F927&lt;&gt;"",kokpit!F927,"")</f>
        <v/>
      </c>
      <c r="G927" s="24" t="str">
        <f>IF(E927&lt;&gt;"",SUMIFS('JPK_KR-1'!AL:AL,'JPK_KR-1'!W:W,F927),"")</f>
        <v/>
      </c>
      <c r="H927" s="126" t="str">
        <f>IF(E927&lt;&gt;"",SUMIFS('JPK_KR-1'!AM:AM,'JPK_KR-1'!W:W,F927),"")</f>
        <v/>
      </c>
      <c r="I927" s="5" t="str">
        <f>IF(kokpit!I927&lt;&gt;"",kokpit!I927,"")</f>
        <v/>
      </c>
      <c r="J927" s="5" t="str">
        <f>IF(kokpit!J927&lt;&gt;"",kokpit!J927,"")</f>
        <v/>
      </c>
      <c r="K927" s="24" t="str">
        <f>IF(I927&lt;&gt;"",SUMIFS('JPK_KR-1'!AL:AL,'JPK_KR-1'!W:W,J927),"")</f>
        <v/>
      </c>
      <c r="L927" s="141" t="str">
        <f>IF(I927&lt;&gt;"",SUMIFS('JPK_KR-1'!AM:AM,'JPK_KR-1'!W:W,J927),"")</f>
        <v/>
      </c>
      <c r="M927" s="143" t="str">
        <f>IF(kokpit!M927&lt;&gt;"",kokpit!M927,"")</f>
        <v/>
      </c>
      <c r="N927" s="117" t="str">
        <f>IF(kokpit!N927&lt;&gt;"",kokpit!N927,"")</f>
        <v/>
      </c>
      <c r="O927" s="117" t="str">
        <f>IF(kokpit!O927&lt;&gt;"",kokpit!O927,"")</f>
        <v/>
      </c>
      <c r="P927" s="141" t="str">
        <f>IF(M927&lt;&gt;"",IF(O927="",SUMIFS('JPK_KR-1'!AL:AL,'JPK_KR-1'!W:W,N927),SUMIFS('JPK_KR-1'!BF:BF,'JPK_KR-1'!BE:BE,N927,'JPK_KR-1'!BG:BG,O927)),"")</f>
        <v/>
      </c>
      <c r="Q927" s="144" t="str">
        <f>IF(M927&lt;&gt;"",IF(O927="",SUMIFS('JPK_KR-1'!AM:AM,'JPK_KR-1'!W:W,N927),SUMIFS('JPK_KR-1'!BI:BI,'JPK_KR-1'!BH:BH,N927,'JPK_KR-1'!BJ:BJ,O927)),"")</f>
        <v/>
      </c>
      <c r="R927" s="117" t="str">
        <f>IF(kokpit!R927&lt;&gt;"",kokpit!R927,"")</f>
        <v/>
      </c>
      <c r="S927" s="117" t="str">
        <f>IF(kokpit!S927&lt;&gt;"",kokpit!S927,"")</f>
        <v/>
      </c>
      <c r="T927" s="117" t="str">
        <f>IF(kokpit!T927&lt;&gt;"",kokpit!T927,"")</f>
        <v/>
      </c>
      <c r="U927" s="141" t="str">
        <f>IF(R927&lt;&gt;"",SUMIFS('JPK_KR-1'!AL:AL,'JPK_KR-1'!W:W,S927),"")</f>
        <v/>
      </c>
      <c r="V927" s="144" t="str">
        <f>IF(R927&lt;&gt;"",SUMIFS('JPK_KR-1'!AM:AM,'JPK_KR-1'!W:W,S927),"")</f>
        <v/>
      </c>
    </row>
    <row r="928" spans="1:22" x14ac:dyDescent="0.3">
      <c r="A928" s="5" t="str">
        <f>IF(kokpit!A928&lt;&gt;"",kokpit!A928,"")</f>
        <v/>
      </c>
      <c r="B928" s="5" t="str">
        <f>IF(kokpit!B928&lt;&gt;"",kokpit!B928,"")</f>
        <v/>
      </c>
      <c r="C928" s="24" t="str">
        <f>IF(A928&lt;&gt;"",SUMIFS('JPK_KR-1'!AL:AL,'JPK_KR-1'!W:W,B928),"")</f>
        <v/>
      </c>
      <c r="D928" s="126" t="str">
        <f>IF(A928&lt;&gt;"",SUMIFS('JPK_KR-1'!AM:AM,'JPK_KR-1'!W:W,B928),"")</f>
        <v/>
      </c>
      <c r="E928" s="5" t="str">
        <f>IF(kokpit!E928&lt;&gt;"",kokpit!E928,"")</f>
        <v/>
      </c>
      <c r="F928" s="127" t="str">
        <f>IF(kokpit!F928&lt;&gt;"",kokpit!F928,"")</f>
        <v/>
      </c>
      <c r="G928" s="24" t="str">
        <f>IF(E928&lt;&gt;"",SUMIFS('JPK_KR-1'!AL:AL,'JPK_KR-1'!W:W,F928),"")</f>
        <v/>
      </c>
      <c r="H928" s="126" t="str">
        <f>IF(E928&lt;&gt;"",SUMIFS('JPK_KR-1'!AM:AM,'JPK_KR-1'!W:W,F928),"")</f>
        <v/>
      </c>
      <c r="I928" s="5" t="str">
        <f>IF(kokpit!I928&lt;&gt;"",kokpit!I928,"")</f>
        <v/>
      </c>
      <c r="J928" s="5" t="str">
        <f>IF(kokpit!J928&lt;&gt;"",kokpit!J928,"")</f>
        <v/>
      </c>
      <c r="K928" s="24" t="str">
        <f>IF(I928&lt;&gt;"",SUMIFS('JPK_KR-1'!AL:AL,'JPK_KR-1'!W:W,J928),"")</f>
        <v/>
      </c>
      <c r="L928" s="141" t="str">
        <f>IF(I928&lt;&gt;"",SUMIFS('JPK_KR-1'!AM:AM,'JPK_KR-1'!W:W,J928),"")</f>
        <v/>
      </c>
      <c r="M928" s="143" t="str">
        <f>IF(kokpit!M928&lt;&gt;"",kokpit!M928,"")</f>
        <v/>
      </c>
      <c r="N928" s="117" t="str">
        <f>IF(kokpit!N928&lt;&gt;"",kokpit!N928,"")</f>
        <v/>
      </c>
      <c r="O928" s="117" t="str">
        <f>IF(kokpit!O928&lt;&gt;"",kokpit!O928,"")</f>
        <v/>
      </c>
      <c r="P928" s="141" t="str">
        <f>IF(M928&lt;&gt;"",IF(O928="",SUMIFS('JPK_KR-1'!AL:AL,'JPK_KR-1'!W:W,N928),SUMIFS('JPK_KR-1'!BF:BF,'JPK_KR-1'!BE:BE,N928,'JPK_KR-1'!BG:BG,O928)),"")</f>
        <v/>
      </c>
      <c r="Q928" s="144" t="str">
        <f>IF(M928&lt;&gt;"",IF(O928="",SUMIFS('JPK_KR-1'!AM:AM,'JPK_KR-1'!W:W,N928),SUMIFS('JPK_KR-1'!BI:BI,'JPK_KR-1'!BH:BH,N928,'JPK_KR-1'!BJ:BJ,O928)),"")</f>
        <v/>
      </c>
      <c r="R928" s="117" t="str">
        <f>IF(kokpit!R928&lt;&gt;"",kokpit!R928,"")</f>
        <v/>
      </c>
      <c r="S928" s="117" t="str">
        <f>IF(kokpit!S928&lt;&gt;"",kokpit!S928,"")</f>
        <v/>
      </c>
      <c r="T928" s="117" t="str">
        <f>IF(kokpit!T928&lt;&gt;"",kokpit!T928,"")</f>
        <v/>
      </c>
      <c r="U928" s="141" t="str">
        <f>IF(R928&lt;&gt;"",SUMIFS('JPK_KR-1'!AL:AL,'JPK_KR-1'!W:W,S928),"")</f>
        <v/>
      </c>
      <c r="V928" s="144" t="str">
        <f>IF(R928&lt;&gt;"",SUMIFS('JPK_KR-1'!AM:AM,'JPK_KR-1'!W:W,S928),"")</f>
        <v/>
      </c>
    </row>
    <row r="929" spans="1:22" x14ac:dyDescent="0.3">
      <c r="A929" s="5" t="str">
        <f>IF(kokpit!A929&lt;&gt;"",kokpit!A929,"")</f>
        <v/>
      </c>
      <c r="B929" s="5" t="str">
        <f>IF(kokpit!B929&lt;&gt;"",kokpit!B929,"")</f>
        <v/>
      </c>
      <c r="C929" s="24" t="str">
        <f>IF(A929&lt;&gt;"",SUMIFS('JPK_KR-1'!AL:AL,'JPK_KR-1'!W:W,B929),"")</f>
        <v/>
      </c>
      <c r="D929" s="126" t="str">
        <f>IF(A929&lt;&gt;"",SUMIFS('JPK_KR-1'!AM:AM,'JPK_KR-1'!W:W,B929),"")</f>
        <v/>
      </c>
      <c r="E929" s="5" t="str">
        <f>IF(kokpit!E929&lt;&gt;"",kokpit!E929,"")</f>
        <v/>
      </c>
      <c r="F929" s="127" t="str">
        <f>IF(kokpit!F929&lt;&gt;"",kokpit!F929,"")</f>
        <v/>
      </c>
      <c r="G929" s="24" t="str">
        <f>IF(E929&lt;&gt;"",SUMIFS('JPK_KR-1'!AL:AL,'JPK_KR-1'!W:W,F929),"")</f>
        <v/>
      </c>
      <c r="H929" s="126" t="str">
        <f>IF(E929&lt;&gt;"",SUMIFS('JPK_KR-1'!AM:AM,'JPK_KR-1'!W:W,F929),"")</f>
        <v/>
      </c>
      <c r="I929" s="5" t="str">
        <f>IF(kokpit!I929&lt;&gt;"",kokpit!I929,"")</f>
        <v/>
      </c>
      <c r="J929" s="5" t="str">
        <f>IF(kokpit!J929&lt;&gt;"",kokpit!J929,"")</f>
        <v/>
      </c>
      <c r="K929" s="24" t="str">
        <f>IF(I929&lt;&gt;"",SUMIFS('JPK_KR-1'!AL:AL,'JPK_KR-1'!W:W,J929),"")</f>
        <v/>
      </c>
      <c r="L929" s="141" t="str">
        <f>IF(I929&lt;&gt;"",SUMIFS('JPK_KR-1'!AM:AM,'JPK_KR-1'!W:W,J929),"")</f>
        <v/>
      </c>
      <c r="M929" s="143" t="str">
        <f>IF(kokpit!M929&lt;&gt;"",kokpit!M929,"")</f>
        <v/>
      </c>
      <c r="N929" s="117" t="str">
        <f>IF(kokpit!N929&lt;&gt;"",kokpit!N929,"")</f>
        <v/>
      </c>
      <c r="O929" s="117" t="str">
        <f>IF(kokpit!O929&lt;&gt;"",kokpit!O929,"")</f>
        <v/>
      </c>
      <c r="P929" s="141" t="str">
        <f>IF(M929&lt;&gt;"",IF(O929="",SUMIFS('JPK_KR-1'!AL:AL,'JPK_KR-1'!W:W,N929),SUMIFS('JPK_KR-1'!BF:BF,'JPK_KR-1'!BE:BE,N929,'JPK_KR-1'!BG:BG,O929)),"")</f>
        <v/>
      </c>
      <c r="Q929" s="144" t="str">
        <f>IF(M929&lt;&gt;"",IF(O929="",SUMIFS('JPK_KR-1'!AM:AM,'JPK_KR-1'!W:W,N929),SUMIFS('JPK_KR-1'!BI:BI,'JPK_KR-1'!BH:BH,N929,'JPK_KR-1'!BJ:BJ,O929)),"")</f>
        <v/>
      </c>
      <c r="R929" s="117" t="str">
        <f>IF(kokpit!R929&lt;&gt;"",kokpit!R929,"")</f>
        <v/>
      </c>
      <c r="S929" s="117" t="str">
        <f>IF(kokpit!S929&lt;&gt;"",kokpit!S929,"")</f>
        <v/>
      </c>
      <c r="T929" s="117" t="str">
        <f>IF(kokpit!T929&lt;&gt;"",kokpit!T929,"")</f>
        <v/>
      </c>
      <c r="U929" s="141" t="str">
        <f>IF(R929&lt;&gt;"",SUMIFS('JPK_KR-1'!AL:AL,'JPK_KR-1'!W:W,S929),"")</f>
        <v/>
      </c>
      <c r="V929" s="144" t="str">
        <f>IF(R929&lt;&gt;"",SUMIFS('JPK_KR-1'!AM:AM,'JPK_KR-1'!W:W,S929),"")</f>
        <v/>
      </c>
    </row>
    <row r="930" spans="1:22" x14ac:dyDescent="0.3">
      <c r="A930" s="5" t="str">
        <f>IF(kokpit!A930&lt;&gt;"",kokpit!A930,"")</f>
        <v/>
      </c>
      <c r="B930" s="5" t="str">
        <f>IF(kokpit!B930&lt;&gt;"",kokpit!B930,"")</f>
        <v/>
      </c>
      <c r="C930" s="24" t="str">
        <f>IF(A930&lt;&gt;"",SUMIFS('JPK_KR-1'!AL:AL,'JPK_KR-1'!W:W,B930),"")</f>
        <v/>
      </c>
      <c r="D930" s="126" t="str">
        <f>IF(A930&lt;&gt;"",SUMIFS('JPK_KR-1'!AM:AM,'JPK_KR-1'!W:W,B930),"")</f>
        <v/>
      </c>
      <c r="E930" s="5" t="str">
        <f>IF(kokpit!E930&lt;&gt;"",kokpit!E930,"")</f>
        <v/>
      </c>
      <c r="F930" s="127" t="str">
        <f>IF(kokpit!F930&lt;&gt;"",kokpit!F930,"")</f>
        <v/>
      </c>
      <c r="G930" s="24" t="str">
        <f>IF(E930&lt;&gt;"",SUMIFS('JPK_KR-1'!AL:AL,'JPK_KR-1'!W:W,F930),"")</f>
        <v/>
      </c>
      <c r="H930" s="126" t="str">
        <f>IF(E930&lt;&gt;"",SUMIFS('JPK_KR-1'!AM:AM,'JPK_KR-1'!W:W,F930),"")</f>
        <v/>
      </c>
      <c r="I930" s="5" t="str">
        <f>IF(kokpit!I930&lt;&gt;"",kokpit!I930,"")</f>
        <v/>
      </c>
      <c r="J930" s="5" t="str">
        <f>IF(kokpit!J930&lt;&gt;"",kokpit!J930,"")</f>
        <v/>
      </c>
      <c r="K930" s="24" t="str">
        <f>IF(I930&lt;&gt;"",SUMIFS('JPK_KR-1'!AL:AL,'JPK_KR-1'!W:W,J930),"")</f>
        <v/>
      </c>
      <c r="L930" s="141" t="str">
        <f>IF(I930&lt;&gt;"",SUMIFS('JPK_KR-1'!AM:AM,'JPK_KR-1'!W:W,J930),"")</f>
        <v/>
      </c>
      <c r="M930" s="143" t="str">
        <f>IF(kokpit!M930&lt;&gt;"",kokpit!M930,"")</f>
        <v/>
      </c>
      <c r="N930" s="117" t="str">
        <f>IF(kokpit!N930&lt;&gt;"",kokpit!N930,"")</f>
        <v/>
      </c>
      <c r="O930" s="117" t="str">
        <f>IF(kokpit!O930&lt;&gt;"",kokpit!O930,"")</f>
        <v/>
      </c>
      <c r="P930" s="141" t="str">
        <f>IF(M930&lt;&gt;"",IF(O930="",SUMIFS('JPK_KR-1'!AL:AL,'JPK_KR-1'!W:W,N930),SUMIFS('JPK_KR-1'!BF:BF,'JPK_KR-1'!BE:BE,N930,'JPK_KR-1'!BG:BG,O930)),"")</f>
        <v/>
      </c>
      <c r="Q930" s="144" t="str">
        <f>IF(M930&lt;&gt;"",IF(O930="",SUMIFS('JPK_KR-1'!AM:AM,'JPK_KR-1'!W:W,N930),SUMIFS('JPK_KR-1'!BI:BI,'JPK_KR-1'!BH:BH,N930,'JPK_KR-1'!BJ:BJ,O930)),"")</f>
        <v/>
      </c>
      <c r="R930" s="117" t="str">
        <f>IF(kokpit!R930&lt;&gt;"",kokpit!R930,"")</f>
        <v/>
      </c>
      <c r="S930" s="117" t="str">
        <f>IF(kokpit!S930&lt;&gt;"",kokpit!S930,"")</f>
        <v/>
      </c>
      <c r="T930" s="117" t="str">
        <f>IF(kokpit!T930&lt;&gt;"",kokpit!T930,"")</f>
        <v/>
      </c>
      <c r="U930" s="141" t="str">
        <f>IF(R930&lt;&gt;"",SUMIFS('JPK_KR-1'!AL:AL,'JPK_KR-1'!W:W,S930),"")</f>
        <v/>
      </c>
      <c r="V930" s="144" t="str">
        <f>IF(R930&lt;&gt;"",SUMIFS('JPK_KR-1'!AM:AM,'JPK_KR-1'!W:W,S930),"")</f>
        <v/>
      </c>
    </row>
    <row r="931" spans="1:22" x14ac:dyDescent="0.3">
      <c r="A931" s="5" t="str">
        <f>IF(kokpit!A931&lt;&gt;"",kokpit!A931,"")</f>
        <v/>
      </c>
      <c r="B931" s="5" t="str">
        <f>IF(kokpit!B931&lt;&gt;"",kokpit!B931,"")</f>
        <v/>
      </c>
      <c r="C931" s="24" t="str">
        <f>IF(A931&lt;&gt;"",SUMIFS('JPK_KR-1'!AL:AL,'JPK_KR-1'!W:W,B931),"")</f>
        <v/>
      </c>
      <c r="D931" s="126" t="str">
        <f>IF(A931&lt;&gt;"",SUMIFS('JPK_KR-1'!AM:AM,'JPK_KR-1'!W:W,B931),"")</f>
        <v/>
      </c>
      <c r="E931" s="5" t="str">
        <f>IF(kokpit!E931&lt;&gt;"",kokpit!E931,"")</f>
        <v/>
      </c>
      <c r="F931" s="127" t="str">
        <f>IF(kokpit!F931&lt;&gt;"",kokpit!F931,"")</f>
        <v/>
      </c>
      <c r="G931" s="24" t="str">
        <f>IF(E931&lt;&gt;"",SUMIFS('JPK_KR-1'!AL:AL,'JPK_KR-1'!W:W,F931),"")</f>
        <v/>
      </c>
      <c r="H931" s="126" t="str">
        <f>IF(E931&lt;&gt;"",SUMIFS('JPK_KR-1'!AM:AM,'JPK_KR-1'!W:W,F931),"")</f>
        <v/>
      </c>
      <c r="I931" s="5" t="str">
        <f>IF(kokpit!I931&lt;&gt;"",kokpit!I931,"")</f>
        <v/>
      </c>
      <c r="J931" s="5" t="str">
        <f>IF(kokpit!J931&lt;&gt;"",kokpit!J931,"")</f>
        <v/>
      </c>
      <c r="K931" s="24" t="str">
        <f>IF(I931&lt;&gt;"",SUMIFS('JPK_KR-1'!AL:AL,'JPK_KR-1'!W:W,J931),"")</f>
        <v/>
      </c>
      <c r="L931" s="141" t="str">
        <f>IF(I931&lt;&gt;"",SUMIFS('JPK_KR-1'!AM:AM,'JPK_KR-1'!W:W,J931),"")</f>
        <v/>
      </c>
      <c r="M931" s="143" t="str">
        <f>IF(kokpit!M931&lt;&gt;"",kokpit!M931,"")</f>
        <v/>
      </c>
      <c r="N931" s="117" t="str">
        <f>IF(kokpit!N931&lt;&gt;"",kokpit!N931,"")</f>
        <v/>
      </c>
      <c r="O931" s="117" t="str">
        <f>IF(kokpit!O931&lt;&gt;"",kokpit!O931,"")</f>
        <v/>
      </c>
      <c r="P931" s="141" t="str">
        <f>IF(M931&lt;&gt;"",IF(O931="",SUMIFS('JPK_KR-1'!AL:AL,'JPK_KR-1'!W:W,N931),SUMIFS('JPK_KR-1'!BF:BF,'JPK_KR-1'!BE:BE,N931,'JPK_KR-1'!BG:BG,O931)),"")</f>
        <v/>
      </c>
      <c r="Q931" s="144" t="str">
        <f>IF(M931&lt;&gt;"",IF(O931="",SUMIFS('JPK_KR-1'!AM:AM,'JPK_KR-1'!W:W,N931),SUMIFS('JPK_KR-1'!BI:BI,'JPK_KR-1'!BH:BH,N931,'JPK_KR-1'!BJ:BJ,O931)),"")</f>
        <v/>
      </c>
      <c r="R931" s="117" t="str">
        <f>IF(kokpit!R931&lt;&gt;"",kokpit!R931,"")</f>
        <v/>
      </c>
      <c r="S931" s="117" t="str">
        <f>IF(kokpit!S931&lt;&gt;"",kokpit!S931,"")</f>
        <v/>
      </c>
      <c r="T931" s="117" t="str">
        <f>IF(kokpit!T931&lt;&gt;"",kokpit!T931,"")</f>
        <v/>
      </c>
      <c r="U931" s="141" t="str">
        <f>IF(R931&lt;&gt;"",SUMIFS('JPK_KR-1'!AL:AL,'JPK_KR-1'!W:W,S931),"")</f>
        <v/>
      </c>
      <c r="V931" s="144" t="str">
        <f>IF(R931&lt;&gt;"",SUMIFS('JPK_KR-1'!AM:AM,'JPK_KR-1'!W:W,S931),"")</f>
        <v/>
      </c>
    </row>
    <row r="932" spans="1:22" x14ac:dyDescent="0.3">
      <c r="A932" s="5" t="str">
        <f>IF(kokpit!A932&lt;&gt;"",kokpit!A932,"")</f>
        <v/>
      </c>
      <c r="B932" s="5" t="str">
        <f>IF(kokpit!B932&lt;&gt;"",kokpit!B932,"")</f>
        <v/>
      </c>
      <c r="C932" s="24" t="str">
        <f>IF(A932&lt;&gt;"",SUMIFS('JPK_KR-1'!AL:AL,'JPK_KR-1'!W:W,B932),"")</f>
        <v/>
      </c>
      <c r="D932" s="126" t="str">
        <f>IF(A932&lt;&gt;"",SUMIFS('JPK_KR-1'!AM:AM,'JPK_KR-1'!W:W,B932),"")</f>
        <v/>
      </c>
      <c r="E932" s="5" t="str">
        <f>IF(kokpit!E932&lt;&gt;"",kokpit!E932,"")</f>
        <v/>
      </c>
      <c r="F932" s="127" t="str">
        <f>IF(kokpit!F932&lt;&gt;"",kokpit!F932,"")</f>
        <v/>
      </c>
      <c r="G932" s="24" t="str">
        <f>IF(E932&lt;&gt;"",SUMIFS('JPK_KR-1'!AL:AL,'JPK_KR-1'!W:W,F932),"")</f>
        <v/>
      </c>
      <c r="H932" s="126" t="str">
        <f>IF(E932&lt;&gt;"",SUMIFS('JPK_KR-1'!AM:AM,'JPK_KR-1'!W:W,F932),"")</f>
        <v/>
      </c>
      <c r="I932" s="5" t="str">
        <f>IF(kokpit!I932&lt;&gt;"",kokpit!I932,"")</f>
        <v/>
      </c>
      <c r="J932" s="5" t="str">
        <f>IF(kokpit!J932&lt;&gt;"",kokpit!J932,"")</f>
        <v/>
      </c>
      <c r="K932" s="24" t="str">
        <f>IF(I932&lt;&gt;"",SUMIFS('JPK_KR-1'!AL:AL,'JPK_KR-1'!W:W,J932),"")</f>
        <v/>
      </c>
      <c r="L932" s="141" t="str">
        <f>IF(I932&lt;&gt;"",SUMIFS('JPK_KR-1'!AM:AM,'JPK_KR-1'!W:W,J932),"")</f>
        <v/>
      </c>
      <c r="M932" s="143" t="str">
        <f>IF(kokpit!M932&lt;&gt;"",kokpit!M932,"")</f>
        <v/>
      </c>
      <c r="N932" s="117" t="str">
        <f>IF(kokpit!N932&lt;&gt;"",kokpit!N932,"")</f>
        <v/>
      </c>
      <c r="O932" s="117" t="str">
        <f>IF(kokpit!O932&lt;&gt;"",kokpit!O932,"")</f>
        <v/>
      </c>
      <c r="P932" s="141" t="str">
        <f>IF(M932&lt;&gt;"",IF(O932="",SUMIFS('JPK_KR-1'!AL:AL,'JPK_KR-1'!W:W,N932),SUMIFS('JPK_KR-1'!BF:BF,'JPK_KR-1'!BE:BE,N932,'JPK_KR-1'!BG:BG,O932)),"")</f>
        <v/>
      </c>
      <c r="Q932" s="144" t="str">
        <f>IF(M932&lt;&gt;"",IF(O932="",SUMIFS('JPK_KR-1'!AM:AM,'JPK_KR-1'!W:W,N932),SUMIFS('JPK_KR-1'!BI:BI,'JPK_KR-1'!BH:BH,N932,'JPK_KR-1'!BJ:BJ,O932)),"")</f>
        <v/>
      </c>
      <c r="R932" s="117" t="str">
        <f>IF(kokpit!R932&lt;&gt;"",kokpit!R932,"")</f>
        <v/>
      </c>
      <c r="S932" s="117" t="str">
        <f>IF(kokpit!S932&lt;&gt;"",kokpit!S932,"")</f>
        <v/>
      </c>
      <c r="T932" s="117" t="str">
        <f>IF(kokpit!T932&lt;&gt;"",kokpit!T932,"")</f>
        <v/>
      </c>
      <c r="U932" s="141" t="str">
        <f>IF(R932&lt;&gt;"",SUMIFS('JPK_KR-1'!AL:AL,'JPK_KR-1'!W:W,S932),"")</f>
        <v/>
      </c>
      <c r="V932" s="144" t="str">
        <f>IF(R932&lt;&gt;"",SUMIFS('JPK_KR-1'!AM:AM,'JPK_KR-1'!W:W,S932),"")</f>
        <v/>
      </c>
    </row>
    <row r="933" spans="1:22" x14ac:dyDescent="0.3">
      <c r="A933" s="5" t="str">
        <f>IF(kokpit!A933&lt;&gt;"",kokpit!A933,"")</f>
        <v/>
      </c>
      <c r="B933" s="5" t="str">
        <f>IF(kokpit!B933&lt;&gt;"",kokpit!B933,"")</f>
        <v/>
      </c>
      <c r="C933" s="24" t="str">
        <f>IF(A933&lt;&gt;"",SUMIFS('JPK_KR-1'!AL:AL,'JPK_KR-1'!W:W,B933),"")</f>
        <v/>
      </c>
      <c r="D933" s="126" t="str">
        <f>IF(A933&lt;&gt;"",SUMIFS('JPK_KR-1'!AM:AM,'JPK_KR-1'!W:W,B933),"")</f>
        <v/>
      </c>
      <c r="E933" s="5" t="str">
        <f>IF(kokpit!E933&lt;&gt;"",kokpit!E933,"")</f>
        <v/>
      </c>
      <c r="F933" s="127" t="str">
        <f>IF(kokpit!F933&lt;&gt;"",kokpit!F933,"")</f>
        <v/>
      </c>
      <c r="G933" s="24" t="str">
        <f>IF(E933&lt;&gt;"",SUMIFS('JPK_KR-1'!AL:AL,'JPK_KR-1'!W:W,F933),"")</f>
        <v/>
      </c>
      <c r="H933" s="126" t="str">
        <f>IF(E933&lt;&gt;"",SUMIFS('JPK_KR-1'!AM:AM,'JPK_KR-1'!W:W,F933),"")</f>
        <v/>
      </c>
      <c r="I933" s="5" t="str">
        <f>IF(kokpit!I933&lt;&gt;"",kokpit!I933,"")</f>
        <v/>
      </c>
      <c r="J933" s="5" t="str">
        <f>IF(kokpit!J933&lt;&gt;"",kokpit!J933,"")</f>
        <v/>
      </c>
      <c r="K933" s="24" t="str">
        <f>IF(I933&lt;&gt;"",SUMIFS('JPK_KR-1'!AL:AL,'JPK_KR-1'!W:W,J933),"")</f>
        <v/>
      </c>
      <c r="L933" s="141" t="str">
        <f>IF(I933&lt;&gt;"",SUMIFS('JPK_KR-1'!AM:AM,'JPK_KR-1'!W:W,J933),"")</f>
        <v/>
      </c>
      <c r="M933" s="143" t="str">
        <f>IF(kokpit!M933&lt;&gt;"",kokpit!M933,"")</f>
        <v/>
      </c>
      <c r="N933" s="117" t="str">
        <f>IF(kokpit!N933&lt;&gt;"",kokpit!N933,"")</f>
        <v/>
      </c>
      <c r="O933" s="117" t="str">
        <f>IF(kokpit!O933&lt;&gt;"",kokpit!O933,"")</f>
        <v/>
      </c>
      <c r="P933" s="141" t="str">
        <f>IF(M933&lt;&gt;"",IF(O933="",SUMIFS('JPK_KR-1'!AL:AL,'JPK_KR-1'!W:W,N933),SUMIFS('JPK_KR-1'!BF:BF,'JPK_KR-1'!BE:BE,N933,'JPK_KR-1'!BG:BG,O933)),"")</f>
        <v/>
      </c>
      <c r="Q933" s="144" t="str">
        <f>IF(M933&lt;&gt;"",IF(O933="",SUMIFS('JPK_KR-1'!AM:AM,'JPK_KR-1'!W:W,N933),SUMIFS('JPK_KR-1'!BI:BI,'JPK_KR-1'!BH:BH,N933,'JPK_KR-1'!BJ:BJ,O933)),"")</f>
        <v/>
      </c>
      <c r="R933" s="117" t="str">
        <f>IF(kokpit!R933&lt;&gt;"",kokpit!R933,"")</f>
        <v/>
      </c>
      <c r="S933" s="117" t="str">
        <f>IF(kokpit!S933&lt;&gt;"",kokpit!S933,"")</f>
        <v/>
      </c>
      <c r="T933" s="117" t="str">
        <f>IF(kokpit!T933&lt;&gt;"",kokpit!T933,"")</f>
        <v/>
      </c>
      <c r="U933" s="141" t="str">
        <f>IF(R933&lt;&gt;"",SUMIFS('JPK_KR-1'!AL:AL,'JPK_KR-1'!W:W,S933),"")</f>
        <v/>
      </c>
      <c r="V933" s="144" t="str">
        <f>IF(R933&lt;&gt;"",SUMIFS('JPK_KR-1'!AM:AM,'JPK_KR-1'!W:W,S933),"")</f>
        <v/>
      </c>
    </row>
    <row r="934" spans="1:22" x14ac:dyDescent="0.3">
      <c r="A934" s="5" t="str">
        <f>IF(kokpit!A934&lt;&gt;"",kokpit!A934,"")</f>
        <v/>
      </c>
      <c r="B934" s="5" t="str">
        <f>IF(kokpit!B934&lt;&gt;"",kokpit!B934,"")</f>
        <v/>
      </c>
      <c r="C934" s="24" t="str">
        <f>IF(A934&lt;&gt;"",SUMIFS('JPK_KR-1'!AL:AL,'JPK_KR-1'!W:W,B934),"")</f>
        <v/>
      </c>
      <c r="D934" s="126" t="str">
        <f>IF(A934&lt;&gt;"",SUMIFS('JPK_KR-1'!AM:AM,'JPK_KR-1'!W:W,B934),"")</f>
        <v/>
      </c>
      <c r="E934" s="5" t="str">
        <f>IF(kokpit!E934&lt;&gt;"",kokpit!E934,"")</f>
        <v/>
      </c>
      <c r="F934" s="127" t="str">
        <f>IF(kokpit!F934&lt;&gt;"",kokpit!F934,"")</f>
        <v/>
      </c>
      <c r="G934" s="24" t="str">
        <f>IF(E934&lt;&gt;"",SUMIFS('JPK_KR-1'!AL:AL,'JPK_KR-1'!W:W,F934),"")</f>
        <v/>
      </c>
      <c r="H934" s="126" t="str">
        <f>IF(E934&lt;&gt;"",SUMIFS('JPK_KR-1'!AM:AM,'JPK_KR-1'!W:W,F934),"")</f>
        <v/>
      </c>
      <c r="I934" s="5" t="str">
        <f>IF(kokpit!I934&lt;&gt;"",kokpit!I934,"")</f>
        <v/>
      </c>
      <c r="J934" s="5" t="str">
        <f>IF(kokpit!J934&lt;&gt;"",kokpit!J934,"")</f>
        <v/>
      </c>
      <c r="K934" s="24" t="str">
        <f>IF(I934&lt;&gt;"",SUMIFS('JPK_KR-1'!AL:AL,'JPK_KR-1'!W:W,J934),"")</f>
        <v/>
      </c>
      <c r="L934" s="141" t="str">
        <f>IF(I934&lt;&gt;"",SUMIFS('JPK_KR-1'!AM:AM,'JPK_KR-1'!W:W,J934),"")</f>
        <v/>
      </c>
      <c r="M934" s="143" t="str">
        <f>IF(kokpit!M934&lt;&gt;"",kokpit!M934,"")</f>
        <v/>
      </c>
      <c r="N934" s="117" t="str">
        <f>IF(kokpit!N934&lt;&gt;"",kokpit!N934,"")</f>
        <v/>
      </c>
      <c r="O934" s="117" t="str">
        <f>IF(kokpit!O934&lt;&gt;"",kokpit!O934,"")</f>
        <v/>
      </c>
      <c r="P934" s="141" t="str">
        <f>IF(M934&lt;&gt;"",IF(O934="",SUMIFS('JPK_KR-1'!AL:AL,'JPK_KR-1'!W:W,N934),SUMIFS('JPK_KR-1'!BF:BF,'JPK_KR-1'!BE:BE,N934,'JPK_KR-1'!BG:BG,O934)),"")</f>
        <v/>
      </c>
      <c r="Q934" s="144" t="str">
        <f>IF(M934&lt;&gt;"",IF(O934="",SUMIFS('JPK_KR-1'!AM:AM,'JPK_KR-1'!W:W,N934),SUMIFS('JPK_KR-1'!BI:BI,'JPK_KR-1'!BH:BH,N934,'JPK_KR-1'!BJ:BJ,O934)),"")</f>
        <v/>
      </c>
      <c r="R934" s="117" t="str">
        <f>IF(kokpit!R934&lt;&gt;"",kokpit!R934,"")</f>
        <v/>
      </c>
      <c r="S934" s="117" t="str">
        <f>IF(kokpit!S934&lt;&gt;"",kokpit!S934,"")</f>
        <v/>
      </c>
      <c r="T934" s="117" t="str">
        <f>IF(kokpit!T934&lt;&gt;"",kokpit!T934,"")</f>
        <v/>
      </c>
      <c r="U934" s="141" t="str">
        <f>IF(R934&lt;&gt;"",SUMIFS('JPK_KR-1'!AL:AL,'JPK_KR-1'!W:W,S934),"")</f>
        <v/>
      </c>
      <c r="V934" s="144" t="str">
        <f>IF(R934&lt;&gt;"",SUMIFS('JPK_KR-1'!AM:AM,'JPK_KR-1'!W:W,S934),"")</f>
        <v/>
      </c>
    </row>
    <row r="935" spans="1:22" x14ac:dyDescent="0.3">
      <c r="A935" s="5" t="str">
        <f>IF(kokpit!A935&lt;&gt;"",kokpit!A935,"")</f>
        <v/>
      </c>
      <c r="B935" s="5" t="str">
        <f>IF(kokpit!B935&lt;&gt;"",kokpit!B935,"")</f>
        <v/>
      </c>
      <c r="C935" s="24" t="str">
        <f>IF(A935&lt;&gt;"",SUMIFS('JPK_KR-1'!AL:AL,'JPK_KR-1'!W:W,B935),"")</f>
        <v/>
      </c>
      <c r="D935" s="126" t="str">
        <f>IF(A935&lt;&gt;"",SUMIFS('JPK_KR-1'!AM:AM,'JPK_KR-1'!W:W,B935),"")</f>
        <v/>
      </c>
      <c r="E935" s="5" t="str">
        <f>IF(kokpit!E935&lt;&gt;"",kokpit!E935,"")</f>
        <v/>
      </c>
      <c r="F935" s="127" t="str">
        <f>IF(kokpit!F935&lt;&gt;"",kokpit!F935,"")</f>
        <v/>
      </c>
      <c r="G935" s="24" t="str">
        <f>IF(E935&lt;&gt;"",SUMIFS('JPK_KR-1'!AL:AL,'JPK_KR-1'!W:W,F935),"")</f>
        <v/>
      </c>
      <c r="H935" s="126" t="str">
        <f>IF(E935&lt;&gt;"",SUMIFS('JPK_KR-1'!AM:AM,'JPK_KR-1'!W:W,F935),"")</f>
        <v/>
      </c>
      <c r="I935" s="5" t="str">
        <f>IF(kokpit!I935&lt;&gt;"",kokpit!I935,"")</f>
        <v/>
      </c>
      <c r="J935" s="5" t="str">
        <f>IF(kokpit!J935&lt;&gt;"",kokpit!J935,"")</f>
        <v/>
      </c>
      <c r="K935" s="24" t="str">
        <f>IF(I935&lt;&gt;"",SUMIFS('JPK_KR-1'!AL:AL,'JPK_KR-1'!W:W,J935),"")</f>
        <v/>
      </c>
      <c r="L935" s="141" t="str">
        <f>IF(I935&lt;&gt;"",SUMIFS('JPK_KR-1'!AM:AM,'JPK_KR-1'!W:W,J935),"")</f>
        <v/>
      </c>
      <c r="M935" s="143" t="str">
        <f>IF(kokpit!M935&lt;&gt;"",kokpit!M935,"")</f>
        <v/>
      </c>
      <c r="N935" s="117" t="str">
        <f>IF(kokpit!N935&lt;&gt;"",kokpit!N935,"")</f>
        <v/>
      </c>
      <c r="O935" s="117" t="str">
        <f>IF(kokpit!O935&lt;&gt;"",kokpit!O935,"")</f>
        <v/>
      </c>
      <c r="P935" s="141" t="str">
        <f>IF(M935&lt;&gt;"",IF(O935="",SUMIFS('JPK_KR-1'!AL:AL,'JPK_KR-1'!W:W,N935),SUMIFS('JPK_KR-1'!BF:BF,'JPK_KR-1'!BE:BE,N935,'JPK_KR-1'!BG:BG,O935)),"")</f>
        <v/>
      </c>
      <c r="Q935" s="144" t="str">
        <f>IF(M935&lt;&gt;"",IF(O935="",SUMIFS('JPK_KR-1'!AM:AM,'JPK_KR-1'!W:W,N935),SUMIFS('JPK_KR-1'!BI:BI,'JPK_KR-1'!BH:BH,N935,'JPK_KR-1'!BJ:BJ,O935)),"")</f>
        <v/>
      </c>
      <c r="R935" s="117" t="str">
        <f>IF(kokpit!R935&lt;&gt;"",kokpit!R935,"")</f>
        <v/>
      </c>
      <c r="S935" s="117" t="str">
        <f>IF(kokpit!S935&lt;&gt;"",kokpit!S935,"")</f>
        <v/>
      </c>
      <c r="T935" s="117" t="str">
        <f>IF(kokpit!T935&lt;&gt;"",kokpit!T935,"")</f>
        <v/>
      </c>
      <c r="U935" s="141" t="str">
        <f>IF(R935&lt;&gt;"",SUMIFS('JPK_KR-1'!AL:AL,'JPK_KR-1'!W:W,S935),"")</f>
        <v/>
      </c>
      <c r="V935" s="144" t="str">
        <f>IF(R935&lt;&gt;"",SUMIFS('JPK_KR-1'!AM:AM,'JPK_KR-1'!W:W,S935),"")</f>
        <v/>
      </c>
    </row>
    <row r="936" spans="1:22" x14ac:dyDescent="0.3">
      <c r="A936" s="5" t="str">
        <f>IF(kokpit!A936&lt;&gt;"",kokpit!A936,"")</f>
        <v/>
      </c>
      <c r="B936" s="5" t="str">
        <f>IF(kokpit!B936&lt;&gt;"",kokpit!B936,"")</f>
        <v/>
      </c>
      <c r="C936" s="24" t="str">
        <f>IF(A936&lt;&gt;"",SUMIFS('JPK_KR-1'!AL:AL,'JPK_KR-1'!W:W,B936),"")</f>
        <v/>
      </c>
      <c r="D936" s="126" t="str">
        <f>IF(A936&lt;&gt;"",SUMIFS('JPK_KR-1'!AM:AM,'JPK_KR-1'!W:W,B936),"")</f>
        <v/>
      </c>
      <c r="E936" s="5" t="str">
        <f>IF(kokpit!E936&lt;&gt;"",kokpit!E936,"")</f>
        <v/>
      </c>
      <c r="F936" s="127" t="str">
        <f>IF(kokpit!F936&lt;&gt;"",kokpit!F936,"")</f>
        <v/>
      </c>
      <c r="G936" s="24" t="str">
        <f>IF(E936&lt;&gt;"",SUMIFS('JPK_KR-1'!AL:AL,'JPK_KR-1'!W:W,F936),"")</f>
        <v/>
      </c>
      <c r="H936" s="126" t="str">
        <f>IF(E936&lt;&gt;"",SUMIFS('JPK_KR-1'!AM:AM,'JPK_KR-1'!W:W,F936),"")</f>
        <v/>
      </c>
      <c r="I936" s="5" t="str">
        <f>IF(kokpit!I936&lt;&gt;"",kokpit!I936,"")</f>
        <v/>
      </c>
      <c r="J936" s="5" t="str">
        <f>IF(kokpit!J936&lt;&gt;"",kokpit!J936,"")</f>
        <v/>
      </c>
      <c r="K936" s="24" t="str">
        <f>IF(I936&lt;&gt;"",SUMIFS('JPK_KR-1'!AL:AL,'JPK_KR-1'!W:W,J936),"")</f>
        <v/>
      </c>
      <c r="L936" s="141" t="str">
        <f>IF(I936&lt;&gt;"",SUMIFS('JPK_KR-1'!AM:AM,'JPK_KR-1'!W:W,J936),"")</f>
        <v/>
      </c>
      <c r="M936" s="143" t="str">
        <f>IF(kokpit!M936&lt;&gt;"",kokpit!M936,"")</f>
        <v/>
      </c>
      <c r="N936" s="117" t="str">
        <f>IF(kokpit!N936&lt;&gt;"",kokpit!N936,"")</f>
        <v/>
      </c>
      <c r="O936" s="117" t="str">
        <f>IF(kokpit!O936&lt;&gt;"",kokpit!O936,"")</f>
        <v/>
      </c>
      <c r="P936" s="141" t="str">
        <f>IF(M936&lt;&gt;"",IF(O936="",SUMIFS('JPK_KR-1'!AL:AL,'JPK_KR-1'!W:W,N936),SUMIFS('JPK_KR-1'!BF:BF,'JPK_KR-1'!BE:BE,N936,'JPK_KR-1'!BG:BG,O936)),"")</f>
        <v/>
      </c>
      <c r="Q936" s="144" t="str">
        <f>IF(M936&lt;&gt;"",IF(O936="",SUMIFS('JPK_KR-1'!AM:AM,'JPK_KR-1'!W:W,N936),SUMIFS('JPK_KR-1'!BI:BI,'JPK_KR-1'!BH:BH,N936,'JPK_KR-1'!BJ:BJ,O936)),"")</f>
        <v/>
      </c>
      <c r="R936" s="117" t="str">
        <f>IF(kokpit!R936&lt;&gt;"",kokpit!R936,"")</f>
        <v/>
      </c>
      <c r="S936" s="117" t="str">
        <f>IF(kokpit!S936&lt;&gt;"",kokpit!S936,"")</f>
        <v/>
      </c>
      <c r="T936" s="117" t="str">
        <f>IF(kokpit!T936&lt;&gt;"",kokpit!T936,"")</f>
        <v/>
      </c>
      <c r="U936" s="141" t="str">
        <f>IF(R936&lt;&gt;"",SUMIFS('JPK_KR-1'!AL:AL,'JPK_KR-1'!W:W,S936),"")</f>
        <v/>
      </c>
      <c r="V936" s="144" t="str">
        <f>IF(R936&lt;&gt;"",SUMIFS('JPK_KR-1'!AM:AM,'JPK_KR-1'!W:W,S936),"")</f>
        <v/>
      </c>
    </row>
    <row r="937" spans="1:22" x14ac:dyDescent="0.3">
      <c r="A937" s="5" t="str">
        <f>IF(kokpit!A937&lt;&gt;"",kokpit!A937,"")</f>
        <v/>
      </c>
      <c r="B937" s="5" t="str">
        <f>IF(kokpit!B937&lt;&gt;"",kokpit!B937,"")</f>
        <v/>
      </c>
      <c r="C937" s="24" t="str">
        <f>IF(A937&lt;&gt;"",SUMIFS('JPK_KR-1'!AL:AL,'JPK_KR-1'!W:W,B937),"")</f>
        <v/>
      </c>
      <c r="D937" s="126" t="str">
        <f>IF(A937&lt;&gt;"",SUMIFS('JPK_KR-1'!AM:AM,'JPK_KR-1'!W:W,B937),"")</f>
        <v/>
      </c>
      <c r="E937" s="5" t="str">
        <f>IF(kokpit!E937&lt;&gt;"",kokpit!E937,"")</f>
        <v/>
      </c>
      <c r="F937" s="127" t="str">
        <f>IF(kokpit!F937&lt;&gt;"",kokpit!F937,"")</f>
        <v/>
      </c>
      <c r="G937" s="24" t="str">
        <f>IF(E937&lt;&gt;"",SUMIFS('JPK_KR-1'!AL:AL,'JPK_KR-1'!W:W,F937),"")</f>
        <v/>
      </c>
      <c r="H937" s="126" t="str">
        <f>IF(E937&lt;&gt;"",SUMIFS('JPK_KR-1'!AM:AM,'JPK_KR-1'!W:W,F937),"")</f>
        <v/>
      </c>
      <c r="I937" s="5" t="str">
        <f>IF(kokpit!I937&lt;&gt;"",kokpit!I937,"")</f>
        <v/>
      </c>
      <c r="J937" s="5" t="str">
        <f>IF(kokpit!J937&lt;&gt;"",kokpit!J937,"")</f>
        <v/>
      </c>
      <c r="K937" s="24" t="str">
        <f>IF(I937&lt;&gt;"",SUMIFS('JPK_KR-1'!AL:AL,'JPK_KR-1'!W:W,J937),"")</f>
        <v/>
      </c>
      <c r="L937" s="141" t="str">
        <f>IF(I937&lt;&gt;"",SUMIFS('JPK_KR-1'!AM:AM,'JPK_KR-1'!W:W,J937),"")</f>
        <v/>
      </c>
      <c r="M937" s="143" t="str">
        <f>IF(kokpit!M937&lt;&gt;"",kokpit!M937,"")</f>
        <v/>
      </c>
      <c r="N937" s="117" t="str">
        <f>IF(kokpit!N937&lt;&gt;"",kokpit!N937,"")</f>
        <v/>
      </c>
      <c r="O937" s="117" t="str">
        <f>IF(kokpit!O937&lt;&gt;"",kokpit!O937,"")</f>
        <v/>
      </c>
      <c r="P937" s="141" t="str">
        <f>IF(M937&lt;&gt;"",IF(O937="",SUMIFS('JPK_KR-1'!AL:AL,'JPK_KR-1'!W:W,N937),SUMIFS('JPK_KR-1'!BF:BF,'JPK_KR-1'!BE:BE,N937,'JPK_KR-1'!BG:BG,O937)),"")</f>
        <v/>
      </c>
      <c r="Q937" s="144" t="str">
        <f>IF(M937&lt;&gt;"",IF(O937="",SUMIFS('JPK_KR-1'!AM:AM,'JPK_KR-1'!W:W,N937),SUMIFS('JPK_KR-1'!BI:BI,'JPK_KR-1'!BH:BH,N937,'JPK_KR-1'!BJ:BJ,O937)),"")</f>
        <v/>
      </c>
      <c r="R937" s="117" t="str">
        <f>IF(kokpit!R937&lt;&gt;"",kokpit!R937,"")</f>
        <v/>
      </c>
      <c r="S937" s="117" t="str">
        <f>IF(kokpit!S937&lt;&gt;"",kokpit!S937,"")</f>
        <v/>
      </c>
      <c r="T937" s="117" t="str">
        <f>IF(kokpit!T937&lt;&gt;"",kokpit!T937,"")</f>
        <v/>
      </c>
      <c r="U937" s="141" t="str">
        <f>IF(R937&lt;&gt;"",SUMIFS('JPK_KR-1'!AL:AL,'JPK_KR-1'!W:W,S937),"")</f>
        <v/>
      </c>
      <c r="V937" s="144" t="str">
        <f>IF(R937&lt;&gt;"",SUMIFS('JPK_KR-1'!AM:AM,'JPK_KR-1'!W:W,S937),"")</f>
        <v/>
      </c>
    </row>
    <row r="938" spans="1:22" x14ac:dyDescent="0.3">
      <c r="A938" s="5" t="str">
        <f>IF(kokpit!A938&lt;&gt;"",kokpit!A938,"")</f>
        <v/>
      </c>
      <c r="B938" s="5" t="str">
        <f>IF(kokpit!B938&lt;&gt;"",kokpit!B938,"")</f>
        <v/>
      </c>
      <c r="C938" s="24" t="str">
        <f>IF(A938&lt;&gt;"",SUMIFS('JPK_KR-1'!AL:AL,'JPK_KR-1'!W:W,B938),"")</f>
        <v/>
      </c>
      <c r="D938" s="126" t="str">
        <f>IF(A938&lt;&gt;"",SUMIFS('JPK_KR-1'!AM:AM,'JPK_KR-1'!W:W,B938),"")</f>
        <v/>
      </c>
      <c r="E938" s="5" t="str">
        <f>IF(kokpit!E938&lt;&gt;"",kokpit!E938,"")</f>
        <v/>
      </c>
      <c r="F938" s="127" t="str">
        <f>IF(kokpit!F938&lt;&gt;"",kokpit!F938,"")</f>
        <v/>
      </c>
      <c r="G938" s="24" t="str">
        <f>IF(E938&lt;&gt;"",SUMIFS('JPK_KR-1'!AL:AL,'JPK_KR-1'!W:W,F938),"")</f>
        <v/>
      </c>
      <c r="H938" s="126" t="str">
        <f>IF(E938&lt;&gt;"",SUMIFS('JPK_KR-1'!AM:AM,'JPK_KR-1'!W:W,F938),"")</f>
        <v/>
      </c>
      <c r="I938" s="5" t="str">
        <f>IF(kokpit!I938&lt;&gt;"",kokpit!I938,"")</f>
        <v/>
      </c>
      <c r="J938" s="5" t="str">
        <f>IF(kokpit!J938&lt;&gt;"",kokpit!J938,"")</f>
        <v/>
      </c>
      <c r="K938" s="24" t="str">
        <f>IF(I938&lt;&gt;"",SUMIFS('JPK_KR-1'!AL:AL,'JPK_KR-1'!W:W,J938),"")</f>
        <v/>
      </c>
      <c r="L938" s="141" t="str">
        <f>IF(I938&lt;&gt;"",SUMIFS('JPK_KR-1'!AM:AM,'JPK_KR-1'!W:W,J938),"")</f>
        <v/>
      </c>
      <c r="M938" s="143" t="str">
        <f>IF(kokpit!M938&lt;&gt;"",kokpit!M938,"")</f>
        <v/>
      </c>
      <c r="N938" s="117" t="str">
        <f>IF(kokpit!N938&lt;&gt;"",kokpit!N938,"")</f>
        <v/>
      </c>
      <c r="O938" s="117" t="str">
        <f>IF(kokpit!O938&lt;&gt;"",kokpit!O938,"")</f>
        <v/>
      </c>
      <c r="P938" s="141" t="str">
        <f>IF(M938&lt;&gt;"",IF(O938="",SUMIFS('JPK_KR-1'!AL:AL,'JPK_KR-1'!W:W,N938),SUMIFS('JPK_KR-1'!BF:BF,'JPK_KR-1'!BE:BE,N938,'JPK_KR-1'!BG:BG,O938)),"")</f>
        <v/>
      </c>
      <c r="Q938" s="144" t="str">
        <f>IF(M938&lt;&gt;"",IF(O938="",SUMIFS('JPK_KR-1'!AM:AM,'JPK_KR-1'!W:W,N938),SUMIFS('JPK_KR-1'!BI:BI,'JPK_KR-1'!BH:BH,N938,'JPK_KR-1'!BJ:BJ,O938)),"")</f>
        <v/>
      </c>
      <c r="R938" s="117" t="str">
        <f>IF(kokpit!R938&lt;&gt;"",kokpit!R938,"")</f>
        <v/>
      </c>
      <c r="S938" s="117" t="str">
        <f>IF(kokpit!S938&lt;&gt;"",kokpit!S938,"")</f>
        <v/>
      </c>
      <c r="T938" s="117" t="str">
        <f>IF(kokpit!T938&lt;&gt;"",kokpit!T938,"")</f>
        <v/>
      </c>
      <c r="U938" s="141" t="str">
        <f>IF(R938&lt;&gt;"",SUMIFS('JPK_KR-1'!AL:AL,'JPK_KR-1'!W:W,S938),"")</f>
        <v/>
      </c>
      <c r="V938" s="144" t="str">
        <f>IF(R938&lt;&gt;"",SUMIFS('JPK_KR-1'!AM:AM,'JPK_KR-1'!W:W,S938),"")</f>
        <v/>
      </c>
    </row>
    <row r="939" spans="1:22" x14ac:dyDescent="0.3">
      <c r="A939" s="5" t="str">
        <f>IF(kokpit!A939&lt;&gt;"",kokpit!A939,"")</f>
        <v/>
      </c>
      <c r="B939" s="5" t="str">
        <f>IF(kokpit!B939&lt;&gt;"",kokpit!B939,"")</f>
        <v/>
      </c>
      <c r="C939" s="24" t="str">
        <f>IF(A939&lt;&gt;"",SUMIFS('JPK_KR-1'!AL:AL,'JPK_KR-1'!W:W,B939),"")</f>
        <v/>
      </c>
      <c r="D939" s="126" t="str">
        <f>IF(A939&lt;&gt;"",SUMIFS('JPK_KR-1'!AM:AM,'JPK_KR-1'!W:W,B939),"")</f>
        <v/>
      </c>
      <c r="E939" s="5" t="str">
        <f>IF(kokpit!E939&lt;&gt;"",kokpit!E939,"")</f>
        <v/>
      </c>
      <c r="F939" s="127" t="str">
        <f>IF(kokpit!F939&lt;&gt;"",kokpit!F939,"")</f>
        <v/>
      </c>
      <c r="G939" s="24" t="str">
        <f>IF(E939&lt;&gt;"",SUMIFS('JPK_KR-1'!AL:AL,'JPK_KR-1'!W:W,F939),"")</f>
        <v/>
      </c>
      <c r="H939" s="126" t="str">
        <f>IF(E939&lt;&gt;"",SUMIFS('JPK_KR-1'!AM:AM,'JPK_KR-1'!W:W,F939),"")</f>
        <v/>
      </c>
      <c r="I939" s="5" t="str">
        <f>IF(kokpit!I939&lt;&gt;"",kokpit!I939,"")</f>
        <v/>
      </c>
      <c r="J939" s="5" t="str">
        <f>IF(kokpit!J939&lt;&gt;"",kokpit!J939,"")</f>
        <v/>
      </c>
      <c r="K939" s="24" t="str">
        <f>IF(I939&lt;&gt;"",SUMIFS('JPK_KR-1'!AL:AL,'JPK_KR-1'!W:W,J939),"")</f>
        <v/>
      </c>
      <c r="L939" s="141" t="str">
        <f>IF(I939&lt;&gt;"",SUMIFS('JPK_KR-1'!AM:AM,'JPK_KR-1'!W:W,J939),"")</f>
        <v/>
      </c>
      <c r="M939" s="143" t="str">
        <f>IF(kokpit!M939&lt;&gt;"",kokpit!M939,"")</f>
        <v/>
      </c>
      <c r="N939" s="117" t="str">
        <f>IF(kokpit!N939&lt;&gt;"",kokpit!N939,"")</f>
        <v/>
      </c>
      <c r="O939" s="117" t="str">
        <f>IF(kokpit!O939&lt;&gt;"",kokpit!O939,"")</f>
        <v/>
      </c>
      <c r="P939" s="141" t="str">
        <f>IF(M939&lt;&gt;"",IF(O939="",SUMIFS('JPK_KR-1'!AL:AL,'JPK_KR-1'!W:W,N939),SUMIFS('JPK_KR-1'!BF:BF,'JPK_KR-1'!BE:BE,N939,'JPK_KR-1'!BG:BG,O939)),"")</f>
        <v/>
      </c>
      <c r="Q939" s="144" t="str">
        <f>IF(M939&lt;&gt;"",IF(O939="",SUMIFS('JPK_KR-1'!AM:AM,'JPK_KR-1'!W:W,N939),SUMIFS('JPK_KR-1'!BI:BI,'JPK_KR-1'!BH:BH,N939,'JPK_KR-1'!BJ:BJ,O939)),"")</f>
        <v/>
      </c>
      <c r="R939" s="117" t="str">
        <f>IF(kokpit!R939&lt;&gt;"",kokpit!R939,"")</f>
        <v/>
      </c>
      <c r="S939" s="117" t="str">
        <f>IF(kokpit!S939&lt;&gt;"",kokpit!S939,"")</f>
        <v/>
      </c>
      <c r="T939" s="117" t="str">
        <f>IF(kokpit!T939&lt;&gt;"",kokpit!T939,"")</f>
        <v/>
      </c>
      <c r="U939" s="141" t="str">
        <f>IF(R939&lt;&gt;"",SUMIFS('JPK_KR-1'!AL:AL,'JPK_KR-1'!W:W,S939),"")</f>
        <v/>
      </c>
      <c r="V939" s="144" t="str">
        <f>IF(R939&lt;&gt;"",SUMIFS('JPK_KR-1'!AM:AM,'JPK_KR-1'!W:W,S939),"")</f>
        <v/>
      </c>
    </row>
    <row r="940" spans="1:22" x14ac:dyDescent="0.3">
      <c r="A940" s="5" t="str">
        <f>IF(kokpit!A940&lt;&gt;"",kokpit!A940,"")</f>
        <v/>
      </c>
      <c r="B940" s="5" t="str">
        <f>IF(kokpit!B940&lt;&gt;"",kokpit!B940,"")</f>
        <v/>
      </c>
      <c r="C940" s="24" t="str">
        <f>IF(A940&lt;&gt;"",SUMIFS('JPK_KR-1'!AL:AL,'JPK_KR-1'!W:W,B940),"")</f>
        <v/>
      </c>
      <c r="D940" s="126" t="str">
        <f>IF(A940&lt;&gt;"",SUMIFS('JPK_KR-1'!AM:AM,'JPK_KR-1'!W:W,B940),"")</f>
        <v/>
      </c>
      <c r="E940" s="5" t="str">
        <f>IF(kokpit!E940&lt;&gt;"",kokpit!E940,"")</f>
        <v/>
      </c>
      <c r="F940" s="127" t="str">
        <f>IF(kokpit!F940&lt;&gt;"",kokpit!F940,"")</f>
        <v/>
      </c>
      <c r="G940" s="24" t="str">
        <f>IF(E940&lt;&gt;"",SUMIFS('JPK_KR-1'!AL:AL,'JPK_KR-1'!W:W,F940),"")</f>
        <v/>
      </c>
      <c r="H940" s="126" t="str">
        <f>IF(E940&lt;&gt;"",SUMIFS('JPK_KR-1'!AM:AM,'JPK_KR-1'!W:W,F940),"")</f>
        <v/>
      </c>
      <c r="I940" s="5" t="str">
        <f>IF(kokpit!I940&lt;&gt;"",kokpit!I940,"")</f>
        <v/>
      </c>
      <c r="J940" s="5" t="str">
        <f>IF(kokpit!J940&lt;&gt;"",kokpit!J940,"")</f>
        <v/>
      </c>
      <c r="K940" s="24" t="str">
        <f>IF(I940&lt;&gt;"",SUMIFS('JPK_KR-1'!AL:AL,'JPK_KR-1'!W:W,J940),"")</f>
        <v/>
      </c>
      <c r="L940" s="141" t="str">
        <f>IF(I940&lt;&gt;"",SUMIFS('JPK_KR-1'!AM:AM,'JPK_KR-1'!W:W,J940),"")</f>
        <v/>
      </c>
      <c r="M940" s="143" t="str">
        <f>IF(kokpit!M940&lt;&gt;"",kokpit!M940,"")</f>
        <v/>
      </c>
      <c r="N940" s="117" t="str">
        <f>IF(kokpit!N940&lt;&gt;"",kokpit!N940,"")</f>
        <v/>
      </c>
      <c r="O940" s="117" t="str">
        <f>IF(kokpit!O940&lt;&gt;"",kokpit!O940,"")</f>
        <v/>
      </c>
      <c r="P940" s="141" t="str">
        <f>IF(M940&lt;&gt;"",IF(O940="",SUMIFS('JPK_KR-1'!AL:AL,'JPK_KR-1'!W:W,N940),SUMIFS('JPK_KR-1'!BF:BF,'JPK_KR-1'!BE:BE,N940,'JPK_KR-1'!BG:BG,O940)),"")</f>
        <v/>
      </c>
      <c r="Q940" s="144" t="str">
        <f>IF(M940&lt;&gt;"",IF(O940="",SUMIFS('JPK_KR-1'!AM:AM,'JPK_KR-1'!W:W,N940),SUMIFS('JPK_KR-1'!BI:BI,'JPK_KR-1'!BH:BH,N940,'JPK_KR-1'!BJ:BJ,O940)),"")</f>
        <v/>
      </c>
      <c r="R940" s="117" t="str">
        <f>IF(kokpit!R940&lt;&gt;"",kokpit!R940,"")</f>
        <v/>
      </c>
      <c r="S940" s="117" t="str">
        <f>IF(kokpit!S940&lt;&gt;"",kokpit!S940,"")</f>
        <v/>
      </c>
      <c r="T940" s="117" t="str">
        <f>IF(kokpit!T940&lt;&gt;"",kokpit!T940,"")</f>
        <v/>
      </c>
      <c r="U940" s="141" t="str">
        <f>IF(R940&lt;&gt;"",SUMIFS('JPK_KR-1'!AL:AL,'JPK_KR-1'!W:W,S940),"")</f>
        <v/>
      </c>
      <c r="V940" s="144" t="str">
        <f>IF(R940&lt;&gt;"",SUMIFS('JPK_KR-1'!AM:AM,'JPK_KR-1'!W:W,S940),"")</f>
        <v/>
      </c>
    </row>
    <row r="941" spans="1:22" x14ac:dyDescent="0.3">
      <c r="A941" s="5" t="str">
        <f>IF(kokpit!A941&lt;&gt;"",kokpit!A941,"")</f>
        <v/>
      </c>
      <c r="B941" s="5" t="str">
        <f>IF(kokpit!B941&lt;&gt;"",kokpit!B941,"")</f>
        <v/>
      </c>
      <c r="C941" s="24" t="str">
        <f>IF(A941&lt;&gt;"",SUMIFS('JPK_KR-1'!AL:AL,'JPK_KR-1'!W:W,B941),"")</f>
        <v/>
      </c>
      <c r="D941" s="126" t="str">
        <f>IF(A941&lt;&gt;"",SUMIFS('JPK_KR-1'!AM:AM,'JPK_KR-1'!W:W,B941),"")</f>
        <v/>
      </c>
      <c r="E941" s="5" t="str">
        <f>IF(kokpit!E941&lt;&gt;"",kokpit!E941,"")</f>
        <v/>
      </c>
      <c r="F941" s="127" t="str">
        <f>IF(kokpit!F941&lt;&gt;"",kokpit!F941,"")</f>
        <v/>
      </c>
      <c r="G941" s="24" t="str">
        <f>IF(E941&lt;&gt;"",SUMIFS('JPK_KR-1'!AL:AL,'JPK_KR-1'!W:W,F941),"")</f>
        <v/>
      </c>
      <c r="H941" s="126" t="str">
        <f>IF(E941&lt;&gt;"",SUMIFS('JPK_KR-1'!AM:AM,'JPK_KR-1'!W:W,F941),"")</f>
        <v/>
      </c>
      <c r="I941" s="5" t="str">
        <f>IF(kokpit!I941&lt;&gt;"",kokpit!I941,"")</f>
        <v/>
      </c>
      <c r="J941" s="5" t="str">
        <f>IF(kokpit!J941&lt;&gt;"",kokpit!J941,"")</f>
        <v/>
      </c>
      <c r="K941" s="24" t="str">
        <f>IF(I941&lt;&gt;"",SUMIFS('JPK_KR-1'!AL:AL,'JPK_KR-1'!W:W,J941),"")</f>
        <v/>
      </c>
      <c r="L941" s="141" t="str">
        <f>IF(I941&lt;&gt;"",SUMIFS('JPK_KR-1'!AM:AM,'JPK_KR-1'!W:W,J941),"")</f>
        <v/>
      </c>
      <c r="M941" s="143" t="str">
        <f>IF(kokpit!M941&lt;&gt;"",kokpit!M941,"")</f>
        <v/>
      </c>
      <c r="N941" s="117" t="str">
        <f>IF(kokpit!N941&lt;&gt;"",kokpit!N941,"")</f>
        <v/>
      </c>
      <c r="O941" s="117" t="str">
        <f>IF(kokpit!O941&lt;&gt;"",kokpit!O941,"")</f>
        <v/>
      </c>
      <c r="P941" s="141" t="str">
        <f>IF(M941&lt;&gt;"",IF(O941="",SUMIFS('JPK_KR-1'!AL:AL,'JPK_KR-1'!W:W,N941),SUMIFS('JPK_KR-1'!BF:BF,'JPK_KR-1'!BE:BE,N941,'JPK_KR-1'!BG:BG,O941)),"")</f>
        <v/>
      </c>
      <c r="Q941" s="144" t="str">
        <f>IF(M941&lt;&gt;"",IF(O941="",SUMIFS('JPK_KR-1'!AM:AM,'JPK_KR-1'!W:W,N941),SUMIFS('JPK_KR-1'!BI:BI,'JPK_KR-1'!BH:BH,N941,'JPK_KR-1'!BJ:BJ,O941)),"")</f>
        <v/>
      </c>
      <c r="R941" s="117" t="str">
        <f>IF(kokpit!R941&lt;&gt;"",kokpit!R941,"")</f>
        <v/>
      </c>
      <c r="S941" s="117" t="str">
        <f>IF(kokpit!S941&lt;&gt;"",kokpit!S941,"")</f>
        <v/>
      </c>
      <c r="T941" s="117" t="str">
        <f>IF(kokpit!T941&lt;&gt;"",kokpit!T941,"")</f>
        <v/>
      </c>
      <c r="U941" s="141" t="str">
        <f>IF(R941&lt;&gt;"",SUMIFS('JPK_KR-1'!AL:AL,'JPK_KR-1'!W:W,S941),"")</f>
        <v/>
      </c>
      <c r="V941" s="144" t="str">
        <f>IF(R941&lt;&gt;"",SUMIFS('JPK_KR-1'!AM:AM,'JPK_KR-1'!W:W,S941),"")</f>
        <v/>
      </c>
    </row>
    <row r="942" spans="1:22" x14ac:dyDescent="0.3">
      <c r="A942" s="5" t="str">
        <f>IF(kokpit!A942&lt;&gt;"",kokpit!A942,"")</f>
        <v/>
      </c>
      <c r="B942" s="5" t="str">
        <f>IF(kokpit!B942&lt;&gt;"",kokpit!B942,"")</f>
        <v/>
      </c>
      <c r="C942" s="24" t="str">
        <f>IF(A942&lt;&gt;"",SUMIFS('JPK_KR-1'!AL:AL,'JPK_KR-1'!W:W,B942),"")</f>
        <v/>
      </c>
      <c r="D942" s="126" t="str">
        <f>IF(A942&lt;&gt;"",SUMIFS('JPK_KR-1'!AM:AM,'JPK_KR-1'!W:W,B942),"")</f>
        <v/>
      </c>
      <c r="E942" s="5" t="str">
        <f>IF(kokpit!E942&lt;&gt;"",kokpit!E942,"")</f>
        <v/>
      </c>
      <c r="F942" s="127" t="str">
        <f>IF(kokpit!F942&lt;&gt;"",kokpit!F942,"")</f>
        <v/>
      </c>
      <c r="G942" s="24" t="str">
        <f>IF(E942&lt;&gt;"",SUMIFS('JPK_KR-1'!AL:AL,'JPK_KR-1'!W:W,F942),"")</f>
        <v/>
      </c>
      <c r="H942" s="126" t="str">
        <f>IF(E942&lt;&gt;"",SUMIFS('JPK_KR-1'!AM:AM,'JPK_KR-1'!W:W,F942),"")</f>
        <v/>
      </c>
      <c r="I942" s="5" t="str">
        <f>IF(kokpit!I942&lt;&gt;"",kokpit!I942,"")</f>
        <v/>
      </c>
      <c r="J942" s="5" t="str">
        <f>IF(kokpit!J942&lt;&gt;"",kokpit!J942,"")</f>
        <v/>
      </c>
      <c r="K942" s="24" t="str">
        <f>IF(I942&lt;&gt;"",SUMIFS('JPK_KR-1'!AL:AL,'JPK_KR-1'!W:W,J942),"")</f>
        <v/>
      </c>
      <c r="L942" s="141" t="str">
        <f>IF(I942&lt;&gt;"",SUMIFS('JPK_KR-1'!AM:AM,'JPK_KR-1'!W:W,J942),"")</f>
        <v/>
      </c>
      <c r="M942" s="143" t="str">
        <f>IF(kokpit!M942&lt;&gt;"",kokpit!M942,"")</f>
        <v/>
      </c>
      <c r="N942" s="117" t="str">
        <f>IF(kokpit!N942&lt;&gt;"",kokpit!N942,"")</f>
        <v/>
      </c>
      <c r="O942" s="117" t="str">
        <f>IF(kokpit!O942&lt;&gt;"",kokpit!O942,"")</f>
        <v/>
      </c>
      <c r="P942" s="141" t="str">
        <f>IF(M942&lt;&gt;"",IF(O942="",SUMIFS('JPK_KR-1'!AL:AL,'JPK_KR-1'!W:W,N942),SUMIFS('JPK_KR-1'!BF:BF,'JPK_KR-1'!BE:BE,N942,'JPK_KR-1'!BG:BG,O942)),"")</f>
        <v/>
      </c>
      <c r="Q942" s="144" t="str">
        <f>IF(M942&lt;&gt;"",IF(O942="",SUMIFS('JPK_KR-1'!AM:AM,'JPK_KR-1'!W:W,N942),SUMIFS('JPK_KR-1'!BI:BI,'JPK_KR-1'!BH:BH,N942,'JPK_KR-1'!BJ:BJ,O942)),"")</f>
        <v/>
      </c>
      <c r="R942" s="117" t="str">
        <f>IF(kokpit!R942&lt;&gt;"",kokpit!R942,"")</f>
        <v/>
      </c>
      <c r="S942" s="117" t="str">
        <f>IF(kokpit!S942&lt;&gt;"",kokpit!S942,"")</f>
        <v/>
      </c>
      <c r="T942" s="117" t="str">
        <f>IF(kokpit!T942&lt;&gt;"",kokpit!T942,"")</f>
        <v/>
      </c>
      <c r="U942" s="141" t="str">
        <f>IF(R942&lt;&gt;"",SUMIFS('JPK_KR-1'!AL:AL,'JPK_KR-1'!W:W,S942),"")</f>
        <v/>
      </c>
      <c r="V942" s="144" t="str">
        <f>IF(R942&lt;&gt;"",SUMIFS('JPK_KR-1'!AM:AM,'JPK_KR-1'!W:W,S942),"")</f>
        <v/>
      </c>
    </row>
    <row r="943" spans="1:22" x14ac:dyDescent="0.3">
      <c r="A943" s="5" t="str">
        <f>IF(kokpit!A943&lt;&gt;"",kokpit!A943,"")</f>
        <v/>
      </c>
      <c r="B943" s="5" t="str">
        <f>IF(kokpit!B943&lt;&gt;"",kokpit!B943,"")</f>
        <v/>
      </c>
      <c r="C943" s="24" t="str">
        <f>IF(A943&lt;&gt;"",SUMIFS('JPK_KR-1'!AL:AL,'JPK_KR-1'!W:W,B943),"")</f>
        <v/>
      </c>
      <c r="D943" s="126" t="str">
        <f>IF(A943&lt;&gt;"",SUMIFS('JPK_KR-1'!AM:AM,'JPK_KR-1'!W:W,B943),"")</f>
        <v/>
      </c>
      <c r="E943" s="5" t="str">
        <f>IF(kokpit!E943&lt;&gt;"",kokpit!E943,"")</f>
        <v/>
      </c>
      <c r="F943" s="127" t="str">
        <f>IF(kokpit!F943&lt;&gt;"",kokpit!F943,"")</f>
        <v/>
      </c>
      <c r="G943" s="24" t="str">
        <f>IF(E943&lt;&gt;"",SUMIFS('JPK_KR-1'!AL:AL,'JPK_KR-1'!W:W,F943),"")</f>
        <v/>
      </c>
      <c r="H943" s="126" t="str">
        <f>IF(E943&lt;&gt;"",SUMIFS('JPK_KR-1'!AM:AM,'JPK_KR-1'!W:W,F943),"")</f>
        <v/>
      </c>
      <c r="I943" s="5" t="str">
        <f>IF(kokpit!I943&lt;&gt;"",kokpit!I943,"")</f>
        <v/>
      </c>
      <c r="J943" s="5" t="str">
        <f>IF(kokpit!J943&lt;&gt;"",kokpit!J943,"")</f>
        <v/>
      </c>
      <c r="K943" s="24" t="str">
        <f>IF(I943&lt;&gt;"",SUMIFS('JPK_KR-1'!AL:AL,'JPK_KR-1'!W:W,J943),"")</f>
        <v/>
      </c>
      <c r="L943" s="141" t="str">
        <f>IF(I943&lt;&gt;"",SUMIFS('JPK_KR-1'!AM:AM,'JPK_KR-1'!W:W,J943),"")</f>
        <v/>
      </c>
      <c r="M943" s="143" t="str">
        <f>IF(kokpit!M943&lt;&gt;"",kokpit!M943,"")</f>
        <v/>
      </c>
      <c r="N943" s="117" t="str">
        <f>IF(kokpit!N943&lt;&gt;"",kokpit!N943,"")</f>
        <v/>
      </c>
      <c r="O943" s="117" t="str">
        <f>IF(kokpit!O943&lt;&gt;"",kokpit!O943,"")</f>
        <v/>
      </c>
      <c r="P943" s="141" t="str">
        <f>IF(M943&lt;&gt;"",IF(O943="",SUMIFS('JPK_KR-1'!AL:AL,'JPK_KR-1'!W:W,N943),SUMIFS('JPK_KR-1'!BF:BF,'JPK_KR-1'!BE:BE,N943,'JPK_KR-1'!BG:BG,O943)),"")</f>
        <v/>
      </c>
      <c r="Q943" s="144" t="str">
        <f>IF(M943&lt;&gt;"",IF(O943="",SUMIFS('JPK_KR-1'!AM:AM,'JPK_KR-1'!W:W,N943),SUMIFS('JPK_KR-1'!BI:BI,'JPK_KR-1'!BH:BH,N943,'JPK_KR-1'!BJ:BJ,O943)),"")</f>
        <v/>
      </c>
      <c r="R943" s="117" t="str">
        <f>IF(kokpit!R943&lt;&gt;"",kokpit!R943,"")</f>
        <v/>
      </c>
      <c r="S943" s="117" t="str">
        <f>IF(kokpit!S943&lt;&gt;"",kokpit!S943,"")</f>
        <v/>
      </c>
      <c r="T943" s="117" t="str">
        <f>IF(kokpit!T943&lt;&gt;"",kokpit!T943,"")</f>
        <v/>
      </c>
      <c r="U943" s="141" t="str">
        <f>IF(R943&lt;&gt;"",SUMIFS('JPK_KR-1'!AL:AL,'JPK_KR-1'!W:W,S943),"")</f>
        <v/>
      </c>
      <c r="V943" s="144" t="str">
        <f>IF(R943&lt;&gt;"",SUMIFS('JPK_KR-1'!AM:AM,'JPK_KR-1'!W:W,S943),"")</f>
        <v/>
      </c>
    </row>
    <row r="944" spans="1:22" x14ac:dyDescent="0.3">
      <c r="A944" s="5" t="str">
        <f>IF(kokpit!A944&lt;&gt;"",kokpit!A944,"")</f>
        <v/>
      </c>
      <c r="B944" s="5" t="str">
        <f>IF(kokpit!B944&lt;&gt;"",kokpit!B944,"")</f>
        <v/>
      </c>
      <c r="C944" s="24" t="str">
        <f>IF(A944&lt;&gt;"",SUMIFS('JPK_KR-1'!AL:AL,'JPK_KR-1'!W:W,B944),"")</f>
        <v/>
      </c>
      <c r="D944" s="126" t="str">
        <f>IF(A944&lt;&gt;"",SUMIFS('JPK_KR-1'!AM:AM,'JPK_KR-1'!W:W,B944),"")</f>
        <v/>
      </c>
      <c r="E944" s="5" t="str">
        <f>IF(kokpit!E944&lt;&gt;"",kokpit!E944,"")</f>
        <v/>
      </c>
      <c r="F944" s="127" t="str">
        <f>IF(kokpit!F944&lt;&gt;"",kokpit!F944,"")</f>
        <v/>
      </c>
      <c r="G944" s="24" t="str">
        <f>IF(E944&lt;&gt;"",SUMIFS('JPK_KR-1'!AL:AL,'JPK_KR-1'!W:W,F944),"")</f>
        <v/>
      </c>
      <c r="H944" s="126" t="str">
        <f>IF(E944&lt;&gt;"",SUMIFS('JPK_KR-1'!AM:AM,'JPK_KR-1'!W:W,F944),"")</f>
        <v/>
      </c>
      <c r="I944" s="5" t="str">
        <f>IF(kokpit!I944&lt;&gt;"",kokpit!I944,"")</f>
        <v/>
      </c>
      <c r="J944" s="5" t="str">
        <f>IF(kokpit!J944&lt;&gt;"",kokpit!J944,"")</f>
        <v/>
      </c>
      <c r="K944" s="24" t="str">
        <f>IF(I944&lt;&gt;"",SUMIFS('JPK_KR-1'!AL:AL,'JPK_KR-1'!W:W,J944),"")</f>
        <v/>
      </c>
      <c r="L944" s="141" t="str">
        <f>IF(I944&lt;&gt;"",SUMIFS('JPK_KR-1'!AM:AM,'JPK_KR-1'!W:W,J944),"")</f>
        <v/>
      </c>
      <c r="M944" s="143" t="str">
        <f>IF(kokpit!M944&lt;&gt;"",kokpit!M944,"")</f>
        <v/>
      </c>
      <c r="N944" s="117" t="str">
        <f>IF(kokpit!N944&lt;&gt;"",kokpit!N944,"")</f>
        <v/>
      </c>
      <c r="O944" s="117" t="str">
        <f>IF(kokpit!O944&lt;&gt;"",kokpit!O944,"")</f>
        <v/>
      </c>
      <c r="P944" s="141" t="str">
        <f>IF(M944&lt;&gt;"",IF(O944="",SUMIFS('JPK_KR-1'!AL:AL,'JPK_KR-1'!W:W,N944),SUMIFS('JPK_KR-1'!BF:BF,'JPK_KR-1'!BE:BE,N944,'JPK_KR-1'!BG:BG,O944)),"")</f>
        <v/>
      </c>
      <c r="Q944" s="144" t="str">
        <f>IF(M944&lt;&gt;"",IF(O944="",SUMIFS('JPK_KR-1'!AM:AM,'JPK_KR-1'!W:W,N944),SUMIFS('JPK_KR-1'!BI:BI,'JPK_KR-1'!BH:BH,N944,'JPK_KR-1'!BJ:BJ,O944)),"")</f>
        <v/>
      </c>
      <c r="R944" s="117" t="str">
        <f>IF(kokpit!R944&lt;&gt;"",kokpit!R944,"")</f>
        <v/>
      </c>
      <c r="S944" s="117" t="str">
        <f>IF(kokpit!S944&lt;&gt;"",kokpit!S944,"")</f>
        <v/>
      </c>
      <c r="T944" s="117" t="str">
        <f>IF(kokpit!T944&lt;&gt;"",kokpit!T944,"")</f>
        <v/>
      </c>
      <c r="U944" s="141" t="str">
        <f>IF(R944&lt;&gt;"",SUMIFS('JPK_KR-1'!AL:AL,'JPK_KR-1'!W:W,S944),"")</f>
        <v/>
      </c>
      <c r="V944" s="144" t="str">
        <f>IF(R944&lt;&gt;"",SUMIFS('JPK_KR-1'!AM:AM,'JPK_KR-1'!W:W,S944),"")</f>
        <v/>
      </c>
    </row>
    <row r="945" spans="1:22" x14ac:dyDescent="0.3">
      <c r="A945" s="5" t="str">
        <f>IF(kokpit!A945&lt;&gt;"",kokpit!A945,"")</f>
        <v/>
      </c>
      <c r="B945" s="5" t="str">
        <f>IF(kokpit!B945&lt;&gt;"",kokpit!B945,"")</f>
        <v/>
      </c>
      <c r="C945" s="24" t="str">
        <f>IF(A945&lt;&gt;"",SUMIFS('JPK_KR-1'!AL:AL,'JPK_KR-1'!W:W,B945),"")</f>
        <v/>
      </c>
      <c r="D945" s="126" t="str">
        <f>IF(A945&lt;&gt;"",SUMIFS('JPK_KR-1'!AM:AM,'JPK_KR-1'!W:W,B945),"")</f>
        <v/>
      </c>
      <c r="E945" s="5" t="str">
        <f>IF(kokpit!E945&lt;&gt;"",kokpit!E945,"")</f>
        <v/>
      </c>
      <c r="F945" s="127" t="str">
        <f>IF(kokpit!F945&lt;&gt;"",kokpit!F945,"")</f>
        <v/>
      </c>
      <c r="G945" s="24" t="str">
        <f>IF(E945&lt;&gt;"",SUMIFS('JPK_KR-1'!AL:AL,'JPK_KR-1'!W:W,F945),"")</f>
        <v/>
      </c>
      <c r="H945" s="126" t="str">
        <f>IF(E945&lt;&gt;"",SUMIFS('JPK_KR-1'!AM:AM,'JPK_KR-1'!W:W,F945),"")</f>
        <v/>
      </c>
      <c r="I945" s="5" t="str">
        <f>IF(kokpit!I945&lt;&gt;"",kokpit!I945,"")</f>
        <v/>
      </c>
      <c r="J945" s="5" t="str">
        <f>IF(kokpit!J945&lt;&gt;"",kokpit!J945,"")</f>
        <v/>
      </c>
      <c r="K945" s="24" t="str">
        <f>IF(I945&lt;&gt;"",SUMIFS('JPK_KR-1'!AL:AL,'JPK_KR-1'!W:W,J945),"")</f>
        <v/>
      </c>
      <c r="L945" s="141" t="str">
        <f>IF(I945&lt;&gt;"",SUMIFS('JPK_KR-1'!AM:AM,'JPK_KR-1'!W:W,J945),"")</f>
        <v/>
      </c>
      <c r="M945" s="143" t="str">
        <f>IF(kokpit!M945&lt;&gt;"",kokpit!M945,"")</f>
        <v/>
      </c>
      <c r="N945" s="117" t="str">
        <f>IF(kokpit!N945&lt;&gt;"",kokpit!N945,"")</f>
        <v/>
      </c>
      <c r="O945" s="117" t="str">
        <f>IF(kokpit!O945&lt;&gt;"",kokpit!O945,"")</f>
        <v/>
      </c>
      <c r="P945" s="141" t="str">
        <f>IF(M945&lt;&gt;"",IF(O945="",SUMIFS('JPK_KR-1'!AL:AL,'JPK_KR-1'!W:W,N945),SUMIFS('JPK_KR-1'!BF:BF,'JPK_KR-1'!BE:BE,N945,'JPK_KR-1'!BG:BG,O945)),"")</f>
        <v/>
      </c>
      <c r="Q945" s="144" t="str">
        <f>IF(M945&lt;&gt;"",IF(O945="",SUMIFS('JPK_KR-1'!AM:AM,'JPK_KR-1'!W:W,N945),SUMIFS('JPK_KR-1'!BI:BI,'JPK_KR-1'!BH:BH,N945,'JPK_KR-1'!BJ:BJ,O945)),"")</f>
        <v/>
      </c>
      <c r="R945" s="117" t="str">
        <f>IF(kokpit!R945&lt;&gt;"",kokpit!R945,"")</f>
        <v/>
      </c>
      <c r="S945" s="117" t="str">
        <f>IF(kokpit!S945&lt;&gt;"",kokpit!S945,"")</f>
        <v/>
      </c>
      <c r="T945" s="117" t="str">
        <f>IF(kokpit!T945&lt;&gt;"",kokpit!T945,"")</f>
        <v/>
      </c>
      <c r="U945" s="141" t="str">
        <f>IF(R945&lt;&gt;"",SUMIFS('JPK_KR-1'!AL:AL,'JPK_KR-1'!W:W,S945),"")</f>
        <v/>
      </c>
      <c r="V945" s="144" t="str">
        <f>IF(R945&lt;&gt;"",SUMIFS('JPK_KR-1'!AM:AM,'JPK_KR-1'!W:W,S945),"")</f>
        <v/>
      </c>
    </row>
    <row r="946" spans="1:22" x14ac:dyDescent="0.3">
      <c r="A946" s="5" t="str">
        <f>IF(kokpit!A946&lt;&gt;"",kokpit!A946,"")</f>
        <v/>
      </c>
      <c r="B946" s="5" t="str">
        <f>IF(kokpit!B946&lt;&gt;"",kokpit!B946,"")</f>
        <v/>
      </c>
      <c r="C946" s="24" t="str">
        <f>IF(A946&lt;&gt;"",SUMIFS('JPK_KR-1'!AL:AL,'JPK_KR-1'!W:W,B946),"")</f>
        <v/>
      </c>
      <c r="D946" s="126" t="str">
        <f>IF(A946&lt;&gt;"",SUMIFS('JPK_KR-1'!AM:AM,'JPK_KR-1'!W:W,B946),"")</f>
        <v/>
      </c>
      <c r="E946" s="5" t="str">
        <f>IF(kokpit!E946&lt;&gt;"",kokpit!E946,"")</f>
        <v/>
      </c>
      <c r="F946" s="127" t="str">
        <f>IF(kokpit!F946&lt;&gt;"",kokpit!F946,"")</f>
        <v/>
      </c>
      <c r="G946" s="24" t="str">
        <f>IF(E946&lt;&gt;"",SUMIFS('JPK_KR-1'!AL:AL,'JPK_KR-1'!W:W,F946),"")</f>
        <v/>
      </c>
      <c r="H946" s="126" t="str">
        <f>IF(E946&lt;&gt;"",SUMIFS('JPK_KR-1'!AM:AM,'JPK_KR-1'!W:W,F946),"")</f>
        <v/>
      </c>
      <c r="I946" s="5" t="str">
        <f>IF(kokpit!I946&lt;&gt;"",kokpit!I946,"")</f>
        <v/>
      </c>
      <c r="J946" s="5" t="str">
        <f>IF(kokpit!J946&lt;&gt;"",kokpit!J946,"")</f>
        <v/>
      </c>
      <c r="K946" s="24" t="str">
        <f>IF(I946&lt;&gt;"",SUMIFS('JPK_KR-1'!AL:AL,'JPK_KR-1'!W:W,J946),"")</f>
        <v/>
      </c>
      <c r="L946" s="141" t="str">
        <f>IF(I946&lt;&gt;"",SUMIFS('JPK_KR-1'!AM:AM,'JPK_KR-1'!W:W,J946),"")</f>
        <v/>
      </c>
      <c r="M946" s="143" t="str">
        <f>IF(kokpit!M946&lt;&gt;"",kokpit!M946,"")</f>
        <v/>
      </c>
      <c r="N946" s="117" t="str">
        <f>IF(kokpit!N946&lt;&gt;"",kokpit!N946,"")</f>
        <v/>
      </c>
      <c r="O946" s="117" t="str">
        <f>IF(kokpit!O946&lt;&gt;"",kokpit!O946,"")</f>
        <v/>
      </c>
      <c r="P946" s="141" t="str">
        <f>IF(M946&lt;&gt;"",IF(O946="",SUMIFS('JPK_KR-1'!AL:AL,'JPK_KR-1'!W:W,N946),SUMIFS('JPK_KR-1'!BF:BF,'JPK_KR-1'!BE:BE,N946,'JPK_KR-1'!BG:BG,O946)),"")</f>
        <v/>
      </c>
      <c r="Q946" s="144" t="str">
        <f>IF(M946&lt;&gt;"",IF(O946="",SUMIFS('JPK_KR-1'!AM:AM,'JPK_KR-1'!W:W,N946),SUMIFS('JPK_KR-1'!BI:BI,'JPK_KR-1'!BH:BH,N946,'JPK_KR-1'!BJ:BJ,O946)),"")</f>
        <v/>
      </c>
      <c r="R946" s="117" t="str">
        <f>IF(kokpit!R946&lt;&gt;"",kokpit!R946,"")</f>
        <v/>
      </c>
      <c r="S946" s="117" t="str">
        <f>IF(kokpit!S946&lt;&gt;"",kokpit!S946,"")</f>
        <v/>
      </c>
      <c r="T946" s="117" t="str">
        <f>IF(kokpit!T946&lt;&gt;"",kokpit!T946,"")</f>
        <v/>
      </c>
      <c r="U946" s="141" t="str">
        <f>IF(R946&lt;&gt;"",SUMIFS('JPK_KR-1'!AL:AL,'JPK_KR-1'!W:W,S946),"")</f>
        <v/>
      </c>
      <c r="V946" s="144" t="str">
        <f>IF(R946&lt;&gt;"",SUMIFS('JPK_KR-1'!AM:AM,'JPK_KR-1'!W:W,S946),"")</f>
        <v/>
      </c>
    </row>
    <row r="947" spans="1:22" x14ac:dyDescent="0.3">
      <c r="A947" s="5" t="str">
        <f>IF(kokpit!A947&lt;&gt;"",kokpit!A947,"")</f>
        <v/>
      </c>
      <c r="B947" s="5" t="str">
        <f>IF(kokpit!B947&lt;&gt;"",kokpit!B947,"")</f>
        <v/>
      </c>
      <c r="C947" s="24" t="str">
        <f>IF(A947&lt;&gt;"",SUMIFS('JPK_KR-1'!AL:AL,'JPK_KR-1'!W:W,B947),"")</f>
        <v/>
      </c>
      <c r="D947" s="126" t="str">
        <f>IF(A947&lt;&gt;"",SUMIFS('JPK_KR-1'!AM:AM,'JPK_KR-1'!W:W,B947),"")</f>
        <v/>
      </c>
      <c r="E947" s="5" t="str">
        <f>IF(kokpit!E947&lt;&gt;"",kokpit!E947,"")</f>
        <v/>
      </c>
      <c r="F947" s="127" t="str">
        <f>IF(kokpit!F947&lt;&gt;"",kokpit!F947,"")</f>
        <v/>
      </c>
      <c r="G947" s="24" t="str">
        <f>IF(E947&lt;&gt;"",SUMIFS('JPK_KR-1'!AL:AL,'JPK_KR-1'!W:W,F947),"")</f>
        <v/>
      </c>
      <c r="H947" s="126" t="str">
        <f>IF(E947&lt;&gt;"",SUMIFS('JPK_KR-1'!AM:AM,'JPK_KR-1'!W:W,F947),"")</f>
        <v/>
      </c>
      <c r="I947" s="5" t="str">
        <f>IF(kokpit!I947&lt;&gt;"",kokpit!I947,"")</f>
        <v/>
      </c>
      <c r="J947" s="5" t="str">
        <f>IF(kokpit!J947&lt;&gt;"",kokpit!J947,"")</f>
        <v/>
      </c>
      <c r="K947" s="24" t="str">
        <f>IF(I947&lt;&gt;"",SUMIFS('JPK_KR-1'!AL:AL,'JPK_KR-1'!W:W,J947),"")</f>
        <v/>
      </c>
      <c r="L947" s="141" t="str">
        <f>IF(I947&lt;&gt;"",SUMIFS('JPK_KR-1'!AM:AM,'JPK_KR-1'!W:W,J947),"")</f>
        <v/>
      </c>
      <c r="M947" s="143" t="str">
        <f>IF(kokpit!M947&lt;&gt;"",kokpit!M947,"")</f>
        <v/>
      </c>
      <c r="N947" s="117" t="str">
        <f>IF(kokpit!N947&lt;&gt;"",kokpit!N947,"")</f>
        <v/>
      </c>
      <c r="O947" s="117" t="str">
        <f>IF(kokpit!O947&lt;&gt;"",kokpit!O947,"")</f>
        <v/>
      </c>
      <c r="P947" s="141" t="str">
        <f>IF(M947&lt;&gt;"",IF(O947="",SUMIFS('JPK_KR-1'!AL:AL,'JPK_KR-1'!W:W,N947),SUMIFS('JPK_KR-1'!BF:BF,'JPK_KR-1'!BE:BE,N947,'JPK_KR-1'!BG:BG,O947)),"")</f>
        <v/>
      </c>
      <c r="Q947" s="144" t="str">
        <f>IF(M947&lt;&gt;"",IF(O947="",SUMIFS('JPK_KR-1'!AM:AM,'JPK_KR-1'!W:W,N947),SUMIFS('JPK_KR-1'!BI:BI,'JPK_KR-1'!BH:BH,N947,'JPK_KR-1'!BJ:BJ,O947)),"")</f>
        <v/>
      </c>
      <c r="R947" s="117" t="str">
        <f>IF(kokpit!R947&lt;&gt;"",kokpit!R947,"")</f>
        <v/>
      </c>
      <c r="S947" s="117" t="str">
        <f>IF(kokpit!S947&lt;&gt;"",kokpit!S947,"")</f>
        <v/>
      </c>
      <c r="T947" s="117" t="str">
        <f>IF(kokpit!T947&lt;&gt;"",kokpit!T947,"")</f>
        <v/>
      </c>
      <c r="U947" s="141" t="str">
        <f>IF(R947&lt;&gt;"",SUMIFS('JPK_KR-1'!AL:AL,'JPK_KR-1'!W:W,S947),"")</f>
        <v/>
      </c>
      <c r="V947" s="144" t="str">
        <f>IF(R947&lt;&gt;"",SUMIFS('JPK_KR-1'!AM:AM,'JPK_KR-1'!W:W,S947),"")</f>
        <v/>
      </c>
    </row>
    <row r="948" spans="1:22" x14ac:dyDescent="0.3">
      <c r="A948" s="5" t="str">
        <f>IF(kokpit!A948&lt;&gt;"",kokpit!A948,"")</f>
        <v/>
      </c>
      <c r="B948" s="5" t="str">
        <f>IF(kokpit!B948&lt;&gt;"",kokpit!B948,"")</f>
        <v/>
      </c>
      <c r="C948" s="24" t="str">
        <f>IF(A948&lt;&gt;"",SUMIFS('JPK_KR-1'!AL:AL,'JPK_KR-1'!W:W,B948),"")</f>
        <v/>
      </c>
      <c r="D948" s="126" t="str">
        <f>IF(A948&lt;&gt;"",SUMIFS('JPK_KR-1'!AM:AM,'JPK_KR-1'!W:W,B948),"")</f>
        <v/>
      </c>
      <c r="E948" s="5" t="str">
        <f>IF(kokpit!E948&lt;&gt;"",kokpit!E948,"")</f>
        <v/>
      </c>
      <c r="F948" s="127" t="str">
        <f>IF(kokpit!F948&lt;&gt;"",kokpit!F948,"")</f>
        <v/>
      </c>
      <c r="G948" s="24" t="str">
        <f>IF(E948&lt;&gt;"",SUMIFS('JPK_KR-1'!AL:AL,'JPK_KR-1'!W:W,F948),"")</f>
        <v/>
      </c>
      <c r="H948" s="126" t="str">
        <f>IF(E948&lt;&gt;"",SUMIFS('JPK_KR-1'!AM:AM,'JPK_KR-1'!W:W,F948),"")</f>
        <v/>
      </c>
      <c r="I948" s="5" t="str">
        <f>IF(kokpit!I948&lt;&gt;"",kokpit!I948,"")</f>
        <v/>
      </c>
      <c r="J948" s="5" t="str">
        <f>IF(kokpit!J948&lt;&gt;"",kokpit!J948,"")</f>
        <v/>
      </c>
      <c r="K948" s="24" t="str">
        <f>IF(I948&lt;&gt;"",SUMIFS('JPK_KR-1'!AL:AL,'JPK_KR-1'!W:W,J948),"")</f>
        <v/>
      </c>
      <c r="L948" s="141" t="str">
        <f>IF(I948&lt;&gt;"",SUMIFS('JPK_KR-1'!AM:AM,'JPK_KR-1'!W:W,J948),"")</f>
        <v/>
      </c>
      <c r="M948" s="143" t="str">
        <f>IF(kokpit!M948&lt;&gt;"",kokpit!M948,"")</f>
        <v/>
      </c>
      <c r="N948" s="117" t="str">
        <f>IF(kokpit!N948&lt;&gt;"",kokpit!N948,"")</f>
        <v/>
      </c>
      <c r="O948" s="117" t="str">
        <f>IF(kokpit!O948&lt;&gt;"",kokpit!O948,"")</f>
        <v/>
      </c>
      <c r="P948" s="141" t="str">
        <f>IF(M948&lt;&gt;"",IF(O948="",SUMIFS('JPK_KR-1'!AL:AL,'JPK_KR-1'!W:W,N948),SUMIFS('JPK_KR-1'!BF:BF,'JPK_KR-1'!BE:BE,N948,'JPK_KR-1'!BG:BG,O948)),"")</f>
        <v/>
      </c>
      <c r="Q948" s="144" t="str">
        <f>IF(M948&lt;&gt;"",IF(O948="",SUMIFS('JPK_KR-1'!AM:AM,'JPK_KR-1'!W:W,N948),SUMIFS('JPK_KR-1'!BI:BI,'JPK_KR-1'!BH:BH,N948,'JPK_KR-1'!BJ:BJ,O948)),"")</f>
        <v/>
      </c>
      <c r="R948" s="117" t="str">
        <f>IF(kokpit!R948&lt;&gt;"",kokpit!R948,"")</f>
        <v/>
      </c>
      <c r="S948" s="117" t="str">
        <f>IF(kokpit!S948&lt;&gt;"",kokpit!S948,"")</f>
        <v/>
      </c>
      <c r="T948" s="117" t="str">
        <f>IF(kokpit!T948&lt;&gt;"",kokpit!T948,"")</f>
        <v/>
      </c>
      <c r="U948" s="141" t="str">
        <f>IF(R948&lt;&gt;"",SUMIFS('JPK_KR-1'!AL:AL,'JPK_KR-1'!W:W,S948),"")</f>
        <v/>
      </c>
      <c r="V948" s="144" t="str">
        <f>IF(R948&lt;&gt;"",SUMIFS('JPK_KR-1'!AM:AM,'JPK_KR-1'!W:W,S948),"")</f>
        <v/>
      </c>
    </row>
    <row r="949" spans="1:22" x14ac:dyDescent="0.3">
      <c r="A949" s="5" t="str">
        <f>IF(kokpit!A949&lt;&gt;"",kokpit!A949,"")</f>
        <v/>
      </c>
      <c r="B949" s="5" t="str">
        <f>IF(kokpit!B949&lt;&gt;"",kokpit!B949,"")</f>
        <v/>
      </c>
      <c r="C949" s="24" t="str">
        <f>IF(A949&lt;&gt;"",SUMIFS('JPK_KR-1'!AL:AL,'JPK_KR-1'!W:W,B949),"")</f>
        <v/>
      </c>
      <c r="D949" s="126" t="str">
        <f>IF(A949&lt;&gt;"",SUMIFS('JPK_KR-1'!AM:AM,'JPK_KR-1'!W:W,B949),"")</f>
        <v/>
      </c>
      <c r="E949" s="5" t="str">
        <f>IF(kokpit!E949&lt;&gt;"",kokpit!E949,"")</f>
        <v/>
      </c>
      <c r="F949" s="127" t="str">
        <f>IF(kokpit!F949&lt;&gt;"",kokpit!F949,"")</f>
        <v/>
      </c>
      <c r="G949" s="24" t="str">
        <f>IF(E949&lt;&gt;"",SUMIFS('JPK_KR-1'!AL:AL,'JPK_KR-1'!W:W,F949),"")</f>
        <v/>
      </c>
      <c r="H949" s="126" t="str">
        <f>IF(E949&lt;&gt;"",SUMIFS('JPK_KR-1'!AM:AM,'JPK_KR-1'!W:W,F949),"")</f>
        <v/>
      </c>
      <c r="I949" s="5" t="str">
        <f>IF(kokpit!I949&lt;&gt;"",kokpit!I949,"")</f>
        <v/>
      </c>
      <c r="J949" s="5" t="str">
        <f>IF(kokpit!J949&lt;&gt;"",kokpit!J949,"")</f>
        <v/>
      </c>
      <c r="K949" s="24" t="str">
        <f>IF(I949&lt;&gt;"",SUMIFS('JPK_KR-1'!AL:AL,'JPK_KR-1'!W:W,J949),"")</f>
        <v/>
      </c>
      <c r="L949" s="141" t="str">
        <f>IF(I949&lt;&gt;"",SUMIFS('JPK_KR-1'!AM:AM,'JPK_KR-1'!W:W,J949),"")</f>
        <v/>
      </c>
      <c r="M949" s="143" t="str">
        <f>IF(kokpit!M949&lt;&gt;"",kokpit!M949,"")</f>
        <v/>
      </c>
      <c r="N949" s="117" t="str">
        <f>IF(kokpit!N949&lt;&gt;"",kokpit!N949,"")</f>
        <v/>
      </c>
      <c r="O949" s="117" t="str">
        <f>IF(kokpit!O949&lt;&gt;"",kokpit!O949,"")</f>
        <v/>
      </c>
      <c r="P949" s="141" t="str">
        <f>IF(M949&lt;&gt;"",IF(O949="",SUMIFS('JPK_KR-1'!AL:AL,'JPK_KR-1'!W:W,N949),SUMIFS('JPK_KR-1'!BF:BF,'JPK_KR-1'!BE:BE,N949,'JPK_KR-1'!BG:BG,O949)),"")</f>
        <v/>
      </c>
      <c r="Q949" s="144" t="str">
        <f>IF(M949&lt;&gt;"",IF(O949="",SUMIFS('JPK_KR-1'!AM:AM,'JPK_KR-1'!W:W,N949),SUMIFS('JPK_KR-1'!BI:BI,'JPK_KR-1'!BH:BH,N949,'JPK_KR-1'!BJ:BJ,O949)),"")</f>
        <v/>
      </c>
      <c r="R949" s="117" t="str">
        <f>IF(kokpit!R949&lt;&gt;"",kokpit!R949,"")</f>
        <v/>
      </c>
      <c r="S949" s="117" t="str">
        <f>IF(kokpit!S949&lt;&gt;"",kokpit!S949,"")</f>
        <v/>
      </c>
      <c r="T949" s="117" t="str">
        <f>IF(kokpit!T949&lt;&gt;"",kokpit!T949,"")</f>
        <v/>
      </c>
      <c r="U949" s="141" t="str">
        <f>IF(R949&lt;&gt;"",SUMIFS('JPK_KR-1'!AL:AL,'JPK_KR-1'!W:W,S949),"")</f>
        <v/>
      </c>
      <c r="V949" s="144" t="str">
        <f>IF(R949&lt;&gt;"",SUMIFS('JPK_KR-1'!AM:AM,'JPK_KR-1'!W:W,S949),"")</f>
        <v/>
      </c>
    </row>
    <row r="950" spans="1:22" x14ac:dyDescent="0.3">
      <c r="A950" s="5" t="str">
        <f>IF(kokpit!A950&lt;&gt;"",kokpit!A950,"")</f>
        <v/>
      </c>
      <c r="B950" s="5" t="str">
        <f>IF(kokpit!B950&lt;&gt;"",kokpit!B950,"")</f>
        <v/>
      </c>
      <c r="C950" s="24" t="str">
        <f>IF(A950&lt;&gt;"",SUMIFS('JPK_KR-1'!AL:AL,'JPK_KR-1'!W:W,B950),"")</f>
        <v/>
      </c>
      <c r="D950" s="126" t="str">
        <f>IF(A950&lt;&gt;"",SUMIFS('JPK_KR-1'!AM:AM,'JPK_KR-1'!W:W,B950),"")</f>
        <v/>
      </c>
      <c r="E950" s="5" t="str">
        <f>IF(kokpit!E950&lt;&gt;"",kokpit!E950,"")</f>
        <v/>
      </c>
      <c r="F950" s="127" t="str">
        <f>IF(kokpit!F950&lt;&gt;"",kokpit!F950,"")</f>
        <v/>
      </c>
      <c r="G950" s="24" t="str">
        <f>IF(E950&lt;&gt;"",SUMIFS('JPK_KR-1'!AL:AL,'JPK_KR-1'!W:W,F950),"")</f>
        <v/>
      </c>
      <c r="H950" s="126" t="str">
        <f>IF(E950&lt;&gt;"",SUMIFS('JPK_KR-1'!AM:AM,'JPK_KR-1'!W:W,F950),"")</f>
        <v/>
      </c>
      <c r="I950" s="5" t="str">
        <f>IF(kokpit!I950&lt;&gt;"",kokpit!I950,"")</f>
        <v/>
      </c>
      <c r="J950" s="5" t="str">
        <f>IF(kokpit!J950&lt;&gt;"",kokpit!J950,"")</f>
        <v/>
      </c>
      <c r="K950" s="24" t="str">
        <f>IF(I950&lt;&gt;"",SUMIFS('JPK_KR-1'!AL:AL,'JPK_KR-1'!W:W,J950),"")</f>
        <v/>
      </c>
      <c r="L950" s="141" t="str">
        <f>IF(I950&lt;&gt;"",SUMIFS('JPK_KR-1'!AM:AM,'JPK_KR-1'!W:W,J950),"")</f>
        <v/>
      </c>
      <c r="M950" s="143" t="str">
        <f>IF(kokpit!M950&lt;&gt;"",kokpit!M950,"")</f>
        <v/>
      </c>
      <c r="N950" s="117" t="str">
        <f>IF(kokpit!N950&lt;&gt;"",kokpit!N950,"")</f>
        <v/>
      </c>
      <c r="O950" s="117" t="str">
        <f>IF(kokpit!O950&lt;&gt;"",kokpit!O950,"")</f>
        <v/>
      </c>
      <c r="P950" s="141" t="str">
        <f>IF(M950&lt;&gt;"",IF(O950="",SUMIFS('JPK_KR-1'!AL:AL,'JPK_KR-1'!W:W,N950),SUMIFS('JPK_KR-1'!BF:BF,'JPK_KR-1'!BE:BE,N950,'JPK_KR-1'!BG:BG,O950)),"")</f>
        <v/>
      </c>
      <c r="Q950" s="144" t="str">
        <f>IF(M950&lt;&gt;"",IF(O950="",SUMIFS('JPK_KR-1'!AM:AM,'JPK_KR-1'!W:W,N950),SUMIFS('JPK_KR-1'!BI:BI,'JPK_KR-1'!BH:BH,N950,'JPK_KR-1'!BJ:BJ,O950)),"")</f>
        <v/>
      </c>
      <c r="R950" s="117" t="str">
        <f>IF(kokpit!R950&lt;&gt;"",kokpit!R950,"")</f>
        <v/>
      </c>
      <c r="S950" s="117" t="str">
        <f>IF(kokpit!S950&lt;&gt;"",kokpit!S950,"")</f>
        <v/>
      </c>
      <c r="T950" s="117" t="str">
        <f>IF(kokpit!T950&lt;&gt;"",kokpit!T950,"")</f>
        <v/>
      </c>
      <c r="U950" s="141" t="str">
        <f>IF(R950&lt;&gt;"",SUMIFS('JPK_KR-1'!AL:AL,'JPK_KR-1'!W:W,S950),"")</f>
        <v/>
      </c>
      <c r="V950" s="144" t="str">
        <f>IF(R950&lt;&gt;"",SUMIFS('JPK_KR-1'!AM:AM,'JPK_KR-1'!W:W,S950),"")</f>
        <v/>
      </c>
    </row>
    <row r="951" spans="1:22" x14ac:dyDescent="0.3">
      <c r="A951" s="5" t="str">
        <f>IF(kokpit!A951&lt;&gt;"",kokpit!A951,"")</f>
        <v/>
      </c>
      <c r="B951" s="5" t="str">
        <f>IF(kokpit!B951&lt;&gt;"",kokpit!B951,"")</f>
        <v/>
      </c>
      <c r="C951" s="24" t="str">
        <f>IF(A951&lt;&gt;"",SUMIFS('JPK_KR-1'!AL:AL,'JPK_KR-1'!W:W,B951),"")</f>
        <v/>
      </c>
      <c r="D951" s="126" t="str">
        <f>IF(A951&lt;&gt;"",SUMIFS('JPK_KR-1'!AM:AM,'JPK_KR-1'!W:W,B951),"")</f>
        <v/>
      </c>
      <c r="E951" s="5" t="str">
        <f>IF(kokpit!E951&lt;&gt;"",kokpit!E951,"")</f>
        <v/>
      </c>
      <c r="F951" s="127" t="str">
        <f>IF(kokpit!F951&lt;&gt;"",kokpit!F951,"")</f>
        <v/>
      </c>
      <c r="G951" s="24" t="str">
        <f>IF(E951&lt;&gt;"",SUMIFS('JPK_KR-1'!AL:AL,'JPK_KR-1'!W:W,F951),"")</f>
        <v/>
      </c>
      <c r="H951" s="126" t="str">
        <f>IF(E951&lt;&gt;"",SUMIFS('JPK_KR-1'!AM:AM,'JPK_KR-1'!W:W,F951),"")</f>
        <v/>
      </c>
      <c r="I951" s="5" t="str">
        <f>IF(kokpit!I951&lt;&gt;"",kokpit!I951,"")</f>
        <v/>
      </c>
      <c r="J951" s="5" t="str">
        <f>IF(kokpit!J951&lt;&gt;"",kokpit!J951,"")</f>
        <v/>
      </c>
      <c r="K951" s="24" t="str">
        <f>IF(I951&lt;&gt;"",SUMIFS('JPK_KR-1'!AL:AL,'JPK_KR-1'!W:W,J951),"")</f>
        <v/>
      </c>
      <c r="L951" s="141" t="str">
        <f>IF(I951&lt;&gt;"",SUMIFS('JPK_KR-1'!AM:AM,'JPK_KR-1'!W:W,J951),"")</f>
        <v/>
      </c>
      <c r="M951" s="143" t="str">
        <f>IF(kokpit!M951&lt;&gt;"",kokpit!M951,"")</f>
        <v/>
      </c>
      <c r="N951" s="117" t="str">
        <f>IF(kokpit!N951&lt;&gt;"",kokpit!N951,"")</f>
        <v/>
      </c>
      <c r="O951" s="117" t="str">
        <f>IF(kokpit!O951&lt;&gt;"",kokpit!O951,"")</f>
        <v/>
      </c>
      <c r="P951" s="141" t="str">
        <f>IF(M951&lt;&gt;"",IF(O951="",SUMIFS('JPK_KR-1'!AL:AL,'JPK_KR-1'!W:W,N951),SUMIFS('JPK_KR-1'!BF:BF,'JPK_KR-1'!BE:BE,N951,'JPK_KR-1'!BG:BG,O951)),"")</f>
        <v/>
      </c>
      <c r="Q951" s="144" t="str">
        <f>IF(M951&lt;&gt;"",IF(O951="",SUMIFS('JPK_KR-1'!AM:AM,'JPK_KR-1'!W:W,N951),SUMIFS('JPK_KR-1'!BI:BI,'JPK_KR-1'!BH:BH,N951,'JPK_KR-1'!BJ:BJ,O951)),"")</f>
        <v/>
      </c>
      <c r="R951" s="117" t="str">
        <f>IF(kokpit!R951&lt;&gt;"",kokpit!R951,"")</f>
        <v/>
      </c>
      <c r="S951" s="117" t="str">
        <f>IF(kokpit!S951&lt;&gt;"",kokpit!S951,"")</f>
        <v/>
      </c>
      <c r="T951" s="117" t="str">
        <f>IF(kokpit!T951&lt;&gt;"",kokpit!T951,"")</f>
        <v/>
      </c>
      <c r="U951" s="141" t="str">
        <f>IF(R951&lt;&gt;"",SUMIFS('JPK_KR-1'!AL:AL,'JPK_KR-1'!W:W,S951),"")</f>
        <v/>
      </c>
      <c r="V951" s="144" t="str">
        <f>IF(R951&lt;&gt;"",SUMIFS('JPK_KR-1'!AM:AM,'JPK_KR-1'!W:W,S951),"")</f>
        <v/>
      </c>
    </row>
    <row r="952" spans="1:22" x14ac:dyDescent="0.3">
      <c r="A952" s="5" t="str">
        <f>IF(kokpit!A952&lt;&gt;"",kokpit!A952,"")</f>
        <v/>
      </c>
      <c r="B952" s="5" t="str">
        <f>IF(kokpit!B952&lt;&gt;"",kokpit!B952,"")</f>
        <v/>
      </c>
      <c r="C952" s="24" t="str">
        <f>IF(A952&lt;&gt;"",SUMIFS('JPK_KR-1'!AL:AL,'JPK_KR-1'!W:W,B952),"")</f>
        <v/>
      </c>
      <c r="D952" s="126" t="str">
        <f>IF(A952&lt;&gt;"",SUMIFS('JPK_KR-1'!AM:AM,'JPK_KR-1'!W:W,B952),"")</f>
        <v/>
      </c>
      <c r="E952" s="5" t="str">
        <f>IF(kokpit!E952&lt;&gt;"",kokpit!E952,"")</f>
        <v/>
      </c>
      <c r="F952" s="127" t="str">
        <f>IF(kokpit!F952&lt;&gt;"",kokpit!F952,"")</f>
        <v/>
      </c>
      <c r="G952" s="24" t="str">
        <f>IF(E952&lt;&gt;"",SUMIFS('JPK_KR-1'!AL:AL,'JPK_KR-1'!W:W,F952),"")</f>
        <v/>
      </c>
      <c r="H952" s="126" t="str">
        <f>IF(E952&lt;&gt;"",SUMIFS('JPK_KR-1'!AM:AM,'JPK_KR-1'!W:W,F952),"")</f>
        <v/>
      </c>
      <c r="I952" s="5" t="str">
        <f>IF(kokpit!I952&lt;&gt;"",kokpit!I952,"")</f>
        <v/>
      </c>
      <c r="J952" s="5" t="str">
        <f>IF(kokpit!J952&lt;&gt;"",kokpit!J952,"")</f>
        <v/>
      </c>
      <c r="K952" s="24" t="str">
        <f>IF(I952&lt;&gt;"",SUMIFS('JPK_KR-1'!AL:AL,'JPK_KR-1'!W:W,J952),"")</f>
        <v/>
      </c>
      <c r="L952" s="141" t="str">
        <f>IF(I952&lt;&gt;"",SUMIFS('JPK_KR-1'!AM:AM,'JPK_KR-1'!W:W,J952),"")</f>
        <v/>
      </c>
      <c r="M952" s="143" t="str">
        <f>IF(kokpit!M952&lt;&gt;"",kokpit!M952,"")</f>
        <v/>
      </c>
      <c r="N952" s="117" t="str">
        <f>IF(kokpit!N952&lt;&gt;"",kokpit!N952,"")</f>
        <v/>
      </c>
      <c r="O952" s="117" t="str">
        <f>IF(kokpit!O952&lt;&gt;"",kokpit!O952,"")</f>
        <v/>
      </c>
      <c r="P952" s="141" t="str">
        <f>IF(M952&lt;&gt;"",IF(O952="",SUMIFS('JPK_KR-1'!AL:AL,'JPK_KR-1'!W:W,N952),SUMIFS('JPK_KR-1'!BF:BF,'JPK_KR-1'!BE:BE,N952,'JPK_KR-1'!BG:BG,O952)),"")</f>
        <v/>
      </c>
      <c r="Q952" s="144" t="str">
        <f>IF(M952&lt;&gt;"",IF(O952="",SUMIFS('JPK_KR-1'!AM:AM,'JPK_KR-1'!W:W,N952),SUMIFS('JPK_KR-1'!BI:BI,'JPK_KR-1'!BH:BH,N952,'JPK_KR-1'!BJ:BJ,O952)),"")</f>
        <v/>
      </c>
      <c r="R952" s="117" t="str">
        <f>IF(kokpit!R952&lt;&gt;"",kokpit!R952,"")</f>
        <v/>
      </c>
      <c r="S952" s="117" t="str">
        <f>IF(kokpit!S952&lt;&gt;"",kokpit!S952,"")</f>
        <v/>
      </c>
      <c r="T952" s="117" t="str">
        <f>IF(kokpit!T952&lt;&gt;"",kokpit!T952,"")</f>
        <v/>
      </c>
      <c r="U952" s="141" t="str">
        <f>IF(R952&lt;&gt;"",SUMIFS('JPK_KR-1'!AL:AL,'JPK_KR-1'!W:W,S952),"")</f>
        <v/>
      </c>
      <c r="V952" s="144" t="str">
        <f>IF(R952&lt;&gt;"",SUMIFS('JPK_KR-1'!AM:AM,'JPK_KR-1'!W:W,S952),"")</f>
        <v/>
      </c>
    </row>
    <row r="953" spans="1:22" x14ac:dyDescent="0.3">
      <c r="A953" s="5" t="str">
        <f>IF(kokpit!A953&lt;&gt;"",kokpit!A953,"")</f>
        <v/>
      </c>
      <c r="B953" s="5" t="str">
        <f>IF(kokpit!B953&lt;&gt;"",kokpit!B953,"")</f>
        <v/>
      </c>
      <c r="C953" s="24" t="str">
        <f>IF(A953&lt;&gt;"",SUMIFS('JPK_KR-1'!AL:AL,'JPK_KR-1'!W:W,B953),"")</f>
        <v/>
      </c>
      <c r="D953" s="126" t="str">
        <f>IF(A953&lt;&gt;"",SUMIFS('JPK_KR-1'!AM:AM,'JPK_KR-1'!W:W,B953),"")</f>
        <v/>
      </c>
      <c r="E953" s="5" t="str">
        <f>IF(kokpit!E953&lt;&gt;"",kokpit!E953,"")</f>
        <v/>
      </c>
      <c r="F953" s="127" t="str">
        <f>IF(kokpit!F953&lt;&gt;"",kokpit!F953,"")</f>
        <v/>
      </c>
      <c r="G953" s="24" t="str">
        <f>IF(E953&lt;&gt;"",SUMIFS('JPK_KR-1'!AL:AL,'JPK_KR-1'!W:W,F953),"")</f>
        <v/>
      </c>
      <c r="H953" s="126" t="str">
        <f>IF(E953&lt;&gt;"",SUMIFS('JPK_KR-1'!AM:AM,'JPK_KR-1'!W:W,F953),"")</f>
        <v/>
      </c>
      <c r="I953" s="5" t="str">
        <f>IF(kokpit!I953&lt;&gt;"",kokpit!I953,"")</f>
        <v/>
      </c>
      <c r="J953" s="5" t="str">
        <f>IF(kokpit!J953&lt;&gt;"",kokpit!J953,"")</f>
        <v/>
      </c>
      <c r="K953" s="24" t="str">
        <f>IF(I953&lt;&gt;"",SUMIFS('JPK_KR-1'!AL:AL,'JPK_KR-1'!W:W,J953),"")</f>
        <v/>
      </c>
      <c r="L953" s="141" t="str">
        <f>IF(I953&lt;&gt;"",SUMIFS('JPK_KR-1'!AM:AM,'JPK_KR-1'!W:W,J953),"")</f>
        <v/>
      </c>
      <c r="M953" s="143" t="str">
        <f>IF(kokpit!M953&lt;&gt;"",kokpit!M953,"")</f>
        <v/>
      </c>
      <c r="N953" s="117" t="str">
        <f>IF(kokpit!N953&lt;&gt;"",kokpit!N953,"")</f>
        <v/>
      </c>
      <c r="O953" s="117" t="str">
        <f>IF(kokpit!O953&lt;&gt;"",kokpit!O953,"")</f>
        <v/>
      </c>
      <c r="P953" s="141" t="str">
        <f>IF(M953&lt;&gt;"",IF(O953="",SUMIFS('JPK_KR-1'!AL:AL,'JPK_KR-1'!W:W,N953),SUMIFS('JPK_KR-1'!BF:BF,'JPK_KR-1'!BE:BE,N953,'JPK_KR-1'!BG:BG,O953)),"")</f>
        <v/>
      </c>
      <c r="Q953" s="144" t="str">
        <f>IF(M953&lt;&gt;"",IF(O953="",SUMIFS('JPK_KR-1'!AM:AM,'JPK_KR-1'!W:W,N953),SUMIFS('JPK_KR-1'!BI:BI,'JPK_KR-1'!BH:BH,N953,'JPK_KR-1'!BJ:BJ,O953)),"")</f>
        <v/>
      </c>
      <c r="R953" s="117" t="str">
        <f>IF(kokpit!R953&lt;&gt;"",kokpit!R953,"")</f>
        <v/>
      </c>
      <c r="S953" s="117" t="str">
        <f>IF(kokpit!S953&lt;&gt;"",kokpit!S953,"")</f>
        <v/>
      </c>
      <c r="T953" s="117" t="str">
        <f>IF(kokpit!T953&lt;&gt;"",kokpit!T953,"")</f>
        <v/>
      </c>
      <c r="U953" s="141" t="str">
        <f>IF(R953&lt;&gt;"",SUMIFS('JPK_KR-1'!AL:AL,'JPK_KR-1'!W:W,S953),"")</f>
        <v/>
      </c>
      <c r="V953" s="144" t="str">
        <f>IF(R953&lt;&gt;"",SUMIFS('JPK_KR-1'!AM:AM,'JPK_KR-1'!W:W,S953),"")</f>
        <v/>
      </c>
    </row>
    <row r="954" spans="1:22" x14ac:dyDescent="0.3">
      <c r="A954" s="5" t="str">
        <f>IF(kokpit!A954&lt;&gt;"",kokpit!A954,"")</f>
        <v/>
      </c>
      <c r="B954" s="5" t="str">
        <f>IF(kokpit!B954&lt;&gt;"",kokpit!B954,"")</f>
        <v/>
      </c>
      <c r="C954" s="24" t="str">
        <f>IF(A954&lt;&gt;"",SUMIFS('JPK_KR-1'!AL:AL,'JPK_KR-1'!W:W,B954),"")</f>
        <v/>
      </c>
      <c r="D954" s="126" t="str">
        <f>IF(A954&lt;&gt;"",SUMIFS('JPK_KR-1'!AM:AM,'JPK_KR-1'!W:W,B954),"")</f>
        <v/>
      </c>
      <c r="E954" s="5" t="str">
        <f>IF(kokpit!E954&lt;&gt;"",kokpit!E954,"")</f>
        <v/>
      </c>
      <c r="F954" s="127" t="str">
        <f>IF(kokpit!F954&lt;&gt;"",kokpit!F954,"")</f>
        <v/>
      </c>
      <c r="G954" s="24" t="str">
        <f>IF(E954&lt;&gt;"",SUMIFS('JPK_KR-1'!AL:AL,'JPK_KR-1'!W:W,F954),"")</f>
        <v/>
      </c>
      <c r="H954" s="126" t="str">
        <f>IF(E954&lt;&gt;"",SUMIFS('JPK_KR-1'!AM:AM,'JPK_KR-1'!W:W,F954),"")</f>
        <v/>
      </c>
      <c r="I954" s="5" t="str">
        <f>IF(kokpit!I954&lt;&gt;"",kokpit!I954,"")</f>
        <v/>
      </c>
      <c r="J954" s="5" t="str">
        <f>IF(kokpit!J954&lt;&gt;"",kokpit!J954,"")</f>
        <v/>
      </c>
      <c r="K954" s="24" t="str">
        <f>IF(I954&lt;&gt;"",SUMIFS('JPK_KR-1'!AL:AL,'JPK_KR-1'!W:W,J954),"")</f>
        <v/>
      </c>
      <c r="L954" s="141" t="str">
        <f>IF(I954&lt;&gt;"",SUMIFS('JPK_KR-1'!AM:AM,'JPK_KR-1'!W:W,J954),"")</f>
        <v/>
      </c>
      <c r="M954" s="143" t="str">
        <f>IF(kokpit!M954&lt;&gt;"",kokpit!M954,"")</f>
        <v/>
      </c>
      <c r="N954" s="117" t="str">
        <f>IF(kokpit!N954&lt;&gt;"",kokpit!N954,"")</f>
        <v/>
      </c>
      <c r="O954" s="117" t="str">
        <f>IF(kokpit!O954&lt;&gt;"",kokpit!O954,"")</f>
        <v/>
      </c>
      <c r="P954" s="141" t="str">
        <f>IF(M954&lt;&gt;"",IF(O954="",SUMIFS('JPK_KR-1'!AL:AL,'JPK_KR-1'!W:W,N954),SUMIFS('JPK_KR-1'!BF:BF,'JPK_KR-1'!BE:BE,N954,'JPK_KR-1'!BG:BG,O954)),"")</f>
        <v/>
      </c>
      <c r="Q954" s="144" t="str">
        <f>IF(M954&lt;&gt;"",IF(O954="",SUMIFS('JPK_KR-1'!AM:AM,'JPK_KR-1'!W:W,N954),SUMIFS('JPK_KR-1'!BI:BI,'JPK_KR-1'!BH:BH,N954,'JPK_KR-1'!BJ:BJ,O954)),"")</f>
        <v/>
      </c>
      <c r="R954" s="117" t="str">
        <f>IF(kokpit!R954&lt;&gt;"",kokpit!R954,"")</f>
        <v/>
      </c>
      <c r="S954" s="117" t="str">
        <f>IF(kokpit!S954&lt;&gt;"",kokpit!S954,"")</f>
        <v/>
      </c>
      <c r="T954" s="117" t="str">
        <f>IF(kokpit!T954&lt;&gt;"",kokpit!T954,"")</f>
        <v/>
      </c>
      <c r="U954" s="141" t="str">
        <f>IF(R954&lt;&gt;"",SUMIFS('JPK_KR-1'!AL:AL,'JPK_KR-1'!W:W,S954),"")</f>
        <v/>
      </c>
      <c r="V954" s="144" t="str">
        <f>IF(R954&lt;&gt;"",SUMIFS('JPK_KR-1'!AM:AM,'JPK_KR-1'!W:W,S954),"")</f>
        <v/>
      </c>
    </row>
    <row r="955" spans="1:22" x14ac:dyDescent="0.3">
      <c r="A955" s="5" t="str">
        <f>IF(kokpit!A955&lt;&gt;"",kokpit!A955,"")</f>
        <v/>
      </c>
      <c r="B955" s="5" t="str">
        <f>IF(kokpit!B955&lt;&gt;"",kokpit!B955,"")</f>
        <v/>
      </c>
      <c r="C955" s="24" t="str">
        <f>IF(A955&lt;&gt;"",SUMIFS('JPK_KR-1'!AL:AL,'JPK_KR-1'!W:W,B955),"")</f>
        <v/>
      </c>
      <c r="D955" s="126" t="str">
        <f>IF(A955&lt;&gt;"",SUMIFS('JPK_KR-1'!AM:AM,'JPK_KR-1'!W:W,B955),"")</f>
        <v/>
      </c>
      <c r="E955" s="5" t="str">
        <f>IF(kokpit!E955&lt;&gt;"",kokpit!E955,"")</f>
        <v/>
      </c>
      <c r="F955" s="127" t="str">
        <f>IF(kokpit!F955&lt;&gt;"",kokpit!F955,"")</f>
        <v/>
      </c>
      <c r="G955" s="24" t="str">
        <f>IF(E955&lt;&gt;"",SUMIFS('JPK_KR-1'!AL:AL,'JPK_KR-1'!W:W,F955),"")</f>
        <v/>
      </c>
      <c r="H955" s="126" t="str">
        <f>IF(E955&lt;&gt;"",SUMIFS('JPK_KR-1'!AM:AM,'JPK_KR-1'!W:W,F955),"")</f>
        <v/>
      </c>
      <c r="I955" s="5" t="str">
        <f>IF(kokpit!I955&lt;&gt;"",kokpit!I955,"")</f>
        <v/>
      </c>
      <c r="J955" s="5" t="str">
        <f>IF(kokpit!J955&lt;&gt;"",kokpit!J955,"")</f>
        <v/>
      </c>
      <c r="K955" s="24" t="str">
        <f>IF(I955&lt;&gt;"",SUMIFS('JPK_KR-1'!AL:AL,'JPK_KR-1'!W:W,J955),"")</f>
        <v/>
      </c>
      <c r="L955" s="141" t="str">
        <f>IF(I955&lt;&gt;"",SUMIFS('JPK_KR-1'!AM:AM,'JPK_KR-1'!W:W,J955),"")</f>
        <v/>
      </c>
      <c r="M955" s="143" t="str">
        <f>IF(kokpit!M955&lt;&gt;"",kokpit!M955,"")</f>
        <v/>
      </c>
      <c r="N955" s="117" t="str">
        <f>IF(kokpit!N955&lt;&gt;"",kokpit!N955,"")</f>
        <v/>
      </c>
      <c r="O955" s="117" t="str">
        <f>IF(kokpit!O955&lt;&gt;"",kokpit!O955,"")</f>
        <v/>
      </c>
      <c r="P955" s="141" t="str">
        <f>IF(M955&lt;&gt;"",IF(O955="",SUMIFS('JPK_KR-1'!AL:AL,'JPK_KR-1'!W:W,N955),SUMIFS('JPK_KR-1'!BF:BF,'JPK_KR-1'!BE:BE,N955,'JPK_KR-1'!BG:BG,O955)),"")</f>
        <v/>
      </c>
      <c r="Q955" s="144" t="str">
        <f>IF(M955&lt;&gt;"",IF(O955="",SUMIFS('JPK_KR-1'!AM:AM,'JPK_KR-1'!W:W,N955),SUMIFS('JPK_KR-1'!BI:BI,'JPK_KR-1'!BH:BH,N955,'JPK_KR-1'!BJ:BJ,O955)),"")</f>
        <v/>
      </c>
      <c r="R955" s="117" t="str">
        <f>IF(kokpit!R955&lt;&gt;"",kokpit!R955,"")</f>
        <v/>
      </c>
      <c r="S955" s="117" t="str">
        <f>IF(kokpit!S955&lt;&gt;"",kokpit!S955,"")</f>
        <v/>
      </c>
      <c r="T955" s="117" t="str">
        <f>IF(kokpit!T955&lt;&gt;"",kokpit!T955,"")</f>
        <v/>
      </c>
      <c r="U955" s="141" t="str">
        <f>IF(R955&lt;&gt;"",SUMIFS('JPK_KR-1'!AL:AL,'JPK_KR-1'!W:W,S955),"")</f>
        <v/>
      </c>
      <c r="V955" s="144" t="str">
        <f>IF(R955&lt;&gt;"",SUMIFS('JPK_KR-1'!AM:AM,'JPK_KR-1'!W:W,S955),"")</f>
        <v/>
      </c>
    </row>
    <row r="956" spans="1:22" x14ac:dyDescent="0.3">
      <c r="A956" s="5" t="str">
        <f>IF(kokpit!A956&lt;&gt;"",kokpit!A956,"")</f>
        <v/>
      </c>
      <c r="B956" s="5" t="str">
        <f>IF(kokpit!B956&lt;&gt;"",kokpit!B956,"")</f>
        <v/>
      </c>
      <c r="C956" s="24" t="str">
        <f>IF(A956&lt;&gt;"",SUMIFS('JPK_KR-1'!AL:AL,'JPK_KR-1'!W:W,B956),"")</f>
        <v/>
      </c>
      <c r="D956" s="126" t="str">
        <f>IF(A956&lt;&gt;"",SUMIFS('JPK_KR-1'!AM:AM,'JPK_KR-1'!W:W,B956),"")</f>
        <v/>
      </c>
      <c r="E956" s="5" t="str">
        <f>IF(kokpit!E956&lt;&gt;"",kokpit!E956,"")</f>
        <v/>
      </c>
      <c r="F956" s="127" t="str">
        <f>IF(kokpit!F956&lt;&gt;"",kokpit!F956,"")</f>
        <v/>
      </c>
      <c r="G956" s="24" t="str">
        <f>IF(E956&lt;&gt;"",SUMIFS('JPK_KR-1'!AL:AL,'JPK_KR-1'!W:W,F956),"")</f>
        <v/>
      </c>
      <c r="H956" s="126" t="str">
        <f>IF(E956&lt;&gt;"",SUMIFS('JPK_KR-1'!AM:AM,'JPK_KR-1'!W:W,F956),"")</f>
        <v/>
      </c>
      <c r="I956" s="5" t="str">
        <f>IF(kokpit!I956&lt;&gt;"",kokpit!I956,"")</f>
        <v/>
      </c>
      <c r="J956" s="5" t="str">
        <f>IF(kokpit!J956&lt;&gt;"",kokpit!J956,"")</f>
        <v/>
      </c>
      <c r="K956" s="24" t="str">
        <f>IF(I956&lt;&gt;"",SUMIFS('JPK_KR-1'!AL:AL,'JPK_KR-1'!W:W,J956),"")</f>
        <v/>
      </c>
      <c r="L956" s="141" t="str">
        <f>IF(I956&lt;&gt;"",SUMIFS('JPK_KR-1'!AM:AM,'JPK_KR-1'!W:W,J956),"")</f>
        <v/>
      </c>
      <c r="M956" s="143" t="str">
        <f>IF(kokpit!M956&lt;&gt;"",kokpit!M956,"")</f>
        <v/>
      </c>
      <c r="N956" s="117" t="str">
        <f>IF(kokpit!N956&lt;&gt;"",kokpit!N956,"")</f>
        <v/>
      </c>
      <c r="O956" s="117" t="str">
        <f>IF(kokpit!O956&lt;&gt;"",kokpit!O956,"")</f>
        <v/>
      </c>
      <c r="P956" s="141" t="str">
        <f>IF(M956&lt;&gt;"",IF(O956="",SUMIFS('JPK_KR-1'!AL:AL,'JPK_KR-1'!W:W,N956),SUMIFS('JPK_KR-1'!BF:BF,'JPK_KR-1'!BE:BE,N956,'JPK_KR-1'!BG:BG,O956)),"")</f>
        <v/>
      </c>
      <c r="Q956" s="144" t="str">
        <f>IF(M956&lt;&gt;"",IF(O956="",SUMIFS('JPK_KR-1'!AM:AM,'JPK_KR-1'!W:W,N956),SUMIFS('JPK_KR-1'!BI:BI,'JPK_KR-1'!BH:BH,N956,'JPK_KR-1'!BJ:BJ,O956)),"")</f>
        <v/>
      </c>
      <c r="R956" s="117" t="str">
        <f>IF(kokpit!R956&lt;&gt;"",kokpit!R956,"")</f>
        <v/>
      </c>
      <c r="S956" s="117" t="str">
        <f>IF(kokpit!S956&lt;&gt;"",kokpit!S956,"")</f>
        <v/>
      </c>
      <c r="T956" s="117" t="str">
        <f>IF(kokpit!T956&lt;&gt;"",kokpit!T956,"")</f>
        <v/>
      </c>
      <c r="U956" s="141" t="str">
        <f>IF(R956&lt;&gt;"",SUMIFS('JPK_KR-1'!AL:AL,'JPK_KR-1'!W:W,S956),"")</f>
        <v/>
      </c>
      <c r="V956" s="144" t="str">
        <f>IF(R956&lt;&gt;"",SUMIFS('JPK_KR-1'!AM:AM,'JPK_KR-1'!W:W,S956),"")</f>
        <v/>
      </c>
    </row>
    <row r="957" spans="1:22" x14ac:dyDescent="0.3">
      <c r="A957" s="5" t="str">
        <f>IF(kokpit!A957&lt;&gt;"",kokpit!A957,"")</f>
        <v/>
      </c>
      <c r="B957" s="5" t="str">
        <f>IF(kokpit!B957&lt;&gt;"",kokpit!B957,"")</f>
        <v/>
      </c>
      <c r="C957" s="24" t="str">
        <f>IF(A957&lt;&gt;"",SUMIFS('JPK_KR-1'!AL:AL,'JPK_KR-1'!W:W,B957),"")</f>
        <v/>
      </c>
      <c r="D957" s="126" t="str">
        <f>IF(A957&lt;&gt;"",SUMIFS('JPK_KR-1'!AM:AM,'JPK_KR-1'!W:W,B957),"")</f>
        <v/>
      </c>
      <c r="E957" s="5" t="str">
        <f>IF(kokpit!E957&lt;&gt;"",kokpit!E957,"")</f>
        <v/>
      </c>
      <c r="F957" s="127" t="str">
        <f>IF(kokpit!F957&lt;&gt;"",kokpit!F957,"")</f>
        <v/>
      </c>
      <c r="G957" s="24" t="str">
        <f>IF(E957&lt;&gt;"",SUMIFS('JPK_KR-1'!AL:AL,'JPK_KR-1'!W:W,F957),"")</f>
        <v/>
      </c>
      <c r="H957" s="126" t="str">
        <f>IF(E957&lt;&gt;"",SUMIFS('JPK_KR-1'!AM:AM,'JPK_KR-1'!W:W,F957),"")</f>
        <v/>
      </c>
      <c r="I957" s="5" t="str">
        <f>IF(kokpit!I957&lt;&gt;"",kokpit!I957,"")</f>
        <v/>
      </c>
      <c r="J957" s="5" t="str">
        <f>IF(kokpit!J957&lt;&gt;"",kokpit!J957,"")</f>
        <v/>
      </c>
      <c r="K957" s="24" t="str">
        <f>IF(I957&lt;&gt;"",SUMIFS('JPK_KR-1'!AL:AL,'JPK_KR-1'!W:W,J957),"")</f>
        <v/>
      </c>
      <c r="L957" s="141" t="str">
        <f>IF(I957&lt;&gt;"",SUMIFS('JPK_KR-1'!AM:AM,'JPK_KR-1'!W:W,J957),"")</f>
        <v/>
      </c>
      <c r="M957" s="143" t="str">
        <f>IF(kokpit!M957&lt;&gt;"",kokpit!M957,"")</f>
        <v/>
      </c>
      <c r="N957" s="117" t="str">
        <f>IF(kokpit!N957&lt;&gt;"",kokpit!N957,"")</f>
        <v/>
      </c>
      <c r="O957" s="117" t="str">
        <f>IF(kokpit!O957&lt;&gt;"",kokpit!O957,"")</f>
        <v/>
      </c>
      <c r="P957" s="141" t="str">
        <f>IF(M957&lt;&gt;"",IF(O957="",SUMIFS('JPK_KR-1'!AL:AL,'JPK_KR-1'!W:W,N957),SUMIFS('JPK_KR-1'!BF:BF,'JPK_KR-1'!BE:BE,N957,'JPK_KR-1'!BG:BG,O957)),"")</f>
        <v/>
      </c>
      <c r="Q957" s="144" t="str">
        <f>IF(M957&lt;&gt;"",IF(O957="",SUMIFS('JPK_KR-1'!AM:AM,'JPK_KR-1'!W:W,N957),SUMIFS('JPK_KR-1'!BI:BI,'JPK_KR-1'!BH:BH,N957,'JPK_KR-1'!BJ:BJ,O957)),"")</f>
        <v/>
      </c>
      <c r="R957" s="117" t="str">
        <f>IF(kokpit!R957&lt;&gt;"",kokpit!R957,"")</f>
        <v/>
      </c>
      <c r="S957" s="117" t="str">
        <f>IF(kokpit!S957&lt;&gt;"",kokpit!S957,"")</f>
        <v/>
      </c>
      <c r="T957" s="117" t="str">
        <f>IF(kokpit!T957&lt;&gt;"",kokpit!T957,"")</f>
        <v/>
      </c>
      <c r="U957" s="141" t="str">
        <f>IF(R957&lt;&gt;"",SUMIFS('JPK_KR-1'!AL:AL,'JPK_KR-1'!W:W,S957),"")</f>
        <v/>
      </c>
      <c r="V957" s="144" t="str">
        <f>IF(R957&lt;&gt;"",SUMIFS('JPK_KR-1'!AM:AM,'JPK_KR-1'!W:W,S957),"")</f>
        <v/>
      </c>
    </row>
    <row r="958" spans="1:22" x14ac:dyDescent="0.3">
      <c r="A958" s="5" t="str">
        <f>IF(kokpit!A958&lt;&gt;"",kokpit!A958,"")</f>
        <v/>
      </c>
      <c r="B958" s="5" t="str">
        <f>IF(kokpit!B958&lt;&gt;"",kokpit!B958,"")</f>
        <v/>
      </c>
      <c r="C958" s="24" t="str">
        <f>IF(A958&lt;&gt;"",SUMIFS('JPK_KR-1'!AL:AL,'JPK_KR-1'!W:W,B958),"")</f>
        <v/>
      </c>
      <c r="D958" s="126" t="str">
        <f>IF(A958&lt;&gt;"",SUMIFS('JPK_KR-1'!AM:AM,'JPK_KR-1'!W:W,B958),"")</f>
        <v/>
      </c>
      <c r="E958" s="5" t="str">
        <f>IF(kokpit!E958&lt;&gt;"",kokpit!E958,"")</f>
        <v/>
      </c>
      <c r="F958" s="127" t="str">
        <f>IF(kokpit!F958&lt;&gt;"",kokpit!F958,"")</f>
        <v/>
      </c>
      <c r="G958" s="24" t="str">
        <f>IF(E958&lt;&gt;"",SUMIFS('JPK_KR-1'!AL:AL,'JPK_KR-1'!W:W,F958),"")</f>
        <v/>
      </c>
      <c r="H958" s="126" t="str">
        <f>IF(E958&lt;&gt;"",SUMIFS('JPK_KR-1'!AM:AM,'JPK_KR-1'!W:W,F958),"")</f>
        <v/>
      </c>
      <c r="I958" s="5" t="str">
        <f>IF(kokpit!I958&lt;&gt;"",kokpit!I958,"")</f>
        <v/>
      </c>
      <c r="J958" s="5" t="str">
        <f>IF(kokpit!J958&lt;&gt;"",kokpit!J958,"")</f>
        <v/>
      </c>
      <c r="K958" s="24" t="str">
        <f>IF(I958&lt;&gt;"",SUMIFS('JPK_KR-1'!AL:AL,'JPK_KR-1'!W:W,J958),"")</f>
        <v/>
      </c>
      <c r="L958" s="141" t="str">
        <f>IF(I958&lt;&gt;"",SUMIFS('JPK_KR-1'!AM:AM,'JPK_KR-1'!W:W,J958),"")</f>
        <v/>
      </c>
      <c r="M958" s="143" t="str">
        <f>IF(kokpit!M958&lt;&gt;"",kokpit!M958,"")</f>
        <v/>
      </c>
      <c r="N958" s="117" t="str">
        <f>IF(kokpit!N958&lt;&gt;"",kokpit!N958,"")</f>
        <v/>
      </c>
      <c r="O958" s="117" t="str">
        <f>IF(kokpit!O958&lt;&gt;"",kokpit!O958,"")</f>
        <v/>
      </c>
      <c r="P958" s="141" t="str">
        <f>IF(M958&lt;&gt;"",IF(O958="",SUMIFS('JPK_KR-1'!AL:AL,'JPK_KR-1'!W:W,N958),SUMIFS('JPK_KR-1'!BF:BF,'JPK_KR-1'!BE:BE,N958,'JPK_KR-1'!BG:BG,O958)),"")</f>
        <v/>
      </c>
      <c r="Q958" s="144" t="str">
        <f>IF(M958&lt;&gt;"",IF(O958="",SUMIFS('JPK_KR-1'!AM:AM,'JPK_KR-1'!W:W,N958),SUMIFS('JPK_KR-1'!BI:BI,'JPK_KR-1'!BH:BH,N958,'JPK_KR-1'!BJ:BJ,O958)),"")</f>
        <v/>
      </c>
      <c r="R958" s="117" t="str">
        <f>IF(kokpit!R958&lt;&gt;"",kokpit!R958,"")</f>
        <v/>
      </c>
      <c r="S958" s="117" t="str">
        <f>IF(kokpit!S958&lt;&gt;"",kokpit!S958,"")</f>
        <v/>
      </c>
      <c r="T958" s="117" t="str">
        <f>IF(kokpit!T958&lt;&gt;"",kokpit!T958,"")</f>
        <v/>
      </c>
      <c r="U958" s="141" t="str">
        <f>IF(R958&lt;&gt;"",SUMIFS('JPK_KR-1'!AL:AL,'JPK_KR-1'!W:W,S958),"")</f>
        <v/>
      </c>
      <c r="V958" s="144" t="str">
        <f>IF(R958&lt;&gt;"",SUMIFS('JPK_KR-1'!AM:AM,'JPK_KR-1'!W:W,S958),"")</f>
        <v/>
      </c>
    </row>
    <row r="959" spans="1:22" x14ac:dyDescent="0.3">
      <c r="A959" s="5" t="str">
        <f>IF(kokpit!A959&lt;&gt;"",kokpit!A959,"")</f>
        <v/>
      </c>
      <c r="B959" s="5" t="str">
        <f>IF(kokpit!B959&lt;&gt;"",kokpit!B959,"")</f>
        <v/>
      </c>
      <c r="C959" s="24" t="str">
        <f>IF(A959&lt;&gt;"",SUMIFS('JPK_KR-1'!AL:AL,'JPK_KR-1'!W:W,B959),"")</f>
        <v/>
      </c>
      <c r="D959" s="126" t="str">
        <f>IF(A959&lt;&gt;"",SUMIFS('JPK_KR-1'!AM:AM,'JPK_KR-1'!W:W,B959),"")</f>
        <v/>
      </c>
      <c r="E959" s="5" t="str">
        <f>IF(kokpit!E959&lt;&gt;"",kokpit!E959,"")</f>
        <v/>
      </c>
      <c r="F959" s="127" t="str">
        <f>IF(kokpit!F959&lt;&gt;"",kokpit!F959,"")</f>
        <v/>
      </c>
      <c r="G959" s="24" t="str">
        <f>IF(E959&lt;&gt;"",SUMIFS('JPK_KR-1'!AL:AL,'JPK_KR-1'!W:W,F959),"")</f>
        <v/>
      </c>
      <c r="H959" s="126" t="str">
        <f>IF(E959&lt;&gt;"",SUMIFS('JPK_KR-1'!AM:AM,'JPK_KR-1'!W:W,F959),"")</f>
        <v/>
      </c>
      <c r="I959" s="5" t="str">
        <f>IF(kokpit!I959&lt;&gt;"",kokpit!I959,"")</f>
        <v/>
      </c>
      <c r="J959" s="5" t="str">
        <f>IF(kokpit!J959&lt;&gt;"",kokpit!J959,"")</f>
        <v/>
      </c>
      <c r="K959" s="24" t="str">
        <f>IF(I959&lt;&gt;"",SUMIFS('JPK_KR-1'!AL:AL,'JPK_KR-1'!W:W,J959),"")</f>
        <v/>
      </c>
      <c r="L959" s="141" t="str">
        <f>IF(I959&lt;&gt;"",SUMIFS('JPK_KR-1'!AM:AM,'JPK_KR-1'!W:W,J959),"")</f>
        <v/>
      </c>
      <c r="M959" s="143" t="str">
        <f>IF(kokpit!M959&lt;&gt;"",kokpit!M959,"")</f>
        <v/>
      </c>
      <c r="N959" s="117" t="str">
        <f>IF(kokpit!N959&lt;&gt;"",kokpit!N959,"")</f>
        <v/>
      </c>
      <c r="O959" s="117" t="str">
        <f>IF(kokpit!O959&lt;&gt;"",kokpit!O959,"")</f>
        <v/>
      </c>
      <c r="P959" s="141" t="str">
        <f>IF(M959&lt;&gt;"",IF(O959="",SUMIFS('JPK_KR-1'!AL:AL,'JPK_KR-1'!W:W,N959),SUMIFS('JPK_KR-1'!BF:BF,'JPK_KR-1'!BE:BE,N959,'JPK_KR-1'!BG:BG,O959)),"")</f>
        <v/>
      </c>
      <c r="Q959" s="144" t="str">
        <f>IF(M959&lt;&gt;"",IF(O959="",SUMIFS('JPK_KR-1'!AM:AM,'JPK_KR-1'!W:W,N959),SUMIFS('JPK_KR-1'!BI:BI,'JPK_KR-1'!BH:BH,N959,'JPK_KR-1'!BJ:BJ,O959)),"")</f>
        <v/>
      </c>
      <c r="R959" s="117" t="str">
        <f>IF(kokpit!R959&lt;&gt;"",kokpit!R959,"")</f>
        <v/>
      </c>
      <c r="S959" s="117" t="str">
        <f>IF(kokpit!S959&lt;&gt;"",kokpit!S959,"")</f>
        <v/>
      </c>
      <c r="T959" s="117" t="str">
        <f>IF(kokpit!T959&lt;&gt;"",kokpit!T959,"")</f>
        <v/>
      </c>
      <c r="U959" s="141" t="str">
        <f>IF(R959&lt;&gt;"",SUMIFS('JPK_KR-1'!AL:AL,'JPK_KR-1'!W:W,S959),"")</f>
        <v/>
      </c>
      <c r="V959" s="144" t="str">
        <f>IF(R959&lt;&gt;"",SUMIFS('JPK_KR-1'!AM:AM,'JPK_KR-1'!W:W,S959),"")</f>
        <v/>
      </c>
    </row>
    <row r="960" spans="1:22" x14ac:dyDescent="0.3">
      <c r="A960" s="5" t="str">
        <f>IF(kokpit!A960&lt;&gt;"",kokpit!A960,"")</f>
        <v/>
      </c>
      <c r="B960" s="5" t="str">
        <f>IF(kokpit!B960&lt;&gt;"",kokpit!B960,"")</f>
        <v/>
      </c>
      <c r="C960" s="24" t="str">
        <f>IF(A960&lt;&gt;"",SUMIFS('JPK_KR-1'!AL:AL,'JPK_KR-1'!W:W,B960),"")</f>
        <v/>
      </c>
      <c r="D960" s="126" t="str">
        <f>IF(A960&lt;&gt;"",SUMIFS('JPK_KR-1'!AM:AM,'JPK_KR-1'!W:W,B960),"")</f>
        <v/>
      </c>
      <c r="E960" s="5" t="str">
        <f>IF(kokpit!E960&lt;&gt;"",kokpit!E960,"")</f>
        <v/>
      </c>
      <c r="F960" s="127" t="str">
        <f>IF(kokpit!F960&lt;&gt;"",kokpit!F960,"")</f>
        <v/>
      </c>
      <c r="G960" s="24" t="str">
        <f>IF(E960&lt;&gt;"",SUMIFS('JPK_KR-1'!AL:AL,'JPK_KR-1'!W:W,F960),"")</f>
        <v/>
      </c>
      <c r="H960" s="126" t="str">
        <f>IF(E960&lt;&gt;"",SUMIFS('JPK_KR-1'!AM:AM,'JPK_KR-1'!W:W,F960),"")</f>
        <v/>
      </c>
      <c r="I960" s="5" t="str">
        <f>IF(kokpit!I960&lt;&gt;"",kokpit!I960,"")</f>
        <v/>
      </c>
      <c r="J960" s="5" t="str">
        <f>IF(kokpit!J960&lt;&gt;"",kokpit!J960,"")</f>
        <v/>
      </c>
      <c r="K960" s="24" t="str">
        <f>IF(I960&lt;&gt;"",SUMIFS('JPK_KR-1'!AL:AL,'JPK_KR-1'!W:W,J960),"")</f>
        <v/>
      </c>
      <c r="L960" s="141" t="str">
        <f>IF(I960&lt;&gt;"",SUMIFS('JPK_KR-1'!AM:AM,'JPK_KR-1'!W:W,J960),"")</f>
        <v/>
      </c>
      <c r="M960" s="143" t="str">
        <f>IF(kokpit!M960&lt;&gt;"",kokpit!M960,"")</f>
        <v/>
      </c>
      <c r="N960" s="117" t="str">
        <f>IF(kokpit!N960&lt;&gt;"",kokpit!N960,"")</f>
        <v/>
      </c>
      <c r="O960" s="117" t="str">
        <f>IF(kokpit!O960&lt;&gt;"",kokpit!O960,"")</f>
        <v/>
      </c>
      <c r="P960" s="141" t="str">
        <f>IF(M960&lt;&gt;"",IF(O960="",SUMIFS('JPK_KR-1'!AL:AL,'JPK_KR-1'!W:W,N960),SUMIFS('JPK_KR-1'!BF:BF,'JPK_KR-1'!BE:BE,N960,'JPK_KR-1'!BG:BG,O960)),"")</f>
        <v/>
      </c>
      <c r="Q960" s="144" t="str">
        <f>IF(M960&lt;&gt;"",IF(O960="",SUMIFS('JPK_KR-1'!AM:AM,'JPK_KR-1'!W:W,N960),SUMIFS('JPK_KR-1'!BI:BI,'JPK_KR-1'!BH:BH,N960,'JPK_KR-1'!BJ:BJ,O960)),"")</f>
        <v/>
      </c>
      <c r="R960" s="117" t="str">
        <f>IF(kokpit!R960&lt;&gt;"",kokpit!R960,"")</f>
        <v/>
      </c>
      <c r="S960" s="117" t="str">
        <f>IF(kokpit!S960&lt;&gt;"",kokpit!S960,"")</f>
        <v/>
      </c>
      <c r="T960" s="117" t="str">
        <f>IF(kokpit!T960&lt;&gt;"",kokpit!T960,"")</f>
        <v/>
      </c>
      <c r="U960" s="141" t="str">
        <f>IF(R960&lt;&gt;"",SUMIFS('JPK_KR-1'!AL:AL,'JPK_KR-1'!W:W,S960),"")</f>
        <v/>
      </c>
      <c r="V960" s="144" t="str">
        <f>IF(R960&lt;&gt;"",SUMIFS('JPK_KR-1'!AM:AM,'JPK_KR-1'!W:W,S960),"")</f>
        <v/>
      </c>
    </row>
    <row r="961" spans="1:22" x14ac:dyDescent="0.3">
      <c r="A961" s="5" t="str">
        <f>IF(kokpit!A961&lt;&gt;"",kokpit!A961,"")</f>
        <v/>
      </c>
      <c r="B961" s="5" t="str">
        <f>IF(kokpit!B961&lt;&gt;"",kokpit!B961,"")</f>
        <v/>
      </c>
      <c r="C961" s="24" t="str">
        <f>IF(A961&lt;&gt;"",SUMIFS('JPK_KR-1'!AL:AL,'JPK_KR-1'!W:W,B961),"")</f>
        <v/>
      </c>
      <c r="D961" s="126" t="str">
        <f>IF(A961&lt;&gt;"",SUMIFS('JPK_KR-1'!AM:AM,'JPK_KR-1'!W:W,B961),"")</f>
        <v/>
      </c>
      <c r="E961" s="5" t="str">
        <f>IF(kokpit!E961&lt;&gt;"",kokpit!E961,"")</f>
        <v/>
      </c>
      <c r="F961" s="127" t="str">
        <f>IF(kokpit!F961&lt;&gt;"",kokpit!F961,"")</f>
        <v/>
      </c>
      <c r="G961" s="24" t="str">
        <f>IF(E961&lt;&gt;"",SUMIFS('JPK_KR-1'!AL:AL,'JPK_KR-1'!W:W,F961),"")</f>
        <v/>
      </c>
      <c r="H961" s="126" t="str">
        <f>IF(E961&lt;&gt;"",SUMIFS('JPK_KR-1'!AM:AM,'JPK_KR-1'!W:W,F961),"")</f>
        <v/>
      </c>
      <c r="I961" s="5" t="str">
        <f>IF(kokpit!I961&lt;&gt;"",kokpit!I961,"")</f>
        <v/>
      </c>
      <c r="J961" s="5" t="str">
        <f>IF(kokpit!J961&lt;&gt;"",kokpit!J961,"")</f>
        <v/>
      </c>
      <c r="K961" s="24" t="str">
        <f>IF(I961&lt;&gt;"",SUMIFS('JPK_KR-1'!AL:AL,'JPK_KR-1'!W:W,J961),"")</f>
        <v/>
      </c>
      <c r="L961" s="141" t="str">
        <f>IF(I961&lt;&gt;"",SUMIFS('JPK_KR-1'!AM:AM,'JPK_KR-1'!W:W,J961),"")</f>
        <v/>
      </c>
      <c r="M961" s="143" t="str">
        <f>IF(kokpit!M961&lt;&gt;"",kokpit!M961,"")</f>
        <v/>
      </c>
      <c r="N961" s="117" t="str">
        <f>IF(kokpit!N961&lt;&gt;"",kokpit!N961,"")</f>
        <v/>
      </c>
      <c r="O961" s="117" t="str">
        <f>IF(kokpit!O961&lt;&gt;"",kokpit!O961,"")</f>
        <v/>
      </c>
      <c r="P961" s="141" t="str">
        <f>IF(M961&lt;&gt;"",IF(O961="",SUMIFS('JPK_KR-1'!AL:AL,'JPK_KR-1'!W:W,N961),SUMIFS('JPK_KR-1'!BF:BF,'JPK_KR-1'!BE:BE,N961,'JPK_KR-1'!BG:BG,O961)),"")</f>
        <v/>
      </c>
      <c r="Q961" s="144" t="str">
        <f>IF(M961&lt;&gt;"",IF(O961="",SUMIFS('JPK_KR-1'!AM:AM,'JPK_KR-1'!W:W,N961),SUMIFS('JPK_KR-1'!BI:BI,'JPK_KR-1'!BH:BH,N961,'JPK_KR-1'!BJ:BJ,O961)),"")</f>
        <v/>
      </c>
      <c r="R961" s="117" t="str">
        <f>IF(kokpit!R961&lt;&gt;"",kokpit!R961,"")</f>
        <v/>
      </c>
      <c r="S961" s="117" t="str">
        <f>IF(kokpit!S961&lt;&gt;"",kokpit!S961,"")</f>
        <v/>
      </c>
      <c r="T961" s="117" t="str">
        <f>IF(kokpit!T961&lt;&gt;"",kokpit!T961,"")</f>
        <v/>
      </c>
      <c r="U961" s="141" t="str">
        <f>IF(R961&lt;&gt;"",SUMIFS('JPK_KR-1'!AL:AL,'JPK_KR-1'!W:W,S961),"")</f>
        <v/>
      </c>
      <c r="V961" s="144" t="str">
        <f>IF(R961&lt;&gt;"",SUMIFS('JPK_KR-1'!AM:AM,'JPK_KR-1'!W:W,S961),"")</f>
        <v/>
      </c>
    </row>
    <row r="962" spans="1:22" x14ac:dyDescent="0.3">
      <c r="A962" s="5" t="str">
        <f>IF(kokpit!A962&lt;&gt;"",kokpit!A962,"")</f>
        <v/>
      </c>
      <c r="B962" s="5" t="str">
        <f>IF(kokpit!B962&lt;&gt;"",kokpit!B962,"")</f>
        <v/>
      </c>
      <c r="C962" s="24" t="str">
        <f>IF(A962&lt;&gt;"",SUMIFS('JPK_KR-1'!AL:AL,'JPK_KR-1'!W:W,B962),"")</f>
        <v/>
      </c>
      <c r="D962" s="126" t="str">
        <f>IF(A962&lt;&gt;"",SUMIFS('JPK_KR-1'!AM:AM,'JPK_KR-1'!W:W,B962),"")</f>
        <v/>
      </c>
      <c r="E962" s="5" t="str">
        <f>IF(kokpit!E962&lt;&gt;"",kokpit!E962,"")</f>
        <v/>
      </c>
      <c r="F962" s="127" t="str">
        <f>IF(kokpit!F962&lt;&gt;"",kokpit!F962,"")</f>
        <v/>
      </c>
      <c r="G962" s="24" t="str">
        <f>IF(E962&lt;&gt;"",SUMIFS('JPK_KR-1'!AL:AL,'JPK_KR-1'!W:W,F962),"")</f>
        <v/>
      </c>
      <c r="H962" s="126" t="str">
        <f>IF(E962&lt;&gt;"",SUMIFS('JPK_KR-1'!AM:AM,'JPK_KR-1'!W:W,F962),"")</f>
        <v/>
      </c>
      <c r="I962" s="5" t="str">
        <f>IF(kokpit!I962&lt;&gt;"",kokpit!I962,"")</f>
        <v/>
      </c>
      <c r="J962" s="5" t="str">
        <f>IF(kokpit!J962&lt;&gt;"",kokpit!J962,"")</f>
        <v/>
      </c>
      <c r="K962" s="24" t="str">
        <f>IF(I962&lt;&gt;"",SUMIFS('JPK_KR-1'!AL:AL,'JPK_KR-1'!W:W,J962),"")</f>
        <v/>
      </c>
      <c r="L962" s="141" t="str">
        <f>IF(I962&lt;&gt;"",SUMIFS('JPK_KR-1'!AM:AM,'JPK_KR-1'!W:W,J962),"")</f>
        <v/>
      </c>
      <c r="M962" s="143" t="str">
        <f>IF(kokpit!M962&lt;&gt;"",kokpit!M962,"")</f>
        <v/>
      </c>
      <c r="N962" s="117" t="str">
        <f>IF(kokpit!N962&lt;&gt;"",kokpit!N962,"")</f>
        <v/>
      </c>
      <c r="O962" s="117" t="str">
        <f>IF(kokpit!O962&lt;&gt;"",kokpit!O962,"")</f>
        <v/>
      </c>
      <c r="P962" s="141" t="str">
        <f>IF(M962&lt;&gt;"",IF(O962="",SUMIFS('JPK_KR-1'!AL:AL,'JPK_KR-1'!W:W,N962),SUMIFS('JPK_KR-1'!BF:BF,'JPK_KR-1'!BE:BE,N962,'JPK_KR-1'!BG:BG,O962)),"")</f>
        <v/>
      </c>
      <c r="Q962" s="144" t="str">
        <f>IF(M962&lt;&gt;"",IF(O962="",SUMIFS('JPK_KR-1'!AM:AM,'JPK_KR-1'!W:W,N962),SUMIFS('JPK_KR-1'!BI:BI,'JPK_KR-1'!BH:BH,N962,'JPK_KR-1'!BJ:BJ,O962)),"")</f>
        <v/>
      </c>
      <c r="R962" s="117" t="str">
        <f>IF(kokpit!R962&lt;&gt;"",kokpit!R962,"")</f>
        <v/>
      </c>
      <c r="S962" s="117" t="str">
        <f>IF(kokpit!S962&lt;&gt;"",kokpit!S962,"")</f>
        <v/>
      </c>
      <c r="T962" s="117" t="str">
        <f>IF(kokpit!T962&lt;&gt;"",kokpit!T962,"")</f>
        <v/>
      </c>
      <c r="U962" s="141" t="str">
        <f>IF(R962&lt;&gt;"",SUMIFS('JPK_KR-1'!AL:AL,'JPK_KR-1'!W:W,S962),"")</f>
        <v/>
      </c>
      <c r="V962" s="144" t="str">
        <f>IF(R962&lt;&gt;"",SUMIFS('JPK_KR-1'!AM:AM,'JPK_KR-1'!W:W,S962),"")</f>
        <v/>
      </c>
    </row>
    <row r="963" spans="1:22" x14ac:dyDescent="0.3">
      <c r="A963" s="5" t="str">
        <f>IF(kokpit!A963&lt;&gt;"",kokpit!A963,"")</f>
        <v/>
      </c>
      <c r="B963" s="5" t="str">
        <f>IF(kokpit!B963&lt;&gt;"",kokpit!B963,"")</f>
        <v/>
      </c>
      <c r="C963" s="24" t="str">
        <f>IF(A963&lt;&gt;"",SUMIFS('JPK_KR-1'!AL:AL,'JPK_KR-1'!W:W,B963),"")</f>
        <v/>
      </c>
      <c r="D963" s="126" t="str">
        <f>IF(A963&lt;&gt;"",SUMIFS('JPK_KR-1'!AM:AM,'JPK_KR-1'!W:W,B963),"")</f>
        <v/>
      </c>
      <c r="E963" s="5" t="str">
        <f>IF(kokpit!E963&lt;&gt;"",kokpit!E963,"")</f>
        <v/>
      </c>
      <c r="F963" s="127" t="str">
        <f>IF(kokpit!F963&lt;&gt;"",kokpit!F963,"")</f>
        <v/>
      </c>
      <c r="G963" s="24" t="str">
        <f>IF(E963&lt;&gt;"",SUMIFS('JPK_KR-1'!AL:AL,'JPK_KR-1'!W:W,F963),"")</f>
        <v/>
      </c>
      <c r="H963" s="126" t="str">
        <f>IF(E963&lt;&gt;"",SUMIFS('JPK_KR-1'!AM:AM,'JPK_KR-1'!W:W,F963),"")</f>
        <v/>
      </c>
      <c r="I963" s="5" t="str">
        <f>IF(kokpit!I963&lt;&gt;"",kokpit!I963,"")</f>
        <v/>
      </c>
      <c r="J963" s="5" t="str">
        <f>IF(kokpit!J963&lt;&gt;"",kokpit!J963,"")</f>
        <v/>
      </c>
      <c r="K963" s="24" t="str">
        <f>IF(I963&lt;&gt;"",SUMIFS('JPK_KR-1'!AL:AL,'JPK_KR-1'!W:W,J963),"")</f>
        <v/>
      </c>
      <c r="L963" s="141" t="str">
        <f>IF(I963&lt;&gt;"",SUMIFS('JPK_KR-1'!AM:AM,'JPK_KR-1'!W:W,J963),"")</f>
        <v/>
      </c>
      <c r="M963" s="143" t="str">
        <f>IF(kokpit!M963&lt;&gt;"",kokpit!M963,"")</f>
        <v/>
      </c>
      <c r="N963" s="117" t="str">
        <f>IF(kokpit!N963&lt;&gt;"",kokpit!N963,"")</f>
        <v/>
      </c>
      <c r="O963" s="117" t="str">
        <f>IF(kokpit!O963&lt;&gt;"",kokpit!O963,"")</f>
        <v/>
      </c>
      <c r="P963" s="141" t="str">
        <f>IF(M963&lt;&gt;"",IF(O963="",SUMIFS('JPK_KR-1'!AL:AL,'JPK_KR-1'!W:W,N963),SUMIFS('JPK_KR-1'!BF:BF,'JPK_KR-1'!BE:BE,N963,'JPK_KR-1'!BG:BG,O963)),"")</f>
        <v/>
      </c>
      <c r="Q963" s="144" t="str">
        <f>IF(M963&lt;&gt;"",IF(O963="",SUMIFS('JPK_KR-1'!AM:AM,'JPK_KR-1'!W:W,N963),SUMIFS('JPK_KR-1'!BI:BI,'JPK_KR-1'!BH:BH,N963,'JPK_KR-1'!BJ:BJ,O963)),"")</f>
        <v/>
      </c>
      <c r="R963" s="117" t="str">
        <f>IF(kokpit!R963&lt;&gt;"",kokpit!R963,"")</f>
        <v/>
      </c>
      <c r="S963" s="117" t="str">
        <f>IF(kokpit!S963&lt;&gt;"",kokpit!S963,"")</f>
        <v/>
      </c>
      <c r="T963" s="117" t="str">
        <f>IF(kokpit!T963&lt;&gt;"",kokpit!T963,"")</f>
        <v/>
      </c>
      <c r="U963" s="141" t="str">
        <f>IF(R963&lt;&gt;"",SUMIFS('JPK_KR-1'!AL:AL,'JPK_KR-1'!W:W,S963),"")</f>
        <v/>
      </c>
      <c r="V963" s="144" t="str">
        <f>IF(R963&lt;&gt;"",SUMIFS('JPK_KR-1'!AM:AM,'JPK_KR-1'!W:W,S963),"")</f>
        <v/>
      </c>
    </row>
    <row r="964" spans="1:22" x14ac:dyDescent="0.3">
      <c r="A964" s="5" t="str">
        <f>IF(kokpit!A964&lt;&gt;"",kokpit!A964,"")</f>
        <v/>
      </c>
      <c r="B964" s="5" t="str">
        <f>IF(kokpit!B964&lt;&gt;"",kokpit!B964,"")</f>
        <v/>
      </c>
      <c r="C964" s="24" t="str">
        <f>IF(A964&lt;&gt;"",SUMIFS('JPK_KR-1'!AL:AL,'JPK_KR-1'!W:W,B964),"")</f>
        <v/>
      </c>
      <c r="D964" s="126" t="str">
        <f>IF(A964&lt;&gt;"",SUMIFS('JPK_KR-1'!AM:AM,'JPK_KR-1'!W:W,B964),"")</f>
        <v/>
      </c>
      <c r="E964" s="5" t="str">
        <f>IF(kokpit!E964&lt;&gt;"",kokpit!E964,"")</f>
        <v/>
      </c>
      <c r="F964" s="127" t="str">
        <f>IF(kokpit!F964&lt;&gt;"",kokpit!F964,"")</f>
        <v/>
      </c>
      <c r="G964" s="24" t="str">
        <f>IF(E964&lt;&gt;"",SUMIFS('JPK_KR-1'!AL:AL,'JPK_KR-1'!W:W,F964),"")</f>
        <v/>
      </c>
      <c r="H964" s="126" t="str">
        <f>IF(E964&lt;&gt;"",SUMIFS('JPK_KR-1'!AM:AM,'JPK_KR-1'!W:W,F964),"")</f>
        <v/>
      </c>
      <c r="I964" s="5" t="str">
        <f>IF(kokpit!I964&lt;&gt;"",kokpit!I964,"")</f>
        <v/>
      </c>
      <c r="J964" s="5" t="str">
        <f>IF(kokpit!J964&lt;&gt;"",kokpit!J964,"")</f>
        <v/>
      </c>
      <c r="K964" s="24" t="str">
        <f>IF(I964&lt;&gt;"",SUMIFS('JPK_KR-1'!AL:AL,'JPK_KR-1'!W:W,J964),"")</f>
        <v/>
      </c>
      <c r="L964" s="141" t="str">
        <f>IF(I964&lt;&gt;"",SUMIFS('JPK_KR-1'!AM:AM,'JPK_KR-1'!W:W,J964),"")</f>
        <v/>
      </c>
      <c r="M964" s="143" t="str">
        <f>IF(kokpit!M964&lt;&gt;"",kokpit!M964,"")</f>
        <v/>
      </c>
      <c r="N964" s="117" t="str">
        <f>IF(kokpit!N964&lt;&gt;"",kokpit!N964,"")</f>
        <v/>
      </c>
      <c r="O964" s="117" t="str">
        <f>IF(kokpit!O964&lt;&gt;"",kokpit!O964,"")</f>
        <v/>
      </c>
      <c r="P964" s="141" t="str">
        <f>IF(M964&lt;&gt;"",IF(O964="",SUMIFS('JPK_KR-1'!AL:AL,'JPK_KR-1'!W:W,N964),SUMIFS('JPK_KR-1'!BF:BF,'JPK_KR-1'!BE:BE,N964,'JPK_KR-1'!BG:BG,O964)),"")</f>
        <v/>
      </c>
      <c r="Q964" s="144" t="str">
        <f>IF(M964&lt;&gt;"",IF(O964="",SUMIFS('JPK_KR-1'!AM:AM,'JPK_KR-1'!W:W,N964),SUMIFS('JPK_KR-1'!BI:BI,'JPK_KR-1'!BH:BH,N964,'JPK_KR-1'!BJ:BJ,O964)),"")</f>
        <v/>
      </c>
      <c r="R964" s="117" t="str">
        <f>IF(kokpit!R964&lt;&gt;"",kokpit!R964,"")</f>
        <v/>
      </c>
      <c r="S964" s="117" t="str">
        <f>IF(kokpit!S964&lt;&gt;"",kokpit!S964,"")</f>
        <v/>
      </c>
      <c r="T964" s="117" t="str">
        <f>IF(kokpit!T964&lt;&gt;"",kokpit!T964,"")</f>
        <v/>
      </c>
      <c r="U964" s="141" t="str">
        <f>IF(R964&lt;&gt;"",SUMIFS('JPK_KR-1'!AL:AL,'JPK_KR-1'!W:W,S964),"")</f>
        <v/>
      </c>
      <c r="V964" s="144" t="str">
        <f>IF(R964&lt;&gt;"",SUMIFS('JPK_KR-1'!AM:AM,'JPK_KR-1'!W:W,S964),"")</f>
        <v/>
      </c>
    </row>
    <row r="965" spans="1:22" x14ac:dyDescent="0.3">
      <c r="A965" s="5" t="str">
        <f>IF(kokpit!A965&lt;&gt;"",kokpit!A965,"")</f>
        <v/>
      </c>
      <c r="B965" s="5" t="str">
        <f>IF(kokpit!B965&lt;&gt;"",kokpit!B965,"")</f>
        <v/>
      </c>
      <c r="C965" s="24" t="str">
        <f>IF(A965&lt;&gt;"",SUMIFS('JPK_KR-1'!AL:AL,'JPK_KR-1'!W:W,B965),"")</f>
        <v/>
      </c>
      <c r="D965" s="126" t="str">
        <f>IF(A965&lt;&gt;"",SUMIFS('JPK_KR-1'!AM:AM,'JPK_KR-1'!W:W,B965),"")</f>
        <v/>
      </c>
      <c r="E965" s="5" t="str">
        <f>IF(kokpit!E965&lt;&gt;"",kokpit!E965,"")</f>
        <v/>
      </c>
      <c r="F965" s="127" t="str">
        <f>IF(kokpit!F965&lt;&gt;"",kokpit!F965,"")</f>
        <v/>
      </c>
      <c r="G965" s="24" t="str">
        <f>IF(E965&lt;&gt;"",SUMIFS('JPK_KR-1'!AL:AL,'JPK_KR-1'!W:W,F965),"")</f>
        <v/>
      </c>
      <c r="H965" s="126" t="str">
        <f>IF(E965&lt;&gt;"",SUMIFS('JPK_KR-1'!AM:AM,'JPK_KR-1'!W:W,F965),"")</f>
        <v/>
      </c>
      <c r="I965" s="5" t="str">
        <f>IF(kokpit!I965&lt;&gt;"",kokpit!I965,"")</f>
        <v/>
      </c>
      <c r="J965" s="5" t="str">
        <f>IF(kokpit!J965&lt;&gt;"",kokpit!J965,"")</f>
        <v/>
      </c>
      <c r="K965" s="24" t="str">
        <f>IF(I965&lt;&gt;"",SUMIFS('JPK_KR-1'!AL:AL,'JPK_KR-1'!W:W,J965),"")</f>
        <v/>
      </c>
      <c r="L965" s="141" t="str">
        <f>IF(I965&lt;&gt;"",SUMIFS('JPK_KR-1'!AM:AM,'JPK_KR-1'!W:W,J965),"")</f>
        <v/>
      </c>
      <c r="M965" s="143" t="str">
        <f>IF(kokpit!M965&lt;&gt;"",kokpit!M965,"")</f>
        <v/>
      </c>
      <c r="N965" s="117" t="str">
        <f>IF(kokpit!N965&lt;&gt;"",kokpit!N965,"")</f>
        <v/>
      </c>
      <c r="O965" s="117" t="str">
        <f>IF(kokpit!O965&lt;&gt;"",kokpit!O965,"")</f>
        <v/>
      </c>
      <c r="P965" s="141" t="str">
        <f>IF(M965&lt;&gt;"",IF(O965="",SUMIFS('JPK_KR-1'!AL:AL,'JPK_KR-1'!W:W,N965),SUMIFS('JPK_KR-1'!BF:BF,'JPK_KR-1'!BE:BE,N965,'JPK_KR-1'!BG:BG,O965)),"")</f>
        <v/>
      </c>
      <c r="Q965" s="144" t="str">
        <f>IF(M965&lt;&gt;"",IF(O965="",SUMIFS('JPK_KR-1'!AM:AM,'JPK_KR-1'!W:W,N965),SUMIFS('JPK_KR-1'!BI:BI,'JPK_KR-1'!BH:BH,N965,'JPK_KR-1'!BJ:BJ,O965)),"")</f>
        <v/>
      </c>
      <c r="R965" s="117" t="str">
        <f>IF(kokpit!R965&lt;&gt;"",kokpit!R965,"")</f>
        <v/>
      </c>
      <c r="S965" s="117" t="str">
        <f>IF(kokpit!S965&lt;&gt;"",kokpit!S965,"")</f>
        <v/>
      </c>
      <c r="T965" s="117" t="str">
        <f>IF(kokpit!T965&lt;&gt;"",kokpit!T965,"")</f>
        <v/>
      </c>
      <c r="U965" s="141" t="str">
        <f>IF(R965&lt;&gt;"",SUMIFS('JPK_KR-1'!AL:AL,'JPK_KR-1'!W:W,S965),"")</f>
        <v/>
      </c>
      <c r="V965" s="144" t="str">
        <f>IF(R965&lt;&gt;"",SUMIFS('JPK_KR-1'!AM:AM,'JPK_KR-1'!W:W,S965),"")</f>
        <v/>
      </c>
    </row>
    <row r="966" spans="1:22" x14ac:dyDescent="0.3">
      <c r="A966" s="5" t="str">
        <f>IF(kokpit!A966&lt;&gt;"",kokpit!A966,"")</f>
        <v/>
      </c>
      <c r="B966" s="5" t="str">
        <f>IF(kokpit!B966&lt;&gt;"",kokpit!B966,"")</f>
        <v/>
      </c>
      <c r="C966" s="24" t="str">
        <f>IF(A966&lt;&gt;"",SUMIFS('JPK_KR-1'!AL:AL,'JPK_KR-1'!W:W,B966),"")</f>
        <v/>
      </c>
      <c r="D966" s="126" t="str">
        <f>IF(A966&lt;&gt;"",SUMIFS('JPK_KR-1'!AM:AM,'JPK_KR-1'!W:W,B966),"")</f>
        <v/>
      </c>
      <c r="E966" s="5" t="str">
        <f>IF(kokpit!E966&lt;&gt;"",kokpit!E966,"")</f>
        <v/>
      </c>
      <c r="F966" s="127" t="str">
        <f>IF(kokpit!F966&lt;&gt;"",kokpit!F966,"")</f>
        <v/>
      </c>
      <c r="G966" s="24" t="str">
        <f>IF(E966&lt;&gt;"",SUMIFS('JPK_KR-1'!AL:AL,'JPK_KR-1'!W:W,F966),"")</f>
        <v/>
      </c>
      <c r="H966" s="126" t="str">
        <f>IF(E966&lt;&gt;"",SUMIFS('JPK_KR-1'!AM:AM,'JPK_KR-1'!W:W,F966),"")</f>
        <v/>
      </c>
      <c r="I966" s="5" t="str">
        <f>IF(kokpit!I966&lt;&gt;"",kokpit!I966,"")</f>
        <v/>
      </c>
      <c r="J966" s="5" t="str">
        <f>IF(kokpit!J966&lt;&gt;"",kokpit!J966,"")</f>
        <v/>
      </c>
      <c r="K966" s="24" t="str">
        <f>IF(I966&lt;&gt;"",SUMIFS('JPK_KR-1'!AL:AL,'JPK_KR-1'!W:W,J966),"")</f>
        <v/>
      </c>
      <c r="L966" s="141" t="str">
        <f>IF(I966&lt;&gt;"",SUMIFS('JPK_KR-1'!AM:AM,'JPK_KR-1'!W:W,J966),"")</f>
        <v/>
      </c>
      <c r="M966" s="143" t="str">
        <f>IF(kokpit!M966&lt;&gt;"",kokpit!M966,"")</f>
        <v/>
      </c>
      <c r="N966" s="117" t="str">
        <f>IF(kokpit!N966&lt;&gt;"",kokpit!N966,"")</f>
        <v/>
      </c>
      <c r="O966" s="117" t="str">
        <f>IF(kokpit!O966&lt;&gt;"",kokpit!O966,"")</f>
        <v/>
      </c>
      <c r="P966" s="141" t="str">
        <f>IF(M966&lt;&gt;"",IF(O966="",SUMIFS('JPK_KR-1'!AL:AL,'JPK_KR-1'!W:W,N966),SUMIFS('JPK_KR-1'!BF:BF,'JPK_KR-1'!BE:BE,N966,'JPK_KR-1'!BG:BG,O966)),"")</f>
        <v/>
      </c>
      <c r="Q966" s="144" t="str">
        <f>IF(M966&lt;&gt;"",IF(O966="",SUMIFS('JPK_KR-1'!AM:AM,'JPK_KR-1'!W:W,N966),SUMIFS('JPK_KR-1'!BI:BI,'JPK_KR-1'!BH:BH,N966,'JPK_KR-1'!BJ:BJ,O966)),"")</f>
        <v/>
      </c>
      <c r="R966" s="117" t="str">
        <f>IF(kokpit!R966&lt;&gt;"",kokpit!R966,"")</f>
        <v/>
      </c>
      <c r="S966" s="117" t="str">
        <f>IF(kokpit!S966&lt;&gt;"",kokpit!S966,"")</f>
        <v/>
      </c>
      <c r="T966" s="117" t="str">
        <f>IF(kokpit!T966&lt;&gt;"",kokpit!T966,"")</f>
        <v/>
      </c>
      <c r="U966" s="141" t="str">
        <f>IF(R966&lt;&gt;"",SUMIFS('JPK_KR-1'!AL:AL,'JPK_KR-1'!W:W,S966),"")</f>
        <v/>
      </c>
      <c r="V966" s="144" t="str">
        <f>IF(R966&lt;&gt;"",SUMIFS('JPK_KR-1'!AM:AM,'JPK_KR-1'!W:W,S966),"")</f>
        <v/>
      </c>
    </row>
    <row r="967" spans="1:22" x14ac:dyDescent="0.3">
      <c r="A967" s="5" t="str">
        <f>IF(kokpit!A967&lt;&gt;"",kokpit!A967,"")</f>
        <v/>
      </c>
      <c r="B967" s="5" t="str">
        <f>IF(kokpit!B967&lt;&gt;"",kokpit!B967,"")</f>
        <v/>
      </c>
      <c r="C967" s="24" t="str">
        <f>IF(A967&lt;&gt;"",SUMIFS('JPK_KR-1'!AL:AL,'JPK_KR-1'!W:W,B967),"")</f>
        <v/>
      </c>
      <c r="D967" s="126" t="str">
        <f>IF(A967&lt;&gt;"",SUMIFS('JPK_KR-1'!AM:AM,'JPK_KR-1'!W:W,B967),"")</f>
        <v/>
      </c>
      <c r="E967" s="5" t="str">
        <f>IF(kokpit!E967&lt;&gt;"",kokpit!E967,"")</f>
        <v/>
      </c>
      <c r="F967" s="127" t="str">
        <f>IF(kokpit!F967&lt;&gt;"",kokpit!F967,"")</f>
        <v/>
      </c>
      <c r="G967" s="24" t="str">
        <f>IF(E967&lt;&gt;"",SUMIFS('JPK_KR-1'!AL:AL,'JPK_KR-1'!W:W,F967),"")</f>
        <v/>
      </c>
      <c r="H967" s="126" t="str">
        <f>IF(E967&lt;&gt;"",SUMIFS('JPK_KR-1'!AM:AM,'JPK_KR-1'!W:W,F967),"")</f>
        <v/>
      </c>
      <c r="I967" s="5" t="str">
        <f>IF(kokpit!I967&lt;&gt;"",kokpit!I967,"")</f>
        <v/>
      </c>
      <c r="J967" s="5" t="str">
        <f>IF(kokpit!J967&lt;&gt;"",kokpit!J967,"")</f>
        <v/>
      </c>
      <c r="K967" s="24" t="str">
        <f>IF(I967&lt;&gt;"",SUMIFS('JPK_KR-1'!AL:AL,'JPK_KR-1'!W:W,J967),"")</f>
        <v/>
      </c>
      <c r="L967" s="141" t="str">
        <f>IF(I967&lt;&gt;"",SUMIFS('JPK_KR-1'!AM:AM,'JPK_KR-1'!W:W,J967),"")</f>
        <v/>
      </c>
      <c r="M967" s="143" t="str">
        <f>IF(kokpit!M967&lt;&gt;"",kokpit!M967,"")</f>
        <v/>
      </c>
      <c r="N967" s="117" t="str">
        <f>IF(kokpit!N967&lt;&gt;"",kokpit!N967,"")</f>
        <v/>
      </c>
      <c r="O967" s="117" t="str">
        <f>IF(kokpit!O967&lt;&gt;"",kokpit!O967,"")</f>
        <v/>
      </c>
      <c r="P967" s="141" t="str">
        <f>IF(M967&lt;&gt;"",IF(O967="",SUMIFS('JPK_KR-1'!AL:AL,'JPK_KR-1'!W:W,N967),SUMIFS('JPK_KR-1'!BF:BF,'JPK_KR-1'!BE:BE,N967,'JPK_KR-1'!BG:BG,O967)),"")</f>
        <v/>
      </c>
      <c r="Q967" s="144" t="str">
        <f>IF(M967&lt;&gt;"",IF(O967="",SUMIFS('JPK_KR-1'!AM:AM,'JPK_KR-1'!W:W,N967),SUMIFS('JPK_KR-1'!BI:BI,'JPK_KR-1'!BH:BH,N967,'JPK_KR-1'!BJ:BJ,O967)),"")</f>
        <v/>
      </c>
      <c r="R967" s="117" t="str">
        <f>IF(kokpit!R967&lt;&gt;"",kokpit!R967,"")</f>
        <v/>
      </c>
      <c r="S967" s="117" t="str">
        <f>IF(kokpit!S967&lt;&gt;"",kokpit!S967,"")</f>
        <v/>
      </c>
      <c r="T967" s="117" t="str">
        <f>IF(kokpit!T967&lt;&gt;"",kokpit!T967,"")</f>
        <v/>
      </c>
      <c r="U967" s="141" t="str">
        <f>IF(R967&lt;&gt;"",SUMIFS('JPK_KR-1'!AL:AL,'JPK_KR-1'!W:W,S967),"")</f>
        <v/>
      </c>
      <c r="V967" s="144" t="str">
        <f>IF(R967&lt;&gt;"",SUMIFS('JPK_KR-1'!AM:AM,'JPK_KR-1'!W:W,S967),"")</f>
        <v/>
      </c>
    </row>
    <row r="968" spans="1:22" x14ac:dyDescent="0.3">
      <c r="A968" s="5" t="str">
        <f>IF(kokpit!A968&lt;&gt;"",kokpit!A968,"")</f>
        <v/>
      </c>
      <c r="B968" s="5" t="str">
        <f>IF(kokpit!B968&lt;&gt;"",kokpit!B968,"")</f>
        <v/>
      </c>
      <c r="C968" s="24" t="str">
        <f>IF(A968&lt;&gt;"",SUMIFS('JPK_KR-1'!AL:AL,'JPK_KR-1'!W:W,B968),"")</f>
        <v/>
      </c>
      <c r="D968" s="126" t="str">
        <f>IF(A968&lt;&gt;"",SUMIFS('JPK_KR-1'!AM:AM,'JPK_KR-1'!W:W,B968),"")</f>
        <v/>
      </c>
      <c r="E968" s="5" t="str">
        <f>IF(kokpit!E968&lt;&gt;"",kokpit!E968,"")</f>
        <v/>
      </c>
      <c r="F968" s="127" t="str">
        <f>IF(kokpit!F968&lt;&gt;"",kokpit!F968,"")</f>
        <v/>
      </c>
      <c r="G968" s="24" t="str">
        <f>IF(E968&lt;&gt;"",SUMIFS('JPK_KR-1'!AL:AL,'JPK_KR-1'!W:W,F968),"")</f>
        <v/>
      </c>
      <c r="H968" s="126" t="str">
        <f>IF(E968&lt;&gt;"",SUMIFS('JPK_KR-1'!AM:AM,'JPK_KR-1'!W:W,F968),"")</f>
        <v/>
      </c>
      <c r="I968" s="5" t="str">
        <f>IF(kokpit!I968&lt;&gt;"",kokpit!I968,"")</f>
        <v/>
      </c>
      <c r="J968" s="5" t="str">
        <f>IF(kokpit!J968&lt;&gt;"",kokpit!J968,"")</f>
        <v/>
      </c>
      <c r="K968" s="24" t="str">
        <f>IF(I968&lt;&gt;"",SUMIFS('JPK_KR-1'!AL:AL,'JPK_KR-1'!W:W,J968),"")</f>
        <v/>
      </c>
      <c r="L968" s="141" t="str">
        <f>IF(I968&lt;&gt;"",SUMIFS('JPK_KR-1'!AM:AM,'JPK_KR-1'!W:W,J968),"")</f>
        <v/>
      </c>
      <c r="M968" s="143" t="str">
        <f>IF(kokpit!M968&lt;&gt;"",kokpit!M968,"")</f>
        <v/>
      </c>
      <c r="N968" s="117" t="str">
        <f>IF(kokpit!N968&lt;&gt;"",kokpit!N968,"")</f>
        <v/>
      </c>
      <c r="O968" s="117" t="str">
        <f>IF(kokpit!O968&lt;&gt;"",kokpit!O968,"")</f>
        <v/>
      </c>
      <c r="P968" s="141" t="str">
        <f>IF(M968&lt;&gt;"",IF(O968="",SUMIFS('JPK_KR-1'!AL:AL,'JPK_KR-1'!W:W,N968),SUMIFS('JPK_KR-1'!BF:BF,'JPK_KR-1'!BE:BE,N968,'JPK_KR-1'!BG:BG,O968)),"")</f>
        <v/>
      </c>
      <c r="Q968" s="144" t="str">
        <f>IF(M968&lt;&gt;"",IF(O968="",SUMIFS('JPK_KR-1'!AM:AM,'JPK_KR-1'!W:W,N968),SUMIFS('JPK_KR-1'!BI:BI,'JPK_KR-1'!BH:BH,N968,'JPK_KR-1'!BJ:BJ,O968)),"")</f>
        <v/>
      </c>
      <c r="R968" s="117" t="str">
        <f>IF(kokpit!R968&lt;&gt;"",kokpit!R968,"")</f>
        <v/>
      </c>
      <c r="S968" s="117" t="str">
        <f>IF(kokpit!S968&lt;&gt;"",kokpit!S968,"")</f>
        <v/>
      </c>
      <c r="T968" s="117" t="str">
        <f>IF(kokpit!T968&lt;&gt;"",kokpit!T968,"")</f>
        <v/>
      </c>
      <c r="U968" s="141" t="str">
        <f>IF(R968&lt;&gt;"",SUMIFS('JPK_KR-1'!AL:AL,'JPK_KR-1'!W:W,S968),"")</f>
        <v/>
      </c>
      <c r="V968" s="144" t="str">
        <f>IF(R968&lt;&gt;"",SUMIFS('JPK_KR-1'!AM:AM,'JPK_KR-1'!W:W,S968),"")</f>
        <v/>
      </c>
    </row>
    <row r="969" spans="1:22" x14ac:dyDescent="0.3">
      <c r="A969" s="5" t="str">
        <f>IF(kokpit!A969&lt;&gt;"",kokpit!A969,"")</f>
        <v/>
      </c>
      <c r="B969" s="5" t="str">
        <f>IF(kokpit!B969&lt;&gt;"",kokpit!B969,"")</f>
        <v/>
      </c>
      <c r="C969" s="24" t="str">
        <f>IF(A969&lt;&gt;"",SUMIFS('JPK_KR-1'!AL:AL,'JPK_KR-1'!W:W,B969),"")</f>
        <v/>
      </c>
      <c r="D969" s="126" t="str">
        <f>IF(A969&lt;&gt;"",SUMIFS('JPK_KR-1'!AM:AM,'JPK_KR-1'!W:W,B969),"")</f>
        <v/>
      </c>
      <c r="E969" s="5" t="str">
        <f>IF(kokpit!E969&lt;&gt;"",kokpit!E969,"")</f>
        <v/>
      </c>
      <c r="F969" s="127" t="str">
        <f>IF(kokpit!F969&lt;&gt;"",kokpit!F969,"")</f>
        <v/>
      </c>
      <c r="G969" s="24" t="str">
        <f>IF(E969&lt;&gt;"",SUMIFS('JPK_KR-1'!AL:AL,'JPK_KR-1'!W:W,F969),"")</f>
        <v/>
      </c>
      <c r="H969" s="126" t="str">
        <f>IF(E969&lt;&gt;"",SUMIFS('JPK_KR-1'!AM:AM,'JPK_KR-1'!W:W,F969),"")</f>
        <v/>
      </c>
      <c r="I969" s="5" t="str">
        <f>IF(kokpit!I969&lt;&gt;"",kokpit!I969,"")</f>
        <v/>
      </c>
      <c r="J969" s="5" t="str">
        <f>IF(kokpit!J969&lt;&gt;"",kokpit!J969,"")</f>
        <v/>
      </c>
      <c r="K969" s="24" t="str">
        <f>IF(I969&lt;&gt;"",SUMIFS('JPK_KR-1'!AL:AL,'JPK_KR-1'!W:W,J969),"")</f>
        <v/>
      </c>
      <c r="L969" s="141" t="str">
        <f>IF(I969&lt;&gt;"",SUMIFS('JPK_KR-1'!AM:AM,'JPK_KR-1'!W:W,J969),"")</f>
        <v/>
      </c>
      <c r="M969" s="143" t="str">
        <f>IF(kokpit!M969&lt;&gt;"",kokpit!M969,"")</f>
        <v/>
      </c>
      <c r="N969" s="117" t="str">
        <f>IF(kokpit!N969&lt;&gt;"",kokpit!N969,"")</f>
        <v/>
      </c>
      <c r="O969" s="117" t="str">
        <f>IF(kokpit!O969&lt;&gt;"",kokpit!O969,"")</f>
        <v/>
      </c>
      <c r="P969" s="141" t="str">
        <f>IF(M969&lt;&gt;"",IF(O969="",SUMIFS('JPK_KR-1'!AL:AL,'JPK_KR-1'!W:W,N969),SUMIFS('JPK_KR-1'!BF:BF,'JPK_KR-1'!BE:BE,N969,'JPK_KR-1'!BG:BG,O969)),"")</f>
        <v/>
      </c>
      <c r="Q969" s="144" t="str">
        <f>IF(M969&lt;&gt;"",IF(O969="",SUMIFS('JPK_KR-1'!AM:AM,'JPK_KR-1'!W:W,N969),SUMIFS('JPK_KR-1'!BI:BI,'JPK_KR-1'!BH:BH,N969,'JPK_KR-1'!BJ:BJ,O969)),"")</f>
        <v/>
      </c>
      <c r="R969" s="117" t="str">
        <f>IF(kokpit!R969&lt;&gt;"",kokpit!R969,"")</f>
        <v/>
      </c>
      <c r="S969" s="117" t="str">
        <f>IF(kokpit!S969&lt;&gt;"",kokpit!S969,"")</f>
        <v/>
      </c>
      <c r="T969" s="117" t="str">
        <f>IF(kokpit!T969&lt;&gt;"",kokpit!T969,"")</f>
        <v/>
      </c>
      <c r="U969" s="141" t="str">
        <f>IF(R969&lt;&gt;"",SUMIFS('JPK_KR-1'!AL:AL,'JPK_KR-1'!W:W,S969),"")</f>
        <v/>
      </c>
      <c r="V969" s="144" t="str">
        <f>IF(R969&lt;&gt;"",SUMIFS('JPK_KR-1'!AM:AM,'JPK_KR-1'!W:W,S969),"")</f>
        <v/>
      </c>
    </row>
    <row r="970" spans="1:22" x14ac:dyDescent="0.3">
      <c r="A970" s="5" t="str">
        <f>IF(kokpit!A970&lt;&gt;"",kokpit!A970,"")</f>
        <v/>
      </c>
      <c r="B970" s="5" t="str">
        <f>IF(kokpit!B970&lt;&gt;"",kokpit!B970,"")</f>
        <v/>
      </c>
      <c r="C970" s="24" t="str">
        <f>IF(A970&lt;&gt;"",SUMIFS('JPK_KR-1'!AL:AL,'JPK_KR-1'!W:W,B970),"")</f>
        <v/>
      </c>
      <c r="D970" s="126" t="str">
        <f>IF(A970&lt;&gt;"",SUMIFS('JPK_KR-1'!AM:AM,'JPK_KR-1'!W:W,B970),"")</f>
        <v/>
      </c>
      <c r="E970" s="5" t="str">
        <f>IF(kokpit!E970&lt;&gt;"",kokpit!E970,"")</f>
        <v/>
      </c>
      <c r="F970" s="127" t="str">
        <f>IF(kokpit!F970&lt;&gt;"",kokpit!F970,"")</f>
        <v/>
      </c>
      <c r="G970" s="24" t="str">
        <f>IF(E970&lt;&gt;"",SUMIFS('JPK_KR-1'!AL:AL,'JPK_KR-1'!W:W,F970),"")</f>
        <v/>
      </c>
      <c r="H970" s="126" t="str">
        <f>IF(E970&lt;&gt;"",SUMIFS('JPK_KR-1'!AM:AM,'JPK_KR-1'!W:W,F970),"")</f>
        <v/>
      </c>
      <c r="I970" s="5" t="str">
        <f>IF(kokpit!I970&lt;&gt;"",kokpit!I970,"")</f>
        <v/>
      </c>
      <c r="J970" s="5" t="str">
        <f>IF(kokpit!J970&lt;&gt;"",kokpit!J970,"")</f>
        <v/>
      </c>
      <c r="K970" s="24" t="str">
        <f>IF(I970&lt;&gt;"",SUMIFS('JPK_KR-1'!AL:AL,'JPK_KR-1'!W:W,J970),"")</f>
        <v/>
      </c>
      <c r="L970" s="141" t="str">
        <f>IF(I970&lt;&gt;"",SUMIFS('JPK_KR-1'!AM:AM,'JPK_KR-1'!W:W,J970),"")</f>
        <v/>
      </c>
      <c r="M970" s="143" t="str">
        <f>IF(kokpit!M970&lt;&gt;"",kokpit!M970,"")</f>
        <v/>
      </c>
      <c r="N970" s="117" t="str">
        <f>IF(kokpit!N970&lt;&gt;"",kokpit!N970,"")</f>
        <v/>
      </c>
      <c r="O970" s="117" t="str">
        <f>IF(kokpit!O970&lt;&gt;"",kokpit!O970,"")</f>
        <v/>
      </c>
      <c r="P970" s="141" t="str">
        <f>IF(M970&lt;&gt;"",IF(O970="",SUMIFS('JPK_KR-1'!AL:AL,'JPK_KR-1'!W:W,N970),SUMIFS('JPK_KR-1'!BF:BF,'JPK_KR-1'!BE:BE,N970,'JPK_KR-1'!BG:BG,O970)),"")</f>
        <v/>
      </c>
      <c r="Q970" s="144" t="str">
        <f>IF(M970&lt;&gt;"",IF(O970="",SUMIFS('JPK_KR-1'!AM:AM,'JPK_KR-1'!W:W,N970),SUMIFS('JPK_KR-1'!BI:BI,'JPK_KR-1'!BH:BH,N970,'JPK_KR-1'!BJ:BJ,O970)),"")</f>
        <v/>
      </c>
      <c r="R970" s="117" t="str">
        <f>IF(kokpit!R970&lt;&gt;"",kokpit!R970,"")</f>
        <v/>
      </c>
      <c r="S970" s="117" t="str">
        <f>IF(kokpit!S970&lt;&gt;"",kokpit!S970,"")</f>
        <v/>
      </c>
      <c r="T970" s="117" t="str">
        <f>IF(kokpit!T970&lt;&gt;"",kokpit!T970,"")</f>
        <v/>
      </c>
      <c r="U970" s="141" t="str">
        <f>IF(R970&lt;&gt;"",SUMIFS('JPK_KR-1'!AL:AL,'JPK_KR-1'!W:W,S970),"")</f>
        <v/>
      </c>
      <c r="V970" s="144" t="str">
        <f>IF(R970&lt;&gt;"",SUMIFS('JPK_KR-1'!AM:AM,'JPK_KR-1'!W:W,S970),"")</f>
        <v/>
      </c>
    </row>
    <row r="971" spans="1:22" x14ac:dyDescent="0.3">
      <c r="A971" s="5" t="str">
        <f>IF(kokpit!A971&lt;&gt;"",kokpit!A971,"")</f>
        <v/>
      </c>
      <c r="B971" s="5" t="str">
        <f>IF(kokpit!B971&lt;&gt;"",kokpit!B971,"")</f>
        <v/>
      </c>
      <c r="C971" s="24" t="str">
        <f>IF(A971&lt;&gt;"",SUMIFS('JPK_KR-1'!AL:AL,'JPK_KR-1'!W:W,B971),"")</f>
        <v/>
      </c>
      <c r="D971" s="126" t="str">
        <f>IF(A971&lt;&gt;"",SUMIFS('JPK_KR-1'!AM:AM,'JPK_KR-1'!W:W,B971),"")</f>
        <v/>
      </c>
      <c r="E971" s="5" t="str">
        <f>IF(kokpit!E971&lt;&gt;"",kokpit!E971,"")</f>
        <v/>
      </c>
      <c r="F971" s="127" t="str">
        <f>IF(kokpit!F971&lt;&gt;"",kokpit!F971,"")</f>
        <v/>
      </c>
      <c r="G971" s="24" t="str">
        <f>IF(E971&lt;&gt;"",SUMIFS('JPK_KR-1'!AL:AL,'JPK_KR-1'!W:W,F971),"")</f>
        <v/>
      </c>
      <c r="H971" s="126" t="str">
        <f>IF(E971&lt;&gt;"",SUMIFS('JPK_KR-1'!AM:AM,'JPK_KR-1'!W:W,F971),"")</f>
        <v/>
      </c>
      <c r="I971" s="5" t="str">
        <f>IF(kokpit!I971&lt;&gt;"",kokpit!I971,"")</f>
        <v/>
      </c>
      <c r="J971" s="5" t="str">
        <f>IF(kokpit!J971&lt;&gt;"",kokpit!J971,"")</f>
        <v/>
      </c>
      <c r="K971" s="24" t="str">
        <f>IF(I971&lt;&gt;"",SUMIFS('JPK_KR-1'!AL:AL,'JPK_KR-1'!W:W,J971),"")</f>
        <v/>
      </c>
      <c r="L971" s="141" t="str">
        <f>IF(I971&lt;&gt;"",SUMIFS('JPK_KR-1'!AM:AM,'JPK_KR-1'!W:W,J971),"")</f>
        <v/>
      </c>
      <c r="M971" s="143" t="str">
        <f>IF(kokpit!M971&lt;&gt;"",kokpit!M971,"")</f>
        <v/>
      </c>
      <c r="N971" s="117" t="str">
        <f>IF(kokpit!N971&lt;&gt;"",kokpit!N971,"")</f>
        <v/>
      </c>
      <c r="O971" s="117" t="str">
        <f>IF(kokpit!O971&lt;&gt;"",kokpit!O971,"")</f>
        <v/>
      </c>
      <c r="P971" s="141" t="str">
        <f>IF(M971&lt;&gt;"",IF(O971="",SUMIFS('JPK_KR-1'!AL:AL,'JPK_KR-1'!W:W,N971),SUMIFS('JPK_KR-1'!BF:BF,'JPK_KR-1'!BE:BE,N971,'JPK_KR-1'!BG:BG,O971)),"")</f>
        <v/>
      </c>
      <c r="Q971" s="144" t="str">
        <f>IF(M971&lt;&gt;"",IF(O971="",SUMIFS('JPK_KR-1'!AM:AM,'JPK_KR-1'!W:W,N971),SUMIFS('JPK_KR-1'!BI:BI,'JPK_KR-1'!BH:BH,N971,'JPK_KR-1'!BJ:BJ,O971)),"")</f>
        <v/>
      </c>
      <c r="R971" s="117" t="str">
        <f>IF(kokpit!R971&lt;&gt;"",kokpit!R971,"")</f>
        <v/>
      </c>
      <c r="S971" s="117" t="str">
        <f>IF(kokpit!S971&lt;&gt;"",kokpit!S971,"")</f>
        <v/>
      </c>
      <c r="T971" s="117" t="str">
        <f>IF(kokpit!T971&lt;&gt;"",kokpit!T971,"")</f>
        <v/>
      </c>
      <c r="U971" s="141" t="str">
        <f>IF(R971&lt;&gt;"",SUMIFS('JPK_KR-1'!AL:AL,'JPK_KR-1'!W:W,S971),"")</f>
        <v/>
      </c>
      <c r="V971" s="144" t="str">
        <f>IF(R971&lt;&gt;"",SUMIFS('JPK_KR-1'!AM:AM,'JPK_KR-1'!W:W,S971),"")</f>
        <v/>
      </c>
    </row>
    <row r="972" spans="1:22" x14ac:dyDescent="0.3">
      <c r="A972" s="5" t="str">
        <f>IF(kokpit!A972&lt;&gt;"",kokpit!A972,"")</f>
        <v/>
      </c>
      <c r="B972" s="5" t="str">
        <f>IF(kokpit!B972&lt;&gt;"",kokpit!B972,"")</f>
        <v/>
      </c>
      <c r="C972" s="24" t="str">
        <f>IF(A972&lt;&gt;"",SUMIFS('JPK_KR-1'!AL:AL,'JPK_KR-1'!W:W,B972),"")</f>
        <v/>
      </c>
      <c r="D972" s="126" t="str">
        <f>IF(A972&lt;&gt;"",SUMIFS('JPK_KR-1'!AM:AM,'JPK_KR-1'!W:W,B972),"")</f>
        <v/>
      </c>
      <c r="E972" s="5" t="str">
        <f>IF(kokpit!E972&lt;&gt;"",kokpit!E972,"")</f>
        <v/>
      </c>
      <c r="F972" s="127" t="str">
        <f>IF(kokpit!F972&lt;&gt;"",kokpit!F972,"")</f>
        <v/>
      </c>
      <c r="G972" s="24" t="str">
        <f>IF(E972&lt;&gt;"",SUMIFS('JPK_KR-1'!AL:AL,'JPK_KR-1'!W:W,F972),"")</f>
        <v/>
      </c>
      <c r="H972" s="126" t="str">
        <f>IF(E972&lt;&gt;"",SUMIFS('JPK_KR-1'!AM:AM,'JPK_KR-1'!W:W,F972),"")</f>
        <v/>
      </c>
      <c r="I972" s="5" t="str">
        <f>IF(kokpit!I972&lt;&gt;"",kokpit!I972,"")</f>
        <v/>
      </c>
      <c r="J972" s="5" t="str">
        <f>IF(kokpit!J972&lt;&gt;"",kokpit!J972,"")</f>
        <v/>
      </c>
      <c r="K972" s="24" t="str">
        <f>IF(I972&lt;&gt;"",SUMIFS('JPK_KR-1'!AL:AL,'JPK_KR-1'!W:W,J972),"")</f>
        <v/>
      </c>
      <c r="L972" s="141" t="str">
        <f>IF(I972&lt;&gt;"",SUMIFS('JPK_KR-1'!AM:AM,'JPK_KR-1'!W:W,J972),"")</f>
        <v/>
      </c>
      <c r="M972" s="143" t="str">
        <f>IF(kokpit!M972&lt;&gt;"",kokpit!M972,"")</f>
        <v/>
      </c>
      <c r="N972" s="117" t="str">
        <f>IF(kokpit!N972&lt;&gt;"",kokpit!N972,"")</f>
        <v/>
      </c>
      <c r="O972" s="117" t="str">
        <f>IF(kokpit!O972&lt;&gt;"",kokpit!O972,"")</f>
        <v/>
      </c>
      <c r="P972" s="141" t="str">
        <f>IF(M972&lt;&gt;"",IF(O972="",SUMIFS('JPK_KR-1'!AL:AL,'JPK_KR-1'!W:W,N972),SUMIFS('JPK_KR-1'!BF:BF,'JPK_KR-1'!BE:BE,N972,'JPK_KR-1'!BG:BG,O972)),"")</f>
        <v/>
      </c>
      <c r="Q972" s="144" t="str">
        <f>IF(M972&lt;&gt;"",IF(O972="",SUMIFS('JPK_KR-1'!AM:AM,'JPK_KR-1'!W:W,N972),SUMIFS('JPK_KR-1'!BI:BI,'JPK_KR-1'!BH:BH,N972,'JPK_KR-1'!BJ:BJ,O972)),"")</f>
        <v/>
      </c>
      <c r="R972" s="117" t="str">
        <f>IF(kokpit!R972&lt;&gt;"",kokpit!R972,"")</f>
        <v/>
      </c>
      <c r="S972" s="117" t="str">
        <f>IF(kokpit!S972&lt;&gt;"",kokpit!S972,"")</f>
        <v/>
      </c>
      <c r="T972" s="117" t="str">
        <f>IF(kokpit!T972&lt;&gt;"",kokpit!T972,"")</f>
        <v/>
      </c>
      <c r="U972" s="141" t="str">
        <f>IF(R972&lt;&gt;"",SUMIFS('JPK_KR-1'!AL:AL,'JPK_KR-1'!W:W,S972),"")</f>
        <v/>
      </c>
      <c r="V972" s="144" t="str">
        <f>IF(R972&lt;&gt;"",SUMIFS('JPK_KR-1'!AM:AM,'JPK_KR-1'!W:W,S972),"")</f>
        <v/>
      </c>
    </row>
    <row r="973" spans="1:22" x14ac:dyDescent="0.3">
      <c r="A973" s="5" t="str">
        <f>IF(kokpit!A973&lt;&gt;"",kokpit!A973,"")</f>
        <v/>
      </c>
      <c r="B973" s="5" t="str">
        <f>IF(kokpit!B973&lt;&gt;"",kokpit!B973,"")</f>
        <v/>
      </c>
      <c r="C973" s="24" t="str">
        <f>IF(A973&lt;&gt;"",SUMIFS('JPK_KR-1'!AL:AL,'JPK_KR-1'!W:W,B973),"")</f>
        <v/>
      </c>
      <c r="D973" s="126" t="str">
        <f>IF(A973&lt;&gt;"",SUMIFS('JPK_KR-1'!AM:AM,'JPK_KR-1'!W:W,B973),"")</f>
        <v/>
      </c>
      <c r="E973" s="5" t="str">
        <f>IF(kokpit!E973&lt;&gt;"",kokpit!E973,"")</f>
        <v/>
      </c>
      <c r="F973" s="127" t="str">
        <f>IF(kokpit!F973&lt;&gt;"",kokpit!F973,"")</f>
        <v/>
      </c>
      <c r="G973" s="24" t="str">
        <f>IF(E973&lt;&gt;"",SUMIFS('JPK_KR-1'!AL:AL,'JPK_KR-1'!W:W,F973),"")</f>
        <v/>
      </c>
      <c r="H973" s="126" t="str">
        <f>IF(E973&lt;&gt;"",SUMIFS('JPK_KR-1'!AM:AM,'JPK_KR-1'!W:W,F973),"")</f>
        <v/>
      </c>
      <c r="I973" s="5" t="str">
        <f>IF(kokpit!I973&lt;&gt;"",kokpit!I973,"")</f>
        <v/>
      </c>
      <c r="J973" s="5" t="str">
        <f>IF(kokpit!J973&lt;&gt;"",kokpit!J973,"")</f>
        <v/>
      </c>
      <c r="K973" s="24" t="str">
        <f>IF(I973&lt;&gt;"",SUMIFS('JPK_KR-1'!AL:AL,'JPK_KR-1'!W:W,J973),"")</f>
        <v/>
      </c>
      <c r="L973" s="141" t="str">
        <f>IF(I973&lt;&gt;"",SUMIFS('JPK_KR-1'!AM:AM,'JPK_KR-1'!W:W,J973),"")</f>
        <v/>
      </c>
      <c r="M973" s="143" t="str">
        <f>IF(kokpit!M973&lt;&gt;"",kokpit!M973,"")</f>
        <v/>
      </c>
      <c r="N973" s="117" t="str">
        <f>IF(kokpit!N973&lt;&gt;"",kokpit!N973,"")</f>
        <v/>
      </c>
      <c r="O973" s="117" t="str">
        <f>IF(kokpit!O973&lt;&gt;"",kokpit!O973,"")</f>
        <v/>
      </c>
      <c r="P973" s="141" t="str">
        <f>IF(M973&lt;&gt;"",IF(O973="",SUMIFS('JPK_KR-1'!AL:AL,'JPK_KR-1'!W:W,N973),SUMIFS('JPK_KR-1'!BF:BF,'JPK_KR-1'!BE:BE,N973,'JPK_KR-1'!BG:BG,O973)),"")</f>
        <v/>
      </c>
      <c r="Q973" s="144" t="str">
        <f>IF(M973&lt;&gt;"",IF(O973="",SUMIFS('JPK_KR-1'!AM:AM,'JPK_KR-1'!W:W,N973),SUMIFS('JPK_KR-1'!BI:BI,'JPK_KR-1'!BH:BH,N973,'JPK_KR-1'!BJ:BJ,O973)),"")</f>
        <v/>
      </c>
      <c r="R973" s="117" t="str">
        <f>IF(kokpit!R973&lt;&gt;"",kokpit!R973,"")</f>
        <v/>
      </c>
      <c r="S973" s="117" t="str">
        <f>IF(kokpit!S973&lt;&gt;"",kokpit!S973,"")</f>
        <v/>
      </c>
      <c r="T973" s="117" t="str">
        <f>IF(kokpit!T973&lt;&gt;"",kokpit!T973,"")</f>
        <v/>
      </c>
      <c r="U973" s="141" t="str">
        <f>IF(R973&lt;&gt;"",SUMIFS('JPK_KR-1'!AL:AL,'JPK_KR-1'!W:W,S973),"")</f>
        <v/>
      </c>
      <c r="V973" s="144" t="str">
        <f>IF(R973&lt;&gt;"",SUMIFS('JPK_KR-1'!AM:AM,'JPK_KR-1'!W:W,S973),"")</f>
        <v/>
      </c>
    </row>
    <row r="974" spans="1:22" x14ac:dyDescent="0.3">
      <c r="A974" s="5" t="str">
        <f>IF(kokpit!A974&lt;&gt;"",kokpit!A974,"")</f>
        <v/>
      </c>
      <c r="B974" s="5" t="str">
        <f>IF(kokpit!B974&lt;&gt;"",kokpit!B974,"")</f>
        <v/>
      </c>
      <c r="C974" s="24" t="str">
        <f>IF(A974&lt;&gt;"",SUMIFS('JPK_KR-1'!AL:AL,'JPK_KR-1'!W:W,B974),"")</f>
        <v/>
      </c>
      <c r="D974" s="126" t="str">
        <f>IF(A974&lt;&gt;"",SUMIFS('JPK_KR-1'!AM:AM,'JPK_KR-1'!W:W,B974),"")</f>
        <v/>
      </c>
      <c r="E974" s="5" t="str">
        <f>IF(kokpit!E974&lt;&gt;"",kokpit!E974,"")</f>
        <v/>
      </c>
      <c r="F974" s="127" t="str">
        <f>IF(kokpit!F974&lt;&gt;"",kokpit!F974,"")</f>
        <v/>
      </c>
      <c r="G974" s="24" t="str">
        <f>IF(E974&lt;&gt;"",SUMIFS('JPK_KR-1'!AL:AL,'JPK_KR-1'!W:W,F974),"")</f>
        <v/>
      </c>
      <c r="H974" s="126" t="str">
        <f>IF(E974&lt;&gt;"",SUMIFS('JPK_KR-1'!AM:AM,'JPK_KR-1'!W:W,F974),"")</f>
        <v/>
      </c>
      <c r="I974" s="5" t="str">
        <f>IF(kokpit!I974&lt;&gt;"",kokpit!I974,"")</f>
        <v/>
      </c>
      <c r="J974" s="5" t="str">
        <f>IF(kokpit!J974&lt;&gt;"",kokpit!J974,"")</f>
        <v/>
      </c>
      <c r="K974" s="24" t="str">
        <f>IF(I974&lt;&gt;"",SUMIFS('JPK_KR-1'!AL:AL,'JPK_KR-1'!W:W,J974),"")</f>
        <v/>
      </c>
      <c r="L974" s="141" t="str">
        <f>IF(I974&lt;&gt;"",SUMIFS('JPK_KR-1'!AM:AM,'JPK_KR-1'!W:W,J974),"")</f>
        <v/>
      </c>
      <c r="M974" s="143" t="str">
        <f>IF(kokpit!M974&lt;&gt;"",kokpit!M974,"")</f>
        <v/>
      </c>
      <c r="N974" s="117" t="str">
        <f>IF(kokpit!N974&lt;&gt;"",kokpit!N974,"")</f>
        <v/>
      </c>
      <c r="O974" s="117" t="str">
        <f>IF(kokpit!O974&lt;&gt;"",kokpit!O974,"")</f>
        <v/>
      </c>
      <c r="P974" s="141" t="str">
        <f>IF(M974&lt;&gt;"",IF(O974="",SUMIFS('JPK_KR-1'!AL:AL,'JPK_KR-1'!W:W,N974),SUMIFS('JPK_KR-1'!BF:BF,'JPK_KR-1'!BE:BE,N974,'JPK_KR-1'!BG:BG,O974)),"")</f>
        <v/>
      </c>
      <c r="Q974" s="144" t="str">
        <f>IF(M974&lt;&gt;"",IF(O974="",SUMIFS('JPK_KR-1'!AM:AM,'JPK_KR-1'!W:W,N974),SUMIFS('JPK_KR-1'!BI:BI,'JPK_KR-1'!BH:BH,N974,'JPK_KR-1'!BJ:BJ,O974)),"")</f>
        <v/>
      </c>
      <c r="R974" s="117" t="str">
        <f>IF(kokpit!R974&lt;&gt;"",kokpit!R974,"")</f>
        <v/>
      </c>
      <c r="S974" s="117" t="str">
        <f>IF(kokpit!S974&lt;&gt;"",kokpit!S974,"")</f>
        <v/>
      </c>
      <c r="T974" s="117" t="str">
        <f>IF(kokpit!T974&lt;&gt;"",kokpit!T974,"")</f>
        <v/>
      </c>
      <c r="U974" s="141" t="str">
        <f>IF(R974&lt;&gt;"",SUMIFS('JPK_KR-1'!AL:AL,'JPK_KR-1'!W:W,S974),"")</f>
        <v/>
      </c>
      <c r="V974" s="144" t="str">
        <f>IF(R974&lt;&gt;"",SUMIFS('JPK_KR-1'!AM:AM,'JPK_KR-1'!W:W,S974),"")</f>
        <v/>
      </c>
    </row>
    <row r="975" spans="1:22" x14ac:dyDescent="0.3">
      <c r="A975" s="5" t="str">
        <f>IF(kokpit!A975&lt;&gt;"",kokpit!A975,"")</f>
        <v/>
      </c>
      <c r="B975" s="5" t="str">
        <f>IF(kokpit!B975&lt;&gt;"",kokpit!B975,"")</f>
        <v/>
      </c>
      <c r="C975" s="24" t="str">
        <f>IF(A975&lt;&gt;"",SUMIFS('JPK_KR-1'!AL:AL,'JPK_KR-1'!W:W,B975),"")</f>
        <v/>
      </c>
      <c r="D975" s="126" t="str">
        <f>IF(A975&lt;&gt;"",SUMIFS('JPK_KR-1'!AM:AM,'JPK_KR-1'!W:W,B975),"")</f>
        <v/>
      </c>
      <c r="E975" s="5" t="str">
        <f>IF(kokpit!E975&lt;&gt;"",kokpit!E975,"")</f>
        <v/>
      </c>
      <c r="F975" s="127" t="str">
        <f>IF(kokpit!F975&lt;&gt;"",kokpit!F975,"")</f>
        <v/>
      </c>
      <c r="G975" s="24" t="str">
        <f>IF(E975&lt;&gt;"",SUMIFS('JPK_KR-1'!AL:AL,'JPK_KR-1'!W:W,F975),"")</f>
        <v/>
      </c>
      <c r="H975" s="126" t="str">
        <f>IF(E975&lt;&gt;"",SUMIFS('JPK_KR-1'!AM:AM,'JPK_KR-1'!W:W,F975),"")</f>
        <v/>
      </c>
      <c r="I975" s="5" t="str">
        <f>IF(kokpit!I975&lt;&gt;"",kokpit!I975,"")</f>
        <v/>
      </c>
      <c r="J975" s="5" t="str">
        <f>IF(kokpit!J975&lt;&gt;"",kokpit!J975,"")</f>
        <v/>
      </c>
      <c r="K975" s="24" t="str">
        <f>IF(I975&lt;&gt;"",SUMIFS('JPK_KR-1'!AL:AL,'JPK_KR-1'!W:W,J975),"")</f>
        <v/>
      </c>
      <c r="L975" s="141" t="str">
        <f>IF(I975&lt;&gt;"",SUMIFS('JPK_KR-1'!AM:AM,'JPK_KR-1'!W:W,J975),"")</f>
        <v/>
      </c>
      <c r="M975" s="143" t="str">
        <f>IF(kokpit!M975&lt;&gt;"",kokpit!M975,"")</f>
        <v/>
      </c>
      <c r="N975" s="117" t="str">
        <f>IF(kokpit!N975&lt;&gt;"",kokpit!N975,"")</f>
        <v/>
      </c>
      <c r="O975" s="117" t="str">
        <f>IF(kokpit!O975&lt;&gt;"",kokpit!O975,"")</f>
        <v/>
      </c>
      <c r="P975" s="141" t="str">
        <f>IF(M975&lt;&gt;"",IF(O975="",SUMIFS('JPK_KR-1'!AL:AL,'JPK_KR-1'!W:W,N975),SUMIFS('JPK_KR-1'!BF:BF,'JPK_KR-1'!BE:BE,N975,'JPK_KR-1'!BG:BG,O975)),"")</f>
        <v/>
      </c>
      <c r="Q975" s="144" t="str">
        <f>IF(M975&lt;&gt;"",IF(O975="",SUMIFS('JPK_KR-1'!AM:AM,'JPK_KR-1'!W:W,N975),SUMIFS('JPK_KR-1'!BI:BI,'JPK_KR-1'!BH:BH,N975,'JPK_KR-1'!BJ:BJ,O975)),"")</f>
        <v/>
      </c>
      <c r="R975" s="117" t="str">
        <f>IF(kokpit!R975&lt;&gt;"",kokpit!R975,"")</f>
        <v/>
      </c>
      <c r="S975" s="117" t="str">
        <f>IF(kokpit!S975&lt;&gt;"",kokpit!S975,"")</f>
        <v/>
      </c>
      <c r="T975" s="117" t="str">
        <f>IF(kokpit!T975&lt;&gt;"",kokpit!T975,"")</f>
        <v/>
      </c>
      <c r="U975" s="141" t="str">
        <f>IF(R975&lt;&gt;"",SUMIFS('JPK_KR-1'!AL:AL,'JPK_KR-1'!W:W,S975),"")</f>
        <v/>
      </c>
      <c r="V975" s="144" t="str">
        <f>IF(R975&lt;&gt;"",SUMIFS('JPK_KR-1'!AM:AM,'JPK_KR-1'!W:W,S975),"")</f>
        <v/>
      </c>
    </row>
    <row r="976" spans="1:22" x14ac:dyDescent="0.3">
      <c r="A976" s="5" t="str">
        <f>IF(kokpit!A976&lt;&gt;"",kokpit!A976,"")</f>
        <v/>
      </c>
      <c r="B976" s="5" t="str">
        <f>IF(kokpit!B976&lt;&gt;"",kokpit!B976,"")</f>
        <v/>
      </c>
      <c r="C976" s="24" t="str">
        <f>IF(A976&lt;&gt;"",SUMIFS('JPK_KR-1'!AL:AL,'JPK_KR-1'!W:W,B976),"")</f>
        <v/>
      </c>
      <c r="D976" s="126" t="str">
        <f>IF(A976&lt;&gt;"",SUMIFS('JPK_KR-1'!AM:AM,'JPK_KR-1'!W:W,B976),"")</f>
        <v/>
      </c>
      <c r="E976" s="5" t="str">
        <f>IF(kokpit!E976&lt;&gt;"",kokpit!E976,"")</f>
        <v/>
      </c>
      <c r="F976" s="127" t="str">
        <f>IF(kokpit!F976&lt;&gt;"",kokpit!F976,"")</f>
        <v/>
      </c>
      <c r="G976" s="24" t="str">
        <f>IF(E976&lt;&gt;"",SUMIFS('JPK_KR-1'!AL:AL,'JPK_KR-1'!W:W,F976),"")</f>
        <v/>
      </c>
      <c r="H976" s="126" t="str">
        <f>IF(E976&lt;&gt;"",SUMIFS('JPK_KR-1'!AM:AM,'JPK_KR-1'!W:W,F976),"")</f>
        <v/>
      </c>
      <c r="I976" s="5" t="str">
        <f>IF(kokpit!I976&lt;&gt;"",kokpit!I976,"")</f>
        <v/>
      </c>
      <c r="J976" s="5" t="str">
        <f>IF(kokpit!J976&lt;&gt;"",kokpit!J976,"")</f>
        <v/>
      </c>
      <c r="K976" s="24" t="str">
        <f>IF(I976&lt;&gt;"",SUMIFS('JPK_KR-1'!AL:AL,'JPK_KR-1'!W:W,J976),"")</f>
        <v/>
      </c>
      <c r="L976" s="141" t="str">
        <f>IF(I976&lt;&gt;"",SUMIFS('JPK_KR-1'!AM:AM,'JPK_KR-1'!W:W,J976),"")</f>
        <v/>
      </c>
      <c r="M976" s="143" t="str">
        <f>IF(kokpit!M976&lt;&gt;"",kokpit!M976,"")</f>
        <v/>
      </c>
      <c r="N976" s="117" t="str">
        <f>IF(kokpit!N976&lt;&gt;"",kokpit!N976,"")</f>
        <v/>
      </c>
      <c r="O976" s="117" t="str">
        <f>IF(kokpit!O976&lt;&gt;"",kokpit!O976,"")</f>
        <v/>
      </c>
      <c r="P976" s="141" t="str">
        <f>IF(M976&lt;&gt;"",IF(O976="",SUMIFS('JPK_KR-1'!AL:AL,'JPK_KR-1'!W:W,N976),SUMIFS('JPK_KR-1'!BF:BF,'JPK_KR-1'!BE:BE,N976,'JPK_KR-1'!BG:BG,O976)),"")</f>
        <v/>
      </c>
      <c r="Q976" s="144" t="str">
        <f>IF(M976&lt;&gt;"",IF(O976="",SUMIFS('JPK_KR-1'!AM:AM,'JPK_KR-1'!W:W,N976),SUMIFS('JPK_KR-1'!BI:BI,'JPK_KR-1'!BH:BH,N976,'JPK_KR-1'!BJ:BJ,O976)),"")</f>
        <v/>
      </c>
      <c r="R976" s="117" t="str">
        <f>IF(kokpit!R976&lt;&gt;"",kokpit!R976,"")</f>
        <v/>
      </c>
      <c r="S976" s="117" t="str">
        <f>IF(kokpit!S976&lt;&gt;"",kokpit!S976,"")</f>
        <v/>
      </c>
      <c r="T976" s="117" t="str">
        <f>IF(kokpit!T976&lt;&gt;"",kokpit!T976,"")</f>
        <v/>
      </c>
      <c r="U976" s="141" t="str">
        <f>IF(R976&lt;&gt;"",SUMIFS('JPK_KR-1'!AL:AL,'JPK_KR-1'!W:W,S976),"")</f>
        <v/>
      </c>
      <c r="V976" s="144" t="str">
        <f>IF(R976&lt;&gt;"",SUMIFS('JPK_KR-1'!AM:AM,'JPK_KR-1'!W:W,S976),"")</f>
        <v/>
      </c>
    </row>
    <row r="977" spans="1:22" x14ac:dyDescent="0.3">
      <c r="A977" s="5" t="str">
        <f>IF(kokpit!A977&lt;&gt;"",kokpit!A977,"")</f>
        <v/>
      </c>
      <c r="B977" s="5" t="str">
        <f>IF(kokpit!B977&lt;&gt;"",kokpit!B977,"")</f>
        <v/>
      </c>
      <c r="C977" s="24" t="str">
        <f>IF(A977&lt;&gt;"",SUMIFS('JPK_KR-1'!AL:AL,'JPK_KR-1'!W:W,B977),"")</f>
        <v/>
      </c>
      <c r="D977" s="126" t="str">
        <f>IF(A977&lt;&gt;"",SUMIFS('JPK_KR-1'!AM:AM,'JPK_KR-1'!W:W,B977),"")</f>
        <v/>
      </c>
      <c r="E977" s="5" t="str">
        <f>IF(kokpit!E977&lt;&gt;"",kokpit!E977,"")</f>
        <v/>
      </c>
      <c r="F977" s="127" t="str">
        <f>IF(kokpit!F977&lt;&gt;"",kokpit!F977,"")</f>
        <v/>
      </c>
      <c r="G977" s="24" t="str">
        <f>IF(E977&lt;&gt;"",SUMIFS('JPK_KR-1'!AL:AL,'JPK_KR-1'!W:W,F977),"")</f>
        <v/>
      </c>
      <c r="H977" s="126" t="str">
        <f>IF(E977&lt;&gt;"",SUMIFS('JPK_KR-1'!AM:AM,'JPK_KR-1'!W:W,F977),"")</f>
        <v/>
      </c>
      <c r="I977" s="5" t="str">
        <f>IF(kokpit!I977&lt;&gt;"",kokpit!I977,"")</f>
        <v/>
      </c>
      <c r="J977" s="5" t="str">
        <f>IF(kokpit!J977&lt;&gt;"",kokpit!J977,"")</f>
        <v/>
      </c>
      <c r="K977" s="24" t="str">
        <f>IF(I977&lt;&gt;"",SUMIFS('JPK_KR-1'!AL:AL,'JPK_KR-1'!W:W,J977),"")</f>
        <v/>
      </c>
      <c r="L977" s="141" t="str">
        <f>IF(I977&lt;&gt;"",SUMIFS('JPK_KR-1'!AM:AM,'JPK_KR-1'!W:W,J977),"")</f>
        <v/>
      </c>
      <c r="M977" s="143" t="str">
        <f>IF(kokpit!M977&lt;&gt;"",kokpit!M977,"")</f>
        <v/>
      </c>
      <c r="N977" s="117" t="str">
        <f>IF(kokpit!N977&lt;&gt;"",kokpit!N977,"")</f>
        <v/>
      </c>
      <c r="O977" s="117" t="str">
        <f>IF(kokpit!O977&lt;&gt;"",kokpit!O977,"")</f>
        <v/>
      </c>
      <c r="P977" s="141" t="str">
        <f>IF(M977&lt;&gt;"",IF(O977="",SUMIFS('JPK_KR-1'!AL:AL,'JPK_KR-1'!W:W,N977),SUMIFS('JPK_KR-1'!BF:BF,'JPK_KR-1'!BE:BE,N977,'JPK_KR-1'!BG:BG,O977)),"")</f>
        <v/>
      </c>
      <c r="Q977" s="144" t="str">
        <f>IF(M977&lt;&gt;"",IF(O977="",SUMIFS('JPK_KR-1'!AM:AM,'JPK_KR-1'!W:W,N977),SUMIFS('JPK_KR-1'!BI:BI,'JPK_KR-1'!BH:BH,N977,'JPK_KR-1'!BJ:BJ,O977)),"")</f>
        <v/>
      </c>
      <c r="R977" s="117" t="str">
        <f>IF(kokpit!R977&lt;&gt;"",kokpit!R977,"")</f>
        <v/>
      </c>
      <c r="S977" s="117" t="str">
        <f>IF(kokpit!S977&lt;&gt;"",kokpit!S977,"")</f>
        <v/>
      </c>
      <c r="T977" s="117" t="str">
        <f>IF(kokpit!T977&lt;&gt;"",kokpit!T977,"")</f>
        <v/>
      </c>
      <c r="U977" s="141" t="str">
        <f>IF(R977&lt;&gt;"",SUMIFS('JPK_KR-1'!AL:AL,'JPK_KR-1'!W:W,S977),"")</f>
        <v/>
      </c>
      <c r="V977" s="144" t="str">
        <f>IF(R977&lt;&gt;"",SUMIFS('JPK_KR-1'!AM:AM,'JPK_KR-1'!W:W,S977),"")</f>
        <v/>
      </c>
    </row>
    <row r="978" spans="1:22" x14ac:dyDescent="0.3">
      <c r="A978" s="5" t="str">
        <f>IF(kokpit!A978&lt;&gt;"",kokpit!A978,"")</f>
        <v/>
      </c>
      <c r="B978" s="5" t="str">
        <f>IF(kokpit!B978&lt;&gt;"",kokpit!B978,"")</f>
        <v/>
      </c>
      <c r="C978" s="24" t="str">
        <f>IF(A978&lt;&gt;"",SUMIFS('JPK_KR-1'!AL:AL,'JPK_KR-1'!W:W,B978),"")</f>
        <v/>
      </c>
      <c r="D978" s="126" t="str">
        <f>IF(A978&lt;&gt;"",SUMIFS('JPK_KR-1'!AM:AM,'JPK_KR-1'!W:W,B978),"")</f>
        <v/>
      </c>
      <c r="E978" s="5" t="str">
        <f>IF(kokpit!E978&lt;&gt;"",kokpit!E978,"")</f>
        <v/>
      </c>
      <c r="F978" s="127" t="str">
        <f>IF(kokpit!F978&lt;&gt;"",kokpit!F978,"")</f>
        <v/>
      </c>
      <c r="G978" s="24" t="str">
        <f>IF(E978&lt;&gt;"",SUMIFS('JPK_KR-1'!AL:AL,'JPK_KR-1'!W:W,F978),"")</f>
        <v/>
      </c>
      <c r="H978" s="126" t="str">
        <f>IF(E978&lt;&gt;"",SUMIFS('JPK_KR-1'!AM:AM,'JPK_KR-1'!W:W,F978),"")</f>
        <v/>
      </c>
      <c r="I978" s="5" t="str">
        <f>IF(kokpit!I978&lt;&gt;"",kokpit!I978,"")</f>
        <v/>
      </c>
      <c r="J978" s="5" t="str">
        <f>IF(kokpit!J978&lt;&gt;"",kokpit!J978,"")</f>
        <v/>
      </c>
      <c r="K978" s="24" t="str">
        <f>IF(I978&lt;&gt;"",SUMIFS('JPK_KR-1'!AL:AL,'JPK_KR-1'!W:W,J978),"")</f>
        <v/>
      </c>
      <c r="L978" s="141" t="str">
        <f>IF(I978&lt;&gt;"",SUMIFS('JPK_KR-1'!AM:AM,'JPK_KR-1'!W:W,J978),"")</f>
        <v/>
      </c>
      <c r="M978" s="143" t="str">
        <f>IF(kokpit!M978&lt;&gt;"",kokpit!M978,"")</f>
        <v/>
      </c>
      <c r="N978" s="117" t="str">
        <f>IF(kokpit!N978&lt;&gt;"",kokpit!N978,"")</f>
        <v/>
      </c>
      <c r="O978" s="117" t="str">
        <f>IF(kokpit!O978&lt;&gt;"",kokpit!O978,"")</f>
        <v/>
      </c>
      <c r="P978" s="141" t="str">
        <f>IF(M978&lt;&gt;"",IF(O978="",SUMIFS('JPK_KR-1'!AL:AL,'JPK_KR-1'!W:W,N978),SUMIFS('JPK_KR-1'!BF:BF,'JPK_KR-1'!BE:BE,N978,'JPK_KR-1'!BG:BG,O978)),"")</f>
        <v/>
      </c>
      <c r="Q978" s="144" t="str">
        <f>IF(M978&lt;&gt;"",IF(O978="",SUMIFS('JPK_KR-1'!AM:AM,'JPK_KR-1'!W:W,N978),SUMIFS('JPK_KR-1'!BI:BI,'JPK_KR-1'!BH:BH,N978,'JPK_KR-1'!BJ:BJ,O978)),"")</f>
        <v/>
      </c>
      <c r="R978" s="117" t="str">
        <f>IF(kokpit!R978&lt;&gt;"",kokpit!R978,"")</f>
        <v/>
      </c>
      <c r="S978" s="117" t="str">
        <f>IF(kokpit!S978&lt;&gt;"",kokpit!S978,"")</f>
        <v/>
      </c>
      <c r="T978" s="117" t="str">
        <f>IF(kokpit!T978&lt;&gt;"",kokpit!T978,"")</f>
        <v/>
      </c>
      <c r="U978" s="141" t="str">
        <f>IF(R978&lt;&gt;"",SUMIFS('JPK_KR-1'!AL:AL,'JPK_KR-1'!W:W,S978),"")</f>
        <v/>
      </c>
      <c r="V978" s="144" t="str">
        <f>IF(R978&lt;&gt;"",SUMIFS('JPK_KR-1'!AM:AM,'JPK_KR-1'!W:W,S978),"")</f>
        <v/>
      </c>
    </row>
    <row r="979" spans="1:22" x14ac:dyDescent="0.3">
      <c r="A979" s="5" t="str">
        <f>IF(kokpit!A979&lt;&gt;"",kokpit!A979,"")</f>
        <v/>
      </c>
      <c r="B979" s="5" t="str">
        <f>IF(kokpit!B979&lt;&gt;"",kokpit!B979,"")</f>
        <v/>
      </c>
      <c r="C979" s="24" t="str">
        <f>IF(A979&lt;&gt;"",SUMIFS('JPK_KR-1'!AL:AL,'JPK_KR-1'!W:W,B979),"")</f>
        <v/>
      </c>
      <c r="D979" s="126" t="str">
        <f>IF(A979&lt;&gt;"",SUMIFS('JPK_KR-1'!AM:AM,'JPK_KR-1'!W:W,B979),"")</f>
        <v/>
      </c>
      <c r="E979" s="5" t="str">
        <f>IF(kokpit!E979&lt;&gt;"",kokpit!E979,"")</f>
        <v/>
      </c>
      <c r="F979" s="127" t="str">
        <f>IF(kokpit!F979&lt;&gt;"",kokpit!F979,"")</f>
        <v/>
      </c>
      <c r="G979" s="24" t="str">
        <f>IF(E979&lt;&gt;"",SUMIFS('JPK_KR-1'!AL:AL,'JPK_KR-1'!W:W,F979),"")</f>
        <v/>
      </c>
      <c r="H979" s="126" t="str">
        <f>IF(E979&lt;&gt;"",SUMIFS('JPK_KR-1'!AM:AM,'JPK_KR-1'!W:W,F979),"")</f>
        <v/>
      </c>
      <c r="I979" s="5" t="str">
        <f>IF(kokpit!I979&lt;&gt;"",kokpit!I979,"")</f>
        <v/>
      </c>
      <c r="J979" s="5" t="str">
        <f>IF(kokpit!J979&lt;&gt;"",kokpit!J979,"")</f>
        <v/>
      </c>
      <c r="K979" s="24" t="str">
        <f>IF(I979&lt;&gt;"",SUMIFS('JPK_KR-1'!AL:AL,'JPK_KR-1'!W:W,J979),"")</f>
        <v/>
      </c>
      <c r="L979" s="141" t="str">
        <f>IF(I979&lt;&gt;"",SUMIFS('JPK_KR-1'!AM:AM,'JPK_KR-1'!W:W,J979),"")</f>
        <v/>
      </c>
      <c r="M979" s="143" t="str">
        <f>IF(kokpit!M979&lt;&gt;"",kokpit!M979,"")</f>
        <v/>
      </c>
      <c r="N979" s="117" t="str">
        <f>IF(kokpit!N979&lt;&gt;"",kokpit!N979,"")</f>
        <v/>
      </c>
      <c r="O979" s="117" t="str">
        <f>IF(kokpit!O979&lt;&gt;"",kokpit!O979,"")</f>
        <v/>
      </c>
      <c r="P979" s="141" t="str">
        <f>IF(M979&lt;&gt;"",IF(O979="",SUMIFS('JPK_KR-1'!AL:AL,'JPK_KR-1'!W:W,N979),SUMIFS('JPK_KR-1'!BF:BF,'JPK_KR-1'!BE:BE,N979,'JPK_KR-1'!BG:BG,O979)),"")</f>
        <v/>
      </c>
      <c r="Q979" s="144" t="str">
        <f>IF(M979&lt;&gt;"",IF(O979="",SUMIFS('JPK_KR-1'!AM:AM,'JPK_KR-1'!W:W,N979),SUMIFS('JPK_KR-1'!BI:BI,'JPK_KR-1'!BH:BH,N979,'JPK_KR-1'!BJ:BJ,O979)),"")</f>
        <v/>
      </c>
      <c r="R979" s="117" t="str">
        <f>IF(kokpit!R979&lt;&gt;"",kokpit!R979,"")</f>
        <v/>
      </c>
      <c r="S979" s="117" t="str">
        <f>IF(kokpit!S979&lt;&gt;"",kokpit!S979,"")</f>
        <v/>
      </c>
      <c r="T979" s="117" t="str">
        <f>IF(kokpit!T979&lt;&gt;"",kokpit!T979,"")</f>
        <v/>
      </c>
      <c r="U979" s="141" t="str">
        <f>IF(R979&lt;&gt;"",SUMIFS('JPK_KR-1'!AL:AL,'JPK_KR-1'!W:W,S979),"")</f>
        <v/>
      </c>
      <c r="V979" s="144" t="str">
        <f>IF(R979&lt;&gt;"",SUMIFS('JPK_KR-1'!AM:AM,'JPK_KR-1'!W:W,S979),"")</f>
        <v/>
      </c>
    </row>
    <row r="980" spans="1:22" x14ac:dyDescent="0.3">
      <c r="A980" s="5" t="str">
        <f>IF(kokpit!A980&lt;&gt;"",kokpit!A980,"")</f>
        <v/>
      </c>
      <c r="B980" s="5" t="str">
        <f>IF(kokpit!B980&lt;&gt;"",kokpit!B980,"")</f>
        <v/>
      </c>
      <c r="C980" s="24" t="str">
        <f>IF(A980&lt;&gt;"",SUMIFS('JPK_KR-1'!AL:AL,'JPK_KR-1'!W:W,B980),"")</f>
        <v/>
      </c>
      <c r="D980" s="126" t="str">
        <f>IF(A980&lt;&gt;"",SUMIFS('JPK_KR-1'!AM:AM,'JPK_KR-1'!W:W,B980),"")</f>
        <v/>
      </c>
      <c r="E980" s="5" t="str">
        <f>IF(kokpit!E980&lt;&gt;"",kokpit!E980,"")</f>
        <v/>
      </c>
      <c r="F980" s="127" t="str">
        <f>IF(kokpit!F980&lt;&gt;"",kokpit!F980,"")</f>
        <v/>
      </c>
      <c r="G980" s="24" t="str">
        <f>IF(E980&lt;&gt;"",SUMIFS('JPK_KR-1'!AL:AL,'JPK_KR-1'!W:W,F980),"")</f>
        <v/>
      </c>
      <c r="H980" s="126" t="str">
        <f>IF(E980&lt;&gt;"",SUMIFS('JPK_KR-1'!AM:AM,'JPK_KR-1'!W:W,F980),"")</f>
        <v/>
      </c>
      <c r="I980" s="5" t="str">
        <f>IF(kokpit!I980&lt;&gt;"",kokpit!I980,"")</f>
        <v/>
      </c>
      <c r="J980" s="5" t="str">
        <f>IF(kokpit!J980&lt;&gt;"",kokpit!J980,"")</f>
        <v/>
      </c>
      <c r="K980" s="24" t="str">
        <f>IF(I980&lt;&gt;"",SUMIFS('JPK_KR-1'!AL:AL,'JPK_KR-1'!W:W,J980),"")</f>
        <v/>
      </c>
      <c r="L980" s="141" t="str">
        <f>IF(I980&lt;&gt;"",SUMIFS('JPK_KR-1'!AM:AM,'JPK_KR-1'!W:W,J980),"")</f>
        <v/>
      </c>
      <c r="M980" s="143" t="str">
        <f>IF(kokpit!M980&lt;&gt;"",kokpit!M980,"")</f>
        <v/>
      </c>
      <c r="N980" s="117" t="str">
        <f>IF(kokpit!N980&lt;&gt;"",kokpit!N980,"")</f>
        <v/>
      </c>
      <c r="O980" s="117" t="str">
        <f>IF(kokpit!O980&lt;&gt;"",kokpit!O980,"")</f>
        <v/>
      </c>
      <c r="P980" s="141" t="str">
        <f>IF(M980&lt;&gt;"",IF(O980="",SUMIFS('JPK_KR-1'!AL:AL,'JPK_KR-1'!W:W,N980),SUMIFS('JPK_KR-1'!BF:BF,'JPK_KR-1'!BE:BE,N980,'JPK_KR-1'!BG:BG,O980)),"")</f>
        <v/>
      </c>
      <c r="Q980" s="144" t="str">
        <f>IF(M980&lt;&gt;"",IF(O980="",SUMIFS('JPK_KR-1'!AM:AM,'JPK_KR-1'!W:W,N980),SUMIFS('JPK_KR-1'!BI:BI,'JPK_KR-1'!BH:BH,N980,'JPK_KR-1'!BJ:BJ,O980)),"")</f>
        <v/>
      </c>
      <c r="R980" s="117" t="str">
        <f>IF(kokpit!R980&lt;&gt;"",kokpit!R980,"")</f>
        <v/>
      </c>
      <c r="S980" s="117" t="str">
        <f>IF(kokpit!S980&lt;&gt;"",kokpit!S980,"")</f>
        <v/>
      </c>
      <c r="T980" s="117" t="str">
        <f>IF(kokpit!T980&lt;&gt;"",kokpit!T980,"")</f>
        <v/>
      </c>
      <c r="U980" s="141" t="str">
        <f>IF(R980&lt;&gt;"",SUMIFS('JPK_KR-1'!AL:AL,'JPK_KR-1'!W:W,S980),"")</f>
        <v/>
      </c>
      <c r="V980" s="144" t="str">
        <f>IF(R980&lt;&gt;"",SUMIFS('JPK_KR-1'!AM:AM,'JPK_KR-1'!W:W,S980),"")</f>
        <v/>
      </c>
    </row>
    <row r="981" spans="1:22" x14ac:dyDescent="0.3">
      <c r="A981" s="5" t="str">
        <f>IF(kokpit!A981&lt;&gt;"",kokpit!A981,"")</f>
        <v/>
      </c>
      <c r="B981" s="5" t="str">
        <f>IF(kokpit!B981&lt;&gt;"",kokpit!B981,"")</f>
        <v/>
      </c>
      <c r="C981" s="24" t="str">
        <f>IF(A981&lt;&gt;"",SUMIFS('JPK_KR-1'!AL:AL,'JPK_KR-1'!W:W,B981),"")</f>
        <v/>
      </c>
      <c r="D981" s="126" t="str">
        <f>IF(A981&lt;&gt;"",SUMIFS('JPK_KR-1'!AM:AM,'JPK_KR-1'!W:W,B981),"")</f>
        <v/>
      </c>
      <c r="E981" s="5" t="str">
        <f>IF(kokpit!E981&lt;&gt;"",kokpit!E981,"")</f>
        <v/>
      </c>
      <c r="F981" s="127" t="str">
        <f>IF(kokpit!F981&lt;&gt;"",kokpit!F981,"")</f>
        <v/>
      </c>
      <c r="G981" s="24" t="str">
        <f>IF(E981&lt;&gt;"",SUMIFS('JPK_KR-1'!AL:AL,'JPK_KR-1'!W:W,F981),"")</f>
        <v/>
      </c>
      <c r="H981" s="126" t="str">
        <f>IF(E981&lt;&gt;"",SUMIFS('JPK_KR-1'!AM:AM,'JPK_KR-1'!W:W,F981),"")</f>
        <v/>
      </c>
      <c r="I981" s="5" t="str">
        <f>IF(kokpit!I981&lt;&gt;"",kokpit!I981,"")</f>
        <v/>
      </c>
      <c r="J981" s="5" t="str">
        <f>IF(kokpit!J981&lt;&gt;"",kokpit!J981,"")</f>
        <v/>
      </c>
      <c r="K981" s="24" t="str">
        <f>IF(I981&lt;&gt;"",SUMIFS('JPK_KR-1'!AL:AL,'JPK_KR-1'!W:W,J981),"")</f>
        <v/>
      </c>
      <c r="L981" s="141" t="str">
        <f>IF(I981&lt;&gt;"",SUMIFS('JPK_KR-1'!AM:AM,'JPK_KR-1'!W:W,J981),"")</f>
        <v/>
      </c>
      <c r="M981" s="143" t="str">
        <f>IF(kokpit!M981&lt;&gt;"",kokpit!M981,"")</f>
        <v/>
      </c>
      <c r="N981" s="117" t="str">
        <f>IF(kokpit!N981&lt;&gt;"",kokpit!N981,"")</f>
        <v/>
      </c>
      <c r="O981" s="117" t="str">
        <f>IF(kokpit!O981&lt;&gt;"",kokpit!O981,"")</f>
        <v/>
      </c>
      <c r="P981" s="141" t="str">
        <f>IF(M981&lt;&gt;"",IF(O981="",SUMIFS('JPK_KR-1'!AL:AL,'JPK_KR-1'!W:W,N981),SUMIFS('JPK_KR-1'!BF:BF,'JPK_KR-1'!BE:BE,N981,'JPK_KR-1'!BG:BG,O981)),"")</f>
        <v/>
      </c>
      <c r="Q981" s="144" t="str">
        <f>IF(M981&lt;&gt;"",IF(O981="",SUMIFS('JPK_KR-1'!AM:AM,'JPK_KR-1'!W:W,N981),SUMIFS('JPK_KR-1'!BI:BI,'JPK_KR-1'!BH:BH,N981,'JPK_KR-1'!BJ:BJ,O981)),"")</f>
        <v/>
      </c>
      <c r="R981" s="117" t="str">
        <f>IF(kokpit!R981&lt;&gt;"",kokpit!R981,"")</f>
        <v/>
      </c>
      <c r="S981" s="117" t="str">
        <f>IF(kokpit!S981&lt;&gt;"",kokpit!S981,"")</f>
        <v/>
      </c>
      <c r="T981" s="117" t="str">
        <f>IF(kokpit!T981&lt;&gt;"",kokpit!T981,"")</f>
        <v/>
      </c>
      <c r="U981" s="141" t="str">
        <f>IF(R981&lt;&gt;"",SUMIFS('JPK_KR-1'!AL:AL,'JPK_KR-1'!W:W,S981),"")</f>
        <v/>
      </c>
      <c r="V981" s="144" t="str">
        <f>IF(R981&lt;&gt;"",SUMIFS('JPK_KR-1'!AM:AM,'JPK_KR-1'!W:W,S981),"")</f>
        <v/>
      </c>
    </row>
    <row r="982" spans="1:22" x14ac:dyDescent="0.3">
      <c r="A982" s="5" t="str">
        <f>IF(kokpit!A982&lt;&gt;"",kokpit!A982,"")</f>
        <v/>
      </c>
      <c r="B982" s="5" t="str">
        <f>IF(kokpit!B982&lt;&gt;"",kokpit!B982,"")</f>
        <v/>
      </c>
      <c r="C982" s="24" t="str">
        <f>IF(A982&lt;&gt;"",SUMIFS('JPK_KR-1'!AL:AL,'JPK_KR-1'!W:W,B982),"")</f>
        <v/>
      </c>
      <c r="D982" s="126" t="str">
        <f>IF(A982&lt;&gt;"",SUMIFS('JPK_KR-1'!AM:AM,'JPK_KR-1'!W:W,B982),"")</f>
        <v/>
      </c>
      <c r="E982" s="5" t="str">
        <f>IF(kokpit!E982&lt;&gt;"",kokpit!E982,"")</f>
        <v/>
      </c>
      <c r="F982" s="127" t="str">
        <f>IF(kokpit!F982&lt;&gt;"",kokpit!F982,"")</f>
        <v/>
      </c>
      <c r="G982" s="24" t="str">
        <f>IF(E982&lt;&gt;"",SUMIFS('JPK_KR-1'!AL:AL,'JPK_KR-1'!W:W,F982),"")</f>
        <v/>
      </c>
      <c r="H982" s="126" t="str">
        <f>IF(E982&lt;&gt;"",SUMIFS('JPK_KR-1'!AM:AM,'JPK_KR-1'!W:W,F982),"")</f>
        <v/>
      </c>
      <c r="I982" s="5" t="str">
        <f>IF(kokpit!I982&lt;&gt;"",kokpit!I982,"")</f>
        <v/>
      </c>
      <c r="J982" s="5" t="str">
        <f>IF(kokpit!J982&lt;&gt;"",kokpit!J982,"")</f>
        <v/>
      </c>
      <c r="K982" s="24" t="str">
        <f>IF(I982&lt;&gt;"",SUMIFS('JPK_KR-1'!AL:AL,'JPK_KR-1'!W:W,J982),"")</f>
        <v/>
      </c>
      <c r="L982" s="141" t="str">
        <f>IF(I982&lt;&gt;"",SUMIFS('JPK_KR-1'!AM:AM,'JPK_KR-1'!W:W,J982),"")</f>
        <v/>
      </c>
      <c r="M982" s="143" t="str">
        <f>IF(kokpit!M982&lt;&gt;"",kokpit!M982,"")</f>
        <v/>
      </c>
      <c r="N982" s="117" t="str">
        <f>IF(kokpit!N982&lt;&gt;"",kokpit!N982,"")</f>
        <v/>
      </c>
      <c r="O982" s="117" t="str">
        <f>IF(kokpit!O982&lt;&gt;"",kokpit!O982,"")</f>
        <v/>
      </c>
      <c r="P982" s="141" t="str">
        <f>IF(M982&lt;&gt;"",IF(O982="",SUMIFS('JPK_KR-1'!AL:AL,'JPK_KR-1'!W:W,N982),SUMIFS('JPK_KR-1'!BF:BF,'JPK_KR-1'!BE:BE,N982,'JPK_KR-1'!BG:BG,O982)),"")</f>
        <v/>
      </c>
      <c r="Q982" s="144" t="str">
        <f>IF(M982&lt;&gt;"",IF(O982="",SUMIFS('JPK_KR-1'!AM:AM,'JPK_KR-1'!W:W,N982),SUMIFS('JPK_KR-1'!BI:BI,'JPK_KR-1'!BH:BH,N982,'JPK_KR-1'!BJ:BJ,O982)),"")</f>
        <v/>
      </c>
      <c r="R982" s="117" t="str">
        <f>IF(kokpit!R982&lt;&gt;"",kokpit!R982,"")</f>
        <v/>
      </c>
      <c r="S982" s="117" t="str">
        <f>IF(kokpit!S982&lt;&gt;"",kokpit!S982,"")</f>
        <v/>
      </c>
      <c r="T982" s="117" t="str">
        <f>IF(kokpit!T982&lt;&gt;"",kokpit!T982,"")</f>
        <v/>
      </c>
      <c r="U982" s="141" t="str">
        <f>IF(R982&lt;&gt;"",SUMIFS('JPK_KR-1'!AL:AL,'JPK_KR-1'!W:W,S982),"")</f>
        <v/>
      </c>
      <c r="V982" s="144" t="str">
        <f>IF(R982&lt;&gt;"",SUMIFS('JPK_KR-1'!AM:AM,'JPK_KR-1'!W:W,S982),"")</f>
        <v/>
      </c>
    </row>
    <row r="983" spans="1:22" x14ac:dyDescent="0.3">
      <c r="A983" s="5" t="str">
        <f>IF(kokpit!A983&lt;&gt;"",kokpit!A983,"")</f>
        <v/>
      </c>
      <c r="B983" s="5" t="str">
        <f>IF(kokpit!B983&lt;&gt;"",kokpit!B983,"")</f>
        <v/>
      </c>
      <c r="C983" s="24" t="str">
        <f>IF(A983&lt;&gt;"",SUMIFS('JPK_KR-1'!AL:AL,'JPK_KR-1'!W:W,B983),"")</f>
        <v/>
      </c>
      <c r="D983" s="126" t="str">
        <f>IF(A983&lt;&gt;"",SUMIFS('JPK_KR-1'!AM:AM,'JPK_KR-1'!W:W,B983),"")</f>
        <v/>
      </c>
      <c r="E983" s="5" t="str">
        <f>IF(kokpit!E983&lt;&gt;"",kokpit!E983,"")</f>
        <v/>
      </c>
      <c r="F983" s="127" t="str">
        <f>IF(kokpit!F983&lt;&gt;"",kokpit!F983,"")</f>
        <v/>
      </c>
      <c r="G983" s="24" t="str">
        <f>IF(E983&lt;&gt;"",SUMIFS('JPK_KR-1'!AL:AL,'JPK_KR-1'!W:W,F983),"")</f>
        <v/>
      </c>
      <c r="H983" s="126" t="str">
        <f>IF(E983&lt;&gt;"",SUMIFS('JPK_KR-1'!AM:AM,'JPK_KR-1'!W:W,F983),"")</f>
        <v/>
      </c>
      <c r="I983" s="5" t="str">
        <f>IF(kokpit!I983&lt;&gt;"",kokpit!I983,"")</f>
        <v/>
      </c>
      <c r="J983" s="5" t="str">
        <f>IF(kokpit!J983&lt;&gt;"",kokpit!J983,"")</f>
        <v/>
      </c>
      <c r="K983" s="24" t="str">
        <f>IF(I983&lt;&gt;"",SUMIFS('JPK_KR-1'!AL:AL,'JPK_KR-1'!W:W,J983),"")</f>
        <v/>
      </c>
      <c r="L983" s="141" t="str">
        <f>IF(I983&lt;&gt;"",SUMIFS('JPK_KR-1'!AM:AM,'JPK_KR-1'!W:W,J983),"")</f>
        <v/>
      </c>
      <c r="M983" s="143" t="str">
        <f>IF(kokpit!M983&lt;&gt;"",kokpit!M983,"")</f>
        <v/>
      </c>
      <c r="N983" s="117" t="str">
        <f>IF(kokpit!N983&lt;&gt;"",kokpit!N983,"")</f>
        <v/>
      </c>
      <c r="O983" s="117" t="str">
        <f>IF(kokpit!O983&lt;&gt;"",kokpit!O983,"")</f>
        <v/>
      </c>
      <c r="P983" s="141" t="str">
        <f>IF(M983&lt;&gt;"",IF(O983="",SUMIFS('JPK_KR-1'!AL:AL,'JPK_KR-1'!W:W,N983),SUMIFS('JPK_KR-1'!BF:BF,'JPK_KR-1'!BE:BE,N983,'JPK_KR-1'!BG:BG,O983)),"")</f>
        <v/>
      </c>
      <c r="Q983" s="144" t="str">
        <f>IF(M983&lt;&gt;"",IF(O983="",SUMIFS('JPK_KR-1'!AM:AM,'JPK_KR-1'!W:W,N983),SUMIFS('JPK_KR-1'!BI:BI,'JPK_KR-1'!BH:BH,N983,'JPK_KR-1'!BJ:BJ,O983)),"")</f>
        <v/>
      </c>
      <c r="R983" s="117" t="str">
        <f>IF(kokpit!R983&lt;&gt;"",kokpit!R983,"")</f>
        <v/>
      </c>
      <c r="S983" s="117" t="str">
        <f>IF(kokpit!S983&lt;&gt;"",kokpit!S983,"")</f>
        <v/>
      </c>
      <c r="T983" s="117" t="str">
        <f>IF(kokpit!T983&lt;&gt;"",kokpit!T983,"")</f>
        <v/>
      </c>
      <c r="U983" s="141" t="str">
        <f>IF(R983&lt;&gt;"",SUMIFS('JPK_KR-1'!AL:AL,'JPK_KR-1'!W:W,S983),"")</f>
        <v/>
      </c>
      <c r="V983" s="144" t="str">
        <f>IF(R983&lt;&gt;"",SUMIFS('JPK_KR-1'!AM:AM,'JPK_KR-1'!W:W,S983),"")</f>
        <v/>
      </c>
    </row>
    <row r="984" spans="1:22" x14ac:dyDescent="0.3">
      <c r="A984" s="5" t="str">
        <f>IF(kokpit!A984&lt;&gt;"",kokpit!A984,"")</f>
        <v/>
      </c>
      <c r="B984" s="5" t="str">
        <f>IF(kokpit!B984&lt;&gt;"",kokpit!B984,"")</f>
        <v/>
      </c>
      <c r="C984" s="24" t="str">
        <f>IF(A984&lt;&gt;"",SUMIFS('JPK_KR-1'!AL:AL,'JPK_KR-1'!W:W,B984),"")</f>
        <v/>
      </c>
      <c r="D984" s="126" t="str">
        <f>IF(A984&lt;&gt;"",SUMIFS('JPK_KR-1'!AM:AM,'JPK_KR-1'!W:W,B984),"")</f>
        <v/>
      </c>
      <c r="E984" s="5" t="str">
        <f>IF(kokpit!E984&lt;&gt;"",kokpit!E984,"")</f>
        <v/>
      </c>
      <c r="F984" s="127" t="str">
        <f>IF(kokpit!F984&lt;&gt;"",kokpit!F984,"")</f>
        <v/>
      </c>
      <c r="G984" s="24" t="str">
        <f>IF(E984&lt;&gt;"",SUMIFS('JPK_KR-1'!AL:AL,'JPK_KR-1'!W:W,F984),"")</f>
        <v/>
      </c>
      <c r="H984" s="126" t="str">
        <f>IF(E984&lt;&gt;"",SUMIFS('JPK_KR-1'!AM:AM,'JPK_KR-1'!W:W,F984),"")</f>
        <v/>
      </c>
      <c r="I984" s="5" t="str">
        <f>IF(kokpit!I984&lt;&gt;"",kokpit!I984,"")</f>
        <v/>
      </c>
      <c r="J984" s="5" t="str">
        <f>IF(kokpit!J984&lt;&gt;"",kokpit!J984,"")</f>
        <v/>
      </c>
      <c r="K984" s="24" t="str">
        <f>IF(I984&lt;&gt;"",SUMIFS('JPK_KR-1'!AL:AL,'JPK_KR-1'!W:W,J984),"")</f>
        <v/>
      </c>
      <c r="L984" s="141" t="str">
        <f>IF(I984&lt;&gt;"",SUMIFS('JPK_KR-1'!AM:AM,'JPK_KR-1'!W:W,J984),"")</f>
        <v/>
      </c>
      <c r="M984" s="143" t="str">
        <f>IF(kokpit!M984&lt;&gt;"",kokpit!M984,"")</f>
        <v/>
      </c>
      <c r="N984" s="117" t="str">
        <f>IF(kokpit!N984&lt;&gt;"",kokpit!N984,"")</f>
        <v/>
      </c>
      <c r="O984" s="117" t="str">
        <f>IF(kokpit!O984&lt;&gt;"",kokpit!O984,"")</f>
        <v/>
      </c>
      <c r="P984" s="141" t="str">
        <f>IF(M984&lt;&gt;"",IF(O984="",SUMIFS('JPK_KR-1'!AL:AL,'JPK_KR-1'!W:W,N984),SUMIFS('JPK_KR-1'!BF:BF,'JPK_KR-1'!BE:BE,N984,'JPK_KR-1'!BG:BG,O984)),"")</f>
        <v/>
      </c>
      <c r="Q984" s="144" t="str">
        <f>IF(M984&lt;&gt;"",IF(O984="",SUMIFS('JPK_KR-1'!AM:AM,'JPK_KR-1'!W:W,N984),SUMIFS('JPK_KR-1'!BI:BI,'JPK_KR-1'!BH:BH,N984,'JPK_KR-1'!BJ:BJ,O984)),"")</f>
        <v/>
      </c>
      <c r="R984" s="117" t="str">
        <f>IF(kokpit!R984&lt;&gt;"",kokpit!R984,"")</f>
        <v/>
      </c>
      <c r="S984" s="117" t="str">
        <f>IF(kokpit!S984&lt;&gt;"",kokpit!S984,"")</f>
        <v/>
      </c>
      <c r="T984" s="117" t="str">
        <f>IF(kokpit!T984&lt;&gt;"",kokpit!T984,"")</f>
        <v/>
      </c>
      <c r="U984" s="141" t="str">
        <f>IF(R984&lt;&gt;"",SUMIFS('JPK_KR-1'!AL:AL,'JPK_KR-1'!W:W,S984),"")</f>
        <v/>
      </c>
      <c r="V984" s="144" t="str">
        <f>IF(R984&lt;&gt;"",SUMIFS('JPK_KR-1'!AM:AM,'JPK_KR-1'!W:W,S984),"")</f>
        <v/>
      </c>
    </row>
    <row r="985" spans="1:22" x14ac:dyDescent="0.3">
      <c r="A985" s="5" t="str">
        <f>IF(kokpit!A985&lt;&gt;"",kokpit!A985,"")</f>
        <v/>
      </c>
      <c r="B985" s="5" t="str">
        <f>IF(kokpit!B985&lt;&gt;"",kokpit!B985,"")</f>
        <v/>
      </c>
      <c r="C985" s="24" t="str">
        <f>IF(A985&lt;&gt;"",SUMIFS('JPK_KR-1'!AL:AL,'JPK_KR-1'!W:W,B985),"")</f>
        <v/>
      </c>
      <c r="D985" s="126" t="str">
        <f>IF(A985&lt;&gt;"",SUMIFS('JPK_KR-1'!AM:AM,'JPK_KR-1'!W:W,B985),"")</f>
        <v/>
      </c>
      <c r="E985" s="5" t="str">
        <f>IF(kokpit!E985&lt;&gt;"",kokpit!E985,"")</f>
        <v/>
      </c>
      <c r="F985" s="127" t="str">
        <f>IF(kokpit!F985&lt;&gt;"",kokpit!F985,"")</f>
        <v/>
      </c>
      <c r="G985" s="24" t="str">
        <f>IF(E985&lt;&gt;"",SUMIFS('JPK_KR-1'!AL:AL,'JPK_KR-1'!W:W,F985),"")</f>
        <v/>
      </c>
      <c r="H985" s="126" t="str">
        <f>IF(E985&lt;&gt;"",SUMIFS('JPK_KR-1'!AM:AM,'JPK_KR-1'!W:W,F985),"")</f>
        <v/>
      </c>
      <c r="I985" s="5" t="str">
        <f>IF(kokpit!I985&lt;&gt;"",kokpit!I985,"")</f>
        <v/>
      </c>
      <c r="J985" s="5" t="str">
        <f>IF(kokpit!J985&lt;&gt;"",kokpit!J985,"")</f>
        <v/>
      </c>
      <c r="K985" s="24" t="str">
        <f>IF(I985&lt;&gt;"",SUMIFS('JPK_KR-1'!AL:AL,'JPK_KR-1'!W:W,J985),"")</f>
        <v/>
      </c>
      <c r="L985" s="141" t="str">
        <f>IF(I985&lt;&gt;"",SUMIFS('JPK_KR-1'!AM:AM,'JPK_KR-1'!W:W,J985),"")</f>
        <v/>
      </c>
      <c r="M985" s="143" t="str">
        <f>IF(kokpit!M985&lt;&gt;"",kokpit!M985,"")</f>
        <v/>
      </c>
      <c r="N985" s="117" t="str">
        <f>IF(kokpit!N985&lt;&gt;"",kokpit!N985,"")</f>
        <v/>
      </c>
      <c r="O985" s="117" t="str">
        <f>IF(kokpit!O985&lt;&gt;"",kokpit!O985,"")</f>
        <v/>
      </c>
      <c r="P985" s="141" t="str">
        <f>IF(M985&lt;&gt;"",IF(O985="",SUMIFS('JPK_KR-1'!AL:AL,'JPK_KR-1'!W:W,N985),SUMIFS('JPK_KR-1'!BF:BF,'JPK_KR-1'!BE:BE,N985,'JPK_KR-1'!BG:BG,O985)),"")</f>
        <v/>
      </c>
      <c r="Q985" s="144" t="str">
        <f>IF(M985&lt;&gt;"",IF(O985="",SUMIFS('JPK_KR-1'!AM:AM,'JPK_KR-1'!W:W,N985),SUMIFS('JPK_KR-1'!BI:BI,'JPK_KR-1'!BH:BH,N985,'JPK_KR-1'!BJ:BJ,O985)),"")</f>
        <v/>
      </c>
      <c r="R985" s="117" t="str">
        <f>IF(kokpit!R985&lt;&gt;"",kokpit!R985,"")</f>
        <v/>
      </c>
      <c r="S985" s="117" t="str">
        <f>IF(kokpit!S985&lt;&gt;"",kokpit!S985,"")</f>
        <v/>
      </c>
      <c r="T985" s="117" t="str">
        <f>IF(kokpit!T985&lt;&gt;"",kokpit!T985,"")</f>
        <v/>
      </c>
      <c r="U985" s="141" t="str">
        <f>IF(R985&lt;&gt;"",SUMIFS('JPK_KR-1'!AL:AL,'JPK_KR-1'!W:W,S985),"")</f>
        <v/>
      </c>
      <c r="V985" s="144" t="str">
        <f>IF(R985&lt;&gt;"",SUMIFS('JPK_KR-1'!AM:AM,'JPK_KR-1'!W:W,S985),"")</f>
        <v/>
      </c>
    </row>
    <row r="986" spans="1:22" x14ac:dyDescent="0.3">
      <c r="A986" s="5" t="str">
        <f>IF(kokpit!A986&lt;&gt;"",kokpit!A986,"")</f>
        <v/>
      </c>
      <c r="B986" s="5" t="str">
        <f>IF(kokpit!B986&lt;&gt;"",kokpit!B986,"")</f>
        <v/>
      </c>
      <c r="C986" s="24" t="str">
        <f>IF(A986&lt;&gt;"",SUMIFS('JPK_KR-1'!AL:AL,'JPK_KR-1'!W:W,B986),"")</f>
        <v/>
      </c>
      <c r="D986" s="126" t="str">
        <f>IF(A986&lt;&gt;"",SUMIFS('JPK_KR-1'!AM:AM,'JPK_KR-1'!W:W,B986),"")</f>
        <v/>
      </c>
      <c r="E986" s="5" t="str">
        <f>IF(kokpit!E986&lt;&gt;"",kokpit!E986,"")</f>
        <v/>
      </c>
      <c r="F986" s="127" t="str">
        <f>IF(kokpit!F986&lt;&gt;"",kokpit!F986,"")</f>
        <v/>
      </c>
      <c r="G986" s="24" t="str">
        <f>IF(E986&lt;&gt;"",SUMIFS('JPK_KR-1'!AL:AL,'JPK_KR-1'!W:W,F986),"")</f>
        <v/>
      </c>
      <c r="H986" s="126" t="str">
        <f>IF(E986&lt;&gt;"",SUMIFS('JPK_KR-1'!AM:AM,'JPK_KR-1'!W:W,F986),"")</f>
        <v/>
      </c>
      <c r="I986" s="5" t="str">
        <f>IF(kokpit!I986&lt;&gt;"",kokpit!I986,"")</f>
        <v/>
      </c>
      <c r="J986" s="5" t="str">
        <f>IF(kokpit!J986&lt;&gt;"",kokpit!J986,"")</f>
        <v/>
      </c>
      <c r="K986" s="24" t="str">
        <f>IF(I986&lt;&gt;"",SUMIFS('JPK_KR-1'!AL:AL,'JPK_KR-1'!W:W,J986),"")</f>
        <v/>
      </c>
      <c r="L986" s="141" t="str">
        <f>IF(I986&lt;&gt;"",SUMIFS('JPK_KR-1'!AM:AM,'JPK_KR-1'!W:W,J986),"")</f>
        <v/>
      </c>
      <c r="M986" s="143" t="str">
        <f>IF(kokpit!M986&lt;&gt;"",kokpit!M986,"")</f>
        <v/>
      </c>
      <c r="N986" s="117" t="str">
        <f>IF(kokpit!N986&lt;&gt;"",kokpit!N986,"")</f>
        <v/>
      </c>
      <c r="O986" s="117" t="str">
        <f>IF(kokpit!O986&lt;&gt;"",kokpit!O986,"")</f>
        <v/>
      </c>
      <c r="P986" s="141" t="str">
        <f>IF(M986&lt;&gt;"",IF(O986="",SUMIFS('JPK_KR-1'!AL:AL,'JPK_KR-1'!W:W,N986),SUMIFS('JPK_KR-1'!BF:BF,'JPK_KR-1'!BE:BE,N986,'JPK_KR-1'!BG:BG,O986)),"")</f>
        <v/>
      </c>
      <c r="Q986" s="144" t="str">
        <f>IF(M986&lt;&gt;"",IF(O986="",SUMIFS('JPK_KR-1'!AM:AM,'JPK_KR-1'!W:W,N986),SUMIFS('JPK_KR-1'!BI:BI,'JPK_KR-1'!BH:BH,N986,'JPK_KR-1'!BJ:BJ,O986)),"")</f>
        <v/>
      </c>
      <c r="R986" s="117" t="str">
        <f>IF(kokpit!R986&lt;&gt;"",kokpit!R986,"")</f>
        <v/>
      </c>
      <c r="S986" s="117" t="str">
        <f>IF(kokpit!S986&lt;&gt;"",kokpit!S986,"")</f>
        <v/>
      </c>
      <c r="T986" s="117" t="str">
        <f>IF(kokpit!T986&lt;&gt;"",kokpit!T986,"")</f>
        <v/>
      </c>
      <c r="U986" s="141" t="str">
        <f>IF(R986&lt;&gt;"",SUMIFS('JPK_KR-1'!AL:AL,'JPK_KR-1'!W:W,S986),"")</f>
        <v/>
      </c>
      <c r="V986" s="144" t="str">
        <f>IF(R986&lt;&gt;"",SUMIFS('JPK_KR-1'!AM:AM,'JPK_KR-1'!W:W,S986),"")</f>
        <v/>
      </c>
    </row>
    <row r="987" spans="1:22" x14ac:dyDescent="0.3">
      <c r="A987" s="5" t="str">
        <f>IF(kokpit!A987&lt;&gt;"",kokpit!A987,"")</f>
        <v/>
      </c>
      <c r="B987" s="5" t="str">
        <f>IF(kokpit!B987&lt;&gt;"",kokpit!B987,"")</f>
        <v/>
      </c>
      <c r="C987" s="24" t="str">
        <f>IF(A987&lt;&gt;"",SUMIFS('JPK_KR-1'!AL:AL,'JPK_KR-1'!W:W,B987),"")</f>
        <v/>
      </c>
      <c r="D987" s="126" t="str">
        <f>IF(A987&lt;&gt;"",SUMIFS('JPK_KR-1'!AM:AM,'JPK_KR-1'!W:W,B987),"")</f>
        <v/>
      </c>
      <c r="E987" s="5" t="str">
        <f>IF(kokpit!E987&lt;&gt;"",kokpit!E987,"")</f>
        <v/>
      </c>
      <c r="F987" s="127" t="str">
        <f>IF(kokpit!F987&lt;&gt;"",kokpit!F987,"")</f>
        <v/>
      </c>
      <c r="G987" s="24" t="str">
        <f>IF(E987&lt;&gt;"",SUMIFS('JPK_KR-1'!AL:AL,'JPK_KR-1'!W:W,F987),"")</f>
        <v/>
      </c>
      <c r="H987" s="126" t="str">
        <f>IF(E987&lt;&gt;"",SUMIFS('JPK_KR-1'!AM:AM,'JPK_KR-1'!W:W,F987),"")</f>
        <v/>
      </c>
      <c r="I987" s="5" t="str">
        <f>IF(kokpit!I987&lt;&gt;"",kokpit!I987,"")</f>
        <v/>
      </c>
      <c r="J987" s="5" t="str">
        <f>IF(kokpit!J987&lt;&gt;"",kokpit!J987,"")</f>
        <v/>
      </c>
      <c r="K987" s="24" t="str">
        <f>IF(I987&lt;&gt;"",SUMIFS('JPK_KR-1'!AL:AL,'JPK_KR-1'!W:W,J987),"")</f>
        <v/>
      </c>
      <c r="L987" s="141" t="str">
        <f>IF(I987&lt;&gt;"",SUMIFS('JPK_KR-1'!AM:AM,'JPK_KR-1'!W:W,J987),"")</f>
        <v/>
      </c>
      <c r="M987" s="143" t="str">
        <f>IF(kokpit!M987&lt;&gt;"",kokpit!M987,"")</f>
        <v/>
      </c>
      <c r="N987" s="117" t="str">
        <f>IF(kokpit!N987&lt;&gt;"",kokpit!N987,"")</f>
        <v/>
      </c>
      <c r="O987" s="117" t="str">
        <f>IF(kokpit!O987&lt;&gt;"",kokpit!O987,"")</f>
        <v/>
      </c>
      <c r="P987" s="141" t="str">
        <f>IF(M987&lt;&gt;"",IF(O987="",SUMIFS('JPK_KR-1'!AL:AL,'JPK_KR-1'!W:W,N987),SUMIFS('JPK_KR-1'!BF:BF,'JPK_KR-1'!BE:BE,N987,'JPK_KR-1'!BG:BG,O987)),"")</f>
        <v/>
      </c>
      <c r="Q987" s="144" t="str">
        <f>IF(M987&lt;&gt;"",IF(O987="",SUMIFS('JPK_KR-1'!AM:AM,'JPK_KR-1'!W:W,N987),SUMIFS('JPK_KR-1'!BI:BI,'JPK_KR-1'!BH:BH,N987,'JPK_KR-1'!BJ:BJ,O987)),"")</f>
        <v/>
      </c>
      <c r="R987" s="117" t="str">
        <f>IF(kokpit!R987&lt;&gt;"",kokpit!R987,"")</f>
        <v/>
      </c>
      <c r="S987" s="117" t="str">
        <f>IF(kokpit!S987&lt;&gt;"",kokpit!S987,"")</f>
        <v/>
      </c>
      <c r="T987" s="117" t="str">
        <f>IF(kokpit!T987&lt;&gt;"",kokpit!T987,"")</f>
        <v/>
      </c>
      <c r="U987" s="141" t="str">
        <f>IF(R987&lt;&gt;"",SUMIFS('JPK_KR-1'!AL:AL,'JPK_KR-1'!W:W,S987),"")</f>
        <v/>
      </c>
      <c r="V987" s="144" t="str">
        <f>IF(R987&lt;&gt;"",SUMIFS('JPK_KR-1'!AM:AM,'JPK_KR-1'!W:W,S987),"")</f>
        <v/>
      </c>
    </row>
    <row r="988" spans="1:22" x14ac:dyDescent="0.3">
      <c r="A988" s="5" t="str">
        <f>IF(kokpit!A988&lt;&gt;"",kokpit!A988,"")</f>
        <v/>
      </c>
      <c r="B988" s="5" t="str">
        <f>IF(kokpit!B988&lt;&gt;"",kokpit!B988,"")</f>
        <v/>
      </c>
      <c r="C988" s="24" t="str">
        <f>IF(A988&lt;&gt;"",SUMIFS('JPK_KR-1'!AL:AL,'JPK_KR-1'!W:W,B988),"")</f>
        <v/>
      </c>
      <c r="D988" s="126" t="str">
        <f>IF(A988&lt;&gt;"",SUMIFS('JPK_KR-1'!AM:AM,'JPK_KR-1'!W:W,B988),"")</f>
        <v/>
      </c>
      <c r="E988" s="5" t="str">
        <f>IF(kokpit!E988&lt;&gt;"",kokpit!E988,"")</f>
        <v/>
      </c>
      <c r="F988" s="127" t="str">
        <f>IF(kokpit!F988&lt;&gt;"",kokpit!F988,"")</f>
        <v/>
      </c>
      <c r="G988" s="24" t="str">
        <f>IF(E988&lt;&gt;"",SUMIFS('JPK_KR-1'!AL:AL,'JPK_KR-1'!W:W,F988),"")</f>
        <v/>
      </c>
      <c r="H988" s="126" t="str">
        <f>IF(E988&lt;&gt;"",SUMIFS('JPK_KR-1'!AM:AM,'JPK_KR-1'!W:W,F988),"")</f>
        <v/>
      </c>
      <c r="I988" s="5" t="str">
        <f>IF(kokpit!I988&lt;&gt;"",kokpit!I988,"")</f>
        <v/>
      </c>
      <c r="J988" s="5" t="str">
        <f>IF(kokpit!J988&lt;&gt;"",kokpit!J988,"")</f>
        <v/>
      </c>
      <c r="K988" s="24" t="str">
        <f>IF(I988&lt;&gt;"",SUMIFS('JPK_KR-1'!AL:AL,'JPK_KR-1'!W:W,J988),"")</f>
        <v/>
      </c>
      <c r="L988" s="141" t="str">
        <f>IF(I988&lt;&gt;"",SUMIFS('JPK_KR-1'!AM:AM,'JPK_KR-1'!W:W,J988),"")</f>
        <v/>
      </c>
      <c r="M988" s="143" t="str">
        <f>IF(kokpit!M988&lt;&gt;"",kokpit!M988,"")</f>
        <v/>
      </c>
      <c r="N988" s="117" t="str">
        <f>IF(kokpit!N988&lt;&gt;"",kokpit!N988,"")</f>
        <v/>
      </c>
      <c r="O988" s="117" t="str">
        <f>IF(kokpit!O988&lt;&gt;"",kokpit!O988,"")</f>
        <v/>
      </c>
      <c r="P988" s="141" t="str">
        <f>IF(M988&lt;&gt;"",IF(O988="",SUMIFS('JPK_KR-1'!AL:AL,'JPK_KR-1'!W:W,N988),SUMIFS('JPK_KR-1'!BF:BF,'JPK_KR-1'!BE:BE,N988,'JPK_KR-1'!BG:BG,O988)),"")</f>
        <v/>
      </c>
      <c r="Q988" s="144" t="str">
        <f>IF(M988&lt;&gt;"",IF(O988="",SUMIFS('JPK_KR-1'!AM:AM,'JPK_KR-1'!W:W,N988),SUMIFS('JPK_KR-1'!BI:BI,'JPK_KR-1'!BH:BH,N988,'JPK_KR-1'!BJ:BJ,O988)),"")</f>
        <v/>
      </c>
      <c r="R988" s="117" t="str">
        <f>IF(kokpit!R988&lt;&gt;"",kokpit!R988,"")</f>
        <v/>
      </c>
      <c r="S988" s="117" t="str">
        <f>IF(kokpit!S988&lt;&gt;"",kokpit!S988,"")</f>
        <v/>
      </c>
      <c r="T988" s="117" t="str">
        <f>IF(kokpit!T988&lt;&gt;"",kokpit!T988,"")</f>
        <v/>
      </c>
      <c r="U988" s="141" t="str">
        <f>IF(R988&lt;&gt;"",SUMIFS('JPK_KR-1'!AL:AL,'JPK_KR-1'!W:W,S988),"")</f>
        <v/>
      </c>
      <c r="V988" s="144" t="str">
        <f>IF(R988&lt;&gt;"",SUMIFS('JPK_KR-1'!AM:AM,'JPK_KR-1'!W:W,S988),"")</f>
        <v/>
      </c>
    </row>
    <row r="989" spans="1:22" x14ac:dyDescent="0.3">
      <c r="A989" s="5" t="str">
        <f>IF(kokpit!A989&lt;&gt;"",kokpit!A989,"")</f>
        <v/>
      </c>
      <c r="B989" s="5" t="str">
        <f>IF(kokpit!B989&lt;&gt;"",kokpit!B989,"")</f>
        <v/>
      </c>
      <c r="C989" s="24" t="str">
        <f>IF(A989&lt;&gt;"",SUMIFS('JPK_KR-1'!AL:AL,'JPK_KR-1'!W:W,B989),"")</f>
        <v/>
      </c>
      <c r="D989" s="126" t="str">
        <f>IF(A989&lt;&gt;"",SUMIFS('JPK_KR-1'!AM:AM,'JPK_KR-1'!W:W,B989),"")</f>
        <v/>
      </c>
      <c r="E989" s="5" t="str">
        <f>IF(kokpit!E989&lt;&gt;"",kokpit!E989,"")</f>
        <v/>
      </c>
      <c r="F989" s="127" t="str">
        <f>IF(kokpit!F989&lt;&gt;"",kokpit!F989,"")</f>
        <v/>
      </c>
      <c r="G989" s="24" t="str">
        <f>IF(E989&lt;&gt;"",SUMIFS('JPK_KR-1'!AL:AL,'JPK_KR-1'!W:W,F989),"")</f>
        <v/>
      </c>
      <c r="H989" s="126" t="str">
        <f>IF(E989&lt;&gt;"",SUMIFS('JPK_KR-1'!AM:AM,'JPK_KR-1'!W:W,F989),"")</f>
        <v/>
      </c>
      <c r="I989" s="5" t="str">
        <f>IF(kokpit!I989&lt;&gt;"",kokpit!I989,"")</f>
        <v/>
      </c>
      <c r="J989" s="5" t="str">
        <f>IF(kokpit!J989&lt;&gt;"",kokpit!J989,"")</f>
        <v/>
      </c>
      <c r="K989" s="24" t="str">
        <f>IF(I989&lt;&gt;"",SUMIFS('JPK_KR-1'!AL:AL,'JPK_KR-1'!W:W,J989),"")</f>
        <v/>
      </c>
      <c r="L989" s="141" t="str">
        <f>IF(I989&lt;&gt;"",SUMIFS('JPK_KR-1'!AM:AM,'JPK_KR-1'!W:W,J989),"")</f>
        <v/>
      </c>
      <c r="M989" s="143" t="str">
        <f>IF(kokpit!M989&lt;&gt;"",kokpit!M989,"")</f>
        <v/>
      </c>
      <c r="N989" s="117" t="str">
        <f>IF(kokpit!N989&lt;&gt;"",kokpit!N989,"")</f>
        <v/>
      </c>
      <c r="O989" s="117" t="str">
        <f>IF(kokpit!O989&lt;&gt;"",kokpit!O989,"")</f>
        <v/>
      </c>
      <c r="P989" s="141" t="str">
        <f>IF(M989&lt;&gt;"",IF(O989="",SUMIFS('JPK_KR-1'!AL:AL,'JPK_KR-1'!W:W,N989),SUMIFS('JPK_KR-1'!BF:BF,'JPK_KR-1'!BE:BE,N989,'JPK_KR-1'!BG:BG,O989)),"")</f>
        <v/>
      </c>
      <c r="Q989" s="144" t="str">
        <f>IF(M989&lt;&gt;"",IF(O989="",SUMIFS('JPK_KR-1'!AM:AM,'JPK_KR-1'!W:W,N989),SUMIFS('JPK_KR-1'!BI:BI,'JPK_KR-1'!BH:BH,N989,'JPK_KR-1'!BJ:BJ,O989)),"")</f>
        <v/>
      </c>
      <c r="R989" s="117" t="str">
        <f>IF(kokpit!R989&lt;&gt;"",kokpit!R989,"")</f>
        <v/>
      </c>
      <c r="S989" s="117" t="str">
        <f>IF(kokpit!S989&lt;&gt;"",kokpit!S989,"")</f>
        <v/>
      </c>
      <c r="T989" s="117" t="str">
        <f>IF(kokpit!T989&lt;&gt;"",kokpit!T989,"")</f>
        <v/>
      </c>
      <c r="U989" s="141" t="str">
        <f>IF(R989&lt;&gt;"",SUMIFS('JPK_KR-1'!AL:AL,'JPK_KR-1'!W:W,S989),"")</f>
        <v/>
      </c>
      <c r="V989" s="144" t="str">
        <f>IF(R989&lt;&gt;"",SUMIFS('JPK_KR-1'!AM:AM,'JPK_KR-1'!W:W,S989),"")</f>
        <v/>
      </c>
    </row>
    <row r="990" spans="1:22" x14ac:dyDescent="0.3">
      <c r="A990" s="5" t="str">
        <f>IF(kokpit!A990&lt;&gt;"",kokpit!A990,"")</f>
        <v/>
      </c>
      <c r="B990" s="5" t="str">
        <f>IF(kokpit!B990&lt;&gt;"",kokpit!B990,"")</f>
        <v/>
      </c>
      <c r="C990" s="24" t="str">
        <f>IF(A990&lt;&gt;"",SUMIFS('JPK_KR-1'!AL:AL,'JPK_KR-1'!W:W,B990),"")</f>
        <v/>
      </c>
      <c r="D990" s="126" t="str">
        <f>IF(A990&lt;&gt;"",SUMIFS('JPK_KR-1'!AM:AM,'JPK_KR-1'!W:W,B990),"")</f>
        <v/>
      </c>
      <c r="E990" s="5" t="str">
        <f>IF(kokpit!E990&lt;&gt;"",kokpit!E990,"")</f>
        <v/>
      </c>
      <c r="F990" s="127" t="str">
        <f>IF(kokpit!F990&lt;&gt;"",kokpit!F990,"")</f>
        <v/>
      </c>
      <c r="G990" s="24" t="str">
        <f>IF(E990&lt;&gt;"",SUMIFS('JPK_KR-1'!AL:AL,'JPK_KR-1'!W:W,F990),"")</f>
        <v/>
      </c>
      <c r="H990" s="126" t="str">
        <f>IF(E990&lt;&gt;"",SUMIFS('JPK_KR-1'!AM:AM,'JPK_KR-1'!W:W,F990),"")</f>
        <v/>
      </c>
      <c r="I990" s="5" t="str">
        <f>IF(kokpit!I990&lt;&gt;"",kokpit!I990,"")</f>
        <v/>
      </c>
      <c r="J990" s="5" t="str">
        <f>IF(kokpit!J990&lt;&gt;"",kokpit!J990,"")</f>
        <v/>
      </c>
      <c r="K990" s="24" t="str">
        <f>IF(I990&lt;&gt;"",SUMIFS('JPK_KR-1'!AL:AL,'JPK_KR-1'!W:W,J990),"")</f>
        <v/>
      </c>
      <c r="L990" s="141" t="str">
        <f>IF(I990&lt;&gt;"",SUMIFS('JPK_KR-1'!AM:AM,'JPK_KR-1'!W:W,J990),"")</f>
        <v/>
      </c>
      <c r="M990" s="143" t="str">
        <f>IF(kokpit!M990&lt;&gt;"",kokpit!M990,"")</f>
        <v/>
      </c>
      <c r="N990" s="117" t="str">
        <f>IF(kokpit!N990&lt;&gt;"",kokpit!N990,"")</f>
        <v/>
      </c>
      <c r="O990" s="117" t="str">
        <f>IF(kokpit!O990&lt;&gt;"",kokpit!O990,"")</f>
        <v/>
      </c>
      <c r="P990" s="141" t="str">
        <f>IF(M990&lt;&gt;"",IF(O990="",SUMIFS('JPK_KR-1'!AL:AL,'JPK_KR-1'!W:W,N990),SUMIFS('JPK_KR-1'!BF:BF,'JPK_KR-1'!BE:BE,N990,'JPK_KR-1'!BG:BG,O990)),"")</f>
        <v/>
      </c>
      <c r="Q990" s="144" t="str">
        <f>IF(M990&lt;&gt;"",IF(O990="",SUMIFS('JPK_KR-1'!AM:AM,'JPK_KR-1'!W:W,N990),SUMIFS('JPK_KR-1'!BI:BI,'JPK_KR-1'!BH:BH,N990,'JPK_KR-1'!BJ:BJ,O990)),"")</f>
        <v/>
      </c>
      <c r="R990" s="117" t="str">
        <f>IF(kokpit!R990&lt;&gt;"",kokpit!R990,"")</f>
        <v/>
      </c>
      <c r="S990" s="117" t="str">
        <f>IF(kokpit!S990&lt;&gt;"",kokpit!S990,"")</f>
        <v/>
      </c>
      <c r="T990" s="117" t="str">
        <f>IF(kokpit!T990&lt;&gt;"",kokpit!T990,"")</f>
        <v/>
      </c>
      <c r="U990" s="141" t="str">
        <f>IF(R990&lt;&gt;"",SUMIFS('JPK_KR-1'!AL:AL,'JPK_KR-1'!W:W,S990),"")</f>
        <v/>
      </c>
      <c r="V990" s="144" t="str">
        <f>IF(R990&lt;&gt;"",SUMIFS('JPK_KR-1'!AM:AM,'JPK_KR-1'!W:W,S990),"")</f>
        <v/>
      </c>
    </row>
    <row r="991" spans="1:22" x14ac:dyDescent="0.3">
      <c r="A991" s="5" t="str">
        <f>IF(kokpit!A991&lt;&gt;"",kokpit!A991,"")</f>
        <v/>
      </c>
      <c r="B991" s="5" t="str">
        <f>IF(kokpit!B991&lt;&gt;"",kokpit!B991,"")</f>
        <v/>
      </c>
      <c r="C991" s="24" t="str">
        <f>IF(A991&lt;&gt;"",SUMIFS('JPK_KR-1'!AL:AL,'JPK_KR-1'!W:W,B991),"")</f>
        <v/>
      </c>
      <c r="D991" s="126" t="str">
        <f>IF(A991&lt;&gt;"",SUMIFS('JPK_KR-1'!AM:AM,'JPK_KR-1'!W:W,B991),"")</f>
        <v/>
      </c>
      <c r="E991" s="5" t="str">
        <f>IF(kokpit!E991&lt;&gt;"",kokpit!E991,"")</f>
        <v/>
      </c>
      <c r="F991" s="127" t="str">
        <f>IF(kokpit!F991&lt;&gt;"",kokpit!F991,"")</f>
        <v/>
      </c>
      <c r="G991" s="24" t="str">
        <f>IF(E991&lt;&gt;"",SUMIFS('JPK_KR-1'!AL:AL,'JPK_KR-1'!W:W,F991),"")</f>
        <v/>
      </c>
      <c r="H991" s="126" t="str">
        <f>IF(E991&lt;&gt;"",SUMIFS('JPK_KR-1'!AM:AM,'JPK_KR-1'!W:W,F991),"")</f>
        <v/>
      </c>
      <c r="I991" s="5" t="str">
        <f>IF(kokpit!I991&lt;&gt;"",kokpit!I991,"")</f>
        <v/>
      </c>
      <c r="J991" s="5" t="str">
        <f>IF(kokpit!J991&lt;&gt;"",kokpit!J991,"")</f>
        <v/>
      </c>
      <c r="K991" s="24" t="str">
        <f>IF(I991&lt;&gt;"",SUMIFS('JPK_KR-1'!AL:AL,'JPK_KR-1'!W:W,J991),"")</f>
        <v/>
      </c>
      <c r="L991" s="141" t="str">
        <f>IF(I991&lt;&gt;"",SUMIFS('JPK_KR-1'!AM:AM,'JPK_KR-1'!W:W,J991),"")</f>
        <v/>
      </c>
      <c r="M991" s="143" t="str">
        <f>IF(kokpit!M991&lt;&gt;"",kokpit!M991,"")</f>
        <v/>
      </c>
      <c r="N991" s="117" t="str">
        <f>IF(kokpit!N991&lt;&gt;"",kokpit!N991,"")</f>
        <v/>
      </c>
      <c r="O991" s="117" t="str">
        <f>IF(kokpit!O991&lt;&gt;"",kokpit!O991,"")</f>
        <v/>
      </c>
      <c r="P991" s="141" t="str">
        <f>IF(M991&lt;&gt;"",IF(O991="",SUMIFS('JPK_KR-1'!AL:AL,'JPK_KR-1'!W:W,N991),SUMIFS('JPK_KR-1'!BF:BF,'JPK_KR-1'!BE:BE,N991,'JPK_KR-1'!BG:BG,O991)),"")</f>
        <v/>
      </c>
      <c r="Q991" s="144" t="str">
        <f>IF(M991&lt;&gt;"",IF(O991="",SUMIFS('JPK_KR-1'!AM:AM,'JPK_KR-1'!W:W,N991),SUMIFS('JPK_KR-1'!BI:BI,'JPK_KR-1'!BH:BH,N991,'JPK_KR-1'!BJ:BJ,O991)),"")</f>
        <v/>
      </c>
      <c r="R991" s="117" t="str">
        <f>IF(kokpit!R991&lt;&gt;"",kokpit!R991,"")</f>
        <v/>
      </c>
      <c r="S991" s="117" t="str">
        <f>IF(kokpit!S991&lt;&gt;"",kokpit!S991,"")</f>
        <v/>
      </c>
      <c r="T991" s="117" t="str">
        <f>IF(kokpit!T991&lt;&gt;"",kokpit!T991,"")</f>
        <v/>
      </c>
      <c r="U991" s="141" t="str">
        <f>IF(R991&lt;&gt;"",SUMIFS('JPK_KR-1'!AL:AL,'JPK_KR-1'!W:W,S991),"")</f>
        <v/>
      </c>
      <c r="V991" s="144" t="str">
        <f>IF(R991&lt;&gt;"",SUMIFS('JPK_KR-1'!AM:AM,'JPK_KR-1'!W:W,S991),"")</f>
        <v/>
      </c>
    </row>
    <row r="992" spans="1:22" x14ac:dyDescent="0.3">
      <c r="A992" s="5" t="str">
        <f>IF(kokpit!A992&lt;&gt;"",kokpit!A992,"")</f>
        <v/>
      </c>
      <c r="B992" s="5" t="str">
        <f>IF(kokpit!B992&lt;&gt;"",kokpit!B992,"")</f>
        <v/>
      </c>
      <c r="C992" s="24" t="str">
        <f>IF(A992&lt;&gt;"",SUMIFS('JPK_KR-1'!AL:AL,'JPK_KR-1'!W:W,B992),"")</f>
        <v/>
      </c>
      <c r="D992" s="126" t="str">
        <f>IF(A992&lt;&gt;"",SUMIFS('JPK_KR-1'!AM:AM,'JPK_KR-1'!W:W,B992),"")</f>
        <v/>
      </c>
      <c r="E992" s="5" t="str">
        <f>IF(kokpit!E992&lt;&gt;"",kokpit!E992,"")</f>
        <v/>
      </c>
      <c r="F992" s="127" t="str">
        <f>IF(kokpit!F992&lt;&gt;"",kokpit!F992,"")</f>
        <v/>
      </c>
      <c r="G992" s="24" t="str">
        <f>IF(E992&lt;&gt;"",SUMIFS('JPK_KR-1'!AL:AL,'JPK_KR-1'!W:W,F992),"")</f>
        <v/>
      </c>
      <c r="H992" s="126" t="str">
        <f>IF(E992&lt;&gt;"",SUMIFS('JPK_KR-1'!AM:AM,'JPK_KR-1'!W:W,F992),"")</f>
        <v/>
      </c>
      <c r="I992" s="5" t="str">
        <f>IF(kokpit!I992&lt;&gt;"",kokpit!I992,"")</f>
        <v/>
      </c>
      <c r="J992" s="5" t="str">
        <f>IF(kokpit!J992&lt;&gt;"",kokpit!J992,"")</f>
        <v/>
      </c>
      <c r="K992" s="24" t="str">
        <f>IF(I992&lt;&gt;"",SUMIFS('JPK_KR-1'!AL:AL,'JPK_KR-1'!W:W,J992),"")</f>
        <v/>
      </c>
      <c r="L992" s="141" t="str">
        <f>IF(I992&lt;&gt;"",SUMIFS('JPK_KR-1'!AM:AM,'JPK_KR-1'!W:W,J992),"")</f>
        <v/>
      </c>
      <c r="M992" s="143" t="str">
        <f>IF(kokpit!M992&lt;&gt;"",kokpit!M992,"")</f>
        <v/>
      </c>
      <c r="N992" s="117" t="str">
        <f>IF(kokpit!N992&lt;&gt;"",kokpit!N992,"")</f>
        <v/>
      </c>
      <c r="O992" s="117" t="str">
        <f>IF(kokpit!O992&lt;&gt;"",kokpit!O992,"")</f>
        <v/>
      </c>
      <c r="P992" s="141" t="str">
        <f>IF(M992&lt;&gt;"",IF(O992="",SUMIFS('JPK_KR-1'!AL:AL,'JPK_KR-1'!W:W,N992),SUMIFS('JPK_KR-1'!BF:BF,'JPK_KR-1'!BE:BE,N992,'JPK_KR-1'!BG:BG,O992)),"")</f>
        <v/>
      </c>
      <c r="Q992" s="144" t="str">
        <f>IF(M992&lt;&gt;"",IF(O992="",SUMIFS('JPK_KR-1'!AM:AM,'JPK_KR-1'!W:W,N992),SUMIFS('JPK_KR-1'!BI:BI,'JPK_KR-1'!BH:BH,N992,'JPK_KR-1'!BJ:BJ,O992)),"")</f>
        <v/>
      </c>
      <c r="R992" s="117" t="str">
        <f>IF(kokpit!R992&lt;&gt;"",kokpit!R992,"")</f>
        <v/>
      </c>
      <c r="S992" s="117" t="str">
        <f>IF(kokpit!S992&lt;&gt;"",kokpit!S992,"")</f>
        <v/>
      </c>
      <c r="T992" s="117" t="str">
        <f>IF(kokpit!T992&lt;&gt;"",kokpit!T992,"")</f>
        <v/>
      </c>
      <c r="U992" s="141" t="str">
        <f>IF(R992&lt;&gt;"",SUMIFS('JPK_KR-1'!AL:AL,'JPK_KR-1'!W:W,S992),"")</f>
        <v/>
      </c>
      <c r="V992" s="144" t="str">
        <f>IF(R992&lt;&gt;"",SUMIFS('JPK_KR-1'!AM:AM,'JPK_KR-1'!W:W,S992),"")</f>
        <v/>
      </c>
    </row>
    <row r="993" spans="1:22" x14ac:dyDescent="0.3">
      <c r="A993" s="5" t="str">
        <f>IF(kokpit!A993&lt;&gt;"",kokpit!A993,"")</f>
        <v/>
      </c>
      <c r="B993" s="5" t="str">
        <f>IF(kokpit!B993&lt;&gt;"",kokpit!B993,"")</f>
        <v/>
      </c>
      <c r="C993" s="24" t="str">
        <f>IF(A993&lt;&gt;"",SUMIFS('JPK_KR-1'!AL:AL,'JPK_KR-1'!W:W,B993),"")</f>
        <v/>
      </c>
      <c r="D993" s="126" t="str">
        <f>IF(A993&lt;&gt;"",SUMIFS('JPK_KR-1'!AM:AM,'JPK_KR-1'!W:W,B993),"")</f>
        <v/>
      </c>
      <c r="E993" s="5" t="str">
        <f>IF(kokpit!E993&lt;&gt;"",kokpit!E993,"")</f>
        <v/>
      </c>
      <c r="F993" s="127" t="str">
        <f>IF(kokpit!F993&lt;&gt;"",kokpit!F993,"")</f>
        <v/>
      </c>
      <c r="G993" s="24" t="str">
        <f>IF(E993&lt;&gt;"",SUMIFS('JPK_KR-1'!AL:AL,'JPK_KR-1'!W:W,F993),"")</f>
        <v/>
      </c>
      <c r="H993" s="126" t="str">
        <f>IF(E993&lt;&gt;"",SUMIFS('JPK_KR-1'!AM:AM,'JPK_KR-1'!W:W,F993),"")</f>
        <v/>
      </c>
      <c r="I993" s="5" t="str">
        <f>IF(kokpit!I993&lt;&gt;"",kokpit!I993,"")</f>
        <v/>
      </c>
      <c r="J993" s="5" t="str">
        <f>IF(kokpit!J993&lt;&gt;"",kokpit!J993,"")</f>
        <v/>
      </c>
      <c r="K993" s="24" t="str">
        <f>IF(I993&lt;&gt;"",SUMIFS('JPK_KR-1'!AL:AL,'JPK_KR-1'!W:W,J993),"")</f>
        <v/>
      </c>
      <c r="L993" s="141" t="str">
        <f>IF(I993&lt;&gt;"",SUMIFS('JPK_KR-1'!AM:AM,'JPK_KR-1'!W:W,J993),"")</f>
        <v/>
      </c>
      <c r="M993" s="143" t="str">
        <f>IF(kokpit!M993&lt;&gt;"",kokpit!M993,"")</f>
        <v/>
      </c>
      <c r="N993" s="117" t="str">
        <f>IF(kokpit!N993&lt;&gt;"",kokpit!N993,"")</f>
        <v/>
      </c>
      <c r="O993" s="117" t="str">
        <f>IF(kokpit!O993&lt;&gt;"",kokpit!O993,"")</f>
        <v/>
      </c>
      <c r="P993" s="141" t="str">
        <f>IF(M993&lt;&gt;"",IF(O993="",SUMIFS('JPK_KR-1'!AL:AL,'JPK_KR-1'!W:W,N993),SUMIFS('JPK_KR-1'!BF:BF,'JPK_KR-1'!BE:BE,N993,'JPK_KR-1'!BG:BG,O993)),"")</f>
        <v/>
      </c>
      <c r="Q993" s="144" t="str">
        <f>IF(M993&lt;&gt;"",IF(O993="",SUMIFS('JPK_KR-1'!AM:AM,'JPK_KR-1'!W:W,N993),SUMIFS('JPK_KR-1'!BI:BI,'JPK_KR-1'!BH:BH,N993,'JPK_KR-1'!BJ:BJ,O993)),"")</f>
        <v/>
      </c>
      <c r="R993" s="117" t="str">
        <f>IF(kokpit!R993&lt;&gt;"",kokpit!R993,"")</f>
        <v/>
      </c>
      <c r="S993" s="117" t="str">
        <f>IF(kokpit!S993&lt;&gt;"",kokpit!S993,"")</f>
        <v/>
      </c>
      <c r="T993" s="117" t="str">
        <f>IF(kokpit!T993&lt;&gt;"",kokpit!T993,"")</f>
        <v/>
      </c>
      <c r="U993" s="141" t="str">
        <f>IF(R993&lt;&gt;"",SUMIFS('JPK_KR-1'!AL:AL,'JPK_KR-1'!W:W,S993),"")</f>
        <v/>
      </c>
      <c r="V993" s="144" t="str">
        <f>IF(R993&lt;&gt;"",SUMIFS('JPK_KR-1'!AM:AM,'JPK_KR-1'!W:W,S993),"")</f>
        <v/>
      </c>
    </row>
    <row r="994" spans="1:22" x14ac:dyDescent="0.3">
      <c r="A994" s="5" t="str">
        <f>IF(kokpit!A994&lt;&gt;"",kokpit!A994,"")</f>
        <v/>
      </c>
      <c r="B994" s="5" t="str">
        <f>IF(kokpit!B994&lt;&gt;"",kokpit!B994,"")</f>
        <v/>
      </c>
      <c r="C994" s="24" t="str">
        <f>IF(A994&lt;&gt;"",SUMIFS('JPK_KR-1'!AL:AL,'JPK_KR-1'!W:W,B994),"")</f>
        <v/>
      </c>
      <c r="D994" s="126" t="str">
        <f>IF(A994&lt;&gt;"",SUMIFS('JPK_KR-1'!AM:AM,'JPK_KR-1'!W:W,B994),"")</f>
        <v/>
      </c>
      <c r="E994" s="5" t="str">
        <f>IF(kokpit!E994&lt;&gt;"",kokpit!E994,"")</f>
        <v/>
      </c>
      <c r="F994" s="127" t="str">
        <f>IF(kokpit!F994&lt;&gt;"",kokpit!F994,"")</f>
        <v/>
      </c>
      <c r="G994" s="24" t="str">
        <f>IF(E994&lt;&gt;"",SUMIFS('JPK_KR-1'!AL:AL,'JPK_KR-1'!W:W,F994),"")</f>
        <v/>
      </c>
      <c r="H994" s="126" t="str">
        <f>IF(E994&lt;&gt;"",SUMIFS('JPK_KR-1'!AM:AM,'JPK_KR-1'!W:W,F994),"")</f>
        <v/>
      </c>
      <c r="I994" s="5" t="str">
        <f>IF(kokpit!I994&lt;&gt;"",kokpit!I994,"")</f>
        <v/>
      </c>
      <c r="J994" s="5" t="str">
        <f>IF(kokpit!J994&lt;&gt;"",kokpit!J994,"")</f>
        <v/>
      </c>
      <c r="K994" s="24" t="str">
        <f>IF(I994&lt;&gt;"",SUMIFS('JPK_KR-1'!AL:AL,'JPK_KR-1'!W:W,J994),"")</f>
        <v/>
      </c>
      <c r="L994" s="141" t="str">
        <f>IF(I994&lt;&gt;"",SUMIFS('JPK_KR-1'!AM:AM,'JPK_KR-1'!W:W,J994),"")</f>
        <v/>
      </c>
      <c r="M994" s="143" t="str">
        <f>IF(kokpit!M994&lt;&gt;"",kokpit!M994,"")</f>
        <v/>
      </c>
      <c r="N994" s="117" t="str">
        <f>IF(kokpit!N994&lt;&gt;"",kokpit!N994,"")</f>
        <v/>
      </c>
      <c r="O994" s="117" t="str">
        <f>IF(kokpit!O994&lt;&gt;"",kokpit!O994,"")</f>
        <v/>
      </c>
      <c r="P994" s="141" t="str">
        <f>IF(M994&lt;&gt;"",IF(O994="",SUMIFS('JPK_KR-1'!AL:AL,'JPK_KR-1'!W:W,N994),SUMIFS('JPK_KR-1'!BF:BF,'JPK_KR-1'!BE:BE,N994,'JPK_KR-1'!BG:BG,O994)),"")</f>
        <v/>
      </c>
      <c r="Q994" s="144" t="str">
        <f>IF(M994&lt;&gt;"",IF(O994="",SUMIFS('JPK_KR-1'!AM:AM,'JPK_KR-1'!W:W,N994),SUMIFS('JPK_KR-1'!BI:BI,'JPK_KR-1'!BH:BH,N994,'JPK_KR-1'!BJ:BJ,O994)),"")</f>
        <v/>
      </c>
      <c r="R994" s="117" t="str">
        <f>IF(kokpit!R994&lt;&gt;"",kokpit!R994,"")</f>
        <v/>
      </c>
      <c r="S994" s="117" t="str">
        <f>IF(kokpit!S994&lt;&gt;"",kokpit!S994,"")</f>
        <v/>
      </c>
      <c r="T994" s="117" t="str">
        <f>IF(kokpit!T994&lt;&gt;"",kokpit!T994,"")</f>
        <v/>
      </c>
      <c r="U994" s="141" t="str">
        <f>IF(R994&lt;&gt;"",SUMIFS('JPK_KR-1'!AL:AL,'JPK_KR-1'!W:W,S994),"")</f>
        <v/>
      </c>
      <c r="V994" s="144" t="str">
        <f>IF(R994&lt;&gt;"",SUMIFS('JPK_KR-1'!AM:AM,'JPK_KR-1'!W:W,S994),"")</f>
        <v/>
      </c>
    </row>
    <row r="995" spans="1:22" x14ac:dyDescent="0.3">
      <c r="A995" s="5" t="str">
        <f>IF(kokpit!A995&lt;&gt;"",kokpit!A995,"")</f>
        <v/>
      </c>
      <c r="B995" s="5" t="str">
        <f>IF(kokpit!B995&lt;&gt;"",kokpit!B995,"")</f>
        <v/>
      </c>
      <c r="C995" s="24" t="str">
        <f>IF(A995&lt;&gt;"",SUMIFS('JPK_KR-1'!AL:AL,'JPK_KR-1'!W:W,B995),"")</f>
        <v/>
      </c>
      <c r="D995" s="126" t="str">
        <f>IF(A995&lt;&gt;"",SUMIFS('JPK_KR-1'!AM:AM,'JPK_KR-1'!W:W,B995),"")</f>
        <v/>
      </c>
      <c r="E995" s="5" t="str">
        <f>IF(kokpit!E995&lt;&gt;"",kokpit!E995,"")</f>
        <v/>
      </c>
      <c r="F995" s="127" t="str">
        <f>IF(kokpit!F995&lt;&gt;"",kokpit!F995,"")</f>
        <v/>
      </c>
      <c r="G995" s="24" t="str">
        <f>IF(E995&lt;&gt;"",SUMIFS('JPK_KR-1'!AL:AL,'JPK_KR-1'!W:W,F995),"")</f>
        <v/>
      </c>
      <c r="H995" s="126" t="str">
        <f>IF(E995&lt;&gt;"",SUMIFS('JPK_KR-1'!AM:AM,'JPK_KR-1'!W:W,F995),"")</f>
        <v/>
      </c>
      <c r="I995" s="5" t="str">
        <f>IF(kokpit!I995&lt;&gt;"",kokpit!I995,"")</f>
        <v/>
      </c>
      <c r="J995" s="5" t="str">
        <f>IF(kokpit!J995&lt;&gt;"",kokpit!J995,"")</f>
        <v/>
      </c>
      <c r="K995" s="24" t="str">
        <f>IF(I995&lt;&gt;"",SUMIFS('JPK_KR-1'!AL:AL,'JPK_KR-1'!W:W,J995),"")</f>
        <v/>
      </c>
      <c r="L995" s="141" t="str">
        <f>IF(I995&lt;&gt;"",SUMIFS('JPK_KR-1'!AM:AM,'JPK_KR-1'!W:W,J995),"")</f>
        <v/>
      </c>
      <c r="M995" s="143" t="str">
        <f>IF(kokpit!M995&lt;&gt;"",kokpit!M995,"")</f>
        <v/>
      </c>
      <c r="N995" s="117" t="str">
        <f>IF(kokpit!N995&lt;&gt;"",kokpit!N995,"")</f>
        <v/>
      </c>
      <c r="O995" s="117" t="str">
        <f>IF(kokpit!O995&lt;&gt;"",kokpit!O995,"")</f>
        <v/>
      </c>
      <c r="P995" s="141" t="str">
        <f>IF(M995&lt;&gt;"",IF(O995="",SUMIFS('JPK_KR-1'!AL:AL,'JPK_KR-1'!W:W,N995),SUMIFS('JPK_KR-1'!BF:BF,'JPK_KR-1'!BE:BE,N995,'JPK_KR-1'!BG:BG,O995)),"")</f>
        <v/>
      </c>
      <c r="Q995" s="144" t="str">
        <f>IF(M995&lt;&gt;"",IF(O995="",SUMIFS('JPK_KR-1'!AM:AM,'JPK_KR-1'!W:W,N995),SUMIFS('JPK_KR-1'!BI:BI,'JPK_KR-1'!BH:BH,N995,'JPK_KR-1'!BJ:BJ,O995)),"")</f>
        <v/>
      </c>
      <c r="R995" s="117" t="str">
        <f>IF(kokpit!R995&lt;&gt;"",kokpit!R995,"")</f>
        <v/>
      </c>
      <c r="S995" s="117" t="str">
        <f>IF(kokpit!S995&lt;&gt;"",kokpit!S995,"")</f>
        <v/>
      </c>
      <c r="T995" s="117" t="str">
        <f>IF(kokpit!T995&lt;&gt;"",kokpit!T995,"")</f>
        <v/>
      </c>
      <c r="U995" s="141" t="str">
        <f>IF(R995&lt;&gt;"",SUMIFS('JPK_KR-1'!AL:AL,'JPK_KR-1'!W:W,S995),"")</f>
        <v/>
      </c>
      <c r="V995" s="144" t="str">
        <f>IF(R995&lt;&gt;"",SUMIFS('JPK_KR-1'!AM:AM,'JPK_KR-1'!W:W,S995),"")</f>
        <v/>
      </c>
    </row>
    <row r="996" spans="1:22" x14ac:dyDescent="0.3">
      <c r="A996" s="5" t="str">
        <f>IF(kokpit!A996&lt;&gt;"",kokpit!A996,"")</f>
        <v/>
      </c>
      <c r="B996" s="5" t="str">
        <f>IF(kokpit!B996&lt;&gt;"",kokpit!B996,"")</f>
        <v/>
      </c>
      <c r="C996" s="24" t="str">
        <f>IF(A996&lt;&gt;"",SUMIFS('JPK_KR-1'!AL:AL,'JPK_KR-1'!W:W,B996),"")</f>
        <v/>
      </c>
      <c r="D996" s="126" t="str">
        <f>IF(A996&lt;&gt;"",SUMIFS('JPK_KR-1'!AM:AM,'JPK_KR-1'!W:W,B996),"")</f>
        <v/>
      </c>
      <c r="E996" s="5" t="str">
        <f>IF(kokpit!E996&lt;&gt;"",kokpit!E996,"")</f>
        <v/>
      </c>
      <c r="F996" s="127" t="str">
        <f>IF(kokpit!F996&lt;&gt;"",kokpit!F996,"")</f>
        <v/>
      </c>
      <c r="G996" s="24" t="str">
        <f>IF(E996&lt;&gt;"",SUMIFS('JPK_KR-1'!AL:AL,'JPK_KR-1'!W:W,F996),"")</f>
        <v/>
      </c>
      <c r="H996" s="126" t="str">
        <f>IF(E996&lt;&gt;"",SUMIFS('JPK_KR-1'!AM:AM,'JPK_KR-1'!W:W,F996),"")</f>
        <v/>
      </c>
      <c r="I996" s="5" t="str">
        <f>IF(kokpit!I996&lt;&gt;"",kokpit!I996,"")</f>
        <v/>
      </c>
      <c r="J996" s="5" t="str">
        <f>IF(kokpit!J996&lt;&gt;"",kokpit!J996,"")</f>
        <v/>
      </c>
      <c r="K996" s="24" t="str">
        <f>IF(I996&lt;&gt;"",SUMIFS('JPK_KR-1'!AL:AL,'JPK_KR-1'!W:W,J996),"")</f>
        <v/>
      </c>
      <c r="L996" s="141" t="str">
        <f>IF(I996&lt;&gt;"",SUMIFS('JPK_KR-1'!AM:AM,'JPK_KR-1'!W:W,J996),"")</f>
        <v/>
      </c>
      <c r="M996" s="143" t="str">
        <f>IF(kokpit!M996&lt;&gt;"",kokpit!M996,"")</f>
        <v/>
      </c>
      <c r="N996" s="117" t="str">
        <f>IF(kokpit!N996&lt;&gt;"",kokpit!N996,"")</f>
        <v/>
      </c>
      <c r="O996" s="117" t="str">
        <f>IF(kokpit!O996&lt;&gt;"",kokpit!O996,"")</f>
        <v/>
      </c>
      <c r="P996" s="141" t="str">
        <f>IF(M996&lt;&gt;"",IF(O996="",SUMIFS('JPK_KR-1'!AL:AL,'JPK_KR-1'!W:W,N996),SUMIFS('JPK_KR-1'!BF:BF,'JPK_KR-1'!BE:BE,N996,'JPK_KR-1'!BG:BG,O996)),"")</f>
        <v/>
      </c>
      <c r="Q996" s="144" t="str">
        <f>IF(M996&lt;&gt;"",IF(O996="",SUMIFS('JPK_KR-1'!AM:AM,'JPK_KR-1'!W:W,N996),SUMIFS('JPK_KR-1'!BI:BI,'JPK_KR-1'!BH:BH,N996,'JPK_KR-1'!BJ:BJ,O996)),"")</f>
        <v/>
      </c>
      <c r="R996" s="117" t="str">
        <f>IF(kokpit!R996&lt;&gt;"",kokpit!R996,"")</f>
        <v/>
      </c>
      <c r="S996" s="117" t="str">
        <f>IF(kokpit!S996&lt;&gt;"",kokpit!S996,"")</f>
        <v/>
      </c>
      <c r="T996" s="117" t="str">
        <f>IF(kokpit!T996&lt;&gt;"",kokpit!T996,"")</f>
        <v/>
      </c>
      <c r="U996" s="141" t="str">
        <f>IF(R996&lt;&gt;"",SUMIFS('JPK_KR-1'!AL:AL,'JPK_KR-1'!W:W,S996),"")</f>
        <v/>
      </c>
      <c r="V996" s="144" t="str">
        <f>IF(R996&lt;&gt;"",SUMIFS('JPK_KR-1'!AM:AM,'JPK_KR-1'!W:W,S996),"")</f>
        <v/>
      </c>
    </row>
    <row r="997" spans="1:22" x14ac:dyDescent="0.3">
      <c r="A997" s="5" t="str">
        <f>IF(kokpit!A997&lt;&gt;"",kokpit!A997,"")</f>
        <v/>
      </c>
      <c r="B997" s="5" t="str">
        <f>IF(kokpit!B997&lt;&gt;"",kokpit!B997,"")</f>
        <v/>
      </c>
      <c r="C997" s="24" t="str">
        <f>IF(A997&lt;&gt;"",SUMIFS('JPK_KR-1'!AL:AL,'JPK_KR-1'!W:W,B997),"")</f>
        <v/>
      </c>
      <c r="D997" s="126" t="str">
        <f>IF(A997&lt;&gt;"",SUMIFS('JPK_KR-1'!AM:AM,'JPK_KR-1'!W:W,B997),"")</f>
        <v/>
      </c>
      <c r="E997" s="5" t="str">
        <f>IF(kokpit!E997&lt;&gt;"",kokpit!E997,"")</f>
        <v/>
      </c>
      <c r="F997" s="127" t="str">
        <f>IF(kokpit!F997&lt;&gt;"",kokpit!F997,"")</f>
        <v/>
      </c>
      <c r="G997" s="24" t="str">
        <f>IF(E997&lt;&gt;"",SUMIFS('JPK_KR-1'!AL:AL,'JPK_KR-1'!W:W,F997),"")</f>
        <v/>
      </c>
      <c r="H997" s="126" t="str">
        <f>IF(E997&lt;&gt;"",SUMIFS('JPK_KR-1'!AM:AM,'JPK_KR-1'!W:W,F997),"")</f>
        <v/>
      </c>
      <c r="I997" s="5" t="str">
        <f>IF(kokpit!I997&lt;&gt;"",kokpit!I997,"")</f>
        <v/>
      </c>
      <c r="J997" s="5" t="str">
        <f>IF(kokpit!J997&lt;&gt;"",kokpit!J997,"")</f>
        <v/>
      </c>
      <c r="K997" s="24" t="str">
        <f>IF(I997&lt;&gt;"",SUMIFS('JPK_KR-1'!AL:AL,'JPK_KR-1'!W:W,J997),"")</f>
        <v/>
      </c>
      <c r="L997" s="141" t="str">
        <f>IF(I997&lt;&gt;"",SUMIFS('JPK_KR-1'!AM:AM,'JPK_KR-1'!W:W,J997),"")</f>
        <v/>
      </c>
      <c r="M997" s="143" t="str">
        <f>IF(kokpit!M997&lt;&gt;"",kokpit!M997,"")</f>
        <v/>
      </c>
      <c r="N997" s="117" t="str">
        <f>IF(kokpit!N997&lt;&gt;"",kokpit!N997,"")</f>
        <v/>
      </c>
      <c r="O997" s="117" t="str">
        <f>IF(kokpit!O997&lt;&gt;"",kokpit!O997,"")</f>
        <v/>
      </c>
      <c r="P997" s="141" t="str">
        <f>IF(M997&lt;&gt;"",IF(O997="",SUMIFS('JPK_KR-1'!AL:AL,'JPK_KR-1'!W:W,N997),SUMIFS('JPK_KR-1'!BF:BF,'JPK_KR-1'!BE:BE,N997,'JPK_KR-1'!BG:BG,O997)),"")</f>
        <v/>
      </c>
      <c r="Q997" s="144" t="str">
        <f>IF(M997&lt;&gt;"",IF(O997="",SUMIFS('JPK_KR-1'!AM:AM,'JPK_KR-1'!W:W,N997),SUMIFS('JPK_KR-1'!BI:BI,'JPK_KR-1'!BH:BH,N997,'JPK_KR-1'!BJ:BJ,O997)),"")</f>
        <v/>
      </c>
      <c r="R997" s="117" t="str">
        <f>IF(kokpit!R997&lt;&gt;"",kokpit!R997,"")</f>
        <v/>
      </c>
      <c r="S997" s="117" t="str">
        <f>IF(kokpit!S997&lt;&gt;"",kokpit!S997,"")</f>
        <v/>
      </c>
      <c r="T997" s="117" t="str">
        <f>IF(kokpit!T997&lt;&gt;"",kokpit!T997,"")</f>
        <v/>
      </c>
      <c r="U997" s="141" t="str">
        <f>IF(R997&lt;&gt;"",SUMIFS('JPK_KR-1'!AL:AL,'JPK_KR-1'!W:W,S997),"")</f>
        <v/>
      </c>
      <c r="V997" s="144" t="str">
        <f>IF(R997&lt;&gt;"",SUMIFS('JPK_KR-1'!AM:AM,'JPK_KR-1'!W:W,S997),"")</f>
        <v/>
      </c>
    </row>
    <row r="998" spans="1:22" x14ac:dyDescent="0.3">
      <c r="A998" s="5" t="str">
        <f>IF(kokpit!A998&lt;&gt;"",kokpit!A998,"")</f>
        <v/>
      </c>
      <c r="B998" s="5" t="str">
        <f>IF(kokpit!B998&lt;&gt;"",kokpit!B998,"")</f>
        <v/>
      </c>
      <c r="C998" s="24" t="str">
        <f>IF(A998&lt;&gt;"",SUMIFS('JPK_KR-1'!AL:AL,'JPK_KR-1'!W:W,B998),"")</f>
        <v/>
      </c>
      <c r="D998" s="126" t="str">
        <f>IF(A998&lt;&gt;"",SUMIFS('JPK_KR-1'!AM:AM,'JPK_KR-1'!W:W,B998),"")</f>
        <v/>
      </c>
      <c r="E998" s="5" t="str">
        <f>IF(kokpit!E998&lt;&gt;"",kokpit!E998,"")</f>
        <v/>
      </c>
      <c r="F998" s="127" t="str">
        <f>IF(kokpit!F998&lt;&gt;"",kokpit!F998,"")</f>
        <v/>
      </c>
      <c r="G998" s="24" t="str">
        <f>IF(E998&lt;&gt;"",SUMIFS('JPK_KR-1'!AL:AL,'JPK_KR-1'!W:W,F998),"")</f>
        <v/>
      </c>
      <c r="H998" s="126" t="str">
        <f>IF(E998&lt;&gt;"",SUMIFS('JPK_KR-1'!AM:AM,'JPK_KR-1'!W:W,F998),"")</f>
        <v/>
      </c>
      <c r="I998" s="5" t="str">
        <f>IF(kokpit!I998&lt;&gt;"",kokpit!I998,"")</f>
        <v/>
      </c>
      <c r="J998" s="5" t="str">
        <f>IF(kokpit!J998&lt;&gt;"",kokpit!J998,"")</f>
        <v/>
      </c>
      <c r="K998" s="24" t="str">
        <f>IF(I998&lt;&gt;"",SUMIFS('JPK_KR-1'!AL:AL,'JPK_KR-1'!W:W,J998),"")</f>
        <v/>
      </c>
      <c r="L998" s="141" t="str">
        <f>IF(I998&lt;&gt;"",SUMIFS('JPK_KR-1'!AM:AM,'JPK_KR-1'!W:W,J998),"")</f>
        <v/>
      </c>
      <c r="M998" s="143" t="str">
        <f>IF(kokpit!M998&lt;&gt;"",kokpit!M998,"")</f>
        <v/>
      </c>
      <c r="N998" s="117" t="str">
        <f>IF(kokpit!N998&lt;&gt;"",kokpit!N998,"")</f>
        <v/>
      </c>
      <c r="O998" s="117" t="str">
        <f>IF(kokpit!O998&lt;&gt;"",kokpit!O998,"")</f>
        <v/>
      </c>
      <c r="P998" s="141" t="str">
        <f>IF(M998&lt;&gt;"",IF(O998="",SUMIFS('JPK_KR-1'!AL:AL,'JPK_KR-1'!W:W,N998),SUMIFS('JPK_KR-1'!BF:BF,'JPK_KR-1'!BE:BE,N998,'JPK_KR-1'!BG:BG,O998)),"")</f>
        <v/>
      </c>
      <c r="Q998" s="144" t="str">
        <f>IF(M998&lt;&gt;"",IF(O998="",SUMIFS('JPK_KR-1'!AM:AM,'JPK_KR-1'!W:W,N998),SUMIFS('JPK_KR-1'!BI:BI,'JPK_KR-1'!BH:BH,N998,'JPK_KR-1'!BJ:BJ,O998)),"")</f>
        <v/>
      </c>
      <c r="R998" s="117" t="str">
        <f>IF(kokpit!R998&lt;&gt;"",kokpit!R998,"")</f>
        <v/>
      </c>
      <c r="S998" s="117" t="str">
        <f>IF(kokpit!S998&lt;&gt;"",kokpit!S998,"")</f>
        <v/>
      </c>
      <c r="T998" s="117" t="str">
        <f>IF(kokpit!T998&lt;&gt;"",kokpit!T998,"")</f>
        <v/>
      </c>
      <c r="U998" s="141" t="str">
        <f>IF(R998&lt;&gt;"",SUMIFS('JPK_KR-1'!AL:AL,'JPK_KR-1'!W:W,S998),"")</f>
        <v/>
      </c>
      <c r="V998" s="144" t="str">
        <f>IF(R998&lt;&gt;"",SUMIFS('JPK_KR-1'!AM:AM,'JPK_KR-1'!W:W,S998),"")</f>
        <v/>
      </c>
    </row>
    <row r="999" spans="1:22" x14ac:dyDescent="0.3">
      <c r="A999" s="5" t="str">
        <f>IF(kokpit!A999&lt;&gt;"",kokpit!A999,"")</f>
        <v/>
      </c>
      <c r="B999" s="5" t="str">
        <f>IF(kokpit!B999&lt;&gt;"",kokpit!B999,"")</f>
        <v/>
      </c>
      <c r="C999" s="24" t="str">
        <f>IF(A999&lt;&gt;"",SUMIFS('JPK_KR-1'!AL:AL,'JPK_KR-1'!W:W,B999),"")</f>
        <v/>
      </c>
      <c r="D999" s="126" t="str">
        <f>IF(A999&lt;&gt;"",SUMIFS('JPK_KR-1'!AM:AM,'JPK_KR-1'!W:W,B999),"")</f>
        <v/>
      </c>
      <c r="E999" s="5" t="str">
        <f>IF(kokpit!E999&lt;&gt;"",kokpit!E999,"")</f>
        <v/>
      </c>
      <c r="F999" s="127" t="str">
        <f>IF(kokpit!F999&lt;&gt;"",kokpit!F999,"")</f>
        <v/>
      </c>
      <c r="G999" s="24" t="str">
        <f>IF(E999&lt;&gt;"",SUMIFS('JPK_KR-1'!AL:AL,'JPK_KR-1'!W:W,F999),"")</f>
        <v/>
      </c>
      <c r="H999" s="126" t="str">
        <f>IF(E999&lt;&gt;"",SUMIFS('JPK_KR-1'!AM:AM,'JPK_KR-1'!W:W,F999),"")</f>
        <v/>
      </c>
      <c r="I999" s="5" t="str">
        <f>IF(kokpit!I999&lt;&gt;"",kokpit!I999,"")</f>
        <v/>
      </c>
      <c r="J999" s="5" t="str">
        <f>IF(kokpit!J999&lt;&gt;"",kokpit!J999,"")</f>
        <v/>
      </c>
      <c r="K999" s="24" t="str">
        <f>IF(I999&lt;&gt;"",SUMIFS('JPK_KR-1'!AL:AL,'JPK_KR-1'!W:W,J999),"")</f>
        <v/>
      </c>
      <c r="L999" s="141" t="str">
        <f>IF(I999&lt;&gt;"",SUMIFS('JPK_KR-1'!AM:AM,'JPK_KR-1'!W:W,J999),"")</f>
        <v/>
      </c>
      <c r="M999" s="143" t="str">
        <f>IF(kokpit!M999&lt;&gt;"",kokpit!M999,"")</f>
        <v/>
      </c>
      <c r="N999" s="117" t="str">
        <f>IF(kokpit!N999&lt;&gt;"",kokpit!N999,"")</f>
        <v/>
      </c>
      <c r="O999" s="117" t="str">
        <f>IF(kokpit!O999&lt;&gt;"",kokpit!O999,"")</f>
        <v/>
      </c>
      <c r="P999" s="141" t="str">
        <f>IF(M999&lt;&gt;"",IF(O999="",SUMIFS('JPK_KR-1'!AL:AL,'JPK_KR-1'!W:W,N999),SUMIFS('JPK_KR-1'!BF:BF,'JPK_KR-1'!BE:BE,N999,'JPK_KR-1'!BG:BG,O999)),"")</f>
        <v/>
      </c>
      <c r="Q999" s="144" t="str">
        <f>IF(M999&lt;&gt;"",IF(O999="",SUMIFS('JPK_KR-1'!AM:AM,'JPK_KR-1'!W:W,N999),SUMIFS('JPK_KR-1'!BI:BI,'JPK_KR-1'!BH:BH,N999,'JPK_KR-1'!BJ:BJ,O999)),"")</f>
        <v/>
      </c>
      <c r="R999" s="117" t="str">
        <f>IF(kokpit!R999&lt;&gt;"",kokpit!R999,"")</f>
        <v/>
      </c>
      <c r="S999" s="117" t="str">
        <f>IF(kokpit!S999&lt;&gt;"",kokpit!S999,"")</f>
        <v/>
      </c>
      <c r="T999" s="117" t="str">
        <f>IF(kokpit!T999&lt;&gt;"",kokpit!T999,"")</f>
        <v/>
      </c>
      <c r="U999" s="141" t="str">
        <f>IF(R999&lt;&gt;"",SUMIFS('JPK_KR-1'!AL:AL,'JPK_KR-1'!W:W,S999),"")</f>
        <v/>
      </c>
      <c r="V999" s="144" t="str">
        <f>IF(R999&lt;&gt;"",SUMIFS('JPK_KR-1'!AM:AM,'JPK_KR-1'!W:W,S999),"")</f>
        <v/>
      </c>
    </row>
    <row r="1000" spans="1:22" x14ac:dyDescent="0.3">
      <c r="A1000" s="5" t="str">
        <f>IF(kokpit!A1000&lt;&gt;"",kokpit!A1000,"")</f>
        <v/>
      </c>
      <c r="B1000" s="5" t="str">
        <f>IF(kokpit!B1000&lt;&gt;"",kokpit!B1000,"")</f>
        <v/>
      </c>
      <c r="C1000" s="24" t="str">
        <f>IF(A1000&lt;&gt;"",SUMIFS('JPK_KR-1'!AL:AL,'JPK_KR-1'!W:W,B1000),"")</f>
        <v/>
      </c>
      <c r="D1000" s="126" t="str">
        <f>IF(A1000&lt;&gt;"",SUMIFS('JPK_KR-1'!AM:AM,'JPK_KR-1'!W:W,B1000),"")</f>
        <v/>
      </c>
      <c r="E1000" s="5" t="str">
        <f>IF(kokpit!E1000&lt;&gt;"",kokpit!E1000,"")</f>
        <v/>
      </c>
      <c r="F1000" s="127" t="str">
        <f>IF(kokpit!F1000&lt;&gt;"",kokpit!F1000,"")</f>
        <v/>
      </c>
      <c r="G1000" s="24" t="str">
        <f>IF(E1000&lt;&gt;"",SUMIFS('JPK_KR-1'!AL:AL,'JPK_KR-1'!W:W,F1000),"")</f>
        <v/>
      </c>
      <c r="H1000" s="126" t="str">
        <f>IF(E1000&lt;&gt;"",SUMIFS('JPK_KR-1'!AM:AM,'JPK_KR-1'!W:W,F1000),"")</f>
        <v/>
      </c>
      <c r="I1000" s="5" t="str">
        <f>IF(kokpit!I1000&lt;&gt;"",kokpit!I1000,"")</f>
        <v/>
      </c>
      <c r="J1000" s="5" t="str">
        <f>IF(kokpit!J1000&lt;&gt;"",kokpit!J1000,"")</f>
        <v/>
      </c>
      <c r="K1000" s="24" t="str">
        <f>IF(I1000&lt;&gt;"",SUMIFS('JPK_KR-1'!AL:AL,'JPK_KR-1'!W:W,J1000),"")</f>
        <v/>
      </c>
      <c r="L1000" s="141" t="str">
        <f>IF(I1000&lt;&gt;"",SUMIFS('JPK_KR-1'!AM:AM,'JPK_KR-1'!W:W,J1000),"")</f>
        <v/>
      </c>
      <c r="M1000" s="143" t="str">
        <f>IF(kokpit!M1000&lt;&gt;"",kokpit!M1000,"")</f>
        <v/>
      </c>
      <c r="N1000" s="117" t="str">
        <f>IF(kokpit!N1000&lt;&gt;"",kokpit!N1000,"")</f>
        <v/>
      </c>
      <c r="O1000" s="117" t="str">
        <f>IF(kokpit!O1000&lt;&gt;"",kokpit!O1000,"")</f>
        <v/>
      </c>
      <c r="P1000" s="141" t="str">
        <f>IF(M1000&lt;&gt;"",IF(O1000="",SUMIFS('JPK_KR-1'!AL:AL,'JPK_KR-1'!W:W,N1000),SUMIFS('JPK_KR-1'!BF:BF,'JPK_KR-1'!BE:BE,N1000,'JPK_KR-1'!BG:BG,O1000)),"")</f>
        <v/>
      </c>
      <c r="Q1000" s="144" t="str">
        <f>IF(M1000&lt;&gt;"",IF(O1000="",SUMIFS('JPK_KR-1'!AM:AM,'JPK_KR-1'!W:W,N1000),SUMIFS('JPK_KR-1'!BI:BI,'JPK_KR-1'!BH:BH,N1000,'JPK_KR-1'!BJ:BJ,O1000)),"")</f>
        <v/>
      </c>
      <c r="R1000" s="117" t="str">
        <f>IF(kokpit!R1000&lt;&gt;"",kokpit!R1000,"")</f>
        <v/>
      </c>
      <c r="S1000" s="117" t="str">
        <f>IF(kokpit!S1000&lt;&gt;"",kokpit!S1000,"")</f>
        <v/>
      </c>
      <c r="T1000" s="117" t="str">
        <f>IF(kokpit!T1000&lt;&gt;"",kokpit!T1000,"")</f>
        <v/>
      </c>
      <c r="U1000" s="141" t="str">
        <f>IF(R1000&lt;&gt;"",SUMIFS('JPK_KR-1'!AL:AL,'JPK_KR-1'!W:W,S1000),"")</f>
        <v/>
      </c>
      <c r="V1000" s="144" t="str">
        <f>IF(R1000&lt;&gt;"",SUMIFS('JPK_KR-1'!AM:AM,'JPK_KR-1'!W:W,S1000),"")</f>
        <v/>
      </c>
    </row>
  </sheetData>
  <mergeCells count="14">
    <mergeCell ref="R1:V1"/>
    <mergeCell ref="M1:Q1"/>
    <mergeCell ref="M2:M3"/>
    <mergeCell ref="N2:N3"/>
    <mergeCell ref="P2:P3"/>
    <mergeCell ref="Q2:Q3"/>
    <mergeCell ref="R3:S3"/>
    <mergeCell ref="O2:O3"/>
    <mergeCell ref="T3:V3"/>
    <mergeCell ref="A3:D3"/>
    <mergeCell ref="E3:H3"/>
    <mergeCell ref="I1:L1"/>
    <mergeCell ref="I3:L3"/>
    <mergeCell ref="A1:H1"/>
  </mergeCells>
  <dataValidations count="4">
    <dataValidation type="list" allowBlank="1" showInputMessage="1" showErrorMessage="1" sqref="A4:A1000">
      <formula1>AT_B_A</formula1>
    </dataValidation>
    <dataValidation type="list" allowBlank="1" showInputMessage="1" showErrorMessage="1" sqref="E4:E1000">
      <formula1>AT_B_P</formula1>
    </dataValidation>
    <dataValidation type="list" allowBlank="1" showInputMessage="1" showErrorMessage="1" sqref="I4:I1000">
      <formula1>AT_RZiS</formula1>
    </dataValidation>
    <dataValidation type="list" allowBlank="1" showInputMessage="1" showErrorMessage="1" sqref="M4:M1000">
      <formula1>AT_ZZwK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START</vt:lpstr>
      <vt:lpstr>Bilans</vt:lpstr>
      <vt:lpstr>RZiS</vt:lpstr>
      <vt:lpstr>ZZwK</vt:lpstr>
      <vt:lpstr>CF</vt:lpstr>
      <vt:lpstr>JPK_KR</vt:lpstr>
      <vt:lpstr>JPK_KR-1</vt:lpstr>
      <vt:lpstr>kokpit</vt:lpstr>
      <vt:lpstr>kokpit-1</vt:lpstr>
      <vt:lpstr>AT_B_A</vt:lpstr>
      <vt:lpstr>AT_B_P</vt:lpstr>
      <vt:lpstr>AT_RZiS</vt:lpstr>
      <vt:lpstr>AT_ZZwK</vt:lpstr>
      <vt:lpstr>CF</vt:lpstr>
      <vt:lpstr>PP</vt:lpstr>
      <vt:lpstr>Rzad</vt:lpstr>
      <vt:lpstr>RZiS</vt:lpstr>
      <vt:lpstr>WnMa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Magdalena Chomuszko</cp:lastModifiedBy>
  <dcterms:created xsi:type="dcterms:W3CDTF">2018-11-21T19:34:48Z</dcterms:created>
  <dcterms:modified xsi:type="dcterms:W3CDTF">2019-07-08T18:36:44Z</dcterms:modified>
</cp:coreProperties>
</file>