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AGDA\Nauczanie RAchunkowości\Ksiązka_Rachunkowość_inaczej\E-SPRAWOZDANIA, JPK, CIT-8\Raporty\Raporty_wersja_final\"/>
    </mc:Choice>
  </mc:AlternateContent>
  <bookViews>
    <workbookView xWindow="0" yWindow="0" windowWidth="19200" windowHeight="7050"/>
  </bookViews>
  <sheets>
    <sheet name="START" sheetId="6" r:id="rId1"/>
    <sheet name="Wizualizacja danych JPK_VAT" sheetId="3" r:id="rId2"/>
    <sheet name="JPK_VAT" sheetId="1" r:id="rId3"/>
    <sheet name="TP" sheetId="5" state="hidden" r:id="rId4"/>
  </sheets>
  <calcPr calcId="162913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3" l="1"/>
  <c r="K3" i="3" l="1"/>
  <c r="K2" i="3"/>
  <c r="J2" i="3"/>
  <c r="F10" i="6" l="1"/>
  <c r="D10" i="6"/>
  <c r="C7" i="3" l="1"/>
  <c r="C6" i="3"/>
  <c r="C5" i="3"/>
  <c r="C4" i="3"/>
  <c r="D4" i="3" s="1"/>
  <c r="E3" i="3"/>
  <c r="C3" i="3"/>
  <c r="C2" i="3"/>
  <c r="K12" i="3"/>
  <c r="E16" i="3"/>
  <c r="K19" i="3"/>
  <c r="K15" i="3"/>
  <c r="E41" i="3"/>
  <c r="E37" i="3"/>
  <c r="E33" i="3"/>
  <c r="E29" i="3"/>
  <c r="E25" i="3"/>
  <c r="E21" i="3"/>
  <c r="E17" i="3"/>
  <c r="E13" i="3"/>
  <c r="K14" i="3"/>
  <c r="E40" i="3"/>
  <c r="E36" i="3"/>
  <c r="E32" i="3"/>
  <c r="E28" i="3"/>
  <c r="E24" i="3"/>
  <c r="E12" i="3"/>
  <c r="K18" i="3"/>
  <c r="K17" i="3"/>
  <c r="K13" i="3"/>
  <c r="E39" i="3"/>
  <c r="E35" i="3"/>
  <c r="E31" i="3"/>
  <c r="E27" i="3"/>
  <c r="E23" i="3"/>
  <c r="E19" i="3"/>
  <c r="E15" i="3"/>
  <c r="K16" i="3"/>
  <c r="E38" i="3"/>
  <c r="E34" i="3"/>
  <c r="E30" i="3"/>
  <c r="E26" i="3"/>
  <c r="E22" i="3"/>
  <c r="E18" i="3"/>
  <c r="E14" i="3"/>
  <c r="E20" i="3"/>
  <c r="C44" i="3" l="1"/>
  <c r="J22" i="3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First" description="Połączenie z kostką finansową" type="5" refreshedVersion="0" new="1" background="1">
    <dbPr connection="Provider=MSOLAP.5;Persist Security Info=True;Data Source=N2440;Initial Catalog=First;Integrated Security=SSPI;" command="FK" commandType="1"/>
    <olapPr sendLocale="1" rowDrillCount="1000"/>
  </connection>
  <connection id="2" odcFile="C:\Users\magdalena.chomuszko\AppData\Roaming\Sage\DataSources\sage_fk_cube_connection.odc" keepAlive="1" name="FK-First1" type="5" refreshedVersion="0" new="1" background="1">
    <dbPr connection="Provider=MSOLAP.5;Persist Security Info=True;Data Source=N2440;Initial Catalog=First;Integrated Security=SSPI;" command="FK" commandType="1"/>
    <olapPr sendLocale="1" rowDrillCount="1000"/>
  </connection>
  <connection id="3" odcFile="C:\Users\magdalena.chomuszko\AppData\Roaming\Sage\DataSources\sage_hm_cube_connection.odc" keepAlive="1" name="HM-First" description="Połączenie z kostką handlową" type="5" refreshedVersion="0" new="1" background="1">
    <dbPr connection="Provider=MSOLAP.5;Persist Security Info=True;Data Source=N2440;Initial Catalog=First;Integrated Security=SSPI;" command="HM" commandType="1"/>
    <olapPr sendLocale="1" rowDrillCount="1000"/>
  </connection>
  <connection id="4" odcFile="C:\Users\magdalena.chomuszko\AppData\Roaming\Sage\DataSources\sage_hm_cube_connection.odc" keepAlive="1" name="HM-First1" type="5" refreshedVersion="0" new="1" background="1">
    <dbPr connection="Provider=MSOLAP.5;Persist Security Info=True;Data Source=N2440;Initial Catalog=First;Integrated Security=SSPI;" command="HM" commandType="1"/>
    <olapPr sendLocale="1" rowDrillCount="1000"/>
  </connection>
  <connection id="5" name="JPK_VAT_20180801_20180831_7c2d0a2" type="4" refreshedVersion="0" background="1">
    <webPr xml="1" sourceData="1" url="C:\VAT-7\JPK_VAT_20180801_20180831_8388f45.xml" htmlTables="1" htmlFormat="all"/>
  </connection>
</connections>
</file>

<file path=xl/sharedStrings.xml><?xml version="1.0" encoding="utf-8"?>
<sst xmlns="http://schemas.openxmlformats.org/spreadsheetml/2006/main" count="443" uniqueCount="226">
  <si>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</si>
  <si>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</si>
  <si>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</si>
  <si>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</si>
  <si>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</si>
  <si>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</si>
  <si>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</si>
  <si>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</si>
  <si>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ns1:NazwaSystemu</t>
  </si>
  <si>
    <t>ns1:NIP</t>
  </si>
  <si>
    <t>ns1:PelnaNazwa</t>
  </si>
  <si>
    <t>ns1:Email</t>
  </si>
  <si>
    <t>ns1:LpSprzedazy</t>
  </si>
  <si>
    <t>ns1:NrKontrahenta</t>
  </si>
  <si>
    <t>ns1:NazwaKontrahenta</t>
  </si>
  <si>
    <t>ns1:AdresKontrahenta</t>
  </si>
  <si>
    <t>ns1:DowodSprzedazy</t>
  </si>
  <si>
    <t>ns1:DataWystawienia</t>
  </si>
  <si>
    <t>ns1:K_15</t>
  </si>
  <si>
    <t>ns1:K_16</t>
  </si>
  <si>
    <t>ns1:K_17</t>
  </si>
  <si>
    <t>ns1:K_18</t>
  </si>
  <si>
    <t>ns1:K_19</t>
  </si>
  <si>
    <t>ns1:K_20</t>
  </si>
  <si>
    <t>ns1:K_23</t>
  </si>
  <si>
    <t>ns1:K_24</t>
  </si>
  <si>
    <t>ns1:K_25</t>
  </si>
  <si>
    <t>ns1:K_26</t>
  </si>
  <si>
    <t>ns1:K_27</t>
  </si>
  <si>
    <t>ns1:K_28</t>
  </si>
  <si>
    <t>ns1:K_29</t>
  </si>
  <si>
    <t>ns1:K_30</t>
  </si>
  <si>
    <t>ns1:K_32</t>
  </si>
  <si>
    <t>ns1:K_33</t>
  </si>
  <si>
    <t>ns1:K_34</t>
  </si>
  <si>
    <t>ns1:K_35</t>
  </si>
  <si>
    <t>ns1:K_22</t>
  </si>
  <si>
    <t>ns1:K_21</t>
  </si>
  <si>
    <t>ns1:K_11</t>
  </si>
  <si>
    <t>ns1:K_10</t>
  </si>
  <si>
    <t>ns1:K_12</t>
  </si>
  <si>
    <t>ns1:K_13</t>
  </si>
  <si>
    <t>ns1:K_14</t>
  </si>
  <si>
    <t>ns1:K_31</t>
  </si>
  <si>
    <t>ns1:K_36</t>
  </si>
  <si>
    <t>ns1:K_37</t>
  </si>
  <si>
    <t>ns1:K_38</t>
  </si>
  <si>
    <t>ns1:K_39</t>
  </si>
  <si>
    <t>ns1:LiczbaWierszySprzedazy</t>
  </si>
  <si>
    <t>ns1:PodatekNalezny</t>
  </si>
  <si>
    <t>ns1:LpZakupu</t>
  </si>
  <si>
    <t>ns1:NrDostawcy</t>
  </si>
  <si>
    <t>ns1:NazwaDostawcy</t>
  </si>
  <si>
    <t>ns1:AdresDostawcy</t>
  </si>
  <si>
    <t>ns1:DowodZakupu</t>
  </si>
  <si>
    <t>ns1:DataZakupu</t>
  </si>
  <si>
    <t>ns1:DataWplywu</t>
  </si>
  <si>
    <t>ns1:K_43</t>
  </si>
  <si>
    <t>ns1:K_44</t>
  </si>
  <si>
    <t>ns1:K_45</t>
  </si>
  <si>
    <t>ns1:K_46</t>
  </si>
  <si>
    <t>ns1:K_48</t>
  </si>
  <si>
    <t>ns1:K_49</t>
  </si>
  <si>
    <t>ns1:K_50</t>
  </si>
  <si>
    <t>ns1:K_47</t>
  </si>
  <si>
    <t>ns1:LiczbaWierszyZakupow</t>
  </si>
  <si>
    <t>ns1:PodatekNaliczony</t>
  </si>
  <si>
    <t>JPK_VAT</t>
  </si>
  <si>
    <t>JPK_VAT (3)</t>
  </si>
  <si>
    <t>1-1</t>
  </si>
  <si>
    <t>Sage Symfonia 2.0 Finanse i Księgowość 2019.b</t>
  </si>
  <si>
    <t>Test7</t>
  </si>
  <si>
    <t>uiw@wp.pl</t>
  </si>
  <si>
    <t>9570957722</t>
  </si>
  <si>
    <t>5262831503</t>
  </si>
  <si>
    <t>BRAK</t>
  </si>
  <si>
    <t>ATU12346968</t>
  </si>
  <si>
    <t>ENERGA SPÓŁKA AKCYJNA</t>
  </si>
  <si>
    <t>Sage sp. z o.o.</t>
  </si>
  <si>
    <t>Zagraniczny</t>
  </si>
  <si>
    <t>Unijny</t>
  </si>
  <si>
    <t>ul. Grunwaldzka 472, 80-309 Gdańsk</t>
  </si>
  <si>
    <t>Al. Jerozolimskie 132, 02-305 Warszawa</t>
  </si>
  <si>
    <t>2</t>
  </si>
  <si>
    <t>1</t>
  </si>
  <si>
    <t>4</t>
  </si>
  <si>
    <t>3</t>
  </si>
  <si>
    <t>5</t>
  </si>
  <si>
    <t>56</t>
  </si>
  <si>
    <t>7</t>
  </si>
  <si>
    <t>8</t>
  </si>
  <si>
    <t>23</t>
  </si>
  <si>
    <t>128</t>
  </si>
  <si>
    <t>Sum of ns1:K_15</t>
  </si>
  <si>
    <t>Sum of ns1:K_16</t>
  </si>
  <si>
    <t>Sum of ns1:K_17</t>
  </si>
  <si>
    <t>Sum of ns1:K_18</t>
  </si>
  <si>
    <t>Sum of ns1:K_19</t>
  </si>
  <si>
    <t>Sum of ns1:K_20</t>
  </si>
  <si>
    <t>Sum of ns1:K_23</t>
  </si>
  <si>
    <t>Sum of ns1:K_24</t>
  </si>
  <si>
    <t>Sum of ns1:K_25</t>
  </si>
  <si>
    <t>Sum of ns1:K_26</t>
  </si>
  <si>
    <t>Sum of ns1:K_27</t>
  </si>
  <si>
    <t>Sum of ns1:K_28</t>
  </si>
  <si>
    <t>Sum of ns1:K_29</t>
  </si>
  <si>
    <t>Sum of ns1:K_30</t>
  </si>
  <si>
    <t>Sum of ns1:K_32</t>
  </si>
  <si>
    <t>Sum of ns1:K_33</t>
  </si>
  <si>
    <t>Sum of ns1:K_34</t>
  </si>
  <si>
    <t>Sum of ns1:K_35</t>
  </si>
  <si>
    <t>Sum of ns1:K_22</t>
  </si>
  <si>
    <t>Sum of ns1:K_21</t>
  </si>
  <si>
    <t>Sum of ns1:K_11</t>
  </si>
  <si>
    <t>Sum of ns1:K_10</t>
  </si>
  <si>
    <t>Sum of ns1:K_12</t>
  </si>
  <si>
    <t>Sum of ns1:K_13</t>
  </si>
  <si>
    <t>Sum of ns1:K_14</t>
  </si>
  <si>
    <t>Sum of ns1:K_31</t>
  </si>
  <si>
    <t>Sum of ns1:K_36</t>
  </si>
  <si>
    <t>Sum of ns1:K_37</t>
  </si>
  <si>
    <t>Sum of ns1:K_38</t>
  </si>
  <si>
    <t>Sum of ns1:K_39</t>
  </si>
  <si>
    <t>Sum of ns1:K_43</t>
  </si>
  <si>
    <t>Sum of ns1:K_44</t>
  </si>
  <si>
    <t>Sum of ns1:K_45</t>
  </si>
  <si>
    <t>Sum of ns1:K_46</t>
  </si>
  <si>
    <t>Sum of ns1:K_48</t>
  </si>
  <si>
    <t>Sum of ns1:K_49</t>
  </si>
  <si>
    <t>Sum of ns1:K_50</t>
  </si>
  <si>
    <t>Sum of ns1:K_47</t>
  </si>
  <si>
    <t xml:space="preserve">Za okres: </t>
  </si>
  <si>
    <t>Deklaracja:</t>
  </si>
  <si>
    <t>Cel złożenia:</t>
  </si>
  <si>
    <t>Data przygotowania:</t>
  </si>
  <si>
    <t>NIP Podmiotu:</t>
  </si>
  <si>
    <t>Nazwa Podmiotu:</t>
  </si>
  <si>
    <t>Dane do Deklaracji</t>
  </si>
  <si>
    <t>Pole 10:</t>
  </si>
  <si>
    <t>Pole 11:</t>
  </si>
  <si>
    <t>Pole 12:</t>
  </si>
  <si>
    <t>Pole 13:</t>
  </si>
  <si>
    <t>Pole 14:</t>
  </si>
  <si>
    <t>Sprzedaż</t>
  </si>
  <si>
    <t>Pole 15:</t>
  </si>
  <si>
    <t>Pole 16:</t>
  </si>
  <si>
    <t>Pole 17:</t>
  </si>
  <si>
    <t>Pole 18:</t>
  </si>
  <si>
    <t>Pole 19:</t>
  </si>
  <si>
    <t>Pole 20:</t>
  </si>
  <si>
    <t>Podatek Należny:</t>
  </si>
  <si>
    <t>Pole 21:</t>
  </si>
  <si>
    <t>Pole 22:</t>
  </si>
  <si>
    <t>-</t>
  </si>
  <si>
    <t>Zakup</t>
  </si>
  <si>
    <t>Pole 43:</t>
  </si>
  <si>
    <t>Podatek Naliczony:</t>
  </si>
  <si>
    <t>Pole 23:</t>
  </si>
  <si>
    <t>Pole 24:</t>
  </si>
  <si>
    <t>Pole 25:</t>
  </si>
  <si>
    <t>Pole 26:</t>
  </si>
  <si>
    <t>Pole 27:</t>
  </si>
  <si>
    <t>Pole 28:</t>
  </si>
  <si>
    <t>Pole 29:</t>
  </si>
  <si>
    <t>Pole 30:</t>
  </si>
  <si>
    <t>Pole 31:</t>
  </si>
  <si>
    <t>Pole 32:</t>
  </si>
  <si>
    <t>Pole 33:</t>
  </si>
  <si>
    <t>Pole 34:</t>
  </si>
  <si>
    <t>Pole 35:</t>
  </si>
  <si>
    <t>Pole 36:</t>
  </si>
  <si>
    <t>Pole 37:</t>
  </si>
  <si>
    <t>Pole 38:</t>
  </si>
  <si>
    <t>Pole 39:</t>
  </si>
  <si>
    <t>Pole 44:</t>
  </si>
  <si>
    <t>Pole 45:</t>
  </si>
  <si>
    <t>Pole 46:</t>
  </si>
  <si>
    <t>Pole 47:</t>
  </si>
  <si>
    <t>Pole 48:</t>
  </si>
  <si>
    <t>Pole 49:</t>
  </si>
  <si>
    <t>Pole 50:</t>
  </si>
  <si>
    <t>Kwota netto-Dostawa towarów oraz świadczenie usług na terytorium kraju, zwolnione od podatku</t>
  </si>
  <si>
    <t>Kwota netto – Dostawa towarów oraz świadczenie usług poza terytorium kraju</t>
  </si>
  <si>
    <t>Kwota netto – w tym świadczenie usług, o których mowa w art. 100 ust. 1 pkt 4 ustawy</t>
  </si>
  <si>
    <t>Kwota netto – Dostawa towarów oraz świadczenie usług na terytorium kraju, opodatkowane stawką 0%</t>
  </si>
  <si>
    <t>Kwota netto – w tym dostawa towarów, o której mowa w art. 129 ustawy</t>
  </si>
  <si>
    <t>Kwota netto – Dostawa towarów oraz świadczenie usług na terytorium kraju, opodatkowane stawką 5%</t>
  </si>
  <si>
    <t>Kwota podatku należnego – Dostawa towarów oraz świadczenie usług na terytorium kraju, opodatkowane stawką 5%</t>
  </si>
  <si>
    <t>Kwota netto – Dostawa towarów oraz świadczenie usług na terytorium kraju, opodatkowane stawką 7% albo 8% oraz świadczenie usług taksówkowych opodatkowanych w formie ryczałtu 4%</t>
  </si>
  <si>
    <t>Kwota podatku należnego – Dostawa towarów oraz świadczenie usług na terytorium kraju, opodatkowane stawką 7% albo 8% oraz świadczenie usług taksówkowych opodatkowanych w formie ryczałtu 4%</t>
  </si>
  <si>
    <t>Kwota netto – Dostawa towarów oraz świadczenie usług na terytorium kraju, opodatkowane stawką 22% albo 23%</t>
  </si>
  <si>
    <t>Kwota podatku należnego – Dostawa towarów oraz świadczenie usług na terytorium kraju, opodatkowane stawką 22% albo 23%</t>
  </si>
  <si>
    <t>Kwota netto – Wewnątrzwspólnotowa dostawa towarów</t>
  </si>
  <si>
    <t>Kwota netto – Eksport towarów</t>
  </si>
  <si>
    <t>Kwota netto – Wewnątrzwspólnotowe nabycie towarów</t>
  </si>
  <si>
    <t>Kwota podatku należnego – Wewnątrzwspólnotowe nabycie towarów</t>
  </si>
  <si>
    <t>Kwota netto – Import towarów podlegający rozliczeniu zgodnie z art. 33a ustawy</t>
  </si>
  <si>
    <t>Kwota podatku należnego – Import towarów podlegający rozliczeniu zgodnie z art. 33a ustawy</t>
  </si>
  <si>
    <t>Kwota netto – Import usług z wyłączeniem usług nabywanych od podatników podatku od wartości dodanej, do których stosuje się art. 28b ustawy</t>
  </si>
  <si>
    <t>Kwota podatku należnego – Import usług z wyłączeniem usług nabywanych od podatników podatku od wartości dodanej, do których stosuje się art. 28b ustawy</t>
  </si>
  <si>
    <t>Kwota netto – Import usług nabywanych od podatników podatku od wartości dodanej, do których stosuje się art. 28b ustawy</t>
  </si>
  <si>
    <t>Kwota podatku należnego – Import usług nabywanych od podatników podatku od wartości dodanej, do których stosuje się art. 28b ustawy</t>
  </si>
  <si>
    <t>Kwota netto – Dostawa towarów oraz świadczenie usług, dla których podatnikiem jest nabywca zgodnie z art. 17 ust. 1 pkt 7 lub 8 ustawy (wypełnia dostawca)</t>
  </si>
  <si>
    <t>Kwota netto – Dostawa towarów, dla których podatnikiem jest nabywca zgodnie z art. 17 ust. 1 pkt 5 ustawy (wypełnia nabywca)</t>
  </si>
  <si>
    <t>Kwota podatku należnego – Dostawa towarów, dla których podatnikiem jest nabywca zgodnie z art. 17 ust. 1 pkt 5 ustawy (wypełnia nabywca)</t>
  </si>
  <si>
    <t>Kwota netto – Dostawa towarów oraz świadczenie usług, dla których
podatnikiem jest nabywca zgodnie z art. 17 ust. 1 pkt 7 lub 8 ustawy (wypełnia nabywca)</t>
  </si>
  <si>
    <t>Kwota podatku należnego – Dostawa towarów oraz świadczenie usług,
dla których podatnikiem jest nabywca zgodnie z art. 17 ust. 1 pkt 7 lub
8 ustawy (wypełnia nabywca)</t>
  </si>
  <si>
    <t>Kwota podatku należnego od towarów i usług objętych spisem z
natury, o którym mowa w art. 14 ust. 5 ustawy</t>
  </si>
  <si>
    <t>Zwrot odliczonej lub zwróconej kwoty wydatkowanej na zakup kas rejestrujących, o którym mowa w art. 111 ust. 6 ustawy</t>
  </si>
  <si>
    <t>Kwota podatku należnego od wewnątrzwspólnotowego nabycia środków transportu, wykazanego w poz. 24, podlegająca wpłacie w terminie, o którym mowa w art. 103 ust. 3, w związku z ust. 4 ustawy</t>
  </si>
  <si>
    <t>Kwota podatku od wewnątrzwspólnotowego nabycia paliw
silnikowych, podlegająca wpłacie w terminach, o których mowa w art. 103 ust. 5a i 5b ustawy</t>
  </si>
  <si>
    <t>Kwota netto – Nabycie towarów i usług zaliczanych u podatnika do środków trwałych</t>
  </si>
  <si>
    <t>Kwota podatku naliczonego – Nabycie towarów i usług zaliczanych u podatnika do środków trwałych</t>
  </si>
  <si>
    <t>Kwota netto – Nabycie towarów i usług pozostałych</t>
  </si>
  <si>
    <t>Kwota podatku naliczonego – Nabycie towarów i usług pozostałych</t>
  </si>
  <si>
    <t>Korekta podatku naliczonego od nabycia środków trwałych</t>
  </si>
  <si>
    <t>Korekta podatku naliczonego od pozostałych nabyć</t>
  </si>
  <si>
    <t>Korekta podatku naliczonego, o której mowa w art. 89b ust. 1 ustawy</t>
  </si>
  <si>
    <t>Korekta podatku naliczonego, o której mowa w art. 89b ust. 4 ustawy</t>
  </si>
  <si>
    <t>Wizualizacja danych w JPK_VAT</t>
  </si>
  <si>
    <t>za okres</t>
  </si>
  <si>
    <t xml:space="preserve">do </t>
  </si>
  <si>
    <t>Autor: Magdalena Chomuszko</t>
  </si>
  <si>
    <t>Instrukcja obsługi raportu znajduje się w w/w książce</t>
  </si>
  <si>
    <t>raport jest częścią książki</t>
  </si>
  <si>
    <t xml:space="preserve">Księgowa analiza danych zawartych w JPK. Raporty w arkuszach Excel   Wydawnictwo C. H. BECK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</si>
</sst>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9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9" tint="-0.49998474074526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  <diagonal/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FF000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  <diagonal/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  <diagonal/>
    </border>
    <border>
      <left/>
      <right style="thin">
        <color theme="0"/>
      </right>
      <top style="thick">
        <color rgb="FFFF000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FF0000"/>
      </bottom>
      <diagonal/>
    </border>
    <border>
      <left style="medium">
        <color rgb="FFFF0000"/>
      </left>
      <right style="thick">
        <color rgb="FFFFFF00"/>
      </right>
      <top style="medium">
        <color rgb="FFFF0000"/>
      </top>
      <bottom style="medium">
        <color rgb="FFFFFF00"/>
      </bottom>
      <diagonal/>
    </border>
    <border>
      <left style="medium">
        <color rgb="FFFF00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0000"/>
      </left>
      <right style="thick">
        <color rgb="FFFFFF00"/>
      </right>
      <top style="medium">
        <color rgb="FFFFFF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theme="0"/>
      </bottom>
      <diagonal/>
    </border>
    <border>
      <left/>
      <right/>
      <top style="medium">
        <color rgb="FFFF0000"/>
      </top>
      <bottom style="medium">
        <color theme="0"/>
      </bottom>
      <diagonal/>
    </border>
    <border>
      <left/>
      <right style="medium">
        <color rgb="FFFF0000"/>
      </right>
      <top style="medium">
        <color rgb="FFFF0000"/>
      </top>
      <bottom style="medium">
        <color theme="0"/>
      </bottom>
      <diagonal/>
    </border>
    <border>
      <left style="medium">
        <color rgb="FFFF0000"/>
      </left>
      <right/>
      <top style="medium">
        <color theme="0"/>
      </top>
      <bottom style="medium">
        <color rgb="FFFF0000"/>
      </bottom>
      <diagonal/>
    </border>
    <border>
      <left/>
      <right/>
      <top style="medium">
        <color theme="0"/>
      </top>
      <bottom style="medium">
        <color rgb="FFFF0000"/>
      </bottom>
      <diagonal/>
    </border>
    <border>
      <left/>
      <right style="medium">
        <color rgb="FFFF0000"/>
      </right>
      <top style="medium">
        <color theme="0"/>
      </top>
      <bottom style="medium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Alignment="1"/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4" fontId="7" fillId="3" borderId="16" xfId="0" applyNumberFormat="1" applyFont="1" applyFill="1" applyBorder="1" applyAlignment="1">
      <alignment horizontal="right"/>
    </xf>
    <xf numFmtId="49" fontId="7" fillId="3" borderId="11" xfId="0" applyNumberFormat="1" applyFont="1" applyFill="1" applyBorder="1" applyAlignment="1">
      <alignment horizontal="center"/>
    </xf>
    <xf numFmtId="14" fontId="7" fillId="3" borderId="12" xfId="0" applyNumberFormat="1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164" fontId="6" fillId="4" borderId="18" xfId="0" applyNumberFormat="1" applyFont="1" applyFill="1" applyBorder="1"/>
    <xf numFmtId="164" fontId="6" fillId="4" borderId="19" xfId="0" applyNumberFormat="1" applyFont="1" applyFill="1" applyBorder="1"/>
    <xf numFmtId="164" fontId="6" fillId="4" borderId="20" xfId="0" applyNumberFormat="1" applyFont="1" applyFill="1" applyBorder="1"/>
    <xf numFmtId="0" fontId="6" fillId="3" borderId="1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/>
    <xf numFmtId="43" fontId="8" fillId="2" borderId="33" xfId="0" applyNumberFormat="1" applyFont="1" applyFill="1" applyBorder="1"/>
    <xf numFmtId="0" fontId="4" fillId="0" borderId="1" xfId="0" applyFont="1" applyBorder="1" applyAlignment="1">
      <alignment horizontal="center"/>
    </xf>
    <xf numFmtId="14" fontId="5" fillId="3" borderId="34" xfId="0" applyNumberFormat="1" applyFont="1" applyFill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" borderId="15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2" fontId="7" fillId="3" borderId="16" xfId="0" applyNumberFormat="1" applyFont="1" applyFill="1" applyBorder="1" applyAlignment="1">
      <alignment horizontal="left"/>
    </xf>
    <xf numFmtId="22" fontId="7" fillId="3" borderId="11" xfId="0" applyNumberFormat="1" applyFont="1" applyFill="1" applyBorder="1" applyAlignment="1">
      <alignment horizontal="left"/>
    </xf>
    <xf numFmtId="22" fontId="7" fillId="3" borderId="12" xfId="0" applyNumberFormat="1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49" fontId="7" fillId="3" borderId="17" xfId="0" applyNumberFormat="1" applyFont="1" applyFill="1" applyBorder="1" applyAlignment="1">
      <alignment horizontal="left"/>
    </xf>
    <xf numFmtId="49" fontId="7" fillId="3" borderId="13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/>
    </xf>
    <xf numFmtId="0" fontId="6" fillId="2" borderId="28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</cellXfs>
  <cellStyles count="1">
    <cellStyle name="Normalny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7/11/13/1113/'">
  <Schema ID="Schema1" Namespace="http://jpk.mf.gov.pl/wzor/2017/11/13/1113/">
    <xsd:schema xmlns:xsd="http://www.w3.org/2001/XMLSchema" xmlns:ns0="http://jpk.mf.gov.pl/wzor/2017/11/13/1113/" xmlns="" targetNamespace="http://jpk.mf.gov.pl/wzor/2017/11/13/1113/"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NazwaSystem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type="xsd:integer" name="NIP" form="qualified"/>
                  <xsd:element minOccurs="0" nillable="true" type="xsd:string" name="PelnaNazwa" form="qualified"/>
                  <xsd:element minOccurs="0" nillable="true" type="xsd:string" name="Email" form="qualified"/>
                </xsd:sequence>
              </xsd:complexType>
            </xsd:element>
            <xsd:element minOccurs="0" maxOccurs="unbounded" nillable="true" name="SprzedazWiersz" form="qualified">
              <xsd:complexType>
                <xsd:all>
                  <xsd:element minOccurs="0" nillable="true" type="xsd:integer" name="LpSprzedazy" form="qualified"/>
                  <xsd:element minOccurs="0" nillable="true" type="xsd:string" name="NrKontrahenta" form="qualified"/>
                  <xsd:element minOccurs="0" nillable="true" type="xsd:string" name="NazwaKontrahenta" form="qualified"/>
                  <xsd:element minOccurs="0" nillable="true" type="xsd:string" name="AdresKontrahenta" form="qualified"/>
                  <xsd:element minOccurs="0" nillable="true" type="xsd:string" name="DowodSprzedazy" form="qualified"/>
                  <xsd:element minOccurs="0" nillable="true" type="xsd:date" name="DataWystawienia" form="qualified"/>
                  <xsd:element minOccurs="0" nillable="true" type="xsd:integer" name="K_15" form="qualified"/>
                  <xsd:element minOccurs="0" nillable="true" type="xsd:integer" name="K_16" form="qualified"/>
                  <xsd:element minOccurs="0" nillable="true" type="xsd:integer" name="K_17" form="qualified"/>
                  <xsd:element minOccurs="0" nillable="true" type="xsd:integer" name="K_18" form="qualified"/>
                  <xsd:element minOccurs="0" nillable="true" type="xsd:integer" name="K_19" form="qualified"/>
                  <xsd:element minOccurs="0" nillable="true" type="xsd:integer" name="K_20" form="qualified"/>
                  <xsd:element minOccurs="0" nillable="true" type="xsd:integer" name="K_23" form="qualified"/>
                  <xsd:element minOccurs="0" nillable="true" type="xsd:integer" name="K_24" form="qualified"/>
                  <xsd:element minOccurs="0" nillable="true" type="xsd:integer" name="K_25" form="qualified"/>
                  <xsd:element minOccurs="0" nillable="true" type="xsd:integer" name="K_26" form="qualified"/>
                  <xsd:element minOccurs="0" nillable="true" type="xsd:integer" name="K_27" form="qualified"/>
                  <xsd:element minOccurs="0" nillable="true" type="xsd:integer" name="K_28" form="qualified"/>
                  <xsd:element minOccurs="0" nillable="true" type="xsd:integer" name="K_29" form="qualified"/>
                  <xsd:element minOccurs="0" nillable="true" type="xsd:integer" name="K_30" form="qualified"/>
                  <xsd:element minOccurs="0" nillable="true" type="xsd:integer" name="K_32" form="qualified"/>
                  <xsd:element minOccurs="0" nillable="true" type="xsd:integer" name="K_33" form="qualified"/>
                  <xsd:element minOccurs="0" nillable="true" type="xsd:integer" name="K_34" form="qualified"/>
                  <xsd:element minOccurs="0" nillable="true" type="xsd:double" name="K_35" form="qualified"/>
                  <xsd:element minOccurs="0" nillable="true" type="xsd:double" name="K_22" form="qualified"/>
                  <xsd:element minOccurs="0" nillable="true" type="xsd:double" name="K_21" form="qualified"/>
                  <xsd:element minOccurs="0" nillable="true" type="xsd:double" name="K_11" form="qualified"/>
                  <xsd:element minOccurs="0" nillable="true" type="xsd:integer" name="K_10" form="qualified"/>
                  <xsd:element minOccurs="0" nillable="true" type="xsd:double" name="K_12" form="qualified"/>
                  <xsd:element minOccurs="0" nillable="true" type="xsd:integer" name="K_13" form="qualified"/>
                  <xsd:element minOccurs="0" nillable="true" type="xsd:integer" name="K_14" form="qualified"/>
                  <xsd:element minOccurs="0" nillable="true" type="xsd:double" name="K_31" form="qualified"/>
                  <xsd:element minOccurs="0" nillable="true" type="xsd:integer" name="K_36" form="qualified"/>
                  <xsd:element minOccurs="0" nillable="true" type="xsd:integer" name="K_37" form="qualified"/>
                  <xsd:element minOccurs="0" nillable="true" type="xsd:double" name="K_38" form="qualified"/>
                  <xsd:element minOccurs="0" nillable="true" type="xsd:double" name="K_39" form="qualified"/>
                </xsd:all>
              </xsd:complexType>
            </xsd:element>
            <xsd:element minOccurs="0" nillable="true" name="SprzedazCtrl" form="qualified">
              <xsd:complexType>
                <xsd:sequence minOccurs="0">
                  <xsd:element minOccurs="0" nillable="true" type="xsd:integer" name="LiczbaWierszySprzedazy" form="qualified"/>
                  <xsd:element minOccurs="0" nillable="true" type="xsd:double" name="PodatekNalezny" form="qualified"/>
                </xsd:sequence>
              </xsd:complexType>
            </xsd:element>
            <xsd:element minOccurs="0" maxOccurs="unbounded" nillable="true" name="ZakupWiersz" form="qualified">
              <xsd:complexType>
                <xsd:all>
                  <xsd:element minOccurs="0" nillable="true" type="xsd:integer" name="LpZakupu" form="qualified"/>
                  <xsd:element minOccurs="0" nillable="true" type="xsd:string" name="NrDostawcy" form="qualified"/>
                  <xsd:element minOccurs="0" nillable="true" type="xsd:string" name="NazwaDostawcy" form="qualified"/>
                  <xsd:element minOccurs="0" nillable="true" type="xsd:string" name="AdresDostawcy" form="qualified"/>
                  <xsd:element minOccurs="0" nillable="true" type="xsd:string" name="DowodZakupu" form="qualified"/>
                  <xsd:element minOccurs="0" nillable="true" type="xsd:date" name="DataZakupu" form="qualified"/>
                  <xsd:element minOccurs="0" nillable="true" type="xsd:date" name="DataWplywu" form="qualified"/>
                  <xsd:element minOccurs="0" nillable="true" type="xsd:integer" name="K_43" form="qualified"/>
                  <xsd:element minOccurs="0" nillable="true" type="xsd:integer" name="K_44" form="qualified"/>
                  <xsd:element minOccurs="0" nillable="true" type="xsd:double" name="K_45" form="qualified"/>
                  <xsd:element minOccurs="0" nillable="true" type="xsd:double" name="K_46" form="qualified"/>
                  <xsd:element minOccurs="0" nillable="true" type="xsd:double" name="K_48" form="qualified"/>
                  <xsd:element minOccurs="0" nillable="true" type="xsd:double" name="K_49" form="qualified"/>
                  <xsd:element minOccurs="0" nillable="true" type="xsd:double" name="K_50" form="qualified"/>
                  <xsd:element minOccurs="0" nillable="true" type="xsd:double" name="K_47" form="qualified"/>
                </xsd:all>
              </xsd:complexType>
            </xsd:element>
            <xsd:element minOccurs="0" nillable="true" name="ZakupCtrl" form="qualified">
              <xsd:complexType>
                <xsd:sequence minOccurs="0">
                  <xsd:element minOccurs="0" nillable="true" type="xsd:integer" name="LiczbaWierszyZakupow" form="qualified"/>
                  <xsd:element minOccurs="0" nillable="true" type="xsd:double" name="PodatekNaliczony" form="qualified"/>
                </xsd:sequence>
              </xsd:complexType>
            </xsd:element>
          </xsd:sequence>
        </xsd:complexType>
      </xsd:element>
    </xsd:schema>
  </Schema>
  <Map ID="1" Name="JPK_Map" RootElement="JPK" SchemaID="Schema1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omuszko, Magdalena" refreshedDate="43326.348548611109" createdVersion="6" refreshedVersion="6" minRefreshableVersion="3" recordCount="24">
  <cacheSource type="worksheet">
    <worksheetSource name="Table1"/>
  </cacheSource>
  <cacheFields count="67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3" maxValue="3"/>
    </cacheField>
    <cacheField name="ns1:CelZlozenia" numFmtId="0">
      <sharedItems containsSemiMixedTypes="0" containsString="0" containsNumber="1" containsInteger="1" minValue="0" maxValue="0"/>
    </cacheField>
    <cacheField name="ns1:DataWytworzeniaJPK" numFmtId="22">
      <sharedItems containsSemiMixedTypes="0" containsNonDate="0" containsDate="1" containsString="0" minDate="2018-08-14T07:04:59" maxDate="2018-08-14T07:04:59"/>
    </cacheField>
    <cacheField name="ns1:DataOd" numFmtId="14">
      <sharedItems containsSemiMixedTypes="0" containsNonDate="0" containsDate="1" containsString="0" minDate="2018-08-01T00:00:00" maxDate="2018-08-02T00:00:00"/>
    </cacheField>
    <cacheField name="ns1:DataDo" numFmtId="14">
      <sharedItems containsSemiMixedTypes="0" containsNonDate="0" containsDate="1" containsString="0" minDate="2018-08-31T00:00:00" maxDate="2018-09-01T00:00:00"/>
    </cacheField>
    <cacheField name="ns1:NazwaSystemu" numFmtId="49">
      <sharedItems/>
    </cacheField>
    <cacheField name="ns1:NIP" numFmtId="0">
      <sharedItems containsSemiMixedTypes="0" containsString="0" containsNumber="1" containsInteger="1" minValue="444444444" maxValue="444444444"/>
    </cacheField>
    <cacheField name="ns1:PelnaNazwa" numFmtId="49">
      <sharedItems/>
    </cacheField>
    <cacheField name="ns1:Email" numFmtId="49">
      <sharedItems/>
    </cacheField>
    <cacheField name="ns1:LpSprzedazy" numFmtId="0">
      <sharedItems containsString="0" containsBlank="1" containsNumber="1" containsInteger="1" minValue="1" maxValue="17"/>
    </cacheField>
    <cacheField name="ns1:NrKontrahenta" numFmtId="49">
      <sharedItems containsBlank="1"/>
    </cacheField>
    <cacheField name="ns1:NazwaKontrahenta" numFmtId="49">
      <sharedItems containsBlank="1"/>
    </cacheField>
    <cacheField name="ns1:AdresKontrahenta" numFmtId="49">
      <sharedItems containsBlank="1"/>
    </cacheField>
    <cacheField name="ns1:DowodSprzedazy" numFmtId="49">
      <sharedItems containsBlank="1"/>
    </cacheField>
    <cacheField name="ns1:DataWystawienia" numFmtId="14">
      <sharedItems containsNonDate="0" containsDate="1" containsString="0" containsBlank="1" minDate="2018-08-07T00:00:00" maxDate="2018-08-14T00:00:00"/>
    </cacheField>
    <cacheField name="ns1:K_15" numFmtId="0">
      <sharedItems containsString="0" containsBlank="1" containsNumber="1" containsInteger="1" minValue="0" maxValue="0"/>
    </cacheField>
    <cacheField name="ns1:K_16" numFmtId="0">
      <sharedItems containsString="0" containsBlank="1" containsNumber="1" containsInteger="1" minValue="0" maxValue="0"/>
    </cacheField>
    <cacheField name="ns1:K_17" numFmtId="0">
      <sharedItems containsString="0" containsBlank="1" containsNumber="1" containsInteger="1" minValue="0" maxValue="0"/>
    </cacheField>
    <cacheField name="ns1:K_18" numFmtId="0">
      <sharedItems containsString="0" containsBlank="1" containsNumber="1" containsInteger="1" minValue="0" maxValue="0"/>
    </cacheField>
    <cacheField name="ns1:K_19" numFmtId="0">
      <sharedItems containsString="0" containsBlank="1" containsNumber="1" containsInteger="1" minValue="0" maxValue="2300"/>
    </cacheField>
    <cacheField name="ns1:K_20" numFmtId="0">
      <sharedItems containsString="0" containsBlank="1" containsNumber="1" containsInteger="1" minValue="0" maxValue="529"/>
    </cacheField>
    <cacheField name="ns1:K_23" numFmtId="0">
      <sharedItems containsString="0" containsBlank="1" containsNumber="1" containsInteger="1" minValue="0" maxValue="0"/>
    </cacheField>
    <cacheField name="ns1:K_24" numFmtId="0">
      <sharedItems containsString="0" containsBlank="1" containsNumber="1" containsInteger="1" minValue="0" maxValue="0"/>
    </cacheField>
    <cacheField name="ns1:K_25" numFmtId="0">
      <sharedItems containsString="0" containsBlank="1" containsNumber="1" containsInteger="1" minValue="0" maxValue="0"/>
    </cacheField>
    <cacheField name="ns1:K_26" numFmtId="0">
      <sharedItems containsString="0" containsBlank="1" containsNumber="1" containsInteger="1" minValue="0" maxValue="0"/>
    </cacheField>
    <cacheField name="ns1:K_27" numFmtId="0">
      <sharedItems containsString="0" containsBlank="1" containsNumber="1" containsInteger="1" minValue="0" maxValue="0"/>
    </cacheField>
    <cacheField name="ns1:K_28" numFmtId="0">
      <sharedItems containsString="0" containsBlank="1" containsNumber="1" containsInteger="1" minValue="0" maxValue="0"/>
    </cacheField>
    <cacheField name="ns1:K_29" numFmtId="0">
      <sharedItems containsString="0" containsBlank="1" containsNumber="1" containsInteger="1" minValue="0" maxValue="1200"/>
    </cacheField>
    <cacheField name="ns1:K_30" numFmtId="0">
      <sharedItems containsString="0" containsBlank="1" containsNumber="1" containsInteger="1" minValue="0" maxValue="0"/>
    </cacheField>
    <cacheField name="ns1:K_32" numFmtId="0">
      <sharedItems containsString="0" containsBlank="1" containsNumber="1" containsInteger="1" minValue="0" maxValue="0"/>
    </cacheField>
    <cacheField name="ns1:K_33" numFmtId="0">
      <sharedItems containsString="0" containsBlank="1" containsNumber="1" containsInteger="1" minValue="0" maxValue="0"/>
    </cacheField>
    <cacheField name="ns1:K_34" numFmtId="0">
      <sharedItems containsString="0" containsBlank="1" containsNumber="1" containsInteger="1" minValue="0" maxValue="7650"/>
    </cacheField>
    <cacheField name="ns1:K_35" numFmtId="0">
      <sharedItems containsString="0" containsBlank="1" containsNumber="1" minValue="0" maxValue="1759.5"/>
    </cacheField>
    <cacheField name="ns1:K_22" numFmtId="0">
      <sharedItems containsString="0" containsBlank="1" containsNumber="1" minValue="7737.66" maxValue="7737.66"/>
    </cacheField>
    <cacheField name="ns1:K_21" numFmtId="0">
      <sharedItems containsString="0" containsBlank="1" containsNumber="1" minValue="14950.25" maxValue="14950.25"/>
    </cacheField>
    <cacheField name="ns1:K_11" numFmtId="0">
      <sharedItems containsString="0" containsBlank="1" containsNumber="1" minValue="33317.699999999997" maxValue="33732.9"/>
    </cacheField>
    <cacheField name="ns1:K_10" numFmtId="0">
      <sharedItems containsString="0" containsBlank="1" containsNumber="1" containsInteger="1" minValue="1000" maxValue="1000"/>
    </cacheField>
    <cacheField name="ns1:K_12" numFmtId="0">
      <sharedItems containsString="0" containsBlank="1" containsNumber="1" minValue="33317.699999999997" maxValue="33317.699999999997"/>
    </cacheField>
    <cacheField name="ns1:K_13" numFmtId="0">
      <sharedItems containsString="0" containsBlank="1" containsNumber="1" containsInteger="1" minValue="7800" maxValue="7800"/>
    </cacheField>
    <cacheField name="ns1:K_14" numFmtId="0">
      <sharedItems containsString="0" containsBlank="1" containsNumber="1" containsInteger="1" minValue="1200" maxValue="1200"/>
    </cacheField>
    <cacheField name="ns1:K_31" numFmtId="0">
      <sharedItems containsString="0" containsBlank="1" containsNumber="1" minValue="500.45" maxValue="5155"/>
    </cacheField>
    <cacheField name="ns1:K_36" numFmtId="0">
      <sharedItems containsString="0" containsBlank="1" containsNumber="1" containsInteger="1" minValue="340" maxValue="340"/>
    </cacheField>
    <cacheField name="ns1:K_37" numFmtId="0">
      <sharedItems containsString="0" containsBlank="1" containsNumber="1" containsInteger="1" minValue="590" maxValue="590"/>
    </cacheField>
    <cacheField name="ns1:K_38" numFmtId="0">
      <sharedItems containsString="0" containsBlank="1" containsNumber="1" minValue="120.43" maxValue="120.43"/>
    </cacheField>
    <cacheField name="ns1:K_39" numFmtId="0">
      <sharedItems containsString="0" containsBlank="1" containsNumber="1" minValue="99.99" maxValue="99.99"/>
    </cacheField>
    <cacheField name="ns1:LiczbaWierszySprzedazy" numFmtId="0">
      <sharedItems containsSemiMixedTypes="0" containsString="0" containsNumber="1" containsInteger="1" minValue="17" maxValue="17"/>
    </cacheField>
    <cacheField name="ns1:PodatekNalezny" numFmtId="0">
      <sharedItems containsSemiMixedTypes="0" containsString="0" containsNumber="1" minValue="3228.08" maxValue="3228.08"/>
    </cacheField>
    <cacheField name="ns1:LpZakupu" numFmtId="0">
      <sharedItems containsString="0" containsBlank="1" containsNumber="1" containsInteger="1" minValue="1" maxValue="7"/>
    </cacheField>
    <cacheField name="ns1:NrDostawcy" numFmtId="49">
      <sharedItems containsBlank="1"/>
    </cacheField>
    <cacheField name="ns1:NazwaDostawcy" numFmtId="49">
      <sharedItems containsBlank="1"/>
    </cacheField>
    <cacheField name="ns1:AdresDostawcy" numFmtId="49">
      <sharedItems containsBlank="1"/>
    </cacheField>
    <cacheField name="ns1:DowodZakupu" numFmtId="49">
      <sharedItems containsBlank="1"/>
    </cacheField>
    <cacheField name="ns1:DataZakupu" numFmtId="14">
      <sharedItems containsNonDate="0" containsDate="1" containsString="0" containsBlank="1" minDate="2018-08-10T00:00:00" maxDate="2018-08-14T00:00:00"/>
    </cacheField>
    <cacheField name="ns1:DataWplywu" numFmtId="14">
      <sharedItems containsNonDate="0" containsDate="1" containsString="0" containsBlank="1" minDate="2018-08-10T00:00:00" maxDate="2018-08-14T00:00:00"/>
    </cacheField>
    <cacheField name="ns1:K_43" numFmtId="0">
      <sharedItems containsString="0" containsBlank="1" containsNumber="1" containsInteger="1" minValue="0" maxValue="0"/>
    </cacheField>
    <cacheField name="ns1:K_44" numFmtId="0">
      <sharedItems containsString="0" containsBlank="1" containsNumber="1" containsInteger="1" minValue="0" maxValue="0"/>
    </cacheField>
    <cacheField name="ns1:K_45" numFmtId="0">
      <sharedItems containsString="0" containsBlank="1" containsNumber="1" minValue="0" maxValue="7650"/>
    </cacheField>
    <cacheField name="ns1:K_46" numFmtId="0">
      <sharedItems containsString="0" containsBlank="1" containsNumber="1" minValue="0" maxValue="1759.5"/>
    </cacheField>
    <cacheField name="ns1:K_48" numFmtId="0">
      <sharedItems containsString="0" containsBlank="1" containsNumber="1" minValue="45.55" maxValue="45.55"/>
    </cacheField>
    <cacheField name="ns1:K_49" numFmtId="0">
      <sharedItems containsString="0" containsBlank="1" containsNumber="1" minValue="34.11" maxValue="34.11"/>
    </cacheField>
    <cacheField name="ns1:K_50" numFmtId="0">
      <sharedItems containsString="0" containsBlank="1" containsNumber="1" minValue="12.98" maxValue="12.98"/>
    </cacheField>
    <cacheField name="ns1:K_47" numFmtId="0">
      <sharedItems containsString="0" containsBlank="1" containsNumber="1" minValue="780.91" maxValue="780.91"/>
    </cacheField>
    <cacheField name="ns1:LiczbaWierszyZakupow" numFmtId="0">
      <sharedItems containsSemiMixedTypes="0" containsString="0" containsNumber="1" containsInteger="1" minValue="7" maxValue="7"/>
    </cacheField>
    <cacheField name="ns1:PodatekNaliczony" numFmtId="0">
      <sharedItems containsSemiMixedTypes="0" containsString="0" containsNumber="1" minValue="3064.44" maxValue="3064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"/>
    <s v="9570957722"/>
    <s v="ENERGA SPÓŁKA AKCYJNA"/>
    <s v="ul. Grunwaldzka 472, 80-309 Gdańsk"/>
    <s v="2"/>
    <d v="2018-08-07T00:00:00"/>
    <n v="0"/>
    <n v="0"/>
    <n v="0"/>
    <n v="0"/>
    <n v="2300"/>
    <n v="529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2"/>
    <s v="5262831503"/>
    <s v="Sage sp. z o.o."/>
    <s v="Al. Jerozolimskie 132, 02-305 Warszawa"/>
    <s v="1"/>
    <d v="2018-08-10T00:00:00"/>
    <n v="0"/>
    <n v="0"/>
    <n v="0"/>
    <n v="0"/>
    <n v="1000"/>
    <n v="23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3"/>
    <s v="BRAK"/>
    <s v="Zagraniczny"/>
    <s v="BRAK"/>
    <s v="1"/>
    <d v="2018-08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7.66"/>
    <m/>
    <m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4"/>
    <s v="ATU12346968"/>
    <s v="Unijny"/>
    <s v="BRAK"/>
    <s v="4"/>
    <d v="2018-08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n v="14950.25"/>
    <m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5"/>
    <s v="BRAK"/>
    <s v="Zagraniczny"/>
    <s v="BRAK"/>
    <s v="3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33732.9"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6"/>
    <s v="5262831503"/>
    <s v="Sage sp. z o.o."/>
    <s v="Al. Jerozolimskie 132, 02-305 Warszawa"/>
    <s v="5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n v="1000"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7"/>
    <s v="ATU12346968"/>
    <s v="Unijny"/>
    <s v="BRAK"/>
    <s v="56"/>
    <d v="2018-08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33317.699999999997"/>
    <m/>
    <n v="33317.699999999997"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8"/>
    <s v="9570957722"/>
    <s v="ENERGA SPÓŁKA AKCYJNA"/>
    <s v="ul. Grunwaldzka 472, 80-309 Gdańsk"/>
    <s v="7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n v="7800"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9"/>
    <s v="5262831503"/>
    <s v="Sage sp. z o.o."/>
    <s v="Al. Jerozolimskie 132, 02-305 Warszawa"/>
    <s v="8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7650"/>
    <n v="1759.5"/>
    <m/>
    <m/>
    <m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0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n v="1200"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1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5155"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2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1200"/>
    <n v="0"/>
    <n v="0"/>
    <n v="0"/>
    <n v="0"/>
    <n v="0"/>
    <m/>
    <m/>
    <m/>
    <m/>
    <m/>
    <m/>
    <m/>
    <m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3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n v="500.45"/>
    <m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4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n v="340"/>
    <m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5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n v="590"/>
    <m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6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n v="120.43"/>
    <m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n v="17"/>
    <s v="BRAK"/>
    <s v="BRAK"/>
    <s v="BRAK"/>
    <s v="BRAK"/>
    <d v="2018-08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n v="99.99"/>
    <n v="17"/>
    <n v="3228.08"/>
    <m/>
    <m/>
    <m/>
    <m/>
    <m/>
    <m/>
    <m/>
    <m/>
    <m/>
    <m/>
    <m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1"/>
    <s v="5262831503"/>
    <s v="Sage sp. z o.o."/>
    <s v="Al. Jerozolimskie 132, 02-305 Warszawa"/>
    <s v="23"/>
    <d v="2018-08-10T00:00:00"/>
    <d v="2018-08-10T00:00:00"/>
    <n v="0"/>
    <n v="0"/>
    <n v="900"/>
    <n v="207"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2"/>
    <s v="9570957722"/>
    <s v="ENERGA SPÓŁKA AKCYJNA"/>
    <s v="ul. Grunwaldzka 472, 80-309 Gdańsk"/>
    <s v="128"/>
    <d v="2018-08-10T00:00:00"/>
    <d v="2018-08-10T00:00:00"/>
    <n v="0"/>
    <n v="0"/>
    <n v="975.61"/>
    <n v="224.39"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3"/>
    <s v="5262831503"/>
    <s v="Sage sp. z o.o."/>
    <s v="Al. Jerozolimskie 132, 02-305 Warszawa"/>
    <s v="8"/>
    <d v="2018-08-13T00:00:00"/>
    <d v="2018-08-13T00:00:00"/>
    <n v="0"/>
    <n v="0"/>
    <n v="7650"/>
    <n v="1759.5"/>
    <m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4"/>
    <s v="BRAK"/>
    <s v="BRAK"/>
    <s v="BRAK"/>
    <s v="BRAK"/>
    <d v="2018-08-13T00:00:00"/>
    <d v="2018-08-13T00:00:00"/>
    <n v="0"/>
    <n v="0"/>
    <n v="0"/>
    <n v="0"/>
    <n v="45.55"/>
    <m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5"/>
    <s v="BRAK"/>
    <s v="BRAK"/>
    <s v="BRAK"/>
    <s v="BRAK"/>
    <d v="2018-08-13T00:00:00"/>
    <d v="2018-08-13T00:00:00"/>
    <n v="0"/>
    <n v="0"/>
    <n v="0"/>
    <n v="0"/>
    <m/>
    <n v="34.11"/>
    <m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6"/>
    <s v="BRAK"/>
    <s v="BRAK"/>
    <s v="BRAK"/>
    <s v="BRAK"/>
    <d v="2018-08-13T00:00:00"/>
    <d v="2018-08-13T00:00:00"/>
    <n v="0"/>
    <n v="0"/>
    <n v="0"/>
    <n v="0"/>
    <m/>
    <m/>
    <n v="12.98"/>
    <m/>
    <n v="7"/>
    <n v="3064.44"/>
  </r>
  <r>
    <s v="JPK_VAT"/>
    <s v="JPK_VAT (3)"/>
    <s v="1-1"/>
    <n v="3"/>
    <n v="0"/>
    <d v="2018-08-14T07:04:59"/>
    <d v="2018-08-01T00:00:00"/>
    <d v="2018-08-31T00:00:00"/>
    <s v="Sage Symfonia 2.0 Finanse i Księgowość 2019.b"/>
    <n v="444444444"/>
    <s v="Test7"/>
    <s v="uiw@wp.p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"/>
    <n v="3228.08"/>
    <n v="7"/>
    <s v="BRAK"/>
    <s v="BRAK"/>
    <s v="BRAK"/>
    <s v="BRAK"/>
    <d v="2018-08-13T00:00:00"/>
    <d v="2018-08-13T00:00:00"/>
    <n v="0"/>
    <n v="0"/>
    <n v="0"/>
    <n v="0"/>
    <m/>
    <m/>
    <m/>
    <n v="780.91"/>
    <n v="7"/>
    <n v="3064.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L4" firstHeaderRow="0" firstDataRow="1" firstDataCol="0"/>
  <pivotFields count="67">
    <pivotField showAll="0"/>
    <pivotField showAll="0"/>
    <pivotField showAll="0"/>
    <pivotField showAll="0"/>
    <pivotField showAll="0"/>
    <pivotField numFmtId="22"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Items count="1">
    <i/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 of ns1:K_10" fld="39" baseField="0" baseItem="0"/>
    <dataField name="Sum of ns1:K_11" fld="38" baseField="0" baseItem="0"/>
    <dataField name="Sum of ns1:K_12" fld="40" baseField="0" baseItem="0"/>
    <dataField name="Sum of ns1:K_13" fld="41" baseField="0" baseItem="0"/>
    <dataField name="Sum of ns1:K_14" fld="42" baseField="0" baseItem="0"/>
    <dataField name="Sum of ns1:K_15" fld="18" baseField="0" baseItem="0"/>
    <dataField name="Sum of ns1:K_16" fld="19" baseField="0" baseItem="0"/>
    <dataField name="Sum of ns1:K_17" fld="20" baseField="0" baseItem="0"/>
    <dataField name="Sum of ns1:K_18" fld="21" baseField="0" baseItem="0"/>
    <dataField name="Sum of ns1:K_19" fld="22" baseField="0" baseItem="0"/>
    <dataField name="Sum of ns1:K_20" fld="23" baseField="0" baseItem="0"/>
    <dataField name="Sum of ns1:K_21" fld="37" baseField="0" baseItem="0"/>
    <dataField name="Sum of ns1:K_22" fld="36" baseField="0" baseItem="0"/>
    <dataField name="Sum of ns1:K_23" fld="24" baseField="0" baseItem="0"/>
    <dataField name="Sum of ns1:K_24" fld="25" baseField="0" baseItem="0"/>
    <dataField name="Sum of ns1:K_25" fld="26" baseField="0" baseItem="0"/>
    <dataField name="Sum of ns1:K_26" fld="27" baseField="0" baseItem="0"/>
    <dataField name="Sum of ns1:K_27" fld="28" baseField="0" baseItem="0"/>
    <dataField name="Sum of ns1:K_28" fld="29" baseField="0" baseItem="0"/>
    <dataField name="Sum of ns1:K_29" fld="30" baseField="0" baseItem="0"/>
    <dataField name="Sum of ns1:K_30" fld="31" baseField="0" baseItem="0"/>
    <dataField name="Sum of ns1:K_31" fld="43" baseField="0" baseItem="0"/>
    <dataField name="Sum of ns1:K_32" fld="32" baseField="0" baseItem="0"/>
    <dataField name="Sum of ns1:K_33" fld="33" baseField="0" baseItem="0"/>
    <dataField name="Sum of ns1:K_34" fld="34" baseField="0" baseItem="0"/>
    <dataField name="Sum of ns1:K_35" fld="35" baseField="0" baseItem="0"/>
    <dataField name="Sum of ns1:K_36" fld="44" baseField="0" baseItem="0"/>
    <dataField name="Sum of ns1:K_37" fld="45" baseField="0" baseItem="0"/>
    <dataField name="Sum of ns1:K_38" fld="46" baseField="0" baseItem="0"/>
    <dataField name="Sum of ns1:K_39" fld="47" baseField="0" baseItem="0"/>
    <dataField name="Sum of ns1:K_43" fld="57" baseField="0" baseItem="0"/>
    <dataField name="Sum of ns1:K_44" fld="58" baseField="0" baseItem="0"/>
    <dataField name="Sum of ns1:K_45" fld="59" baseField="0" baseItem="0"/>
    <dataField name="Sum of ns1:K_46" fld="60" baseField="0" baseItem="0"/>
    <dataField name="Sum of ns1:K_47" fld="64" baseField="0" baseItem="0"/>
    <dataField name="Sum of ns1:K_48" fld="61" baseField="0" baseItem="0"/>
    <dataField name="Sum of ns1:K_49" fld="62" baseField="0" baseItem="0"/>
    <dataField name="Sum of ns1:K_50" fld="6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BO25" tableType="xml" totalsRowShown="0" connectionId="5">
  <autoFilter ref="A1:BO25"/>
  <tableColumns count="67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NazwaSystemu" name="ns1:NazwaSystemu">
      <xmlColumnPr mapId="1" xpath="/ns1:JPK/ns1:Naglowek/ns1:NazwaSystemu" xmlDataType="string"/>
    </tableColumn>
    <tableColumn id="10" uniqueName="ns1:NIP" name="ns1:NIP">
      <xmlColumnPr mapId="1" xpath="/ns1:JPK/ns1:Podmiot1/ns1:NIP" xmlDataType="integer"/>
    </tableColumn>
    <tableColumn id="11" uniqueName="ns1:PelnaNazwa" name="ns1:PelnaNazwa">
      <xmlColumnPr mapId="1" xpath="/ns1:JPK/ns1:Podmiot1/ns1:PelnaNazwa" xmlDataType="string"/>
    </tableColumn>
    <tableColumn id="12" uniqueName="ns1:Email" name="ns1:Email">
      <xmlColumnPr mapId="1" xpath="/ns1:JPK/ns1:Podmiot1/ns1:Email" xmlDataType="string"/>
    </tableColumn>
    <tableColumn id="13" uniqueName="ns1:LpSprzedazy" name="ns1:LpSprzedazy">
      <xmlColumnPr mapId="1" xpath="/ns1:JPK/ns1:SprzedazWiersz/ns1:LpSprzedazy" xmlDataType="integer"/>
    </tableColumn>
    <tableColumn id="14" uniqueName="ns1:NrKontrahenta" name="ns1:NrKontrahenta">
      <xmlColumnPr mapId="1" xpath="/ns1:JPK/ns1:SprzedazWiersz/ns1:NrKontrahenta" xmlDataType="string"/>
    </tableColumn>
    <tableColumn id="15" uniqueName="ns1:NazwaKontrahenta" name="ns1:NazwaKontrahenta">
      <xmlColumnPr mapId="1" xpath="/ns1:JPK/ns1:SprzedazWiersz/ns1:NazwaKontrahenta" xmlDataType="string"/>
    </tableColumn>
    <tableColumn id="16" uniqueName="ns1:AdresKontrahenta" name="ns1:AdresKontrahenta">
      <xmlColumnPr mapId="1" xpath="/ns1:JPK/ns1:SprzedazWiersz/ns1:AdresKontrahenta" xmlDataType="string"/>
    </tableColumn>
    <tableColumn id="17" uniqueName="ns1:DowodSprzedazy" name="ns1:DowodSprzedazy">
      <xmlColumnPr mapId="1" xpath="/ns1:JPK/ns1:SprzedazWiersz/ns1:DowodSprzedazy" xmlDataType="string"/>
    </tableColumn>
    <tableColumn id="18" uniqueName="ns1:DataWystawienia" name="ns1:DataWystawienia">
      <xmlColumnPr mapId="1" xpath="/ns1:JPK/ns1:SprzedazWiersz/ns1:DataWystawienia" xmlDataType="date"/>
    </tableColumn>
    <tableColumn id="19" uniqueName="ns1:K_15" name="ns1:K_15">
      <xmlColumnPr mapId="1" xpath="/ns1:JPK/ns1:SprzedazWiersz/ns1:K_15" xmlDataType="integer"/>
    </tableColumn>
    <tableColumn id="20" uniqueName="ns1:K_16" name="ns1:K_16">
      <xmlColumnPr mapId="1" xpath="/ns1:JPK/ns1:SprzedazWiersz/ns1:K_16" xmlDataType="integer"/>
    </tableColumn>
    <tableColumn id="21" uniqueName="ns1:K_17" name="ns1:K_17">
      <xmlColumnPr mapId="1" xpath="/ns1:JPK/ns1:SprzedazWiersz/ns1:K_17" xmlDataType="integer"/>
    </tableColumn>
    <tableColumn id="22" uniqueName="ns1:K_18" name="ns1:K_18">
      <xmlColumnPr mapId="1" xpath="/ns1:JPK/ns1:SprzedazWiersz/ns1:K_18" xmlDataType="integer"/>
    </tableColumn>
    <tableColumn id="23" uniqueName="ns1:K_19" name="ns1:K_19">
      <xmlColumnPr mapId="1" xpath="/ns1:JPK/ns1:SprzedazWiersz/ns1:K_19" xmlDataType="integer"/>
    </tableColumn>
    <tableColumn id="24" uniqueName="ns1:K_20" name="ns1:K_20">
      <xmlColumnPr mapId="1" xpath="/ns1:JPK/ns1:SprzedazWiersz/ns1:K_20" xmlDataType="integer"/>
    </tableColumn>
    <tableColumn id="25" uniqueName="ns1:K_23" name="ns1:K_23">
      <xmlColumnPr mapId="1" xpath="/ns1:JPK/ns1:SprzedazWiersz/ns1:K_23" xmlDataType="integer"/>
    </tableColumn>
    <tableColumn id="26" uniqueName="ns1:K_24" name="ns1:K_24">
      <xmlColumnPr mapId="1" xpath="/ns1:JPK/ns1:SprzedazWiersz/ns1:K_24" xmlDataType="integer"/>
    </tableColumn>
    <tableColumn id="27" uniqueName="ns1:K_25" name="ns1:K_25">
      <xmlColumnPr mapId="1" xpath="/ns1:JPK/ns1:SprzedazWiersz/ns1:K_25" xmlDataType="integer"/>
    </tableColumn>
    <tableColumn id="28" uniqueName="ns1:K_26" name="ns1:K_26">
      <xmlColumnPr mapId="1" xpath="/ns1:JPK/ns1:SprzedazWiersz/ns1:K_26" xmlDataType="integer"/>
    </tableColumn>
    <tableColumn id="29" uniqueName="ns1:K_27" name="ns1:K_27">
      <xmlColumnPr mapId="1" xpath="/ns1:JPK/ns1:SprzedazWiersz/ns1:K_27" xmlDataType="integer"/>
    </tableColumn>
    <tableColumn id="30" uniqueName="ns1:K_28" name="ns1:K_28">
      <xmlColumnPr mapId="1" xpath="/ns1:JPK/ns1:SprzedazWiersz/ns1:K_28" xmlDataType="integer"/>
    </tableColumn>
    <tableColumn id="31" uniqueName="ns1:K_29" name="ns1:K_29">
      <xmlColumnPr mapId="1" xpath="/ns1:JPK/ns1:SprzedazWiersz/ns1:K_29" xmlDataType="integer"/>
    </tableColumn>
    <tableColumn id="32" uniqueName="ns1:K_30" name="ns1:K_30">
      <xmlColumnPr mapId="1" xpath="/ns1:JPK/ns1:SprzedazWiersz/ns1:K_30" xmlDataType="integer"/>
    </tableColumn>
    <tableColumn id="33" uniqueName="ns1:K_32" name="ns1:K_32">
      <xmlColumnPr mapId="1" xpath="/ns1:JPK/ns1:SprzedazWiersz/ns1:K_32" xmlDataType="integer"/>
    </tableColumn>
    <tableColumn id="34" uniqueName="ns1:K_33" name="ns1:K_33">
      <xmlColumnPr mapId="1" xpath="/ns1:JPK/ns1:SprzedazWiersz/ns1:K_33" xmlDataType="integer"/>
    </tableColumn>
    <tableColumn id="35" uniqueName="ns1:K_34" name="ns1:K_34">
      <xmlColumnPr mapId="1" xpath="/ns1:JPK/ns1:SprzedazWiersz/ns1:K_34" xmlDataType="integer"/>
    </tableColumn>
    <tableColumn id="36" uniqueName="ns1:K_35" name="ns1:K_35">
      <xmlColumnPr mapId="1" xpath="/ns1:JPK/ns1:SprzedazWiersz/ns1:K_35" xmlDataType="double"/>
    </tableColumn>
    <tableColumn id="37" uniqueName="ns1:K_22" name="ns1:K_22">
      <xmlColumnPr mapId="1" xpath="/ns1:JPK/ns1:SprzedazWiersz/ns1:K_22" xmlDataType="double"/>
    </tableColumn>
    <tableColumn id="38" uniqueName="ns1:K_21" name="ns1:K_21">
      <xmlColumnPr mapId="1" xpath="/ns1:JPK/ns1:SprzedazWiersz/ns1:K_21" xmlDataType="double"/>
    </tableColumn>
    <tableColumn id="39" uniqueName="ns1:K_11" name="ns1:K_11">
      <xmlColumnPr mapId="1" xpath="/ns1:JPK/ns1:SprzedazWiersz/ns1:K_11" xmlDataType="double"/>
    </tableColumn>
    <tableColumn id="40" uniqueName="ns1:K_10" name="ns1:K_10">
      <xmlColumnPr mapId="1" xpath="/ns1:JPK/ns1:SprzedazWiersz/ns1:K_10" xmlDataType="integer"/>
    </tableColumn>
    <tableColumn id="41" uniqueName="ns1:K_12" name="ns1:K_12">
      <xmlColumnPr mapId="1" xpath="/ns1:JPK/ns1:SprzedazWiersz/ns1:K_12" xmlDataType="double"/>
    </tableColumn>
    <tableColumn id="42" uniqueName="ns1:K_13" name="ns1:K_13">
      <xmlColumnPr mapId="1" xpath="/ns1:JPK/ns1:SprzedazWiersz/ns1:K_13" xmlDataType="integer"/>
    </tableColumn>
    <tableColumn id="43" uniqueName="ns1:K_14" name="ns1:K_14">
      <xmlColumnPr mapId="1" xpath="/ns1:JPK/ns1:SprzedazWiersz/ns1:K_14" xmlDataType="integer"/>
    </tableColumn>
    <tableColumn id="44" uniqueName="ns1:K_31" name="ns1:K_31">
      <xmlColumnPr mapId="1" xpath="/ns1:JPK/ns1:SprzedazWiersz/ns1:K_31" xmlDataType="double"/>
    </tableColumn>
    <tableColumn id="45" uniqueName="ns1:K_36" name="ns1:K_36">
      <xmlColumnPr mapId="1" xpath="/ns1:JPK/ns1:SprzedazWiersz/ns1:K_36" xmlDataType="integer"/>
    </tableColumn>
    <tableColumn id="46" uniqueName="ns1:K_37" name="ns1:K_37">
      <xmlColumnPr mapId="1" xpath="/ns1:JPK/ns1:SprzedazWiersz/ns1:K_37" xmlDataType="integer"/>
    </tableColumn>
    <tableColumn id="47" uniqueName="ns1:K_38" name="ns1:K_38">
      <xmlColumnPr mapId="1" xpath="/ns1:JPK/ns1:SprzedazWiersz/ns1:K_38" xmlDataType="double"/>
    </tableColumn>
    <tableColumn id="48" uniqueName="ns1:K_39" name="ns1:K_39">
      <xmlColumnPr mapId="1" xpath="/ns1:JPK/ns1:SprzedazWiersz/ns1:K_39" xmlDataType="double"/>
    </tableColumn>
    <tableColumn id="49" uniqueName="ns1:LiczbaWierszySprzedazy" name="ns1:LiczbaWierszySprzedazy">
      <xmlColumnPr mapId="1" xpath="/ns1:JPK/ns1:SprzedazCtrl/ns1:LiczbaWierszySprzedazy" xmlDataType="integer"/>
    </tableColumn>
    <tableColumn id="50" uniqueName="ns1:PodatekNalezny" name="ns1:PodatekNalezny">
      <xmlColumnPr mapId="1" xpath="/ns1:JPK/ns1:SprzedazCtrl/ns1:PodatekNalezny" xmlDataType="double"/>
    </tableColumn>
    <tableColumn id="51" uniqueName="ns1:LpZakupu" name="ns1:LpZakupu">
      <xmlColumnPr mapId="1" xpath="/ns1:JPK/ns1:ZakupWiersz/ns1:LpZakupu" xmlDataType="integer"/>
    </tableColumn>
    <tableColumn id="52" uniqueName="ns1:NrDostawcy" name="ns1:NrDostawcy">
      <xmlColumnPr mapId="1" xpath="/ns1:JPK/ns1:ZakupWiersz/ns1:NrDostawcy" xmlDataType="string"/>
    </tableColumn>
    <tableColumn id="53" uniqueName="ns1:NazwaDostawcy" name="ns1:NazwaDostawcy">
      <xmlColumnPr mapId="1" xpath="/ns1:JPK/ns1:ZakupWiersz/ns1:NazwaDostawcy" xmlDataType="string"/>
    </tableColumn>
    <tableColumn id="54" uniqueName="ns1:AdresDostawcy" name="ns1:AdresDostawcy">
      <xmlColumnPr mapId="1" xpath="/ns1:JPK/ns1:ZakupWiersz/ns1:AdresDostawcy" xmlDataType="string"/>
    </tableColumn>
    <tableColumn id="55" uniqueName="ns1:DowodZakupu" name="ns1:DowodZakupu">
      <xmlColumnPr mapId="1" xpath="/ns1:JPK/ns1:ZakupWiersz/ns1:DowodZakupu" xmlDataType="string"/>
    </tableColumn>
    <tableColumn id="56" uniqueName="ns1:DataZakupu" name="ns1:DataZakupu">
      <xmlColumnPr mapId="1" xpath="/ns1:JPK/ns1:ZakupWiersz/ns1:DataZakupu" xmlDataType="date"/>
    </tableColumn>
    <tableColumn id="57" uniqueName="ns1:DataWplywu" name="ns1:DataWplywu">
      <xmlColumnPr mapId="1" xpath="/ns1:JPK/ns1:ZakupWiersz/ns1:DataWplywu" xmlDataType="date"/>
    </tableColumn>
    <tableColumn id="58" uniqueName="ns1:K_43" name="ns1:K_43">
      <xmlColumnPr mapId="1" xpath="/ns1:JPK/ns1:ZakupWiersz/ns1:K_43" xmlDataType="integer"/>
    </tableColumn>
    <tableColumn id="59" uniqueName="ns1:K_44" name="ns1:K_44">
      <xmlColumnPr mapId="1" xpath="/ns1:JPK/ns1:ZakupWiersz/ns1:K_44" xmlDataType="integer"/>
    </tableColumn>
    <tableColumn id="60" uniqueName="ns1:K_45" name="ns1:K_45">
      <xmlColumnPr mapId="1" xpath="/ns1:JPK/ns1:ZakupWiersz/ns1:K_45" xmlDataType="double"/>
    </tableColumn>
    <tableColumn id="61" uniqueName="ns1:K_46" name="ns1:K_46">
      <xmlColumnPr mapId="1" xpath="/ns1:JPK/ns1:ZakupWiersz/ns1:K_46" xmlDataType="double"/>
    </tableColumn>
    <tableColumn id="62" uniqueName="ns1:K_48" name="ns1:K_48">
      <xmlColumnPr mapId="1" xpath="/ns1:JPK/ns1:ZakupWiersz/ns1:K_48" xmlDataType="double"/>
    </tableColumn>
    <tableColumn id="63" uniqueName="ns1:K_49" name="ns1:K_49">
      <xmlColumnPr mapId="1" xpath="/ns1:JPK/ns1:ZakupWiersz/ns1:K_49" xmlDataType="double"/>
    </tableColumn>
    <tableColumn id="64" uniqueName="ns1:K_50" name="ns1:K_50">
      <xmlColumnPr mapId="1" xpath="/ns1:JPK/ns1:ZakupWiersz/ns1:K_50" xmlDataType="double"/>
    </tableColumn>
    <tableColumn id="65" uniqueName="ns1:K_47" name="ns1:K_47">
      <xmlColumnPr mapId="1" xpath="/ns1:JPK/ns1:ZakupWiersz/ns1:K_47" xmlDataType="double"/>
    </tableColumn>
    <tableColumn id="66" uniqueName="ns1:LiczbaWierszyZakupow" name="ns1:LiczbaWierszyZakupow">
      <xmlColumnPr mapId="1" xpath="/ns1:JPK/ns1:ZakupCtrl/ns1:LiczbaWierszyZakupow" xmlDataType="integer"/>
    </tableColumn>
    <tableColumn id="67" uniqueName="ns1:PodatekNaliczony" name="ns1:PodatekNaliczony">
      <xmlColumnPr mapId="1" xpath="/ns1:JPK/ns1:ZakupCtrl/ns1:PodatekNaliczony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P10"/>
  <sheetViews>
    <sheetView showGridLines="0" tabSelected="1" zoomScaleNormal="100" workbookViewId="0">
      <selection activeCell="L24" sqref="L24"/>
    </sheetView>
  </sheetViews>
  <sheetFormatPr defaultRowHeight="14.5" x14ac:dyDescent="0.35"/>
  <cols>
    <col min="4" max="4" width="12.90625" bestFit="1" customWidth="1"/>
    <col min="6" max="6" width="12.90625" bestFit="1" customWidth="1"/>
  </cols>
  <sheetData>
    <row r="2" spans="2:16" x14ac:dyDescent="0.35">
      <c r="J2" s="33" t="s">
        <v>224</v>
      </c>
      <c r="K2" s="33"/>
      <c r="L2" s="33"/>
      <c r="M2" s="33"/>
      <c r="N2" s="33"/>
      <c r="O2" s="33"/>
    </row>
    <row r="3" spans="2:16" ht="35.5" customHeight="1" x14ac:dyDescent="0.4">
      <c r="B3" s="12" t="s">
        <v>219</v>
      </c>
      <c r="J3" s="30" t="s">
        <v>225</v>
      </c>
      <c r="K3" s="30"/>
      <c r="L3" s="30"/>
      <c r="M3" s="30"/>
      <c r="N3" s="30"/>
      <c r="O3" s="30"/>
      <c r="P3" s="30"/>
    </row>
    <row r="4" spans="2:16" x14ac:dyDescent="0.35">
      <c r="J4" s="31" t="s">
        <v>222</v>
      </c>
      <c r="K4" s="31"/>
      <c r="L4" s="31"/>
      <c r="M4" s="31"/>
      <c r="N4" s="31"/>
      <c r="O4" s="31"/>
      <c r="P4" s="31"/>
    </row>
    <row r="7" spans="2:16" x14ac:dyDescent="0.35">
      <c r="J7" s="32" t="s">
        <v>223</v>
      </c>
      <c r="K7" s="32"/>
      <c r="L7" s="32"/>
      <c r="M7" s="32"/>
      <c r="N7" s="32"/>
      <c r="O7" s="32"/>
      <c r="P7" s="32"/>
    </row>
    <row r="9" spans="2:16" ht="15" thickBot="1" x14ac:dyDescent="0.4"/>
    <row r="10" spans="2:16" ht="18" thickBot="1" x14ac:dyDescent="0.4">
      <c r="B10" s="13" t="s">
        <v>220</v>
      </c>
      <c r="D10" s="29">
        <f>JPK_VAT!G2</f>
        <v>43313</v>
      </c>
      <c r="E10" s="14" t="s">
        <v>221</v>
      </c>
      <c r="F10" s="29">
        <f>JPK_VAT!H2</f>
        <v>43343</v>
      </c>
    </row>
  </sheetData>
  <sheetProtection algorithmName="SHA-512" hashValue="P+MrfYQOQWitADzfsw7aWQZBE7lpcKBdyWHjl6wFCmnewLyqSVqaK3KIiYQRtKOgdf7h2+hGotbbx0hx/4IZJQ==" saltValue="mEzbW/R92GZP0+1VUbEqJw==" spinCount="100000" sheet="1" objects="1" scenarios="1"/>
  <mergeCells count="4">
    <mergeCell ref="J3:P3"/>
    <mergeCell ref="J4:P4"/>
    <mergeCell ref="J7:P7"/>
    <mergeCell ref="J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44"/>
  <sheetViews>
    <sheetView showGridLines="0" zoomScale="75" zoomScaleNormal="75" workbookViewId="0">
      <selection activeCell="Q28" sqref="Q28"/>
    </sheetView>
  </sheetViews>
  <sheetFormatPr defaultRowHeight="14.5" x14ac:dyDescent="0.35"/>
  <cols>
    <col min="1" max="1" width="10.6328125" bestFit="1" customWidth="1"/>
    <col min="2" max="2" width="21.453125" style="7" bestFit="1" customWidth="1"/>
    <col min="3" max="3" width="17.08984375" style="6" bestFit="1" customWidth="1"/>
    <col min="4" max="4" width="12.54296875" style="5" customWidth="1"/>
    <col min="5" max="5" width="14.90625" customWidth="1"/>
    <col min="7" max="7" width="10.36328125" customWidth="1"/>
    <col min="10" max="10" width="18.1796875" customWidth="1"/>
    <col min="11" max="11" width="10" bestFit="1" customWidth="1"/>
    <col min="12" max="12" width="9.7265625" bestFit="1" customWidth="1"/>
  </cols>
  <sheetData>
    <row r="1" spans="1:11" ht="15" thickBot="1" x14ac:dyDescent="0.4"/>
    <row r="2" spans="1:11" ht="16.5" thickTop="1" thickBot="1" x14ac:dyDescent="0.4">
      <c r="B2" s="21" t="s">
        <v>132</v>
      </c>
      <c r="C2" s="34" t="str">
        <f>Table1[[#This Row],[kodSystemowy]]</f>
        <v>JPK_VAT (3)</v>
      </c>
      <c r="D2" s="35"/>
      <c r="E2" s="36"/>
      <c r="G2" s="62" t="s">
        <v>150</v>
      </c>
      <c r="H2" s="63"/>
      <c r="I2" s="64"/>
      <c r="J2" s="27">
        <f>Table1[[#This Row],[ns1:PodatekNalezny]]</f>
        <v>3228.08</v>
      </c>
      <c r="K2" s="28" t="str">
        <f>IF(J2=C44,"OK","BŁĄD")</f>
        <v>OK</v>
      </c>
    </row>
    <row r="3" spans="1:11" ht="16" thickBot="1" x14ac:dyDescent="0.4">
      <c r="B3" s="22" t="s">
        <v>131</v>
      </c>
      <c r="C3" s="17">
        <f>JPK_VAT!G2</f>
        <v>43313</v>
      </c>
      <c r="D3" s="18" t="s">
        <v>153</v>
      </c>
      <c r="E3" s="19">
        <f>JPK_VAT!H2</f>
        <v>43343</v>
      </c>
      <c r="G3" s="59" t="s">
        <v>156</v>
      </c>
      <c r="H3" s="60"/>
      <c r="I3" s="61"/>
      <c r="J3" s="27">
        <f>Table1[[#This Row],[ns1:PodatekNaliczony]]</f>
        <v>3064.44</v>
      </c>
      <c r="K3" s="28" t="str">
        <f>IF(J3=J22,"OK","BŁĄD")</f>
        <v>OK</v>
      </c>
    </row>
    <row r="4" spans="1:11" ht="16" thickBot="1" x14ac:dyDescent="0.4">
      <c r="B4" s="22" t="s">
        <v>133</v>
      </c>
      <c r="C4" s="20">
        <f>JPK_VAT!E2</f>
        <v>0</v>
      </c>
      <c r="D4" s="37" t="str">
        <f>IF(C4=0,"Pierwsze złożenie","korekta")</f>
        <v>Pierwsze złożenie</v>
      </c>
      <c r="E4" s="38"/>
      <c r="F4" s="9"/>
    </row>
    <row r="5" spans="1:11" ht="16" thickBot="1" x14ac:dyDescent="0.4">
      <c r="B5" s="22" t="s">
        <v>134</v>
      </c>
      <c r="C5" s="39">
        <f>JPK_VAT!F2</f>
        <v>43326.378460648149</v>
      </c>
      <c r="D5" s="40"/>
      <c r="E5" s="41"/>
    </row>
    <row r="6" spans="1:11" ht="16" thickBot="1" x14ac:dyDescent="0.4">
      <c r="B6" s="22" t="s">
        <v>135</v>
      </c>
      <c r="C6" s="42">
        <f>JPK_VAT!J2</f>
        <v>444444444</v>
      </c>
      <c r="D6" s="43"/>
      <c r="E6" s="44"/>
    </row>
    <row r="7" spans="1:11" ht="16" thickBot="1" x14ac:dyDescent="0.4">
      <c r="B7" s="23" t="s">
        <v>136</v>
      </c>
      <c r="C7" s="45" t="str">
        <f>JPK_VAT!K2</f>
        <v>Test7</v>
      </c>
      <c r="D7" s="46"/>
      <c r="E7" s="47"/>
    </row>
    <row r="8" spans="1:11" ht="15" thickBot="1" x14ac:dyDescent="0.4"/>
    <row r="9" spans="1:11" ht="16" thickBot="1" x14ac:dyDescent="0.4">
      <c r="A9" s="51" t="s">
        <v>137</v>
      </c>
      <c r="B9" s="52"/>
      <c r="C9" s="52"/>
      <c r="D9" s="52"/>
      <c r="E9" s="53"/>
      <c r="G9" s="51" t="s">
        <v>137</v>
      </c>
      <c r="H9" s="52"/>
      <c r="I9" s="52"/>
      <c r="J9" s="52"/>
      <c r="K9" s="53"/>
    </row>
    <row r="10" spans="1:11" ht="16" thickBot="1" x14ac:dyDescent="0.4">
      <c r="A10" s="48" t="s">
        <v>143</v>
      </c>
      <c r="B10" s="49"/>
      <c r="C10" s="49"/>
      <c r="D10" s="49"/>
      <c r="E10" s="50"/>
      <c r="G10" s="48" t="s">
        <v>154</v>
      </c>
      <c r="H10" s="49"/>
      <c r="I10" s="49"/>
      <c r="J10" s="49"/>
      <c r="K10" s="50"/>
    </row>
    <row r="11" spans="1:11" ht="15.5" x14ac:dyDescent="0.35">
      <c r="A11" s="8"/>
    </row>
    <row r="12" spans="1:11" ht="22" customHeight="1" x14ac:dyDescent="0.35">
      <c r="A12" s="15" t="s">
        <v>138</v>
      </c>
      <c r="B12" s="56" t="s">
        <v>181</v>
      </c>
      <c r="C12" s="57"/>
      <c r="D12" s="58"/>
      <c r="E12" s="16">
        <f>GETPIVOTDATA("Sum of ns1:K_10",TP!$A$3)</f>
        <v>1000</v>
      </c>
      <c r="G12" s="24" t="s">
        <v>155</v>
      </c>
      <c r="H12" s="56" t="s">
        <v>211</v>
      </c>
      <c r="I12" s="57"/>
      <c r="J12" s="58"/>
      <c r="K12" s="16">
        <f>GETPIVOTDATA("Sum of ns1:K_43",TP!$A$3)</f>
        <v>0</v>
      </c>
    </row>
    <row r="13" spans="1:11" ht="22" customHeight="1" x14ac:dyDescent="0.35">
      <c r="A13" s="15" t="s">
        <v>139</v>
      </c>
      <c r="B13" s="56" t="s">
        <v>182</v>
      </c>
      <c r="C13" s="57"/>
      <c r="D13" s="58"/>
      <c r="E13" s="16">
        <f>GETPIVOTDATA("Sum of ns1:K_11",TP!$A$3)</f>
        <v>67050.600000000006</v>
      </c>
      <c r="F13" s="11"/>
      <c r="G13" s="24" t="s">
        <v>174</v>
      </c>
      <c r="H13" s="56" t="s">
        <v>212</v>
      </c>
      <c r="I13" s="57"/>
      <c r="J13" s="58"/>
      <c r="K13" s="16">
        <f>GETPIVOTDATA("Sum of ns1:K_44",TP!$A$3)</f>
        <v>0</v>
      </c>
    </row>
    <row r="14" spans="1:11" ht="22" customHeight="1" x14ac:dyDescent="0.35">
      <c r="A14" s="15" t="s">
        <v>140</v>
      </c>
      <c r="B14" s="56" t="s">
        <v>183</v>
      </c>
      <c r="C14" s="57"/>
      <c r="D14" s="58"/>
      <c r="E14" s="16">
        <f>GETPIVOTDATA("Sum of ns1:K_12",TP!$A$3)</f>
        <v>33317.699999999997</v>
      </c>
      <c r="F14" s="11"/>
      <c r="G14" s="24" t="s">
        <v>175</v>
      </c>
      <c r="H14" s="56" t="s">
        <v>213</v>
      </c>
      <c r="I14" s="57"/>
      <c r="J14" s="58"/>
      <c r="K14" s="16">
        <f>GETPIVOTDATA("Sum of ns1:K_45",TP!$A$3)</f>
        <v>9525.61</v>
      </c>
    </row>
    <row r="15" spans="1:11" ht="22" customHeight="1" x14ac:dyDescent="0.35">
      <c r="A15" s="15" t="s">
        <v>141</v>
      </c>
      <c r="B15" s="56" t="s">
        <v>184</v>
      </c>
      <c r="C15" s="57"/>
      <c r="D15" s="58"/>
      <c r="E15" s="16">
        <f>GETPIVOTDATA("Sum of ns1:K_13",TP!$A$3)</f>
        <v>7800</v>
      </c>
      <c r="F15" s="11"/>
      <c r="G15" s="24" t="s">
        <v>176</v>
      </c>
      <c r="H15" s="56" t="s">
        <v>214</v>
      </c>
      <c r="I15" s="57"/>
      <c r="J15" s="58"/>
      <c r="K15" s="16">
        <f>GETPIVOTDATA("Sum of ns1:K_46",TP!$A$3)</f>
        <v>2190.89</v>
      </c>
    </row>
    <row r="16" spans="1:11" ht="22" customHeight="1" x14ac:dyDescent="0.35">
      <c r="A16" s="15" t="s">
        <v>142</v>
      </c>
      <c r="B16" s="56" t="s">
        <v>185</v>
      </c>
      <c r="C16" s="57"/>
      <c r="D16" s="58"/>
      <c r="E16" s="16">
        <f>GETPIVOTDATA("Sum of ns1:K_14",TP!$A$3)</f>
        <v>1200</v>
      </c>
      <c r="F16" s="11"/>
      <c r="G16" s="24" t="s">
        <v>177</v>
      </c>
      <c r="H16" s="56" t="s">
        <v>215</v>
      </c>
      <c r="I16" s="57"/>
      <c r="J16" s="58"/>
      <c r="K16" s="16">
        <f>GETPIVOTDATA("Sum of ns1:K_47",TP!$A$3)</f>
        <v>780.91</v>
      </c>
    </row>
    <row r="17" spans="1:11" ht="22" customHeight="1" x14ac:dyDescent="0.35">
      <c r="A17" s="15" t="s">
        <v>144</v>
      </c>
      <c r="B17" s="56" t="s">
        <v>186</v>
      </c>
      <c r="C17" s="57"/>
      <c r="D17" s="58"/>
      <c r="E17" s="16">
        <f>GETPIVOTDATA("Sum of ns1:K_15",TP!$A$3)</f>
        <v>0</v>
      </c>
      <c r="F17" s="11"/>
      <c r="G17" s="24" t="s">
        <v>178</v>
      </c>
      <c r="H17" s="56" t="s">
        <v>216</v>
      </c>
      <c r="I17" s="57"/>
      <c r="J17" s="58"/>
      <c r="K17" s="16">
        <f>GETPIVOTDATA("Sum of ns1:K_48",TP!$A$3)</f>
        <v>45.55</v>
      </c>
    </row>
    <row r="18" spans="1:11" ht="22" customHeight="1" x14ac:dyDescent="0.35">
      <c r="A18" s="15" t="s">
        <v>145</v>
      </c>
      <c r="B18" s="56" t="s">
        <v>187</v>
      </c>
      <c r="C18" s="57"/>
      <c r="D18" s="58"/>
      <c r="E18" s="16">
        <f>GETPIVOTDATA("Sum of ns1:K_16",TP!$A$3)</f>
        <v>0</v>
      </c>
      <c r="F18" s="11"/>
      <c r="G18" s="24" t="s">
        <v>179</v>
      </c>
      <c r="H18" s="56" t="s">
        <v>217</v>
      </c>
      <c r="I18" s="57"/>
      <c r="J18" s="58"/>
      <c r="K18" s="16">
        <f>GETPIVOTDATA("Sum of ns1:K_49",TP!$A$3)</f>
        <v>34.11</v>
      </c>
    </row>
    <row r="19" spans="1:11" ht="33" customHeight="1" x14ac:dyDescent="0.35">
      <c r="A19" s="15" t="s">
        <v>146</v>
      </c>
      <c r="B19" s="56" t="s">
        <v>188</v>
      </c>
      <c r="C19" s="57"/>
      <c r="D19" s="58"/>
      <c r="E19" s="16">
        <f>GETPIVOTDATA("Sum of ns1:K_17",TP!$A$3)</f>
        <v>0</v>
      </c>
      <c r="F19" s="11"/>
      <c r="G19" s="24" t="s">
        <v>180</v>
      </c>
      <c r="H19" s="56" t="s">
        <v>218</v>
      </c>
      <c r="I19" s="57"/>
      <c r="J19" s="58"/>
      <c r="K19" s="16">
        <f>GETPIVOTDATA("Sum of ns1:K_50",TP!$A$3)</f>
        <v>12.98</v>
      </c>
    </row>
    <row r="20" spans="1:11" ht="33" customHeight="1" x14ac:dyDescent="0.35">
      <c r="A20" s="15" t="s">
        <v>147</v>
      </c>
      <c r="B20" s="56" t="s">
        <v>189</v>
      </c>
      <c r="C20" s="57"/>
      <c r="D20" s="58"/>
      <c r="E20" s="16">
        <f>GETPIVOTDATA("Sum of ns1:K_18",TP!$A$3)</f>
        <v>0</v>
      </c>
      <c r="F20" s="11"/>
    </row>
    <row r="21" spans="1:11" ht="22" customHeight="1" thickBot="1" x14ac:dyDescent="0.4">
      <c r="A21" s="15" t="s">
        <v>148</v>
      </c>
      <c r="B21" s="56" t="s">
        <v>190</v>
      </c>
      <c r="C21" s="57"/>
      <c r="D21" s="58"/>
      <c r="E21" s="16">
        <f>GETPIVOTDATA("Sum of ns1:K_19",TP!$A$3)</f>
        <v>3300</v>
      </c>
      <c r="F21" s="11"/>
    </row>
    <row r="22" spans="1:11" ht="22" customHeight="1" thickBot="1" x14ac:dyDescent="0.4">
      <c r="A22" s="15" t="s">
        <v>149</v>
      </c>
      <c r="B22" s="56" t="s">
        <v>191</v>
      </c>
      <c r="C22" s="57"/>
      <c r="D22" s="58"/>
      <c r="E22" s="16">
        <f>GETPIVOTDATA("Sum of ns1:K_20",TP!$A$3)</f>
        <v>759</v>
      </c>
      <c r="F22" s="11"/>
      <c r="G22" s="54" t="s">
        <v>156</v>
      </c>
      <c r="H22" s="65"/>
      <c r="I22" s="55"/>
      <c r="J22" s="25">
        <f>K13+K15+K16+K17+K18+K19</f>
        <v>3064.44</v>
      </c>
      <c r="K22" s="7"/>
    </row>
    <row r="23" spans="1:11" ht="22" customHeight="1" x14ac:dyDescent="0.35">
      <c r="A23" s="15" t="s">
        <v>151</v>
      </c>
      <c r="B23" s="56" t="s">
        <v>192</v>
      </c>
      <c r="C23" s="57"/>
      <c r="D23" s="58"/>
      <c r="E23" s="16">
        <f>GETPIVOTDATA("Sum of ns1:K_21",TP!$A$3)</f>
        <v>14950.25</v>
      </c>
    </row>
    <row r="24" spans="1:11" ht="22" customHeight="1" x14ac:dyDescent="0.35">
      <c r="A24" s="15" t="s">
        <v>152</v>
      </c>
      <c r="B24" s="56" t="s">
        <v>193</v>
      </c>
      <c r="C24" s="57"/>
      <c r="D24" s="58"/>
      <c r="E24" s="16">
        <f>GETPIVOTDATA("Sum of ns1:K_22",TP!$A$3)</f>
        <v>7737.66</v>
      </c>
    </row>
    <row r="25" spans="1:11" ht="22" customHeight="1" x14ac:dyDescent="0.35">
      <c r="A25" s="15" t="s">
        <v>157</v>
      </c>
      <c r="B25" s="56" t="s">
        <v>194</v>
      </c>
      <c r="C25" s="57"/>
      <c r="D25" s="58"/>
      <c r="E25" s="16">
        <f>GETPIVOTDATA("Sum of ns1:K_23",TP!$A$3)</f>
        <v>0</v>
      </c>
    </row>
    <row r="26" spans="1:11" ht="22" customHeight="1" x14ac:dyDescent="0.35">
      <c r="A26" s="15" t="s">
        <v>158</v>
      </c>
      <c r="B26" s="56" t="s">
        <v>195</v>
      </c>
      <c r="C26" s="57"/>
      <c r="D26" s="58"/>
      <c r="E26" s="16">
        <f>GETPIVOTDATA("Sum of ns1:K_24",TP!$A$3)</f>
        <v>0</v>
      </c>
    </row>
    <row r="27" spans="1:11" ht="22" customHeight="1" x14ac:dyDescent="0.35">
      <c r="A27" s="15" t="s">
        <v>159</v>
      </c>
      <c r="B27" s="56" t="s">
        <v>196</v>
      </c>
      <c r="C27" s="57"/>
      <c r="D27" s="58"/>
      <c r="E27" s="16">
        <f>GETPIVOTDATA("Sum of ns1:K_25",TP!$A$3)</f>
        <v>0</v>
      </c>
    </row>
    <row r="28" spans="1:11" ht="22" customHeight="1" x14ac:dyDescent="0.35">
      <c r="A28" s="15" t="s">
        <v>160</v>
      </c>
      <c r="B28" s="56" t="s">
        <v>197</v>
      </c>
      <c r="C28" s="57"/>
      <c r="D28" s="58"/>
      <c r="E28" s="16">
        <f>GETPIVOTDATA("Sum of ns1:K_26",TP!$A$3)</f>
        <v>0</v>
      </c>
    </row>
    <row r="29" spans="1:11" ht="22" customHeight="1" x14ac:dyDescent="0.35">
      <c r="A29" s="15" t="s">
        <v>161</v>
      </c>
      <c r="B29" s="56" t="s">
        <v>198</v>
      </c>
      <c r="C29" s="57"/>
      <c r="D29" s="58"/>
      <c r="E29" s="16">
        <f>GETPIVOTDATA("Sum of ns1:K_27",TP!$A$3)</f>
        <v>0</v>
      </c>
    </row>
    <row r="30" spans="1:11" ht="22" customHeight="1" x14ac:dyDescent="0.35">
      <c r="A30" s="15" t="s">
        <v>162</v>
      </c>
      <c r="B30" s="56" t="s">
        <v>199</v>
      </c>
      <c r="C30" s="57"/>
      <c r="D30" s="58"/>
      <c r="E30" s="16">
        <f>GETPIVOTDATA("Sum of ns1:K_28",TP!$A$3)</f>
        <v>0</v>
      </c>
    </row>
    <row r="31" spans="1:11" ht="22" customHeight="1" x14ac:dyDescent="0.35">
      <c r="A31" s="15" t="s">
        <v>163</v>
      </c>
      <c r="B31" s="56" t="s">
        <v>200</v>
      </c>
      <c r="C31" s="57"/>
      <c r="D31" s="58"/>
      <c r="E31" s="16">
        <f>GETPIVOTDATA("Sum of ns1:K_29",TP!$A$3)</f>
        <v>1200</v>
      </c>
    </row>
    <row r="32" spans="1:11" ht="22" customHeight="1" x14ac:dyDescent="0.35">
      <c r="A32" s="15" t="s">
        <v>164</v>
      </c>
      <c r="B32" s="56" t="s">
        <v>201</v>
      </c>
      <c r="C32" s="57"/>
      <c r="D32" s="58"/>
      <c r="E32" s="16">
        <f>GETPIVOTDATA("Sum of ns1:K_30",TP!$A$3)</f>
        <v>0</v>
      </c>
    </row>
    <row r="33" spans="1:5" ht="29.5" customHeight="1" x14ac:dyDescent="0.35">
      <c r="A33" s="15" t="s">
        <v>165</v>
      </c>
      <c r="B33" s="56" t="s">
        <v>202</v>
      </c>
      <c r="C33" s="57"/>
      <c r="D33" s="58"/>
      <c r="E33" s="16">
        <f>GETPIVOTDATA("Sum of ns1:K_31",TP!$A$3)</f>
        <v>5655.45</v>
      </c>
    </row>
    <row r="34" spans="1:5" ht="22" customHeight="1" x14ac:dyDescent="0.35">
      <c r="A34" s="15" t="s">
        <v>166</v>
      </c>
      <c r="B34" s="56" t="s">
        <v>203</v>
      </c>
      <c r="C34" s="57"/>
      <c r="D34" s="58"/>
      <c r="E34" s="16">
        <f>GETPIVOTDATA("Sum of ns1:K_32",TP!$A$3)</f>
        <v>0</v>
      </c>
    </row>
    <row r="35" spans="1:5" ht="22" customHeight="1" x14ac:dyDescent="0.35">
      <c r="A35" s="15" t="s">
        <v>167</v>
      </c>
      <c r="B35" s="56" t="s">
        <v>204</v>
      </c>
      <c r="C35" s="57"/>
      <c r="D35" s="58"/>
      <c r="E35" s="16">
        <f>GETPIVOTDATA("Sum of ns1:K_33",TP!$A$3)</f>
        <v>0</v>
      </c>
    </row>
    <row r="36" spans="1:5" ht="30" customHeight="1" x14ac:dyDescent="0.35">
      <c r="A36" s="15" t="s">
        <v>168</v>
      </c>
      <c r="B36" s="56" t="s">
        <v>205</v>
      </c>
      <c r="C36" s="57"/>
      <c r="D36" s="58"/>
      <c r="E36" s="16">
        <f>GETPIVOTDATA("Sum of ns1:K_34",TP!$A$3)</f>
        <v>7650</v>
      </c>
    </row>
    <row r="37" spans="1:5" ht="32" customHeight="1" x14ac:dyDescent="0.35">
      <c r="A37" s="15" t="s">
        <v>169</v>
      </c>
      <c r="B37" s="56" t="s">
        <v>206</v>
      </c>
      <c r="C37" s="57"/>
      <c r="D37" s="58"/>
      <c r="E37" s="16">
        <f>GETPIVOTDATA("Sum of ns1:K_35",TP!$A$3)</f>
        <v>1759.5</v>
      </c>
    </row>
    <row r="38" spans="1:5" ht="22" customHeight="1" x14ac:dyDescent="0.35">
      <c r="A38" s="15" t="s">
        <v>170</v>
      </c>
      <c r="B38" s="56" t="s">
        <v>207</v>
      </c>
      <c r="C38" s="57"/>
      <c r="D38" s="58"/>
      <c r="E38" s="16">
        <f>GETPIVOTDATA("Sum of ns1:K_36",TP!$A$3)</f>
        <v>340</v>
      </c>
    </row>
    <row r="39" spans="1:5" ht="22" customHeight="1" x14ac:dyDescent="0.35">
      <c r="A39" s="15" t="s">
        <v>171</v>
      </c>
      <c r="B39" s="56" t="s">
        <v>208</v>
      </c>
      <c r="C39" s="57"/>
      <c r="D39" s="58"/>
      <c r="E39" s="16">
        <f>GETPIVOTDATA("Sum of ns1:K_37",TP!$A$3)</f>
        <v>590</v>
      </c>
    </row>
    <row r="40" spans="1:5" ht="32.5" customHeight="1" x14ac:dyDescent="0.35">
      <c r="A40" s="15" t="s">
        <v>172</v>
      </c>
      <c r="B40" s="56" t="s">
        <v>209</v>
      </c>
      <c r="C40" s="57"/>
      <c r="D40" s="58"/>
      <c r="E40" s="16">
        <f>GETPIVOTDATA("Sum of ns1:K_38",TP!$A$3)</f>
        <v>120.43</v>
      </c>
    </row>
    <row r="41" spans="1:5" ht="31" customHeight="1" x14ac:dyDescent="0.35">
      <c r="A41" s="15" t="s">
        <v>173</v>
      </c>
      <c r="B41" s="56" t="s">
        <v>210</v>
      </c>
      <c r="C41" s="57"/>
      <c r="D41" s="58"/>
      <c r="E41" s="16">
        <f>GETPIVOTDATA("Sum of ns1:K_39",TP!$A$3)</f>
        <v>99.99</v>
      </c>
    </row>
    <row r="43" spans="1:5" ht="15" thickBot="1" x14ac:dyDescent="0.4"/>
    <row r="44" spans="1:5" ht="16" thickBot="1" x14ac:dyDescent="0.4">
      <c r="A44" s="54" t="s">
        <v>150</v>
      </c>
      <c r="B44" s="55"/>
      <c r="C44" s="26">
        <f>E18+E20+E22+E26+E28+E30+E32+E35+E37+E38+E39-E40-E41</f>
        <v>3228.0800000000004</v>
      </c>
      <c r="D44" s="10"/>
    </row>
  </sheetData>
  <mergeCells count="51">
    <mergeCell ref="G3:I3"/>
    <mergeCell ref="G2:I2"/>
    <mergeCell ref="H19:J19"/>
    <mergeCell ref="B40:D40"/>
    <mergeCell ref="B41:D41"/>
    <mergeCell ref="G22:I22"/>
    <mergeCell ref="H12:J12"/>
    <mergeCell ref="H13:J13"/>
    <mergeCell ref="H14:J14"/>
    <mergeCell ref="H15:J15"/>
    <mergeCell ref="H16:J16"/>
    <mergeCell ref="H17:J17"/>
    <mergeCell ref="H18:J18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A10:E10"/>
    <mergeCell ref="A9:E9"/>
    <mergeCell ref="A44:B44"/>
    <mergeCell ref="G9:K9"/>
    <mergeCell ref="G10:K10"/>
    <mergeCell ref="B12:D12"/>
    <mergeCell ref="B13:D13"/>
    <mergeCell ref="B14:D14"/>
    <mergeCell ref="B15:D15"/>
    <mergeCell ref="B27:D27"/>
    <mergeCell ref="B16:D16"/>
    <mergeCell ref="B17:D17"/>
    <mergeCell ref="B18:D18"/>
    <mergeCell ref="B19:D19"/>
    <mergeCell ref="B20:D20"/>
    <mergeCell ref="B21:D21"/>
    <mergeCell ref="C2:E2"/>
    <mergeCell ref="D4:E4"/>
    <mergeCell ref="C5:E5"/>
    <mergeCell ref="C6:E6"/>
    <mergeCell ref="C7:E7"/>
  </mergeCells>
  <conditionalFormatting sqref="K2:K3">
    <cfRule type="cellIs" dxfId="0" priority="1" operator="equal">
      <formula>"OK"</formula>
    </cfRule>
  </conditionalFormatting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O25"/>
  <sheetViews>
    <sheetView workbookViewId="0">
      <selection activeCell="D19" sqref="D19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40.1796875" bestFit="1" customWidth="1"/>
    <col min="10" max="10" width="9.81640625" bestFit="1" customWidth="1"/>
    <col min="11" max="11" width="16.81640625" bestFit="1" customWidth="1"/>
    <col min="12" max="12" width="11.08984375" bestFit="1" customWidth="1"/>
    <col min="13" max="13" width="16.90625" bestFit="1" customWidth="1"/>
    <col min="14" max="14" width="19.36328125" bestFit="1" customWidth="1"/>
    <col min="15" max="15" width="22.90625" bestFit="1" customWidth="1"/>
    <col min="16" max="16" width="34.1796875" bestFit="1" customWidth="1"/>
    <col min="17" max="17" width="21.08984375" bestFit="1" customWidth="1"/>
    <col min="18" max="18" width="21.453125" bestFit="1" customWidth="1"/>
    <col min="19" max="48" width="10.6328125" bestFit="1" customWidth="1"/>
    <col min="49" max="49" width="26.7265625" bestFit="1" customWidth="1"/>
    <col min="50" max="50" width="20.26953125" bestFit="1" customWidth="1"/>
    <col min="51" max="51" width="14.7265625" bestFit="1" customWidth="1"/>
    <col min="52" max="52" width="16.7265625" bestFit="1" customWidth="1"/>
    <col min="53" max="53" width="22.453125" bestFit="1" customWidth="1"/>
    <col min="54" max="54" width="34.1796875" bestFit="1" customWidth="1"/>
    <col min="55" max="55" width="18.90625" bestFit="1" customWidth="1"/>
    <col min="56" max="56" width="16.90625" bestFit="1" customWidth="1"/>
    <col min="57" max="57" width="17.453125" bestFit="1" customWidth="1"/>
    <col min="58" max="65" width="10.6328125" bestFit="1" customWidth="1"/>
    <col min="66" max="66" width="26.08984375" bestFit="1" customWidth="1"/>
    <col min="67" max="67" width="21.6328125" bestFit="1" customWidth="1"/>
  </cols>
  <sheetData>
    <row r="1" spans="1:6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</row>
    <row r="2" spans="1:67" x14ac:dyDescent="0.35">
      <c r="A2" s="1" t="s">
        <v>67</v>
      </c>
      <c r="B2" s="1" t="s">
        <v>68</v>
      </c>
      <c r="C2" s="1" t="s">
        <v>69</v>
      </c>
      <c r="D2">
        <v>3</v>
      </c>
      <c r="E2">
        <v>0</v>
      </c>
      <c r="F2" s="2">
        <v>43326.378460648149</v>
      </c>
      <c r="G2" s="3">
        <v>43313</v>
      </c>
      <c r="H2" s="3">
        <v>43343</v>
      </c>
      <c r="I2" s="1" t="s">
        <v>70</v>
      </c>
      <c r="J2">
        <v>444444444</v>
      </c>
      <c r="K2" s="1" t="s">
        <v>71</v>
      </c>
      <c r="L2" s="1" t="s">
        <v>72</v>
      </c>
      <c r="M2">
        <v>1</v>
      </c>
      <c r="N2" s="1" t="s">
        <v>73</v>
      </c>
      <c r="O2" s="1" t="s">
        <v>77</v>
      </c>
      <c r="P2" s="1" t="s">
        <v>81</v>
      </c>
      <c r="Q2" s="1" t="s">
        <v>83</v>
      </c>
      <c r="R2" s="3">
        <v>43319</v>
      </c>
      <c r="S2">
        <v>0</v>
      </c>
      <c r="T2">
        <v>0</v>
      </c>
      <c r="U2">
        <v>0</v>
      </c>
      <c r="V2">
        <v>0</v>
      </c>
      <c r="W2">
        <v>2300</v>
      </c>
      <c r="X2">
        <v>529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W2">
        <v>17</v>
      </c>
      <c r="AX2">
        <v>3228.08</v>
      </c>
      <c r="AZ2" s="1"/>
      <c r="BA2" s="1"/>
      <c r="BB2" s="1"/>
      <c r="BC2" s="1"/>
      <c r="BD2" s="3"/>
      <c r="BE2" s="3"/>
      <c r="BN2">
        <v>7</v>
      </c>
      <c r="BO2">
        <v>3064.44</v>
      </c>
    </row>
    <row r="3" spans="1:67" x14ac:dyDescent="0.35">
      <c r="A3" s="1" t="s">
        <v>67</v>
      </c>
      <c r="B3" s="1" t="s">
        <v>68</v>
      </c>
      <c r="C3" s="1" t="s">
        <v>69</v>
      </c>
      <c r="D3">
        <v>3</v>
      </c>
      <c r="E3">
        <v>0</v>
      </c>
      <c r="F3" s="2">
        <v>43326.378460648149</v>
      </c>
      <c r="G3" s="3">
        <v>43313</v>
      </c>
      <c r="H3" s="3">
        <v>43343</v>
      </c>
      <c r="I3" s="1" t="s">
        <v>70</v>
      </c>
      <c r="J3">
        <v>444444444</v>
      </c>
      <c r="K3" s="1" t="s">
        <v>71</v>
      </c>
      <c r="L3" s="1" t="s">
        <v>72</v>
      </c>
      <c r="M3">
        <v>2</v>
      </c>
      <c r="N3" s="1" t="s">
        <v>74</v>
      </c>
      <c r="O3" s="1" t="s">
        <v>78</v>
      </c>
      <c r="P3" s="1" t="s">
        <v>82</v>
      </c>
      <c r="Q3" s="1" t="s">
        <v>84</v>
      </c>
      <c r="R3" s="3">
        <v>43322</v>
      </c>
      <c r="S3">
        <v>0</v>
      </c>
      <c r="T3">
        <v>0</v>
      </c>
      <c r="U3">
        <v>0</v>
      </c>
      <c r="V3">
        <v>0</v>
      </c>
      <c r="W3">
        <v>1000</v>
      </c>
      <c r="X3">
        <v>230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W3">
        <v>17</v>
      </c>
      <c r="AX3">
        <v>3228.08</v>
      </c>
      <c r="AZ3" s="1"/>
      <c r="BA3" s="1"/>
      <c r="BB3" s="1"/>
      <c r="BC3" s="1"/>
      <c r="BD3" s="3"/>
      <c r="BE3" s="3"/>
      <c r="BN3">
        <v>7</v>
      </c>
      <c r="BO3">
        <v>3064.44</v>
      </c>
    </row>
    <row r="4" spans="1:67" x14ac:dyDescent="0.35">
      <c r="A4" s="1" t="s">
        <v>67</v>
      </c>
      <c r="B4" s="1" t="s">
        <v>68</v>
      </c>
      <c r="C4" s="1" t="s">
        <v>69</v>
      </c>
      <c r="D4">
        <v>3</v>
      </c>
      <c r="E4">
        <v>0</v>
      </c>
      <c r="F4" s="2">
        <v>43326.378460648149</v>
      </c>
      <c r="G4" s="3">
        <v>43313</v>
      </c>
      <c r="H4" s="3">
        <v>43343</v>
      </c>
      <c r="I4" s="1" t="s">
        <v>70</v>
      </c>
      <c r="J4">
        <v>444444444</v>
      </c>
      <c r="K4" s="1" t="s">
        <v>71</v>
      </c>
      <c r="L4" s="1" t="s">
        <v>72</v>
      </c>
      <c r="M4">
        <v>3</v>
      </c>
      <c r="N4" s="1" t="s">
        <v>75</v>
      </c>
      <c r="O4" s="1" t="s">
        <v>79</v>
      </c>
      <c r="P4" s="1" t="s">
        <v>75</v>
      </c>
      <c r="Q4" s="1" t="s">
        <v>84</v>
      </c>
      <c r="R4" s="3">
        <v>43322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7737.66</v>
      </c>
      <c r="AW4">
        <v>17</v>
      </c>
      <c r="AX4">
        <v>3228.08</v>
      </c>
      <c r="AZ4" s="1"/>
      <c r="BA4" s="1"/>
      <c r="BB4" s="1"/>
      <c r="BC4" s="1"/>
      <c r="BD4" s="3"/>
      <c r="BE4" s="3"/>
      <c r="BN4">
        <v>7</v>
      </c>
      <c r="BO4">
        <v>3064.44</v>
      </c>
    </row>
    <row r="5" spans="1:67" x14ac:dyDescent="0.35">
      <c r="A5" s="1" t="s">
        <v>67</v>
      </c>
      <c r="B5" s="1" t="s">
        <v>68</v>
      </c>
      <c r="C5" s="1" t="s">
        <v>69</v>
      </c>
      <c r="D5">
        <v>3</v>
      </c>
      <c r="E5">
        <v>0</v>
      </c>
      <c r="F5" s="2">
        <v>43326.378460648149</v>
      </c>
      <c r="G5" s="3">
        <v>43313</v>
      </c>
      <c r="H5" s="3">
        <v>43343</v>
      </c>
      <c r="I5" s="1" t="s">
        <v>70</v>
      </c>
      <c r="J5">
        <v>444444444</v>
      </c>
      <c r="K5" s="1" t="s">
        <v>71</v>
      </c>
      <c r="L5" s="1" t="s">
        <v>72</v>
      </c>
      <c r="M5">
        <v>4</v>
      </c>
      <c r="N5" s="1" t="s">
        <v>76</v>
      </c>
      <c r="O5" s="1" t="s">
        <v>80</v>
      </c>
      <c r="P5" s="1" t="s">
        <v>75</v>
      </c>
      <c r="Q5" s="1" t="s">
        <v>85</v>
      </c>
      <c r="R5" s="3">
        <v>43322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L5">
        <v>14950.25</v>
      </c>
      <c r="AW5">
        <v>17</v>
      </c>
      <c r="AX5">
        <v>3228.08</v>
      </c>
      <c r="AZ5" s="1"/>
      <c r="BA5" s="1"/>
      <c r="BB5" s="1"/>
      <c r="BC5" s="1"/>
      <c r="BD5" s="3"/>
      <c r="BE5" s="3"/>
      <c r="BN5">
        <v>7</v>
      </c>
      <c r="BO5">
        <v>3064.44</v>
      </c>
    </row>
    <row r="6" spans="1:67" x14ac:dyDescent="0.35">
      <c r="A6" s="1" t="s">
        <v>67</v>
      </c>
      <c r="B6" s="1" t="s">
        <v>68</v>
      </c>
      <c r="C6" s="1" t="s">
        <v>69</v>
      </c>
      <c r="D6">
        <v>3</v>
      </c>
      <c r="E6">
        <v>0</v>
      </c>
      <c r="F6" s="2">
        <v>43326.378460648149</v>
      </c>
      <c r="G6" s="3">
        <v>43313</v>
      </c>
      <c r="H6" s="3">
        <v>43343</v>
      </c>
      <c r="I6" s="1" t="s">
        <v>70</v>
      </c>
      <c r="J6">
        <v>444444444</v>
      </c>
      <c r="K6" s="1" t="s">
        <v>71</v>
      </c>
      <c r="L6" s="1" t="s">
        <v>72</v>
      </c>
      <c r="M6">
        <v>5</v>
      </c>
      <c r="N6" s="1" t="s">
        <v>75</v>
      </c>
      <c r="O6" s="1" t="s">
        <v>79</v>
      </c>
      <c r="P6" s="1" t="s">
        <v>75</v>
      </c>
      <c r="Q6" s="1" t="s">
        <v>86</v>
      </c>
      <c r="R6" s="3">
        <v>43325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M6">
        <v>33732.9</v>
      </c>
      <c r="AW6">
        <v>17</v>
      </c>
      <c r="AX6">
        <v>3228.08</v>
      </c>
      <c r="AZ6" s="1"/>
      <c r="BA6" s="1"/>
      <c r="BB6" s="1"/>
      <c r="BC6" s="1"/>
      <c r="BD6" s="3"/>
      <c r="BE6" s="3"/>
      <c r="BN6">
        <v>7</v>
      </c>
      <c r="BO6">
        <v>3064.44</v>
      </c>
    </row>
    <row r="7" spans="1:67" x14ac:dyDescent="0.35">
      <c r="A7" s="1" t="s">
        <v>67</v>
      </c>
      <c r="B7" s="1" t="s">
        <v>68</v>
      </c>
      <c r="C7" s="1" t="s">
        <v>69</v>
      </c>
      <c r="D7">
        <v>3</v>
      </c>
      <c r="E7">
        <v>0</v>
      </c>
      <c r="F7" s="2">
        <v>43326.378460648149</v>
      </c>
      <c r="G7" s="3">
        <v>43313</v>
      </c>
      <c r="H7" s="3">
        <v>43343</v>
      </c>
      <c r="I7" s="1" t="s">
        <v>70</v>
      </c>
      <c r="J7">
        <v>444444444</v>
      </c>
      <c r="K7" s="1" t="s">
        <v>71</v>
      </c>
      <c r="L7" s="1" t="s">
        <v>72</v>
      </c>
      <c r="M7">
        <v>6</v>
      </c>
      <c r="N7" s="1" t="s">
        <v>74</v>
      </c>
      <c r="O7" s="1" t="s">
        <v>78</v>
      </c>
      <c r="P7" s="1" t="s">
        <v>82</v>
      </c>
      <c r="Q7" s="1" t="s">
        <v>87</v>
      </c>
      <c r="R7" s="3">
        <v>43325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N7">
        <v>1000</v>
      </c>
      <c r="AW7">
        <v>17</v>
      </c>
      <c r="AX7">
        <v>3228.08</v>
      </c>
      <c r="AZ7" s="1"/>
      <c r="BA7" s="1"/>
      <c r="BB7" s="1"/>
      <c r="BC7" s="1"/>
      <c r="BD7" s="3"/>
      <c r="BE7" s="3"/>
      <c r="BN7">
        <v>7</v>
      </c>
      <c r="BO7">
        <v>3064.44</v>
      </c>
    </row>
    <row r="8" spans="1:67" x14ac:dyDescent="0.35">
      <c r="A8" s="1" t="s">
        <v>67</v>
      </c>
      <c r="B8" s="1" t="s">
        <v>68</v>
      </c>
      <c r="C8" s="1" t="s">
        <v>69</v>
      </c>
      <c r="D8">
        <v>3</v>
      </c>
      <c r="E8">
        <v>0</v>
      </c>
      <c r="F8" s="2">
        <v>43326.378460648149</v>
      </c>
      <c r="G8" s="3">
        <v>43313</v>
      </c>
      <c r="H8" s="3">
        <v>43343</v>
      </c>
      <c r="I8" s="1" t="s">
        <v>70</v>
      </c>
      <c r="J8">
        <v>444444444</v>
      </c>
      <c r="K8" s="1" t="s">
        <v>71</v>
      </c>
      <c r="L8" s="1" t="s">
        <v>72</v>
      </c>
      <c r="M8">
        <v>7</v>
      </c>
      <c r="N8" s="1" t="s">
        <v>76</v>
      </c>
      <c r="O8" s="1" t="s">
        <v>80</v>
      </c>
      <c r="P8" s="1" t="s">
        <v>75</v>
      </c>
      <c r="Q8" s="1" t="s">
        <v>88</v>
      </c>
      <c r="R8" s="3">
        <v>43324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M8">
        <v>33317.699999999997</v>
      </c>
      <c r="AO8">
        <v>33317.699999999997</v>
      </c>
      <c r="AW8">
        <v>17</v>
      </c>
      <c r="AX8">
        <v>3228.08</v>
      </c>
      <c r="AZ8" s="1"/>
      <c r="BA8" s="1"/>
      <c r="BB8" s="1"/>
      <c r="BC8" s="1"/>
      <c r="BD8" s="3"/>
      <c r="BE8" s="3"/>
      <c r="BN8">
        <v>7</v>
      </c>
      <c r="BO8">
        <v>3064.44</v>
      </c>
    </row>
    <row r="9" spans="1:67" x14ac:dyDescent="0.35">
      <c r="A9" s="1" t="s">
        <v>67</v>
      </c>
      <c r="B9" s="1" t="s">
        <v>68</v>
      </c>
      <c r="C9" s="1" t="s">
        <v>69</v>
      </c>
      <c r="D9">
        <v>3</v>
      </c>
      <c r="E9">
        <v>0</v>
      </c>
      <c r="F9" s="2">
        <v>43326.378460648149</v>
      </c>
      <c r="G9" s="3">
        <v>43313</v>
      </c>
      <c r="H9" s="3">
        <v>43343</v>
      </c>
      <c r="I9" s="1" t="s">
        <v>70</v>
      </c>
      <c r="J9">
        <v>444444444</v>
      </c>
      <c r="K9" s="1" t="s">
        <v>71</v>
      </c>
      <c r="L9" s="1" t="s">
        <v>72</v>
      </c>
      <c r="M9">
        <v>8</v>
      </c>
      <c r="N9" s="1" t="s">
        <v>73</v>
      </c>
      <c r="O9" s="1" t="s">
        <v>77</v>
      </c>
      <c r="P9" s="1" t="s">
        <v>81</v>
      </c>
      <c r="Q9" s="1" t="s">
        <v>89</v>
      </c>
      <c r="R9" s="3">
        <v>43325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P9">
        <v>7800</v>
      </c>
      <c r="AW9">
        <v>17</v>
      </c>
      <c r="AX9">
        <v>3228.08</v>
      </c>
      <c r="AZ9" s="1"/>
      <c r="BA9" s="1"/>
      <c r="BB9" s="1"/>
      <c r="BC9" s="1"/>
      <c r="BD9" s="3"/>
      <c r="BE9" s="3"/>
      <c r="BN9">
        <v>7</v>
      </c>
      <c r="BO9">
        <v>3064.44</v>
      </c>
    </row>
    <row r="10" spans="1:67" x14ac:dyDescent="0.35">
      <c r="A10" s="1" t="s">
        <v>67</v>
      </c>
      <c r="B10" s="1" t="s">
        <v>68</v>
      </c>
      <c r="C10" s="1" t="s">
        <v>69</v>
      </c>
      <c r="D10">
        <v>3</v>
      </c>
      <c r="E10">
        <v>0</v>
      </c>
      <c r="F10" s="2">
        <v>43326.378460648149</v>
      </c>
      <c r="G10" s="3">
        <v>43313</v>
      </c>
      <c r="H10" s="3">
        <v>43343</v>
      </c>
      <c r="I10" s="1" t="s">
        <v>70</v>
      </c>
      <c r="J10">
        <v>444444444</v>
      </c>
      <c r="K10" s="1" t="s">
        <v>71</v>
      </c>
      <c r="L10" s="1" t="s">
        <v>72</v>
      </c>
      <c r="M10">
        <v>9</v>
      </c>
      <c r="N10" s="1" t="s">
        <v>74</v>
      </c>
      <c r="O10" s="1" t="s">
        <v>78</v>
      </c>
      <c r="P10" s="1" t="s">
        <v>82</v>
      </c>
      <c r="Q10" s="1" t="s">
        <v>90</v>
      </c>
      <c r="R10" s="3">
        <v>43325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7650</v>
      </c>
      <c r="AJ10">
        <v>1759.5</v>
      </c>
      <c r="AW10">
        <v>17</v>
      </c>
      <c r="AX10">
        <v>3228.08</v>
      </c>
      <c r="AZ10" s="1"/>
      <c r="BA10" s="1"/>
      <c r="BB10" s="1"/>
      <c r="BC10" s="1"/>
      <c r="BD10" s="3"/>
      <c r="BE10" s="3"/>
      <c r="BN10">
        <v>7</v>
      </c>
      <c r="BO10">
        <v>3064.44</v>
      </c>
    </row>
    <row r="11" spans="1:67" x14ac:dyDescent="0.35">
      <c r="A11" s="1" t="s">
        <v>67</v>
      </c>
      <c r="B11" s="1" t="s">
        <v>68</v>
      </c>
      <c r="C11" s="1" t="s">
        <v>69</v>
      </c>
      <c r="D11">
        <v>3</v>
      </c>
      <c r="E11">
        <v>0</v>
      </c>
      <c r="F11" s="2">
        <v>43326.378460648149</v>
      </c>
      <c r="G11" s="3">
        <v>43313</v>
      </c>
      <c r="H11" s="3">
        <v>43343</v>
      </c>
      <c r="I11" s="1" t="s">
        <v>70</v>
      </c>
      <c r="J11">
        <v>444444444</v>
      </c>
      <c r="K11" s="1" t="s">
        <v>71</v>
      </c>
      <c r="L11" s="1" t="s">
        <v>72</v>
      </c>
      <c r="M11">
        <v>10</v>
      </c>
      <c r="N11" s="1" t="s">
        <v>75</v>
      </c>
      <c r="O11" s="1" t="s">
        <v>75</v>
      </c>
      <c r="P11" s="1" t="s">
        <v>75</v>
      </c>
      <c r="Q11" s="1" t="s">
        <v>75</v>
      </c>
      <c r="R11" s="3">
        <v>43325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Q11">
        <v>1200</v>
      </c>
      <c r="AW11">
        <v>17</v>
      </c>
      <c r="AX11">
        <v>3228.08</v>
      </c>
      <c r="AZ11" s="1"/>
      <c r="BA11" s="1"/>
      <c r="BB11" s="1"/>
      <c r="BC11" s="1"/>
      <c r="BD11" s="3"/>
      <c r="BE11" s="3"/>
      <c r="BN11">
        <v>7</v>
      </c>
      <c r="BO11">
        <v>3064.44</v>
      </c>
    </row>
    <row r="12" spans="1:67" x14ac:dyDescent="0.35">
      <c r="A12" s="1" t="s">
        <v>67</v>
      </c>
      <c r="B12" s="1" t="s">
        <v>68</v>
      </c>
      <c r="C12" s="1" t="s">
        <v>69</v>
      </c>
      <c r="D12">
        <v>3</v>
      </c>
      <c r="E12">
        <v>0</v>
      </c>
      <c r="F12" s="2">
        <v>43326.378460648149</v>
      </c>
      <c r="G12" s="3">
        <v>43313</v>
      </c>
      <c r="H12" s="3">
        <v>43343</v>
      </c>
      <c r="I12" s="1" t="s">
        <v>70</v>
      </c>
      <c r="J12">
        <v>444444444</v>
      </c>
      <c r="K12" s="1" t="s">
        <v>71</v>
      </c>
      <c r="L12" s="1" t="s">
        <v>72</v>
      </c>
      <c r="M12">
        <v>11</v>
      </c>
      <c r="N12" s="1" t="s">
        <v>75</v>
      </c>
      <c r="O12" s="1" t="s">
        <v>75</v>
      </c>
      <c r="P12" s="1" t="s">
        <v>75</v>
      </c>
      <c r="Q12" s="1" t="s">
        <v>75</v>
      </c>
      <c r="R12" s="3">
        <v>43325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R12">
        <v>5155</v>
      </c>
      <c r="AW12">
        <v>17</v>
      </c>
      <c r="AX12">
        <v>3228.08</v>
      </c>
      <c r="AZ12" s="1"/>
      <c r="BA12" s="1"/>
      <c r="BB12" s="1"/>
      <c r="BC12" s="1"/>
      <c r="BD12" s="3"/>
      <c r="BE12" s="3"/>
      <c r="BN12">
        <v>7</v>
      </c>
      <c r="BO12">
        <v>3064.44</v>
      </c>
    </row>
    <row r="13" spans="1:67" x14ac:dyDescent="0.35">
      <c r="A13" s="1" t="s">
        <v>67</v>
      </c>
      <c r="B13" s="1" t="s">
        <v>68</v>
      </c>
      <c r="C13" s="1" t="s">
        <v>69</v>
      </c>
      <c r="D13">
        <v>3</v>
      </c>
      <c r="E13">
        <v>0</v>
      </c>
      <c r="F13" s="2">
        <v>43326.378460648149</v>
      </c>
      <c r="G13" s="3">
        <v>43313</v>
      </c>
      <c r="H13" s="3">
        <v>43343</v>
      </c>
      <c r="I13" s="1" t="s">
        <v>70</v>
      </c>
      <c r="J13">
        <v>444444444</v>
      </c>
      <c r="K13" s="1" t="s">
        <v>71</v>
      </c>
      <c r="L13" s="1" t="s">
        <v>72</v>
      </c>
      <c r="M13">
        <v>12</v>
      </c>
      <c r="N13" s="1" t="s">
        <v>75</v>
      </c>
      <c r="O13" s="1" t="s">
        <v>75</v>
      </c>
      <c r="P13" s="1" t="s">
        <v>75</v>
      </c>
      <c r="Q13" s="1" t="s">
        <v>75</v>
      </c>
      <c r="R13" s="3">
        <v>43325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1200</v>
      </c>
      <c r="AF13">
        <v>0</v>
      </c>
      <c r="AG13">
        <v>0</v>
      </c>
      <c r="AH13">
        <v>0</v>
      </c>
      <c r="AI13">
        <v>0</v>
      </c>
      <c r="AJ13">
        <v>0</v>
      </c>
      <c r="AW13">
        <v>17</v>
      </c>
      <c r="AX13">
        <v>3228.08</v>
      </c>
      <c r="AZ13" s="1"/>
      <c r="BA13" s="1"/>
      <c r="BB13" s="1"/>
      <c r="BC13" s="1"/>
      <c r="BD13" s="3"/>
      <c r="BE13" s="3"/>
      <c r="BN13">
        <v>7</v>
      </c>
      <c r="BO13">
        <v>3064.44</v>
      </c>
    </row>
    <row r="14" spans="1:67" x14ac:dyDescent="0.35">
      <c r="A14" s="1" t="s">
        <v>67</v>
      </c>
      <c r="B14" s="1" t="s">
        <v>68</v>
      </c>
      <c r="C14" s="1" t="s">
        <v>69</v>
      </c>
      <c r="D14">
        <v>3</v>
      </c>
      <c r="E14">
        <v>0</v>
      </c>
      <c r="F14" s="2">
        <v>43326.378460648149</v>
      </c>
      <c r="G14" s="3">
        <v>43313</v>
      </c>
      <c r="H14" s="3">
        <v>43343</v>
      </c>
      <c r="I14" s="1" t="s">
        <v>70</v>
      </c>
      <c r="J14">
        <v>444444444</v>
      </c>
      <c r="K14" s="1" t="s">
        <v>71</v>
      </c>
      <c r="L14" s="1" t="s">
        <v>72</v>
      </c>
      <c r="M14">
        <v>13</v>
      </c>
      <c r="N14" s="1" t="s">
        <v>75</v>
      </c>
      <c r="O14" s="1" t="s">
        <v>75</v>
      </c>
      <c r="P14" s="1" t="s">
        <v>75</v>
      </c>
      <c r="Q14" s="1" t="s">
        <v>75</v>
      </c>
      <c r="R14" s="3">
        <v>43325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R14">
        <v>500.45</v>
      </c>
      <c r="AW14">
        <v>17</v>
      </c>
      <c r="AX14">
        <v>3228.08</v>
      </c>
      <c r="AZ14" s="1"/>
      <c r="BA14" s="1"/>
      <c r="BB14" s="1"/>
      <c r="BC14" s="1"/>
      <c r="BD14" s="3"/>
      <c r="BE14" s="3"/>
      <c r="BN14">
        <v>7</v>
      </c>
      <c r="BO14">
        <v>3064.44</v>
      </c>
    </row>
    <row r="15" spans="1:67" x14ac:dyDescent="0.35">
      <c r="A15" s="1" t="s">
        <v>67</v>
      </c>
      <c r="B15" s="1" t="s">
        <v>68</v>
      </c>
      <c r="C15" s="1" t="s">
        <v>69</v>
      </c>
      <c r="D15">
        <v>3</v>
      </c>
      <c r="E15">
        <v>0</v>
      </c>
      <c r="F15" s="2">
        <v>43326.378460648149</v>
      </c>
      <c r="G15" s="3">
        <v>43313</v>
      </c>
      <c r="H15" s="3">
        <v>43343</v>
      </c>
      <c r="I15" s="1" t="s">
        <v>70</v>
      </c>
      <c r="J15">
        <v>444444444</v>
      </c>
      <c r="K15" s="1" t="s">
        <v>71</v>
      </c>
      <c r="L15" s="1" t="s">
        <v>72</v>
      </c>
      <c r="M15">
        <v>14</v>
      </c>
      <c r="N15" s="1" t="s">
        <v>75</v>
      </c>
      <c r="O15" s="1" t="s">
        <v>75</v>
      </c>
      <c r="P15" s="1" t="s">
        <v>75</v>
      </c>
      <c r="Q15" s="1" t="s">
        <v>75</v>
      </c>
      <c r="R15" s="3">
        <v>43325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S15">
        <v>340</v>
      </c>
      <c r="AW15">
        <v>17</v>
      </c>
      <c r="AX15">
        <v>3228.08</v>
      </c>
      <c r="AZ15" s="1"/>
      <c r="BA15" s="1"/>
      <c r="BB15" s="1"/>
      <c r="BC15" s="1"/>
      <c r="BD15" s="3"/>
      <c r="BE15" s="3"/>
      <c r="BN15">
        <v>7</v>
      </c>
      <c r="BO15">
        <v>3064.44</v>
      </c>
    </row>
    <row r="16" spans="1:67" x14ac:dyDescent="0.35">
      <c r="A16" s="1" t="s">
        <v>67</v>
      </c>
      <c r="B16" s="1" t="s">
        <v>68</v>
      </c>
      <c r="C16" s="1" t="s">
        <v>69</v>
      </c>
      <c r="D16">
        <v>3</v>
      </c>
      <c r="E16">
        <v>0</v>
      </c>
      <c r="F16" s="2">
        <v>43326.378460648149</v>
      </c>
      <c r="G16" s="3">
        <v>43313</v>
      </c>
      <c r="H16" s="3">
        <v>43343</v>
      </c>
      <c r="I16" s="1" t="s">
        <v>70</v>
      </c>
      <c r="J16">
        <v>444444444</v>
      </c>
      <c r="K16" s="1" t="s">
        <v>71</v>
      </c>
      <c r="L16" s="1" t="s">
        <v>72</v>
      </c>
      <c r="M16">
        <v>15</v>
      </c>
      <c r="N16" s="1" t="s">
        <v>75</v>
      </c>
      <c r="O16" s="1" t="s">
        <v>75</v>
      </c>
      <c r="P16" s="1" t="s">
        <v>75</v>
      </c>
      <c r="Q16" s="1" t="s">
        <v>75</v>
      </c>
      <c r="R16" s="3">
        <v>43325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T16">
        <v>590</v>
      </c>
      <c r="AW16">
        <v>17</v>
      </c>
      <c r="AX16">
        <v>3228.08</v>
      </c>
      <c r="AZ16" s="1"/>
      <c r="BA16" s="1"/>
      <c r="BB16" s="1"/>
      <c r="BC16" s="1"/>
      <c r="BD16" s="3"/>
      <c r="BE16" s="3"/>
      <c r="BN16">
        <v>7</v>
      </c>
      <c r="BO16">
        <v>3064.44</v>
      </c>
    </row>
    <row r="17" spans="1:67" x14ac:dyDescent="0.35">
      <c r="A17" s="1" t="s">
        <v>67</v>
      </c>
      <c r="B17" s="1" t="s">
        <v>68</v>
      </c>
      <c r="C17" s="1" t="s">
        <v>69</v>
      </c>
      <c r="D17">
        <v>3</v>
      </c>
      <c r="E17">
        <v>0</v>
      </c>
      <c r="F17" s="2">
        <v>43326.378460648149</v>
      </c>
      <c r="G17" s="3">
        <v>43313</v>
      </c>
      <c r="H17" s="3">
        <v>43343</v>
      </c>
      <c r="I17" s="1" t="s">
        <v>70</v>
      </c>
      <c r="J17">
        <v>444444444</v>
      </c>
      <c r="K17" s="1" t="s">
        <v>71</v>
      </c>
      <c r="L17" s="1" t="s">
        <v>72</v>
      </c>
      <c r="M17">
        <v>16</v>
      </c>
      <c r="N17" s="1" t="s">
        <v>75</v>
      </c>
      <c r="O17" s="1" t="s">
        <v>75</v>
      </c>
      <c r="P17" s="1" t="s">
        <v>75</v>
      </c>
      <c r="Q17" s="1" t="s">
        <v>75</v>
      </c>
      <c r="R17" s="3">
        <v>43325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U17">
        <v>120.43</v>
      </c>
      <c r="AW17">
        <v>17</v>
      </c>
      <c r="AX17">
        <v>3228.08</v>
      </c>
      <c r="AZ17" s="1"/>
      <c r="BA17" s="1"/>
      <c r="BB17" s="1"/>
      <c r="BC17" s="1"/>
      <c r="BD17" s="3"/>
      <c r="BE17" s="3"/>
      <c r="BN17">
        <v>7</v>
      </c>
      <c r="BO17">
        <v>3064.44</v>
      </c>
    </row>
    <row r="18" spans="1:67" x14ac:dyDescent="0.35">
      <c r="A18" s="1" t="s">
        <v>67</v>
      </c>
      <c r="B18" s="1" t="s">
        <v>68</v>
      </c>
      <c r="C18" s="1" t="s">
        <v>69</v>
      </c>
      <c r="D18">
        <v>3</v>
      </c>
      <c r="E18">
        <v>0</v>
      </c>
      <c r="F18" s="2">
        <v>43326.378460648149</v>
      </c>
      <c r="G18" s="3">
        <v>43313</v>
      </c>
      <c r="H18" s="3">
        <v>43343</v>
      </c>
      <c r="I18" s="1" t="s">
        <v>70</v>
      </c>
      <c r="J18">
        <v>444444444</v>
      </c>
      <c r="K18" s="1" t="s">
        <v>71</v>
      </c>
      <c r="L18" s="1" t="s">
        <v>72</v>
      </c>
      <c r="M18">
        <v>17</v>
      </c>
      <c r="N18" s="1" t="s">
        <v>75</v>
      </c>
      <c r="O18" s="1" t="s">
        <v>75</v>
      </c>
      <c r="P18" s="1" t="s">
        <v>75</v>
      </c>
      <c r="Q18" s="1" t="s">
        <v>75</v>
      </c>
      <c r="R18" s="3">
        <v>43325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V18">
        <v>99.99</v>
      </c>
      <c r="AW18">
        <v>17</v>
      </c>
      <c r="AX18">
        <v>3228.08</v>
      </c>
      <c r="AZ18" s="1"/>
      <c r="BA18" s="1"/>
      <c r="BB18" s="1"/>
      <c r="BC18" s="1"/>
      <c r="BD18" s="3"/>
      <c r="BE18" s="3"/>
      <c r="BN18">
        <v>7</v>
      </c>
      <c r="BO18">
        <v>3064.44</v>
      </c>
    </row>
    <row r="19" spans="1:67" x14ac:dyDescent="0.35">
      <c r="A19" s="1" t="s">
        <v>67</v>
      </c>
      <c r="B19" s="1" t="s">
        <v>68</v>
      </c>
      <c r="C19" s="1" t="s">
        <v>69</v>
      </c>
      <c r="D19">
        <v>3</v>
      </c>
      <c r="E19">
        <v>0</v>
      </c>
      <c r="F19" s="2">
        <v>43326.378460648149</v>
      </c>
      <c r="G19" s="3">
        <v>43313</v>
      </c>
      <c r="H19" s="3">
        <v>43343</v>
      </c>
      <c r="I19" s="1" t="s">
        <v>70</v>
      </c>
      <c r="J19">
        <v>444444444</v>
      </c>
      <c r="K19" s="1" t="s">
        <v>71</v>
      </c>
      <c r="L19" s="1" t="s">
        <v>72</v>
      </c>
      <c r="N19" s="1"/>
      <c r="O19" s="1"/>
      <c r="P19" s="1"/>
      <c r="Q19" s="1"/>
      <c r="R19" s="3"/>
      <c r="AW19">
        <v>17</v>
      </c>
      <c r="AX19">
        <v>3228.08</v>
      </c>
      <c r="AY19">
        <v>1</v>
      </c>
      <c r="AZ19" s="1" t="s">
        <v>74</v>
      </c>
      <c r="BA19" s="1" t="s">
        <v>78</v>
      </c>
      <c r="BB19" s="1" t="s">
        <v>82</v>
      </c>
      <c r="BC19" s="1" t="s">
        <v>91</v>
      </c>
      <c r="BD19" s="3">
        <v>43322</v>
      </c>
      <c r="BE19" s="3">
        <v>43322</v>
      </c>
      <c r="BF19">
        <v>0</v>
      </c>
      <c r="BG19">
        <v>0</v>
      </c>
      <c r="BH19">
        <v>900</v>
      </c>
      <c r="BI19">
        <v>207</v>
      </c>
      <c r="BN19">
        <v>7</v>
      </c>
      <c r="BO19">
        <v>3064.44</v>
      </c>
    </row>
    <row r="20" spans="1:67" x14ac:dyDescent="0.35">
      <c r="A20" s="1" t="s">
        <v>67</v>
      </c>
      <c r="B20" s="1" t="s">
        <v>68</v>
      </c>
      <c r="C20" s="1" t="s">
        <v>69</v>
      </c>
      <c r="D20">
        <v>3</v>
      </c>
      <c r="E20">
        <v>0</v>
      </c>
      <c r="F20" s="2">
        <v>43326.378460648149</v>
      </c>
      <c r="G20" s="3">
        <v>43313</v>
      </c>
      <c r="H20" s="3">
        <v>43343</v>
      </c>
      <c r="I20" s="1" t="s">
        <v>70</v>
      </c>
      <c r="J20">
        <v>444444444</v>
      </c>
      <c r="K20" s="1" t="s">
        <v>71</v>
      </c>
      <c r="L20" s="1" t="s">
        <v>72</v>
      </c>
      <c r="N20" s="1"/>
      <c r="O20" s="1"/>
      <c r="P20" s="1"/>
      <c r="Q20" s="1"/>
      <c r="R20" s="3"/>
      <c r="AW20">
        <v>17</v>
      </c>
      <c r="AX20">
        <v>3228.08</v>
      </c>
      <c r="AY20">
        <v>2</v>
      </c>
      <c r="AZ20" s="1" t="s">
        <v>73</v>
      </c>
      <c r="BA20" s="1" t="s">
        <v>77</v>
      </c>
      <c r="BB20" s="1" t="s">
        <v>81</v>
      </c>
      <c r="BC20" s="1" t="s">
        <v>92</v>
      </c>
      <c r="BD20" s="3">
        <v>43322</v>
      </c>
      <c r="BE20" s="3">
        <v>43322</v>
      </c>
      <c r="BF20">
        <v>0</v>
      </c>
      <c r="BG20">
        <v>0</v>
      </c>
      <c r="BH20">
        <v>975.61</v>
      </c>
      <c r="BI20">
        <v>224.39</v>
      </c>
      <c r="BN20">
        <v>7</v>
      </c>
      <c r="BO20">
        <v>3064.44</v>
      </c>
    </row>
    <row r="21" spans="1:67" x14ac:dyDescent="0.35">
      <c r="A21" s="1" t="s">
        <v>67</v>
      </c>
      <c r="B21" s="1" t="s">
        <v>68</v>
      </c>
      <c r="C21" s="1" t="s">
        <v>69</v>
      </c>
      <c r="D21">
        <v>3</v>
      </c>
      <c r="E21">
        <v>0</v>
      </c>
      <c r="F21" s="2">
        <v>43326.378460648149</v>
      </c>
      <c r="G21" s="3">
        <v>43313</v>
      </c>
      <c r="H21" s="3">
        <v>43343</v>
      </c>
      <c r="I21" s="1" t="s">
        <v>70</v>
      </c>
      <c r="J21">
        <v>444444444</v>
      </c>
      <c r="K21" s="1" t="s">
        <v>71</v>
      </c>
      <c r="L21" s="1" t="s">
        <v>72</v>
      </c>
      <c r="N21" s="1"/>
      <c r="O21" s="1"/>
      <c r="P21" s="1"/>
      <c r="Q21" s="1"/>
      <c r="R21" s="3"/>
      <c r="AW21">
        <v>17</v>
      </c>
      <c r="AX21">
        <v>3228.08</v>
      </c>
      <c r="AY21">
        <v>3</v>
      </c>
      <c r="AZ21" s="1" t="s">
        <v>74</v>
      </c>
      <c r="BA21" s="1" t="s">
        <v>78</v>
      </c>
      <c r="BB21" s="1" t="s">
        <v>82</v>
      </c>
      <c r="BC21" s="1" t="s">
        <v>90</v>
      </c>
      <c r="BD21" s="3">
        <v>43325</v>
      </c>
      <c r="BE21" s="3">
        <v>43325</v>
      </c>
      <c r="BF21">
        <v>0</v>
      </c>
      <c r="BG21">
        <v>0</v>
      </c>
      <c r="BH21">
        <v>7650</v>
      </c>
      <c r="BI21">
        <v>1759.5</v>
      </c>
      <c r="BN21">
        <v>7</v>
      </c>
      <c r="BO21">
        <v>3064.44</v>
      </c>
    </row>
    <row r="22" spans="1:67" x14ac:dyDescent="0.35">
      <c r="A22" s="1" t="s">
        <v>67</v>
      </c>
      <c r="B22" s="1" t="s">
        <v>68</v>
      </c>
      <c r="C22" s="1" t="s">
        <v>69</v>
      </c>
      <c r="D22">
        <v>3</v>
      </c>
      <c r="E22">
        <v>0</v>
      </c>
      <c r="F22" s="2">
        <v>43326.378460648149</v>
      </c>
      <c r="G22" s="3">
        <v>43313</v>
      </c>
      <c r="H22" s="3">
        <v>43343</v>
      </c>
      <c r="I22" s="1" t="s">
        <v>70</v>
      </c>
      <c r="J22">
        <v>444444444</v>
      </c>
      <c r="K22" s="1" t="s">
        <v>71</v>
      </c>
      <c r="L22" s="1" t="s">
        <v>72</v>
      </c>
      <c r="N22" s="1"/>
      <c r="O22" s="1"/>
      <c r="P22" s="1"/>
      <c r="Q22" s="1"/>
      <c r="R22" s="3"/>
      <c r="AW22">
        <v>17</v>
      </c>
      <c r="AX22">
        <v>3228.08</v>
      </c>
      <c r="AY22">
        <v>4</v>
      </c>
      <c r="AZ22" s="1" t="s">
        <v>75</v>
      </c>
      <c r="BA22" s="1" t="s">
        <v>75</v>
      </c>
      <c r="BB22" s="1" t="s">
        <v>75</v>
      </c>
      <c r="BC22" s="1" t="s">
        <v>75</v>
      </c>
      <c r="BD22" s="3">
        <v>43325</v>
      </c>
      <c r="BE22" s="3">
        <v>43325</v>
      </c>
      <c r="BF22">
        <v>0</v>
      </c>
      <c r="BG22">
        <v>0</v>
      </c>
      <c r="BH22">
        <v>0</v>
      </c>
      <c r="BI22">
        <v>0</v>
      </c>
      <c r="BJ22">
        <v>45.55</v>
      </c>
      <c r="BN22">
        <v>7</v>
      </c>
      <c r="BO22">
        <v>3064.44</v>
      </c>
    </row>
    <row r="23" spans="1:67" x14ac:dyDescent="0.35">
      <c r="A23" s="1" t="s">
        <v>67</v>
      </c>
      <c r="B23" s="1" t="s">
        <v>68</v>
      </c>
      <c r="C23" s="1" t="s">
        <v>69</v>
      </c>
      <c r="D23">
        <v>3</v>
      </c>
      <c r="E23">
        <v>0</v>
      </c>
      <c r="F23" s="2">
        <v>43326.378460648149</v>
      </c>
      <c r="G23" s="3">
        <v>43313</v>
      </c>
      <c r="H23" s="3">
        <v>43343</v>
      </c>
      <c r="I23" s="1" t="s">
        <v>70</v>
      </c>
      <c r="J23">
        <v>444444444</v>
      </c>
      <c r="K23" s="1" t="s">
        <v>71</v>
      </c>
      <c r="L23" s="1" t="s">
        <v>72</v>
      </c>
      <c r="N23" s="1"/>
      <c r="O23" s="1"/>
      <c r="P23" s="1"/>
      <c r="Q23" s="1"/>
      <c r="R23" s="3"/>
      <c r="AW23">
        <v>17</v>
      </c>
      <c r="AX23">
        <v>3228.08</v>
      </c>
      <c r="AY23">
        <v>5</v>
      </c>
      <c r="AZ23" s="1" t="s">
        <v>75</v>
      </c>
      <c r="BA23" s="1" t="s">
        <v>75</v>
      </c>
      <c r="BB23" s="1" t="s">
        <v>75</v>
      </c>
      <c r="BC23" s="1" t="s">
        <v>75</v>
      </c>
      <c r="BD23" s="3">
        <v>43325</v>
      </c>
      <c r="BE23" s="3">
        <v>43325</v>
      </c>
      <c r="BF23">
        <v>0</v>
      </c>
      <c r="BG23">
        <v>0</v>
      </c>
      <c r="BH23">
        <v>0</v>
      </c>
      <c r="BI23">
        <v>0</v>
      </c>
      <c r="BK23">
        <v>34.11</v>
      </c>
      <c r="BN23">
        <v>7</v>
      </c>
      <c r="BO23">
        <v>3064.44</v>
      </c>
    </row>
    <row r="24" spans="1:67" x14ac:dyDescent="0.35">
      <c r="A24" s="1" t="s">
        <v>67</v>
      </c>
      <c r="B24" s="1" t="s">
        <v>68</v>
      </c>
      <c r="C24" s="1" t="s">
        <v>69</v>
      </c>
      <c r="D24">
        <v>3</v>
      </c>
      <c r="E24">
        <v>0</v>
      </c>
      <c r="F24" s="2">
        <v>43326.378460648149</v>
      </c>
      <c r="G24" s="3">
        <v>43313</v>
      </c>
      <c r="H24" s="3">
        <v>43343</v>
      </c>
      <c r="I24" s="1" t="s">
        <v>70</v>
      </c>
      <c r="J24">
        <v>444444444</v>
      </c>
      <c r="K24" s="1" t="s">
        <v>71</v>
      </c>
      <c r="L24" s="1" t="s">
        <v>72</v>
      </c>
      <c r="N24" s="1"/>
      <c r="O24" s="1"/>
      <c r="P24" s="1"/>
      <c r="Q24" s="1"/>
      <c r="R24" s="3"/>
      <c r="AW24">
        <v>17</v>
      </c>
      <c r="AX24">
        <v>3228.08</v>
      </c>
      <c r="AY24">
        <v>6</v>
      </c>
      <c r="AZ24" s="1" t="s">
        <v>75</v>
      </c>
      <c r="BA24" s="1" t="s">
        <v>75</v>
      </c>
      <c r="BB24" s="1" t="s">
        <v>75</v>
      </c>
      <c r="BC24" s="1" t="s">
        <v>75</v>
      </c>
      <c r="BD24" s="3">
        <v>43325</v>
      </c>
      <c r="BE24" s="3">
        <v>43325</v>
      </c>
      <c r="BF24">
        <v>0</v>
      </c>
      <c r="BG24">
        <v>0</v>
      </c>
      <c r="BH24">
        <v>0</v>
      </c>
      <c r="BI24">
        <v>0</v>
      </c>
      <c r="BL24">
        <v>12.98</v>
      </c>
      <c r="BN24">
        <v>7</v>
      </c>
      <c r="BO24">
        <v>3064.44</v>
      </c>
    </row>
    <row r="25" spans="1:67" x14ac:dyDescent="0.35">
      <c r="A25" s="1" t="s">
        <v>67</v>
      </c>
      <c r="B25" s="1" t="s">
        <v>68</v>
      </c>
      <c r="C25" s="1" t="s">
        <v>69</v>
      </c>
      <c r="D25">
        <v>3</v>
      </c>
      <c r="E25">
        <v>0</v>
      </c>
      <c r="F25" s="2">
        <v>43326.378460648149</v>
      </c>
      <c r="G25" s="3">
        <v>43313</v>
      </c>
      <c r="H25" s="3">
        <v>43343</v>
      </c>
      <c r="I25" s="1" t="s">
        <v>70</v>
      </c>
      <c r="J25">
        <v>444444444</v>
      </c>
      <c r="K25" s="1" t="s">
        <v>71</v>
      </c>
      <c r="L25" s="1" t="s">
        <v>72</v>
      </c>
      <c r="N25" s="1"/>
      <c r="O25" s="1"/>
      <c r="P25" s="1"/>
      <c r="Q25" s="1"/>
      <c r="R25" s="3"/>
      <c r="AW25">
        <v>17</v>
      </c>
      <c r="AX25">
        <v>3228.08</v>
      </c>
      <c r="AY25">
        <v>7</v>
      </c>
      <c r="AZ25" s="1" t="s">
        <v>75</v>
      </c>
      <c r="BA25" s="1" t="s">
        <v>75</v>
      </c>
      <c r="BB25" s="1" t="s">
        <v>75</v>
      </c>
      <c r="BC25" s="1" t="s">
        <v>75</v>
      </c>
      <c r="BD25" s="3">
        <v>43325</v>
      </c>
      <c r="BE25" s="3">
        <v>43325</v>
      </c>
      <c r="BF25">
        <v>0</v>
      </c>
      <c r="BG25">
        <v>0</v>
      </c>
      <c r="BH25">
        <v>0</v>
      </c>
      <c r="BI25">
        <v>0</v>
      </c>
      <c r="BM25">
        <v>780.91</v>
      </c>
      <c r="BN25">
        <v>7</v>
      </c>
      <c r="BO25">
        <v>3064.44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4"/>
  <sheetViews>
    <sheetView topLeftCell="AE1" workbookViewId="0">
      <selection activeCell="AD3" sqref="AD3"/>
    </sheetView>
  </sheetViews>
  <sheetFormatPr defaultRowHeight="14.5" x14ac:dyDescent="0.35"/>
  <cols>
    <col min="1" max="38" width="14.7265625" bestFit="1" customWidth="1"/>
  </cols>
  <sheetData>
    <row r="3" spans="1:38" x14ac:dyDescent="0.35">
      <c r="A3" t="s">
        <v>114</v>
      </c>
      <c r="B3" t="s">
        <v>113</v>
      </c>
      <c r="C3" t="s">
        <v>115</v>
      </c>
      <c r="D3" t="s">
        <v>116</v>
      </c>
      <c r="E3" t="s">
        <v>117</v>
      </c>
      <c r="F3" t="s">
        <v>93</v>
      </c>
      <c r="G3" t="s">
        <v>94</v>
      </c>
      <c r="H3" t="s">
        <v>95</v>
      </c>
      <c r="I3" t="s">
        <v>96</v>
      </c>
      <c r="J3" t="s">
        <v>97</v>
      </c>
      <c r="K3" t="s">
        <v>98</v>
      </c>
      <c r="L3" t="s">
        <v>112</v>
      </c>
      <c r="M3" t="s">
        <v>111</v>
      </c>
      <c r="N3" t="s">
        <v>99</v>
      </c>
      <c r="O3" t="s">
        <v>100</v>
      </c>
      <c r="P3" t="s">
        <v>101</v>
      </c>
      <c r="Q3" t="s">
        <v>102</v>
      </c>
      <c r="R3" t="s">
        <v>103</v>
      </c>
      <c r="S3" t="s">
        <v>104</v>
      </c>
      <c r="T3" t="s">
        <v>105</v>
      </c>
      <c r="U3" t="s">
        <v>106</v>
      </c>
      <c r="V3" t="s">
        <v>118</v>
      </c>
      <c r="W3" t="s">
        <v>107</v>
      </c>
      <c r="X3" t="s">
        <v>108</v>
      </c>
      <c r="Y3" t="s">
        <v>109</v>
      </c>
      <c r="Z3" t="s">
        <v>110</v>
      </c>
      <c r="AA3" t="s">
        <v>119</v>
      </c>
      <c r="AB3" t="s">
        <v>120</v>
      </c>
      <c r="AC3" t="s">
        <v>121</v>
      </c>
      <c r="AD3" t="s">
        <v>122</v>
      </c>
      <c r="AE3" t="s">
        <v>123</v>
      </c>
      <c r="AF3" t="s">
        <v>124</v>
      </c>
      <c r="AG3" t="s">
        <v>125</v>
      </c>
      <c r="AH3" t="s">
        <v>126</v>
      </c>
      <c r="AI3" t="s">
        <v>130</v>
      </c>
      <c r="AJ3" t="s">
        <v>127</v>
      </c>
      <c r="AK3" t="s">
        <v>128</v>
      </c>
      <c r="AL3" t="s">
        <v>129</v>
      </c>
    </row>
    <row r="4" spans="1:38" x14ac:dyDescent="0.35">
      <c r="A4" s="4">
        <v>1000</v>
      </c>
      <c r="B4" s="4">
        <v>67050.600000000006</v>
      </c>
      <c r="C4" s="4">
        <v>33317.699999999997</v>
      </c>
      <c r="D4" s="4">
        <v>7800</v>
      </c>
      <c r="E4" s="4">
        <v>1200</v>
      </c>
      <c r="F4" s="4">
        <v>0</v>
      </c>
      <c r="G4" s="4">
        <v>0</v>
      </c>
      <c r="H4" s="4">
        <v>0</v>
      </c>
      <c r="I4" s="4">
        <v>0</v>
      </c>
      <c r="J4" s="4">
        <v>3300</v>
      </c>
      <c r="K4" s="4">
        <v>759</v>
      </c>
      <c r="L4" s="4">
        <v>14950.25</v>
      </c>
      <c r="M4" s="4">
        <v>7737.66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1200</v>
      </c>
      <c r="U4" s="4">
        <v>0</v>
      </c>
      <c r="V4" s="4">
        <v>5655.45</v>
      </c>
      <c r="W4" s="4">
        <v>0</v>
      </c>
      <c r="X4" s="4">
        <v>0</v>
      </c>
      <c r="Y4" s="4">
        <v>7650</v>
      </c>
      <c r="Z4" s="4">
        <v>1759.5</v>
      </c>
      <c r="AA4" s="4">
        <v>340</v>
      </c>
      <c r="AB4" s="4">
        <v>590</v>
      </c>
      <c r="AC4" s="4">
        <v>120.43</v>
      </c>
      <c r="AD4" s="4">
        <v>99.99</v>
      </c>
      <c r="AE4" s="4">
        <v>0</v>
      </c>
      <c r="AF4" s="4">
        <v>0</v>
      </c>
      <c r="AG4" s="4">
        <v>9525.61</v>
      </c>
      <c r="AH4" s="4">
        <v>2190.89</v>
      </c>
      <c r="AI4" s="4">
        <v>780.91</v>
      </c>
      <c r="AJ4" s="4">
        <v>45.55</v>
      </c>
      <c r="AK4" s="4">
        <v>34.11</v>
      </c>
      <c r="AL4" s="4">
        <v>12.98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Wizualizacja danych JPK_VAT</vt:lpstr>
      <vt:lpstr>JPK_VAT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Chomuszko, Magdalena</dc:creator>
  <cp:lastModifiedBy>Magdalena Chomuszko</cp:lastModifiedBy>
  <dcterms:created xsi:type="dcterms:W3CDTF">2018-08-14T05:01:57Z</dcterms:created>
  <dcterms:modified xsi:type="dcterms:W3CDTF">2019-07-08T18:14:46Z</dcterms:modified>
</cp:coreProperties>
</file>